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filterPrivacy="1"/>
  <xr:revisionPtr revIDLastSave="0" documentId="13_ncr:1_{C0A4F854-2146-47BE-9962-DF0B7D9F83E1}" xr6:coauthVersionLast="36" xr6:coauthVersionMax="36" xr10:uidLastSave="{00000000-0000-0000-0000-000000000000}"/>
  <bookViews>
    <workbookView xWindow="0" yWindow="0" windowWidth="22260" windowHeight="12645" tabRatio="808" firstSheet="3" activeTab="6" xr2:uid="{00000000-000D-0000-FFFF-FFFF00000000}"/>
  </bookViews>
  <sheets>
    <sheet name="Development notes" sheetId="6" r:id="rId1"/>
    <sheet name="Instructions &amp; Notes" sheetId="3" r:id="rId2"/>
    <sheet name="Parameters" sheetId="2" r:id="rId3"/>
    <sheet name="NormStandard" sheetId="1" r:id="rId4"/>
    <sheet name="Conc1" sheetId="4" r:id="rId5"/>
    <sheet name="Conc2" sheetId="10" r:id="rId6"/>
    <sheet name="Conc3a" sheetId="11" r:id="rId7"/>
    <sheet name="Conc4" sheetId="12" r:id="rId8"/>
    <sheet name="Conc5" sheetId="13" r:id="rId9"/>
    <sheet name="Conc6" sheetId="14" r:id="rId10"/>
    <sheet name="Conc7" sheetId="15" r:id="rId11"/>
    <sheet name="Conc8" sheetId="16" r:id="rId12"/>
    <sheet name="Guinier+SphereFit1" sheetId="7" r:id="rId13"/>
    <sheet name="ZimmPrep" sheetId="8" r:id="rId14"/>
    <sheet name="ForNonZimm" sheetId="9" r:id="rId15"/>
  </sheets>
  <definedNames>
    <definedName name="CalStd">Parameters!$G$2</definedName>
    <definedName name="dndc">Parameters!$B$9</definedName>
    <definedName name="Exponentm">Parameters!$A$3</definedName>
    <definedName name="Guinslope" localSheetId="5">#REF!</definedName>
    <definedName name="Guinslope" localSheetId="6">#REF!</definedName>
    <definedName name="Guinslope" localSheetId="7">#REF!</definedName>
    <definedName name="Guinslope" localSheetId="8">#REF!</definedName>
    <definedName name="Guinslope" localSheetId="9">#REF!</definedName>
    <definedName name="Guinslope" localSheetId="10">#REF!</definedName>
    <definedName name="Guinslope" localSheetId="11">#REF!</definedName>
    <definedName name="Guinslope" localSheetId="12">'Guinier+SphereFit1'!$N$24</definedName>
    <definedName name="Guinslope">#REF!</definedName>
    <definedName name="Guintercept" localSheetId="5">#REF!</definedName>
    <definedName name="Guintercept" localSheetId="6">#REF!</definedName>
    <definedName name="Guintercept" localSheetId="7">#REF!</definedName>
    <definedName name="Guintercept" localSheetId="8">#REF!</definedName>
    <definedName name="Guintercept" localSheetId="9">#REF!</definedName>
    <definedName name="Guintercept" localSheetId="10">#REF!</definedName>
    <definedName name="Guintercept" localSheetId="11">#REF!</definedName>
    <definedName name="Guintercept" localSheetId="12">'Guinier+SphereFit1'!$N$23</definedName>
    <definedName name="Guintercept">#REF!</definedName>
    <definedName name="I90Std">Parameters!$G$4</definedName>
    <definedName name="Izero">'Guinier+SphereFit1'!$N$30</definedName>
    <definedName name="Koptical">Parameters!$B$10</definedName>
    <definedName name="kscale">ZimmPrep!$P$48</definedName>
    <definedName name="Lamcm" localSheetId="12">Parameters!$B$4</definedName>
    <definedName name="Lamcm">Parameters!$B$4</definedName>
    <definedName name="Lamnm" localSheetId="12">Parameters!$B$3</definedName>
    <definedName name="Lamnm">Parameters!$B$3</definedName>
    <definedName name="mExponent">Parameters!$B$7</definedName>
    <definedName name="RayFacToluene">Parameters!$B$8</definedName>
    <definedName name="RayFactorStd">Parameters!$G$3</definedName>
    <definedName name="Refin" localSheetId="12">Parameters!$B$5</definedName>
    <definedName name="Refin">Parameters!$B$5</definedName>
    <definedName name="RefinRayleigh">Parameters!$B$6</definedName>
    <definedName name="Rgyration" localSheetId="12">NormStandard!$K$8</definedName>
    <definedName name="Rgyration">NormStandard!$K$8</definedName>
    <definedName name="Rhydro">NormStandard!$K$7</definedName>
    <definedName name="Rsphere">'Guinier+SphereFit1'!$N$31</definedName>
    <definedName name="Solvent">Parameters!$B$2</definedName>
    <definedName name="solver_adj" localSheetId="12" hidden="1">'Guinier+SphereFit1'!$N$30:$N$31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'Guinier+SphereFit1'!$K$46</definedName>
    <definedName name="solver_pre" localSheetId="12" hidden="1">0.000001</definedName>
    <definedName name="solver_rbv" localSheetId="12" hidden="1">1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2</definedName>
    <definedName name="solver_val" localSheetId="12" hidden="1">0</definedName>
    <definedName name="solver_ver" localSheetId="12" hidden="1">3</definedName>
    <definedName name="VolExponent">Parameters!$G$5</definedName>
  </definedNames>
  <calcPr calcId="191029"/>
</workbook>
</file>

<file path=xl/calcChain.xml><?xml version="1.0" encoding="utf-8"?>
<calcChain xmlns="http://schemas.openxmlformats.org/spreadsheetml/2006/main">
  <c r="J7" i="10" l="1"/>
  <c r="F7" i="10"/>
  <c r="F8" i="10"/>
  <c r="F9" i="10"/>
  <c r="F10" i="10"/>
  <c r="F11" i="10"/>
  <c r="F6" i="10"/>
  <c r="E6" i="10"/>
  <c r="D4" i="10"/>
  <c r="D2" i="10"/>
  <c r="S17" i="10"/>
  <c r="S18" i="10"/>
  <c r="S19" i="10"/>
  <c r="S20" i="10"/>
  <c r="S21" i="10"/>
  <c r="S22" i="10"/>
  <c r="S23" i="10"/>
  <c r="S16" i="10"/>
  <c r="J31" i="10"/>
  <c r="J29" i="10"/>
  <c r="J25" i="10"/>
  <c r="J23" i="10"/>
  <c r="J21" i="10"/>
  <c r="J15" i="10"/>
  <c r="J16" i="10"/>
  <c r="J17" i="10"/>
  <c r="L15" i="10"/>
  <c r="M15" i="10" s="1"/>
  <c r="G3" i="2"/>
  <c r="N25" i="2"/>
  <c r="G49" i="8" l="1"/>
  <c r="H49" i="8"/>
  <c r="I49" i="8"/>
  <c r="J49" i="8"/>
  <c r="K49" i="8"/>
  <c r="L49" i="8"/>
  <c r="M49" i="8"/>
  <c r="F49" i="8"/>
  <c r="B10" i="2" l="1"/>
  <c r="N24" i="2" l="1"/>
  <c r="N23" i="2"/>
  <c r="N14" i="2"/>
  <c r="N15" i="2"/>
  <c r="N16" i="2"/>
  <c r="N17" i="2"/>
  <c r="N13" i="2"/>
  <c r="K13" i="2" l="1"/>
  <c r="K15" i="2"/>
  <c r="K16" i="2"/>
  <c r="K17" i="2"/>
  <c r="K14" i="2"/>
  <c r="A44" i="8" l="1"/>
  <c r="A66" i="8" s="1"/>
  <c r="B44" i="8"/>
  <c r="B66" i="8" s="1"/>
  <c r="A45" i="8"/>
  <c r="A67" i="8" s="1"/>
  <c r="B45" i="8"/>
  <c r="B67" i="8" s="1"/>
  <c r="A41" i="8"/>
  <c r="A63" i="8" s="1"/>
  <c r="B41" i="8"/>
  <c r="B63" i="8" s="1"/>
  <c r="A42" i="8"/>
  <c r="A64" i="8" s="1"/>
  <c r="B42" i="8"/>
  <c r="B64" i="8" s="1"/>
  <c r="A43" i="8"/>
  <c r="A65" i="8" s="1"/>
  <c r="B43" i="8"/>
  <c r="B65" i="8" s="1"/>
  <c r="A29" i="8"/>
  <c r="A51" i="8" s="1"/>
  <c r="B29" i="8"/>
  <c r="B51" i="8" s="1"/>
  <c r="A30" i="8"/>
  <c r="A52" i="8" s="1"/>
  <c r="B30" i="8"/>
  <c r="B52" i="8" s="1"/>
  <c r="A31" i="8"/>
  <c r="A53" i="8" s="1"/>
  <c r="B31" i="8"/>
  <c r="B53" i="8" s="1"/>
  <c r="A32" i="8"/>
  <c r="A54" i="8" s="1"/>
  <c r="B32" i="8"/>
  <c r="B54" i="8" s="1"/>
  <c r="A33" i="8"/>
  <c r="A55" i="8" s="1"/>
  <c r="B33" i="8"/>
  <c r="B55" i="8" s="1"/>
  <c r="A34" i="8"/>
  <c r="A56" i="8" s="1"/>
  <c r="B34" i="8"/>
  <c r="B56" i="8" s="1"/>
  <c r="A35" i="8"/>
  <c r="A57" i="8" s="1"/>
  <c r="B35" i="8"/>
  <c r="B57" i="8" s="1"/>
  <c r="A36" i="8"/>
  <c r="A58" i="8" s="1"/>
  <c r="B36" i="8"/>
  <c r="B58" i="8" s="1"/>
  <c r="A37" i="8"/>
  <c r="A59" i="8" s="1"/>
  <c r="B37" i="8"/>
  <c r="B59" i="8" s="1"/>
  <c r="A38" i="8"/>
  <c r="A60" i="8" s="1"/>
  <c r="B38" i="8"/>
  <c r="B60" i="8" s="1"/>
  <c r="A39" i="8"/>
  <c r="A61" i="8" s="1"/>
  <c r="B39" i="8"/>
  <c r="B61" i="8" s="1"/>
  <c r="A40" i="8"/>
  <c r="A62" i="8" s="1"/>
  <c r="B40" i="8"/>
  <c r="B62" i="8" s="1"/>
  <c r="B28" i="8"/>
  <c r="B50" i="8" s="1"/>
  <c r="A28" i="8"/>
  <c r="A50" i="8" s="1"/>
  <c r="G27" i="8"/>
  <c r="H27" i="8"/>
  <c r="I27" i="8"/>
  <c r="J27" i="8"/>
  <c r="K27" i="8"/>
  <c r="L27" i="8"/>
  <c r="M27" i="8"/>
  <c r="F27" i="8"/>
  <c r="G9" i="8" l="1"/>
  <c r="H9" i="8"/>
  <c r="I9" i="8"/>
  <c r="J9" i="8"/>
  <c r="K9" i="8"/>
  <c r="L9" i="8"/>
  <c r="M9" i="8"/>
  <c r="G18" i="8"/>
  <c r="H18" i="8"/>
  <c r="I18" i="8"/>
  <c r="J18" i="8"/>
  <c r="K18" i="8"/>
  <c r="L18" i="8"/>
  <c r="M18" i="8"/>
  <c r="K32" i="16"/>
  <c r="H32" i="16"/>
  <c r="L32" i="16" s="1"/>
  <c r="L31" i="16"/>
  <c r="L30" i="16"/>
  <c r="K30" i="16"/>
  <c r="H30" i="16"/>
  <c r="L29" i="16"/>
  <c r="K28" i="16"/>
  <c r="H28" i="16"/>
  <c r="L28" i="16" s="1"/>
  <c r="M27" i="16"/>
  <c r="K26" i="16"/>
  <c r="L26" i="16" s="1"/>
  <c r="H26" i="16"/>
  <c r="L25" i="16"/>
  <c r="K24" i="16"/>
  <c r="H24" i="16"/>
  <c r="L24" i="16" s="1"/>
  <c r="L23" i="16"/>
  <c r="K22" i="16"/>
  <c r="L22" i="16" s="1"/>
  <c r="H22" i="16"/>
  <c r="L21" i="16"/>
  <c r="K20" i="16"/>
  <c r="H20" i="16"/>
  <c r="L20" i="16" s="1"/>
  <c r="K19" i="16"/>
  <c r="H19" i="16"/>
  <c r="L19" i="16" s="1"/>
  <c r="M18" i="16"/>
  <c r="L17" i="16"/>
  <c r="L16" i="16"/>
  <c r="L15" i="16"/>
  <c r="J10" i="16"/>
  <c r="J11" i="16" s="1"/>
  <c r="J9" i="16"/>
  <c r="J8" i="16"/>
  <c r="K32" i="15"/>
  <c r="H32" i="15"/>
  <c r="L32" i="15" s="1"/>
  <c r="L31" i="15"/>
  <c r="L30" i="15"/>
  <c r="K30" i="15"/>
  <c r="H30" i="15"/>
  <c r="L29" i="15"/>
  <c r="K28" i="15"/>
  <c r="H28" i="15"/>
  <c r="L28" i="15" s="1"/>
  <c r="M27" i="15"/>
  <c r="K26" i="15"/>
  <c r="L26" i="15" s="1"/>
  <c r="H26" i="15"/>
  <c r="L25" i="15"/>
  <c r="K24" i="15"/>
  <c r="H24" i="15"/>
  <c r="L24" i="15" s="1"/>
  <c r="L23" i="15"/>
  <c r="K22" i="15"/>
  <c r="L22" i="15" s="1"/>
  <c r="H22" i="15"/>
  <c r="L21" i="15"/>
  <c r="K20" i="15"/>
  <c r="H20" i="15"/>
  <c r="L20" i="15" s="1"/>
  <c r="K19" i="15"/>
  <c r="H19" i="15"/>
  <c r="L19" i="15" s="1"/>
  <c r="M18" i="15"/>
  <c r="L17" i="15"/>
  <c r="L16" i="15"/>
  <c r="L15" i="15"/>
  <c r="J10" i="15"/>
  <c r="J11" i="15" s="1"/>
  <c r="J9" i="15"/>
  <c r="J8" i="15"/>
  <c r="K32" i="14"/>
  <c r="H32" i="14"/>
  <c r="L32" i="14" s="1"/>
  <c r="L31" i="14"/>
  <c r="L30" i="14"/>
  <c r="K30" i="14"/>
  <c r="H30" i="14"/>
  <c r="L29" i="14"/>
  <c r="K28" i="14"/>
  <c r="H28" i="14"/>
  <c r="L28" i="14" s="1"/>
  <c r="M27" i="14"/>
  <c r="K26" i="14"/>
  <c r="H26" i="14"/>
  <c r="L26" i="14" s="1"/>
  <c r="L25" i="14"/>
  <c r="L24" i="14"/>
  <c r="K24" i="14"/>
  <c r="H24" i="14"/>
  <c r="L23" i="14"/>
  <c r="K22" i="14"/>
  <c r="H22" i="14"/>
  <c r="L22" i="14" s="1"/>
  <c r="L21" i="14"/>
  <c r="L20" i="14"/>
  <c r="K20" i="14"/>
  <c r="H20" i="14"/>
  <c r="L19" i="14"/>
  <c r="K19" i="14"/>
  <c r="H19" i="14"/>
  <c r="M18" i="14"/>
  <c r="L17" i="14"/>
  <c r="L16" i="14"/>
  <c r="L15" i="14"/>
  <c r="J10" i="14"/>
  <c r="J11" i="14" s="1"/>
  <c r="J9" i="14"/>
  <c r="J8" i="14"/>
  <c r="K32" i="13"/>
  <c r="H32" i="13"/>
  <c r="L32" i="13" s="1"/>
  <c r="L31" i="13"/>
  <c r="L30" i="13"/>
  <c r="K30" i="13"/>
  <c r="H30" i="13"/>
  <c r="L29" i="13"/>
  <c r="K28" i="13"/>
  <c r="H28" i="13"/>
  <c r="L28" i="13" s="1"/>
  <c r="M27" i="13"/>
  <c r="K26" i="13"/>
  <c r="H26" i="13"/>
  <c r="L26" i="13" s="1"/>
  <c r="L25" i="13"/>
  <c r="L24" i="13"/>
  <c r="K24" i="13"/>
  <c r="H24" i="13"/>
  <c r="L23" i="13"/>
  <c r="K22" i="13"/>
  <c r="H22" i="13"/>
  <c r="L22" i="13" s="1"/>
  <c r="L21" i="13"/>
  <c r="L20" i="13"/>
  <c r="K20" i="13"/>
  <c r="H20" i="13"/>
  <c r="L19" i="13"/>
  <c r="K19" i="13"/>
  <c r="H19" i="13"/>
  <c r="M18" i="13"/>
  <c r="L17" i="13"/>
  <c r="L16" i="13"/>
  <c r="L15" i="13"/>
  <c r="J10" i="13"/>
  <c r="J11" i="13" s="1"/>
  <c r="J9" i="13"/>
  <c r="J8" i="13"/>
  <c r="K32" i="12"/>
  <c r="H32" i="12"/>
  <c r="L32" i="12" s="1"/>
  <c r="L31" i="12"/>
  <c r="L30" i="12"/>
  <c r="K30" i="12"/>
  <c r="H30" i="12"/>
  <c r="L29" i="12"/>
  <c r="K28" i="12"/>
  <c r="H28" i="12"/>
  <c r="L28" i="12" s="1"/>
  <c r="M27" i="12"/>
  <c r="K26" i="12"/>
  <c r="L26" i="12" s="1"/>
  <c r="H26" i="12"/>
  <c r="L25" i="12"/>
  <c r="K24" i="12"/>
  <c r="H24" i="12"/>
  <c r="L24" i="12" s="1"/>
  <c r="L23" i="12"/>
  <c r="K22" i="12"/>
  <c r="L22" i="12" s="1"/>
  <c r="H22" i="12"/>
  <c r="L21" i="12"/>
  <c r="K20" i="12"/>
  <c r="H20" i="12"/>
  <c r="L20" i="12" s="1"/>
  <c r="K19" i="12"/>
  <c r="H19" i="12"/>
  <c r="L19" i="12" s="1"/>
  <c r="M18" i="12"/>
  <c r="L17" i="12"/>
  <c r="L16" i="12"/>
  <c r="L15" i="12"/>
  <c r="J10" i="12"/>
  <c r="J11" i="12" s="1"/>
  <c r="J9" i="12"/>
  <c r="J8" i="12"/>
  <c r="K32" i="11"/>
  <c r="H32" i="11"/>
  <c r="L32" i="11" s="1"/>
  <c r="L31" i="11"/>
  <c r="L30" i="11"/>
  <c r="K30" i="11"/>
  <c r="H30" i="11"/>
  <c r="L29" i="11"/>
  <c r="K28" i="11"/>
  <c r="H28" i="11"/>
  <c r="L28" i="11" s="1"/>
  <c r="M27" i="11"/>
  <c r="K26" i="11"/>
  <c r="L26" i="11" s="1"/>
  <c r="H26" i="11"/>
  <c r="L25" i="11"/>
  <c r="K24" i="11"/>
  <c r="H24" i="11"/>
  <c r="L24" i="11" s="1"/>
  <c r="L23" i="11"/>
  <c r="K22" i="11"/>
  <c r="L22" i="11" s="1"/>
  <c r="H22" i="11"/>
  <c r="L21" i="11"/>
  <c r="K20" i="11"/>
  <c r="H20" i="11"/>
  <c r="L20" i="11" s="1"/>
  <c r="K19" i="11"/>
  <c r="H19" i="11"/>
  <c r="L19" i="11" s="1"/>
  <c r="M18" i="11"/>
  <c r="L17" i="11"/>
  <c r="L16" i="11"/>
  <c r="L15" i="11"/>
  <c r="J10" i="11"/>
  <c r="J11" i="11" s="1"/>
  <c r="J9" i="11"/>
  <c r="J8" i="11"/>
  <c r="K32" i="10"/>
  <c r="H32" i="10"/>
  <c r="L32" i="10" s="1"/>
  <c r="L31" i="10"/>
  <c r="K30" i="10"/>
  <c r="L30" i="10" s="1"/>
  <c r="H30" i="10"/>
  <c r="L29" i="10"/>
  <c r="K28" i="10"/>
  <c r="H28" i="10"/>
  <c r="L28" i="10" s="1"/>
  <c r="M27" i="10"/>
  <c r="K26" i="10"/>
  <c r="H26" i="10"/>
  <c r="L25" i="10"/>
  <c r="K24" i="10"/>
  <c r="L24" i="10" s="1"/>
  <c r="H24" i="10"/>
  <c r="L23" i="10"/>
  <c r="K22" i="10"/>
  <c r="H22" i="10"/>
  <c r="L21" i="10"/>
  <c r="L20" i="10"/>
  <c r="K20" i="10"/>
  <c r="H20" i="10"/>
  <c r="L19" i="10"/>
  <c r="K19" i="10"/>
  <c r="H19" i="10"/>
  <c r="M18" i="10"/>
  <c r="L17" i="10"/>
  <c r="L16" i="10"/>
  <c r="J9" i="10"/>
  <c r="J8" i="10"/>
  <c r="J10" i="10" s="1"/>
  <c r="J11" i="10" s="1"/>
  <c r="L26" i="10" l="1"/>
  <c r="L22" i="10"/>
  <c r="A83" i="9"/>
  <c r="A80" i="9"/>
  <c r="A77" i="9"/>
  <c r="A74" i="9"/>
  <c r="A71" i="9"/>
  <c r="A68" i="9"/>
  <c r="A65" i="9"/>
  <c r="A62" i="9"/>
  <c r="A59" i="9"/>
  <c r="A56" i="9"/>
  <c r="A53" i="9"/>
  <c r="A50" i="9"/>
  <c r="A47" i="9"/>
  <c r="A44" i="9"/>
  <c r="A41" i="9"/>
  <c r="A38" i="9"/>
  <c r="A35" i="9"/>
  <c r="A32" i="9"/>
  <c r="C15" i="8" l="1"/>
  <c r="C37" i="8" s="1"/>
  <c r="C59" i="8" s="1"/>
  <c r="F9" i="8"/>
  <c r="F18" i="8"/>
  <c r="C22" i="8"/>
  <c r="C44" i="8" s="1"/>
  <c r="C66" i="8" s="1"/>
  <c r="C23" i="8"/>
  <c r="C45" i="8" s="1"/>
  <c r="C67" i="8" s="1"/>
  <c r="C7" i="8"/>
  <c r="C29" i="8" s="1"/>
  <c r="C51" i="8" s="1"/>
  <c r="C8" i="8"/>
  <c r="C30" i="8" s="1"/>
  <c r="C52" i="8" s="1"/>
  <c r="C9" i="8"/>
  <c r="C31" i="8" s="1"/>
  <c r="C53" i="8" s="1"/>
  <c r="C10" i="8"/>
  <c r="C32" i="8" s="1"/>
  <c r="C54" i="8" s="1"/>
  <c r="C11" i="8"/>
  <c r="C33" i="8" s="1"/>
  <c r="C55" i="8" s="1"/>
  <c r="C12" i="8"/>
  <c r="C34" i="8" s="1"/>
  <c r="C56" i="8" s="1"/>
  <c r="C13" i="8"/>
  <c r="C35" i="8" s="1"/>
  <c r="C57" i="8" s="1"/>
  <c r="C14" i="8"/>
  <c r="C36" i="8" s="1"/>
  <c r="C58" i="8" s="1"/>
  <c r="C16" i="8"/>
  <c r="C38" i="8" s="1"/>
  <c r="C60" i="8" s="1"/>
  <c r="C17" i="8"/>
  <c r="C39" i="8" s="1"/>
  <c r="C61" i="8" s="1"/>
  <c r="C18" i="8"/>
  <c r="C40" i="8" s="1"/>
  <c r="C62" i="8" s="1"/>
  <c r="C19" i="8"/>
  <c r="C41" i="8" s="1"/>
  <c r="C63" i="8" s="1"/>
  <c r="C20" i="8"/>
  <c r="C42" i="8" s="1"/>
  <c r="C64" i="8" s="1"/>
  <c r="C21" i="8"/>
  <c r="C43" i="8" s="1"/>
  <c r="C65" i="8" s="1"/>
  <c r="C6" i="8"/>
  <c r="C28" i="8" s="1"/>
  <c r="C50" i="8" s="1"/>
  <c r="AY28" i="7" l="1"/>
  <c r="AH28" i="7"/>
  <c r="B7" i="7" l="1"/>
  <c r="AU12" i="7" s="1"/>
  <c r="C7" i="7"/>
  <c r="B8" i="7"/>
  <c r="AU13" i="7" s="1"/>
  <c r="C8" i="7"/>
  <c r="B9" i="7"/>
  <c r="AU14" i="7" s="1"/>
  <c r="C9" i="7"/>
  <c r="B10" i="7"/>
  <c r="AB12" i="7" s="1"/>
  <c r="C10" i="7"/>
  <c r="B11" i="7"/>
  <c r="AB13" i="7" s="1"/>
  <c r="C11" i="7"/>
  <c r="B12" i="7"/>
  <c r="AU15" i="7" s="1"/>
  <c r="C12" i="7"/>
  <c r="B13" i="7"/>
  <c r="AB14" i="7" s="1"/>
  <c r="C13" i="7"/>
  <c r="B14" i="7"/>
  <c r="AU16" i="7" s="1"/>
  <c r="C14" i="7"/>
  <c r="B15" i="7"/>
  <c r="AB15" i="7" s="1"/>
  <c r="C15" i="7"/>
  <c r="B16" i="7"/>
  <c r="AU17" i="7" s="1"/>
  <c r="C16" i="7"/>
  <c r="B17" i="7"/>
  <c r="AB16" i="7" s="1"/>
  <c r="C17" i="7"/>
  <c r="B18" i="7"/>
  <c r="AB17" i="7" s="1"/>
  <c r="C18" i="7"/>
  <c r="B19" i="7"/>
  <c r="AU18" i="7" s="1"/>
  <c r="C19" i="7"/>
  <c r="B20" i="7"/>
  <c r="AB18" i="7" s="1"/>
  <c r="C20" i="7"/>
  <c r="B21" i="7"/>
  <c r="AU19" i="7" s="1"/>
  <c r="C21" i="7"/>
  <c r="B22" i="7"/>
  <c r="AB19" i="7" s="1"/>
  <c r="C22" i="7"/>
  <c r="N27" i="7"/>
  <c r="B30" i="7"/>
  <c r="D30" i="7"/>
  <c r="E30" i="7" s="1"/>
  <c r="B31" i="7"/>
  <c r="D31" i="7"/>
  <c r="E31" i="7" s="1"/>
  <c r="F31" i="7" s="1"/>
  <c r="B32" i="7"/>
  <c r="D32" i="7"/>
  <c r="E32" i="7" s="1"/>
  <c r="B33" i="7"/>
  <c r="D33" i="7"/>
  <c r="E33" i="7" s="1"/>
  <c r="F33" i="7" s="1"/>
  <c r="B34" i="7"/>
  <c r="D34" i="7"/>
  <c r="E34" i="7" s="1"/>
  <c r="B35" i="7"/>
  <c r="D35" i="7"/>
  <c r="E35" i="7" s="1"/>
  <c r="F35" i="7" s="1"/>
  <c r="B36" i="7"/>
  <c r="D36" i="7"/>
  <c r="E36" i="7" s="1"/>
  <c r="B37" i="7"/>
  <c r="D37" i="7"/>
  <c r="E37" i="7" s="1"/>
  <c r="F37" i="7" s="1"/>
  <c r="B38" i="7"/>
  <c r="D38" i="7"/>
  <c r="E38" i="7" s="1"/>
  <c r="B39" i="7"/>
  <c r="D39" i="7"/>
  <c r="E39" i="7" s="1"/>
  <c r="F39" i="7" s="1"/>
  <c r="B40" i="7"/>
  <c r="D40" i="7"/>
  <c r="E40" i="7" s="1"/>
  <c r="B41" i="7"/>
  <c r="D41" i="7"/>
  <c r="E41" i="7" s="1"/>
  <c r="F41" i="7" s="1"/>
  <c r="B42" i="7"/>
  <c r="D42" i="7"/>
  <c r="E42" i="7" s="1"/>
  <c r="B43" i="7"/>
  <c r="D43" i="7"/>
  <c r="E43" i="7" s="1"/>
  <c r="F43" i="7" s="1"/>
  <c r="B44" i="7"/>
  <c r="D44" i="7"/>
  <c r="E44" i="7" s="1"/>
  <c r="B45" i="7"/>
  <c r="D45" i="7"/>
  <c r="E45" i="7" s="1"/>
  <c r="F45" i="7" s="1"/>
  <c r="B46" i="7"/>
  <c r="D46" i="7"/>
  <c r="E46" i="7" s="1"/>
  <c r="B47" i="7"/>
  <c r="D47" i="7"/>
  <c r="E47" i="7" s="1"/>
  <c r="F47" i="7" s="1"/>
  <c r="B48" i="7"/>
  <c r="D48" i="7"/>
  <c r="E48" i="7" s="1"/>
  <c r="B49" i="7"/>
  <c r="D49" i="7"/>
  <c r="E49" i="7" s="1"/>
  <c r="F49" i="7" s="1"/>
  <c r="B50" i="7"/>
  <c r="D50" i="7"/>
  <c r="E50" i="7" s="1"/>
  <c r="B51" i="7"/>
  <c r="D51" i="7"/>
  <c r="E51" i="7" s="1"/>
  <c r="F51" i="7" s="1"/>
  <c r="B52" i="7"/>
  <c r="D52" i="7"/>
  <c r="E52" i="7" s="1"/>
  <c r="B53" i="7"/>
  <c r="D53" i="7"/>
  <c r="E53" i="7" s="1"/>
  <c r="F53" i="7" s="1"/>
  <c r="B54" i="7"/>
  <c r="D54" i="7"/>
  <c r="E54" i="7" s="1"/>
  <c r="B55" i="7"/>
  <c r="D55" i="7"/>
  <c r="E55" i="7" s="1"/>
  <c r="F55" i="7" s="1"/>
  <c r="B56" i="7"/>
  <c r="D56" i="7"/>
  <c r="E56" i="7" s="1"/>
  <c r="B57" i="7"/>
  <c r="D57" i="7"/>
  <c r="E57" i="7" s="1"/>
  <c r="F57" i="7" s="1"/>
  <c r="B58" i="7"/>
  <c r="D58" i="7"/>
  <c r="E58" i="7" s="1"/>
  <c r="B59" i="7"/>
  <c r="D59" i="7"/>
  <c r="E59" i="7" s="1"/>
  <c r="F59" i="7" s="1"/>
  <c r="B60" i="7"/>
  <c r="D60" i="7"/>
  <c r="E60" i="7" s="1"/>
  <c r="B61" i="7"/>
  <c r="D61" i="7"/>
  <c r="E61" i="7" s="1"/>
  <c r="F61" i="7" s="1"/>
  <c r="B62" i="7"/>
  <c r="D62" i="7"/>
  <c r="E62" i="7" s="1"/>
  <c r="B63" i="7"/>
  <c r="D63" i="7"/>
  <c r="E63" i="7" s="1"/>
  <c r="F63" i="7" s="1"/>
  <c r="B64" i="7"/>
  <c r="D64" i="7"/>
  <c r="E64" i="7" s="1"/>
  <c r="B65" i="7"/>
  <c r="D65" i="7"/>
  <c r="E65" i="7" s="1"/>
  <c r="F65" i="7" s="1"/>
  <c r="B66" i="7"/>
  <c r="D66" i="7"/>
  <c r="E66" i="7" s="1"/>
  <c r="B67" i="7"/>
  <c r="D67" i="7"/>
  <c r="E67" i="7" s="1"/>
  <c r="F67" i="7" s="1"/>
  <c r="B68" i="7"/>
  <c r="D68" i="7"/>
  <c r="E68" i="7" s="1"/>
  <c r="B69" i="7"/>
  <c r="D69" i="7"/>
  <c r="E69" i="7" s="1"/>
  <c r="F69" i="7" s="1"/>
  <c r="B70" i="7"/>
  <c r="D70" i="7"/>
  <c r="E70" i="7" s="1"/>
  <c r="B71" i="7"/>
  <c r="D71" i="7"/>
  <c r="E71" i="7" s="1"/>
  <c r="F71" i="7" s="1"/>
  <c r="B72" i="7"/>
  <c r="D72" i="7"/>
  <c r="E72" i="7" s="1"/>
  <c r="B73" i="7"/>
  <c r="D73" i="7"/>
  <c r="E73" i="7" s="1"/>
  <c r="F73" i="7" s="1"/>
  <c r="B74" i="7"/>
  <c r="D74" i="7"/>
  <c r="E74" i="7" s="1"/>
  <c r="B75" i="7"/>
  <c r="D75" i="7"/>
  <c r="E75" i="7" s="1"/>
  <c r="F75" i="7" s="1"/>
  <c r="B76" i="7"/>
  <c r="D76" i="7"/>
  <c r="E76" i="7" s="1"/>
  <c r="B77" i="7"/>
  <c r="D77" i="7"/>
  <c r="E77" i="7" s="1"/>
  <c r="F77" i="7" s="1"/>
  <c r="B78" i="7"/>
  <c r="D78" i="7"/>
  <c r="E78" i="7" s="1"/>
  <c r="B79" i="7"/>
  <c r="D79" i="7"/>
  <c r="E79" i="7" s="1"/>
  <c r="F79" i="7" s="1"/>
  <c r="AV18" i="7" l="1"/>
  <c r="AV14" i="7"/>
  <c r="AV12" i="7"/>
  <c r="AV17" i="7"/>
  <c r="AV16" i="7"/>
  <c r="AV15" i="7"/>
  <c r="AV13" i="7"/>
  <c r="AV19" i="7"/>
  <c r="AC12" i="7"/>
  <c r="AC16" i="7"/>
  <c r="AC15" i="7"/>
  <c r="AC14" i="7"/>
  <c r="AC13" i="7"/>
  <c r="AC19" i="7"/>
  <c r="AC18" i="7"/>
  <c r="AC17" i="7"/>
  <c r="F78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M31" i="1" l="1"/>
  <c r="M29" i="1"/>
  <c r="J9" i="4"/>
  <c r="H17" i="1"/>
  <c r="M17" i="1" s="1"/>
  <c r="H16" i="1"/>
  <c r="H15" i="1"/>
  <c r="M15" i="1" s="1"/>
  <c r="K32" i="4"/>
  <c r="K30" i="4"/>
  <c r="K28" i="4"/>
  <c r="K26" i="4"/>
  <c r="K24" i="4"/>
  <c r="K22" i="4"/>
  <c r="K20" i="4"/>
  <c r="K19" i="4"/>
  <c r="L15" i="4"/>
  <c r="L32" i="1"/>
  <c r="L30" i="1"/>
  <c r="L28" i="1"/>
  <c r="L26" i="1"/>
  <c r="L24" i="1"/>
  <c r="L22" i="1"/>
  <c r="L20" i="1"/>
  <c r="L19" i="1"/>
  <c r="B4" i="2"/>
  <c r="M18" i="4"/>
  <c r="M27" i="4"/>
  <c r="H32" i="4"/>
  <c r="L31" i="4"/>
  <c r="H30" i="4"/>
  <c r="L29" i="4"/>
  <c r="H28" i="4"/>
  <c r="L28" i="4"/>
  <c r="H26" i="4"/>
  <c r="L26" i="4" s="1"/>
  <c r="L25" i="4"/>
  <c r="H24" i="4"/>
  <c r="L23" i="4"/>
  <c r="H22" i="4"/>
  <c r="L21" i="4"/>
  <c r="H20" i="4"/>
  <c r="H19" i="4"/>
  <c r="L17" i="4"/>
  <c r="L16" i="4"/>
  <c r="J8" i="4"/>
  <c r="J10" i="4" s="1"/>
  <c r="I22" i="1"/>
  <c r="I20" i="1"/>
  <c r="M20" i="1" s="1"/>
  <c r="I19" i="1"/>
  <c r="I32" i="1"/>
  <c r="I30" i="1"/>
  <c r="I28" i="1"/>
  <c r="M28" i="1" s="1"/>
  <c r="I26" i="1"/>
  <c r="I24" i="1"/>
  <c r="M19" i="1"/>
  <c r="M16" i="1"/>
  <c r="M21" i="1"/>
  <c r="M23" i="1"/>
  <c r="M25" i="1"/>
  <c r="K8" i="1"/>
  <c r="N30" i="1" s="1"/>
  <c r="K9" i="1"/>
  <c r="N26" i="1"/>
  <c r="N21" i="1"/>
  <c r="K10" i="1"/>
  <c r="K11" i="1" s="1"/>
  <c r="N31" i="1"/>
  <c r="O31" i="1" s="1"/>
  <c r="L22" i="4" l="1"/>
  <c r="L30" i="4"/>
  <c r="M31" i="15"/>
  <c r="L22" i="8" s="1"/>
  <c r="L44" i="8" s="1"/>
  <c r="L66" i="8" s="1"/>
  <c r="M31" i="16"/>
  <c r="M22" i="8" s="1"/>
  <c r="M44" i="8" s="1"/>
  <c r="M66" i="8" s="1"/>
  <c r="M31" i="13"/>
  <c r="J22" i="8" s="1"/>
  <c r="J44" i="8" s="1"/>
  <c r="J66" i="8" s="1"/>
  <c r="M31" i="14"/>
  <c r="K22" i="8" s="1"/>
  <c r="K44" i="8" s="1"/>
  <c r="K66" i="8" s="1"/>
  <c r="M31" i="11"/>
  <c r="H22" i="8" s="1"/>
  <c r="H44" i="8" s="1"/>
  <c r="H66" i="8" s="1"/>
  <c r="M31" i="12"/>
  <c r="I22" i="8" s="1"/>
  <c r="I44" i="8" s="1"/>
  <c r="I66" i="8" s="1"/>
  <c r="M31" i="4"/>
  <c r="F22" i="8" s="1"/>
  <c r="F44" i="8" s="1"/>
  <c r="F66" i="8" s="1"/>
  <c r="M31" i="10"/>
  <c r="G22" i="8" s="1"/>
  <c r="G44" i="8" s="1"/>
  <c r="G66" i="8" s="1"/>
  <c r="D13" i="8"/>
  <c r="D14" i="8"/>
  <c r="D18" i="8"/>
  <c r="D9" i="8"/>
  <c r="D22" i="8"/>
  <c r="D10" i="8"/>
  <c r="D6" i="8"/>
  <c r="D21" i="8"/>
  <c r="D19" i="8"/>
  <c r="D11" i="8"/>
  <c r="D12" i="8"/>
  <c r="D17" i="8"/>
  <c r="D15" i="8"/>
  <c r="D16" i="8"/>
  <c r="D8" i="8"/>
  <c r="D23" i="8"/>
  <c r="D7" i="8"/>
  <c r="D20" i="8"/>
  <c r="D19" i="7"/>
  <c r="D7" i="7"/>
  <c r="D14" i="7"/>
  <c r="D8" i="7"/>
  <c r="D10" i="7"/>
  <c r="D15" i="7"/>
  <c r="D11" i="7"/>
  <c r="D20" i="7"/>
  <c r="D18" i="7"/>
  <c r="D9" i="7"/>
  <c r="D16" i="7"/>
  <c r="D12" i="7"/>
  <c r="D21" i="7"/>
  <c r="D17" i="7"/>
  <c r="D13" i="7"/>
  <c r="D22" i="7"/>
  <c r="M30" i="1"/>
  <c r="O30" i="1" s="1"/>
  <c r="M22" i="1"/>
  <c r="M26" i="1"/>
  <c r="O26" i="1" s="1"/>
  <c r="L24" i="4"/>
  <c r="J11" i="4"/>
  <c r="L19" i="4"/>
  <c r="L20" i="4"/>
  <c r="L32" i="4"/>
  <c r="M24" i="1"/>
  <c r="M32" i="1"/>
  <c r="O21" i="1"/>
  <c r="N16" i="1"/>
  <c r="O16" i="1" s="1"/>
  <c r="N23" i="1"/>
  <c r="O23" i="1" s="1"/>
  <c r="N15" i="1"/>
  <c r="N19" i="1"/>
  <c r="O19" i="1" s="1"/>
  <c r="N24" i="1"/>
  <c r="N32" i="1"/>
  <c r="N17" i="1"/>
  <c r="O17" i="1" s="1"/>
  <c r="N29" i="1"/>
  <c r="O29" i="1" s="1"/>
  <c r="N22" i="1"/>
  <c r="N20" i="1"/>
  <c r="O20" i="1" s="1"/>
  <c r="M20" i="16" s="1"/>
  <c r="M11" i="8" s="1"/>
  <c r="M33" i="8" s="1"/>
  <c r="M55" i="8" s="1"/>
  <c r="N28" i="1"/>
  <c r="O28" i="1" s="1"/>
  <c r="N14" i="1"/>
  <c r="N25" i="1"/>
  <c r="O25" i="1" s="1"/>
  <c r="O32" i="1" l="1"/>
  <c r="M32" i="16" s="1"/>
  <c r="M23" i="8" s="1"/>
  <c r="M45" i="8" s="1"/>
  <c r="M67" i="8" s="1"/>
  <c r="O24" i="1"/>
  <c r="H44" i="7"/>
  <c r="G21" i="7"/>
  <c r="AZ19" i="7" s="1"/>
  <c r="E9" i="8"/>
  <c r="E31" i="8" s="1"/>
  <c r="E53" i="8" s="1"/>
  <c r="D31" i="8"/>
  <c r="D53" i="8" s="1"/>
  <c r="E8" i="8"/>
  <c r="E30" i="8" s="1"/>
  <c r="E52" i="8" s="1"/>
  <c r="D30" i="8"/>
  <c r="D52" i="8" s="1"/>
  <c r="E12" i="8"/>
  <c r="E34" i="8" s="1"/>
  <c r="E56" i="8" s="1"/>
  <c r="D34" i="8"/>
  <c r="D56" i="8" s="1"/>
  <c r="E6" i="8"/>
  <c r="E28" i="8" s="1"/>
  <c r="E50" i="8" s="1"/>
  <c r="D28" i="8"/>
  <c r="D50" i="8" s="1"/>
  <c r="E18" i="8"/>
  <c r="E40" i="8" s="1"/>
  <c r="E62" i="8" s="1"/>
  <c r="D40" i="8"/>
  <c r="D62" i="8" s="1"/>
  <c r="E17" i="8"/>
  <c r="E39" i="8" s="1"/>
  <c r="E61" i="8" s="1"/>
  <c r="D39" i="8"/>
  <c r="D61" i="8" s="1"/>
  <c r="E21" i="8"/>
  <c r="E43" i="8" s="1"/>
  <c r="E65" i="8" s="1"/>
  <c r="D43" i="8"/>
  <c r="D65" i="8" s="1"/>
  <c r="E20" i="8"/>
  <c r="E42" i="8" s="1"/>
  <c r="E64" i="8" s="1"/>
  <c r="D42" i="8"/>
  <c r="D64" i="8" s="1"/>
  <c r="E16" i="8"/>
  <c r="E38" i="8" s="1"/>
  <c r="E60" i="8" s="1"/>
  <c r="D38" i="8"/>
  <c r="D60" i="8" s="1"/>
  <c r="E11" i="8"/>
  <c r="E33" i="8" s="1"/>
  <c r="E55" i="8" s="1"/>
  <c r="D33" i="8"/>
  <c r="D55" i="8" s="1"/>
  <c r="E10" i="8"/>
  <c r="E32" i="8" s="1"/>
  <c r="E54" i="8" s="1"/>
  <c r="D32" i="8"/>
  <c r="D54" i="8" s="1"/>
  <c r="E14" i="8"/>
  <c r="E36" i="8" s="1"/>
  <c r="E58" i="8" s="1"/>
  <c r="D36" i="8"/>
  <c r="D58" i="8" s="1"/>
  <c r="E23" i="8"/>
  <c r="E45" i="8" s="1"/>
  <c r="E67" i="8" s="1"/>
  <c r="D45" i="8"/>
  <c r="D67" i="8" s="1"/>
  <c r="E7" i="8"/>
  <c r="E29" i="8" s="1"/>
  <c r="E51" i="8" s="1"/>
  <c r="D29" i="8"/>
  <c r="D51" i="8" s="1"/>
  <c r="E15" i="8"/>
  <c r="E37" i="8" s="1"/>
  <c r="E59" i="8" s="1"/>
  <c r="D37" i="8"/>
  <c r="D59" i="8" s="1"/>
  <c r="E19" i="8"/>
  <c r="E41" i="8" s="1"/>
  <c r="E63" i="8" s="1"/>
  <c r="D41" i="8"/>
  <c r="D63" i="8" s="1"/>
  <c r="E22" i="8"/>
  <c r="E44" i="8" s="1"/>
  <c r="E66" i="8" s="1"/>
  <c r="D44" i="8"/>
  <c r="D66" i="8" s="1"/>
  <c r="E13" i="8"/>
  <c r="E35" i="8" s="1"/>
  <c r="E57" i="8" s="1"/>
  <c r="D35" i="8"/>
  <c r="D57" i="8" s="1"/>
  <c r="M19" i="15"/>
  <c r="L10" i="8" s="1"/>
  <c r="L32" i="8" s="1"/>
  <c r="L54" i="8" s="1"/>
  <c r="M19" i="16"/>
  <c r="M10" i="8" s="1"/>
  <c r="M32" i="8" s="1"/>
  <c r="M54" i="8" s="1"/>
  <c r="M28" i="15"/>
  <c r="L19" i="8" s="1"/>
  <c r="L41" i="8" s="1"/>
  <c r="L63" i="8" s="1"/>
  <c r="M28" i="16"/>
  <c r="M19" i="8" s="1"/>
  <c r="M41" i="8" s="1"/>
  <c r="M63" i="8" s="1"/>
  <c r="M23" i="15"/>
  <c r="L14" i="8" s="1"/>
  <c r="L36" i="8" s="1"/>
  <c r="L58" i="8" s="1"/>
  <c r="M23" i="16"/>
  <c r="M14" i="8" s="1"/>
  <c r="M36" i="8" s="1"/>
  <c r="M58" i="8" s="1"/>
  <c r="M29" i="15"/>
  <c r="L20" i="8" s="1"/>
  <c r="L42" i="8" s="1"/>
  <c r="L64" i="8" s="1"/>
  <c r="M29" i="16"/>
  <c r="M20" i="8" s="1"/>
  <c r="M42" i="8" s="1"/>
  <c r="M64" i="8" s="1"/>
  <c r="M21" i="15"/>
  <c r="L12" i="8" s="1"/>
  <c r="L34" i="8" s="1"/>
  <c r="L56" i="8" s="1"/>
  <c r="M21" i="16"/>
  <c r="M12" i="8" s="1"/>
  <c r="M34" i="8" s="1"/>
  <c r="M56" i="8" s="1"/>
  <c r="M17" i="15"/>
  <c r="L8" i="8" s="1"/>
  <c r="L30" i="8" s="1"/>
  <c r="L52" i="8" s="1"/>
  <c r="M17" i="16"/>
  <c r="M8" i="8" s="1"/>
  <c r="M30" i="8" s="1"/>
  <c r="M52" i="8" s="1"/>
  <c r="M25" i="15"/>
  <c r="L16" i="8" s="1"/>
  <c r="L38" i="8" s="1"/>
  <c r="L60" i="8" s="1"/>
  <c r="M25" i="16"/>
  <c r="M16" i="8" s="1"/>
  <c r="M38" i="8" s="1"/>
  <c r="M60" i="8" s="1"/>
  <c r="M24" i="15"/>
  <c r="L15" i="8" s="1"/>
  <c r="L37" i="8" s="1"/>
  <c r="L59" i="8" s="1"/>
  <c r="M24" i="16"/>
  <c r="M15" i="8" s="1"/>
  <c r="M37" i="8" s="1"/>
  <c r="M59" i="8" s="1"/>
  <c r="M16" i="15"/>
  <c r="L7" i="8" s="1"/>
  <c r="L29" i="8" s="1"/>
  <c r="L51" i="8" s="1"/>
  <c r="M16" i="16"/>
  <c r="M7" i="8" s="1"/>
  <c r="M29" i="8" s="1"/>
  <c r="M51" i="8" s="1"/>
  <c r="M30" i="15"/>
  <c r="L21" i="8" s="1"/>
  <c r="L43" i="8" s="1"/>
  <c r="L65" i="8" s="1"/>
  <c r="M30" i="16"/>
  <c r="M21" i="8" s="1"/>
  <c r="M43" i="8" s="1"/>
  <c r="M65" i="8" s="1"/>
  <c r="M26" i="15"/>
  <c r="L17" i="8" s="1"/>
  <c r="L39" i="8" s="1"/>
  <c r="L61" i="8" s="1"/>
  <c r="M26" i="16"/>
  <c r="M17" i="8" s="1"/>
  <c r="M39" i="8" s="1"/>
  <c r="M61" i="8" s="1"/>
  <c r="M32" i="14"/>
  <c r="K23" i="8" s="1"/>
  <c r="K45" i="8" s="1"/>
  <c r="K67" i="8" s="1"/>
  <c r="M32" i="15"/>
  <c r="L23" i="8" s="1"/>
  <c r="L45" i="8" s="1"/>
  <c r="L67" i="8" s="1"/>
  <c r="M20" i="14"/>
  <c r="K11" i="8" s="1"/>
  <c r="K33" i="8" s="1"/>
  <c r="K55" i="8" s="1"/>
  <c r="M20" i="15"/>
  <c r="L11" i="8" s="1"/>
  <c r="L33" i="8" s="1"/>
  <c r="L55" i="8" s="1"/>
  <c r="M23" i="13"/>
  <c r="J14" i="8" s="1"/>
  <c r="J36" i="8" s="1"/>
  <c r="J58" i="8" s="1"/>
  <c r="M23" i="14"/>
  <c r="K14" i="8" s="1"/>
  <c r="K36" i="8" s="1"/>
  <c r="K58" i="8" s="1"/>
  <c r="M25" i="13"/>
  <c r="J16" i="8" s="1"/>
  <c r="J38" i="8" s="1"/>
  <c r="J60" i="8" s="1"/>
  <c r="M25" i="14"/>
  <c r="K16" i="8" s="1"/>
  <c r="K38" i="8" s="1"/>
  <c r="K60" i="8" s="1"/>
  <c r="M24" i="13"/>
  <c r="J15" i="8" s="1"/>
  <c r="J37" i="8" s="1"/>
  <c r="J59" i="8" s="1"/>
  <c r="M24" i="14"/>
  <c r="K15" i="8" s="1"/>
  <c r="K37" i="8" s="1"/>
  <c r="K59" i="8" s="1"/>
  <c r="M16" i="13"/>
  <c r="J7" i="8" s="1"/>
  <c r="J29" i="8" s="1"/>
  <c r="J51" i="8" s="1"/>
  <c r="M16" i="14"/>
  <c r="K7" i="8" s="1"/>
  <c r="K29" i="8" s="1"/>
  <c r="K51" i="8" s="1"/>
  <c r="M30" i="13"/>
  <c r="J21" i="8" s="1"/>
  <c r="J43" i="8" s="1"/>
  <c r="J65" i="8" s="1"/>
  <c r="M30" i="14"/>
  <c r="K21" i="8" s="1"/>
  <c r="K43" i="8" s="1"/>
  <c r="K65" i="8" s="1"/>
  <c r="M26" i="13"/>
  <c r="J17" i="8" s="1"/>
  <c r="J39" i="8" s="1"/>
  <c r="J61" i="8" s="1"/>
  <c r="M26" i="14"/>
  <c r="K17" i="8" s="1"/>
  <c r="K39" i="8" s="1"/>
  <c r="K61" i="8" s="1"/>
  <c r="M29" i="13"/>
  <c r="J20" i="8" s="1"/>
  <c r="J42" i="8" s="1"/>
  <c r="J64" i="8" s="1"/>
  <c r="M29" i="14"/>
  <c r="K20" i="8" s="1"/>
  <c r="K42" i="8" s="1"/>
  <c r="K64" i="8" s="1"/>
  <c r="M19" i="13"/>
  <c r="J10" i="8" s="1"/>
  <c r="J32" i="8" s="1"/>
  <c r="J54" i="8" s="1"/>
  <c r="M19" i="14"/>
  <c r="K10" i="8" s="1"/>
  <c r="K32" i="8" s="1"/>
  <c r="K54" i="8" s="1"/>
  <c r="M21" i="13"/>
  <c r="J12" i="8" s="1"/>
  <c r="J34" i="8" s="1"/>
  <c r="J56" i="8" s="1"/>
  <c r="M21" i="14"/>
  <c r="K12" i="8" s="1"/>
  <c r="K34" i="8" s="1"/>
  <c r="K56" i="8" s="1"/>
  <c r="M28" i="13"/>
  <c r="J19" i="8" s="1"/>
  <c r="J41" i="8" s="1"/>
  <c r="J63" i="8" s="1"/>
  <c r="M28" i="14"/>
  <c r="K19" i="8" s="1"/>
  <c r="K41" i="8" s="1"/>
  <c r="K63" i="8" s="1"/>
  <c r="M17" i="13"/>
  <c r="J8" i="8" s="1"/>
  <c r="J30" i="8" s="1"/>
  <c r="J52" i="8" s="1"/>
  <c r="M17" i="14"/>
  <c r="K8" i="8" s="1"/>
  <c r="K30" i="8" s="1"/>
  <c r="K52" i="8" s="1"/>
  <c r="M20" i="12"/>
  <c r="I11" i="8" s="1"/>
  <c r="I33" i="8" s="1"/>
  <c r="I55" i="8" s="1"/>
  <c r="M20" i="13"/>
  <c r="J11" i="8" s="1"/>
  <c r="J33" i="8" s="1"/>
  <c r="J55" i="8" s="1"/>
  <c r="M32" i="12"/>
  <c r="I23" i="8" s="1"/>
  <c r="I45" i="8" s="1"/>
  <c r="I67" i="8" s="1"/>
  <c r="M32" i="13"/>
  <c r="J23" i="8" s="1"/>
  <c r="J45" i="8" s="1"/>
  <c r="J67" i="8" s="1"/>
  <c r="M29" i="11"/>
  <c r="H20" i="8" s="1"/>
  <c r="H42" i="8" s="1"/>
  <c r="H64" i="8" s="1"/>
  <c r="M29" i="12"/>
  <c r="I20" i="8" s="1"/>
  <c r="I42" i="8" s="1"/>
  <c r="I64" i="8" s="1"/>
  <c r="M17" i="11"/>
  <c r="H8" i="8" s="1"/>
  <c r="H30" i="8" s="1"/>
  <c r="H52" i="8" s="1"/>
  <c r="M17" i="12"/>
  <c r="I8" i="8" s="1"/>
  <c r="I30" i="8" s="1"/>
  <c r="I52" i="8" s="1"/>
  <c r="M23" i="11"/>
  <c r="H14" i="8" s="1"/>
  <c r="H36" i="8" s="1"/>
  <c r="H58" i="8" s="1"/>
  <c r="M23" i="12"/>
  <c r="I14" i="8" s="1"/>
  <c r="I36" i="8" s="1"/>
  <c r="I58" i="8" s="1"/>
  <c r="M19" i="11"/>
  <c r="H10" i="8" s="1"/>
  <c r="H32" i="8" s="1"/>
  <c r="H54" i="8" s="1"/>
  <c r="M19" i="12"/>
  <c r="I10" i="8" s="1"/>
  <c r="I32" i="8" s="1"/>
  <c r="I54" i="8" s="1"/>
  <c r="M21" i="11"/>
  <c r="H12" i="8" s="1"/>
  <c r="H34" i="8" s="1"/>
  <c r="H56" i="8" s="1"/>
  <c r="M21" i="12"/>
  <c r="I12" i="8" s="1"/>
  <c r="I34" i="8" s="1"/>
  <c r="I56" i="8" s="1"/>
  <c r="M28" i="11"/>
  <c r="H19" i="8" s="1"/>
  <c r="H41" i="8" s="1"/>
  <c r="H63" i="8" s="1"/>
  <c r="M28" i="12"/>
  <c r="I19" i="8" s="1"/>
  <c r="I41" i="8" s="1"/>
  <c r="I63" i="8" s="1"/>
  <c r="M25" i="11"/>
  <c r="H16" i="8" s="1"/>
  <c r="H38" i="8" s="1"/>
  <c r="H60" i="8" s="1"/>
  <c r="M25" i="12"/>
  <c r="I16" i="8" s="1"/>
  <c r="I38" i="8" s="1"/>
  <c r="I60" i="8" s="1"/>
  <c r="M24" i="11"/>
  <c r="H15" i="8" s="1"/>
  <c r="H37" i="8" s="1"/>
  <c r="H59" i="8" s="1"/>
  <c r="M24" i="12"/>
  <c r="I15" i="8" s="1"/>
  <c r="I37" i="8" s="1"/>
  <c r="I59" i="8" s="1"/>
  <c r="M16" i="11"/>
  <c r="H7" i="8" s="1"/>
  <c r="H29" i="8" s="1"/>
  <c r="H51" i="8" s="1"/>
  <c r="M16" i="12"/>
  <c r="I7" i="8" s="1"/>
  <c r="I29" i="8" s="1"/>
  <c r="I51" i="8" s="1"/>
  <c r="M30" i="11"/>
  <c r="H21" i="8" s="1"/>
  <c r="H43" i="8" s="1"/>
  <c r="H65" i="8" s="1"/>
  <c r="M30" i="12"/>
  <c r="I21" i="8" s="1"/>
  <c r="I43" i="8" s="1"/>
  <c r="I65" i="8" s="1"/>
  <c r="M26" i="11"/>
  <c r="H17" i="8" s="1"/>
  <c r="H39" i="8" s="1"/>
  <c r="H61" i="8" s="1"/>
  <c r="M26" i="12"/>
  <c r="I17" i="8" s="1"/>
  <c r="I39" i="8" s="1"/>
  <c r="I61" i="8" s="1"/>
  <c r="M32" i="10"/>
  <c r="G23" i="8" s="1"/>
  <c r="G45" i="8" s="1"/>
  <c r="G67" i="8" s="1"/>
  <c r="M32" i="11"/>
  <c r="H23" i="8" s="1"/>
  <c r="H45" i="8" s="1"/>
  <c r="H67" i="8" s="1"/>
  <c r="M20" i="10"/>
  <c r="G11" i="8" s="1"/>
  <c r="G33" i="8" s="1"/>
  <c r="G55" i="8" s="1"/>
  <c r="M20" i="11"/>
  <c r="H11" i="8" s="1"/>
  <c r="H33" i="8" s="1"/>
  <c r="H55" i="8" s="1"/>
  <c r="G45" i="7"/>
  <c r="I45" i="7" s="1"/>
  <c r="J45" i="7" s="1"/>
  <c r="E22" i="7"/>
  <c r="AE19" i="7" s="1"/>
  <c r="F22" i="7"/>
  <c r="AF19" i="7" s="1"/>
  <c r="AD19" i="7"/>
  <c r="AD18" i="7"/>
  <c r="G43" i="7"/>
  <c r="I43" i="7" s="1"/>
  <c r="J43" i="7" s="1"/>
  <c r="E20" i="7"/>
  <c r="AE18" i="7" s="1"/>
  <c r="F20" i="7"/>
  <c r="AF18" i="7" s="1"/>
  <c r="M25" i="4"/>
  <c r="F16" i="8" s="1"/>
  <c r="F38" i="8" s="1"/>
  <c r="F60" i="8" s="1"/>
  <c r="M25" i="10"/>
  <c r="G16" i="8" s="1"/>
  <c r="G38" i="8" s="1"/>
  <c r="G60" i="8" s="1"/>
  <c r="M16" i="4"/>
  <c r="F7" i="8" s="1"/>
  <c r="F29" i="8" s="1"/>
  <c r="F51" i="8" s="1"/>
  <c r="M16" i="10"/>
  <c r="G7" i="8" s="1"/>
  <c r="G29" i="8" s="1"/>
  <c r="G51" i="8" s="1"/>
  <c r="M26" i="4"/>
  <c r="F17" i="8" s="1"/>
  <c r="F39" i="8" s="1"/>
  <c r="F61" i="8" s="1"/>
  <c r="M26" i="10"/>
  <c r="G17" i="8" s="1"/>
  <c r="G39" i="8" s="1"/>
  <c r="G61" i="8" s="1"/>
  <c r="AD13" i="7"/>
  <c r="G34" i="7"/>
  <c r="I34" i="7" s="1"/>
  <c r="J34" i="7" s="1"/>
  <c r="E11" i="7"/>
  <c r="AE13" i="7" s="1"/>
  <c r="F11" i="7"/>
  <c r="AF13" i="7" s="1"/>
  <c r="M29" i="4"/>
  <c r="F20" i="8" s="1"/>
  <c r="F42" i="8" s="1"/>
  <c r="F64" i="8" s="1"/>
  <c r="M29" i="10"/>
  <c r="G20" i="8" s="1"/>
  <c r="G42" i="8" s="1"/>
  <c r="G64" i="8" s="1"/>
  <c r="M19" i="10"/>
  <c r="G10" i="8" s="1"/>
  <c r="G32" i="8" s="1"/>
  <c r="G54" i="8" s="1"/>
  <c r="M19" i="4"/>
  <c r="F10" i="8" s="1"/>
  <c r="F32" i="8" s="1"/>
  <c r="F54" i="8" s="1"/>
  <c r="M21" i="4"/>
  <c r="F12" i="8" s="1"/>
  <c r="F34" i="8" s="1"/>
  <c r="F56" i="8" s="1"/>
  <c r="M21" i="10"/>
  <c r="G12" i="8" s="1"/>
  <c r="G34" i="8" s="1"/>
  <c r="G56" i="8" s="1"/>
  <c r="AD16" i="7"/>
  <c r="E17" i="7"/>
  <c r="AE16" i="7" s="1"/>
  <c r="G40" i="7"/>
  <c r="I40" i="7" s="1"/>
  <c r="J40" i="7" s="1"/>
  <c r="F17" i="7"/>
  <c r="AF16" i="7" s="1"/>
  <c r="AW14" i="7"/>
  <c r="F9" i="7"/>
  <c r="AY14" i="7" s="1"/>
  <c r="G32" i="7"/>
  <c r="I32" i="7" s="1"/>
  <c r="J32" i="7" s="1"/>
  <c r="E9" i="7"/>
  <c r="AX14" i="7" s="1"/>
  <c r="E15" i="7"/>
  <c r="AE15" i="7" s="1"/>
  <c r="G38" i="7"/>
  <c r="I38" i="7" s="1"/>
  <c r="J38" i="7" s="1"/>
  <c r="F15" i="7"/>
  <c r="AF15" i="7" s="1"/>
  <c r="AD15" i="7"/>
  <c r="E7" i="7"/>
  <c r="AX12" i="7" s="1"/>
  <c r="G30" i="7"/>
  <c r="I30" i="7" s="1"/>
  <c r="J30" i="7" s="1"/>
  <c r="AW12" i="7"/>
  <c r="F7" i="7"/>
  <c r="AY12" i="7" s="1"/>
  <c r="M23" i="4"/>
  <c r="F14" i="8" s="1"/>
  <c r="F36" i="8" s="1"/>
  <c r="F58" i="8" s="1"/>
  <c r="M23" i="10"/>
  <c r="G14" i="8" s="1"/>
  <c r="G36" i="8" s="1"/>
  <c r="G58" i="8" s="1"/>
  <c r="E12" i="7"/>
  <c r="AX15" i="7" s="1"/>
  <c r="F12" i="7"/>
  <c r="AY15" i="7" s="1"/>
  <c r="AW15" i="7"/>
  <c r="G35" i="7"/>
  <c r="I35" i="7" s="1"/>
  <c r="J35" i="7" s="1"/>
  <c r="F8" i="7"/>
  <c r="AY13" i="7" s="1"/>
  <c r="E8" i="7"/>
  <c r="AX13" i="7" s="1"/>
  <c r="G31" i="7"/>
  <c r="I31" i="7" s="1"/>
  <c r="J31" i="7" s="1"/>
  <c r="AW13" i="7"/>
  <c r="M24" i="4"/>
  <c r="F15" i="8" s="1"/>
  <c r="F37" i="8" s="1"/>
  <c r="F59" i="8" s="1"/>
  <c r="M24" i="10"/>
  <c r="G15" i="8" s="1"/>
  <c r="G37" i="8" s="1"/>
  <c r="G59" i="8" s="1"/>
  <c r="M30" i="4"/>
  <c r="F21" i="8" s="1"/>
  <c r="F43" i="8" s="1"/>
  <c r="F65" i="8" s="1"/>
  <c r="M30" i="10"/>
  <c r="G21" i="8" s="1"/>
  <c r="G43" i="8" s="1"/>
  <c r="G65" i="8" s="1"/>
  <c r="AD14" i="7"/>
  <c r="E13" i="7"/>
  <c r="AE14" i="7" s="1"/>
  <c r="F13" i="7"/>
  <c r="AF14" i="7" s="1"/>
  <c r="G36" i="7"/>
  <c r="I36" i="7" s="1"/>
  <c r="J36" i="7" s="1"/>
  <c r="F16" i="7"/>
  <c r="AY17" i="7" s="1"/>
  <c r="E16" i="7"/>
  <c r="AX17" i="7" s="1"/>
  <c r="G39" i="7"/>
  <c r="I39" i="7" s="1"/>
  <c r="J39" i="7" s="1"/>
  <c r="AW17" i="7"/>
  <c r="E14" i="7"/>
  <c r="AX16" i="7" s="1"/>
  <c r="F14" i="7"/>
  <c r="AY16" i="7" s="1"/>
  <c r="AW16" i="7"/>
  <c r="G37" i="7"/>
  <c r="I37" i="7" s="1"/>
  <c r="J37" i="7" s="1"/>
  <c r="M28" i="4"/>
  <c r="F19" i="8" s="1"/>
  <c r="F41" i="8" s="1"/>
  <c r="F63" i="8" s="1"/>
  <c r="M28" i="10"/>
  <c r="G19" i="8" s="1"/>
  <c r="G41" i="8" s="1"/>
  <c r="G63" i="8" s="1"/>
  <c r="M17" i="4"/>
  <c r="F8" i="8" s="1"/>
  <c r="F30" i="8" s="1"/>
  <c r="F52" i="8" s="1"/>
  <c r="M17" i="10"/>
  <c r="G8" i="8" s="1"/>
  <c r="G30" i="8" s="1"/>
  <c r="G52" i="8" s="1"/>
  <c r="O15" i="1"/>
  <c r="M15" i="16" s="1"/>
  <c r="AW19" i="7"/>
  <c r="E21" i="7"/>
  <c r="AX19" i="7" s="1"/>
  <c r="F21" i="7"/>
  <c r="AY19" i="7" s="1"/>
  <c r="G44" i="7"/>
  <c r="I44" i="7" s="1"/>
  <c r="J44" i="7" s="1"/>
  <c r="G41" i="7"/>
  <c r="I41" i="7" s="1"/>
  <c r="J41" i="7" s="1"/>
  <c r="F18" i="7"/>
  <c r="AF17" i="7" s="1"/>
  <c r="E18" i="7"/>
  <c r="AE17" i="7" s="1"/>
  <c r="AD17" i="7"/>
  <c r="E10" i="7"/>
  <c r="AE12" i="7" s="1"/>
  <c r="G33" i="7"/>
  <c r="I33" i="7" s="1"/>
  <c r="J33" i="7" s="1"/>
  <c r="F10" i="7"/>
  <c r="AF12" i="7" s="1"/>
  <c r="AD12" i="7"/>
  <c r="AW18" i="7"/>
  <c r="E19" i="7"/>
  <c r="AX18" i="7" s="1"/>
  <c r="F19" i="7"/>
  <c r="AY18" i="7" s="1"/>
  <c r="G42" i="7"/>
  <c r="I42" i="7" s="1"/>
  <c r="J42" i="7" s="1"/>
  <c r="O22" i="1"/>
  <c r="M20" i="4"/>
  <c r="M32" i="4"/>
  <c r="H21" i="7" l="1"/>
  <c r="BA19" i="7" s="1"/>
  <c r="K44" i="7"/>
  <c r="M6" i="8"/>
  <c r="M28" i="8" s="1"/>
  <c r="M50" i="8" s="1"/>
  <c r="H80" i="8"/>
  <c r="G80" i="8"/>
  <c r="J80" i="8"/>
  <c r="K80" i="8"/>
  <c r="I80" i="8"/>
  <c r="L80" i="8"/>
  <c r="M80" i="8"/>
  <c r="F80" i="8"/>
  <c r="G85" i="8"/>
  <c r="J85" i="8"/>
  <c r="I85" i="8"/>
  <c r="L85" i="8"/>
  <c r="K85" i="8"/>
  <c r="F85" i="8"/>
  <c r="M85" i="8"/>
  <c r="H85" i="8"/>
  <c r="L82" i="8"/>
  <c r="F82" i="8"/>
  <c r="J82" i="8"/>
  <c r="I82" i="8"/>
  <c r="K82" i="8"/>
  <c r="H82" i="8"/>
  <c r="G82" i="8"/>
  <c r="M82" i="8"/>
  <c r="I76" i="8"/>
  <c r="L76" i="8"/>
  <c r="M76" i="8"/>
  <c r="H76" i="8"/>
  <c r="J76" i="8"/>
  <c r="K76" i="8"/>
  <c r="G76" i="8"/>
  <c r="F76" i="8"/>
  <c r="J73" i="8"/>
  <c r="M73" i="8"/>
  <c r="F73" i="8"/>
  <c r="I73" i="8"/>
  <c r="L73" i="8"/>
  <c r="K73" i="8"/>
  <c r="H73" i="8"/>
  <c r="G73" i="8"/>
  <c r="L79" i="8"/>
  <c r="K79" i="8"/>
  <c r="F79" i="8"/>
  <c r="J79" i="8"/>
  <c r="H79" i="8"/>
  <c r="M79" i="8"/>
  <c r="I79" i="8"/>
  <c r="G79" i="8"/>
  <c r="J74" i="8"/>
  <c r="M74" i="8"/>
  <c r="H74" i="8"/>
  <c r="G74" i="8"/>
  <c r="F74" i="8"/>
  <c r="L74" i="8"/>
  <c r="I74" i="8"/>
  <c r="K74" i="8"/>
  <c r="K77" i="8"/>
  <c r="G77" i="8"/>
  <c r="F77" i="8"/>
  <c r="J77" i="8"/>
  <c r="M77" i="8"/>
  <c r="H77" i="8"/>
  <c r="I77" i="8"/>
  <c r="L77" i="8"/>
  <c r="I83" i="8"/>
  <c r="G83" i="8"/>
  <c r="J83" i="8"/>
  <c r="L83" i="8"/>
  <c r="K83" i="8"/>
  <c r="F83" i="8"/>
  <c r="H83" i="8"/>
  <c r="M83" i="8"/>
  <c r="M71" i="8"/>
  <c r="H71" i="8"/>
  <c r="I71" i="8"/>
  <c r="L71" i="8"/>
  <c r="K71" i="8"/>
  <c r="G71" i="8"/>
  <c r="F71" i="8"/>
  <c r="J71" i="8"/>
  <c r="I78" i="8"/>
  <c r="K78" i="8"/>
  <c r="M78" i="8"/>
  <c r="J78" i="8"/>
  <c r="G78" i="8"/>
  <c r="L78" i="8"/>
  <c r="H78" i="8"/>
  <c r="F78" i="8"/>
  <c r="J75" i="8"/>
  <c r="H75" i="8"/>
  <c r="I75" i="8"/>
  <c r="G75" i="8"/>
  <c r="F75" i="8"/>
  <c r="L75" i="8"/>
  <c r="M75" i="8"/>
  <c r="K75" i="8"/>
  <c r="I81" i="8"/>
  <c r="L81" i="8"/>
  <c r="G81" i="8"/>
  <c r="K81" i="8"/>
  <c r="F81" i="8"/>
  <c r="J81" i="8"/>
  <c r="M81" i="8"/>
  <c r="H81" i="8"/>
  <c r="M70" i="8"/>
  <c r="L70" i="8"/>
  <c r="K70" i="8"/>
  <c r="J70" i="8"/>
  <c r="I70" i="8"/>
  <c r="G70" i="8"/>
  <c r="F70" i="8"/>
  <c r="H70" i="8"/>
  <c r="J72" i="8"/>
  <c r="K72" i="8"/>
  <c r="H72" i="8"/>
  <c r="I72" i="8"/>
  <c r="M72" i="8"/>
  <c r="G72" i="8"/>
  <c r="L72" i="8"/>
  <c r="F72" i="8"/>
  <c r="F86" i="8"/>
  <c r="J86" i="8"/>
  <c r="M86" i="8"/>
  <c r="G86" i="8"/>
  <c r="I86" i="8"/>
  <c r="L86" i="8"/>
  <c r="K86" i="8"/>
  <c r="H86" i="8"/>
  <c r="J84" i="8"/>
  <c r="H84" i="8"/>
  <c r="F84" i="8"/>
  <c r="I84" i="8"/>
  <c r="G84" i="8"/>
  <c r="M84" i="8"/>
  <c r="L84" i="8"/>
  <c r="K84" i="8"/>
  <c r="G20" i="7"/>
  <c r="AG18" i="7" s="1"/>
  <c r="H31" i="7"/>
  <c r="G9" i="7"/>
  <c r="AZ14" i="7" s="1"/>
  <c r="G14" i="7"/>
  <c r="AZ16" i="7" s="1"/>
  <c r="M22" i="15"/>
  <c r="L13" i="8" s="1"/>
  <c r="L35" i="8" s="1"/>
  <c r="L57" i="8" s="1"/>
  <c r="M22" i="16"/>
  <c r="M13" i="8" s="1"/>
  <c r="M35" i="8" s="1"/>
  <c r="M57" i="8" s="1"/>
  <c r="M15" i="14"/>
  <c r="M15" i="15"/>
  <c r="H35" i="7"/>
  <c r="K35" i="7" s="1"/>
  <c r="M22" i="13"/>
  <c r="J13" i="8" s="1"/>
  <c r="J35" i="8" s="1"/>
  <c r="J57" i="8" s="1"/>
  <c r="M22" i="14"/>
  <c r="K13" i="8" s="1"/>
  <c r="K35" i="8" s="1"/>
  <c r="K57" i="8" s="1"/>
  <c r="H39" i="7"/>
  <c r="K39" i="7" s="1"/>
  <c r="G17" i="7"/>
  <c r="AG16" i="7" s="1"/>
  <c r="M15" i="12"/>
  <c r="M15" i="13"/>
  <c r="H37" i="7"/>
  <c r="K37" i="7" s="1"/>
  <c r="H40" i="7"/>
  <c r="K40" i="7" s="1"/>
  <c r="K31" i="7"/>
  <c r="G10" i="7"/>
  <c r="AG12" i="7" s="1"/>
  <c r="M22" i="11"/>
  <c r="H13" i="8" s="1"/>
  <c r="H35" i="8" s="1"/>
  <c r="H57" i="8" s="1"/>
  <c r="M22" i="12"/>
  <c r="I13" i="8" s="1"/>
  <c r="I35" i="8" s="1"/>
  <c r="I57" i="8" s="1"/>
  <c r="H33" i="7"/>
  <c r="K33" i="7" s="1"/>
  <c r="H32" i="7"/>
  <c r="K32" i="7" s="1"/>
  <c r="G16" i="7"/>
  <c r="AZ17" i="7" s="1"/>
  <c r="H43" i="7"/>
  <c r="M15" i="11"/>
  <c r="G12" i="7"/>
  <c r="AZ15" i="7" s="1"/>
  <c r="K43" i="7"/>
  <c r="G8" i="7"/>
  <c r="AZ13" i="7" s="1"/>
  <c r="G11" i="7"/>
  <c r="AG13" i="7" s="1"/>
  <c r="F11" i="8"/>
  <c r="F33" i="8" s="1"/>
  <c r="F55" i="8" s="1"/>
  <c r="M22" i="4"/>
  <c r="M22" i="10"/>
  <c r="G13" i="8" s="1"/>
  <c r="G35" i="8" s="1"/>
  <c r="G57" i="8" s="1"/>
  <c r="M15" i="4"/>
  <c r="F6" i="8" s="1"/>
  <c r="G18" i="7"/>
  <c r="AG17" i="7" s="1"/>
  <c r="H38" i="7"/>
  <c r="K38" i="7" s="1"/>
  <c r="H42" i="7"/>
  <c r="K42" i="7" s="1"/>
  <c r="H41" i="7"/>
  <c r="K41" i="7" s="1"/>
  <c r="G15" i="7"/>
  <c r="AG15" i="7" s="1"/>
  <c r="G19" i="7"/>
  <c r="AZ18" i="7" s="1"/>
  <c r="H45" i="7"/>
  <c r="K45" i="7" s="1"/>
  <c r="F23" i="8"/>
  <c r="F45" i="8" s="1"/>
  <c r="F67" i="8" s="1"/>
  <c r="G22" i="7"/>
  <c r="AG19" i="7" s="1"/>
  <c r="H34" i="7"/>
  <c r="K34" i="7" s="1"/>
  <c r="H20" i="7" l="1"/>
  <c r="AH18" i="7" s="1"/>
  <c r="L6" i="8"/>
  <c r="L28" i="8" s="1"/>
  <c r="L50" i="8" s="1"/>
  <c r="H6" i="8"/>
  <c r="H28" i="8" s="1"/>
  <c r="H50" i="8" s="1"/>
  <c r="J6" i="8"/>
  <c r="J28" i="8" s="1"/>
  <c r="J50" i="8" s="1"/>
  <c r="K6" i="8"/>
  <c r="K28" i="8" s="1"/>
  <c r="K50" i="8" s="1"/>
  <c r="G6" i="8"/>
  <c r="G28" i="8" s="1"/>
  <c r="G50" i="8" s="1"/>
  <c r="I6" i="8"/>
  <c r="I28" i="8" s="1"/>
  <c r="I50" i="8" s="1"/>
  <c r="H12" i="7"/>
  <c r="BA15" i="7" s="1"/>
  <c r="H9" i="7"/>
  <c r="BA14" i="7" s="1"/>
  <c r="H15" i="7"/>
  <c r="AH15" i="7" s="1"/>
  <c r="H14" i="7"/>
  <c r="BA16" i="7" s="1"/>
  <c r="H17" i="7"/>
  <c r="AH16" i="7" s="1"/>
  <c r="H19" i="7"/>
  <c r="BA18" i="7" s="1"/>
  <c r="H8" i="7"/>
  <c r="BA13" i="7" s="1"/>
  <c r="H10" i="7"/>
  <c r="AH12" i="7" s="1"/>
  <c r="H16" i="7"/>
  <c r="BA17" i="7" s="1"/>
  <c r="H18" i="7"/>
  <c r="AH17" i="7" s="1"/>
  <c r="F28" i="8"/>
  <c r="F50" i="8" s="1"/>
  <c r="H30" i="7"/>
  <c r="K30" i="7" s="1"/>
  <c r="G7" i="7"/>
  <c r="H36" i="7"/>
  <c r="K36" i="7" s="1"/>
  <c r="K46" i="7" s="1"/>
  <c r="F13" i="8"/>
  <c r="F35" i="8" s="1"/>
  <c r="F57" i="8" s="1"/>
  <c r="G13" i="7"/>
  <c r="H11" i="7"/>
  <c r="AH13" i="7" s="1"/>
  <c r="H22" i="7"/>
  <c r="AH19" i="7" s="1"/>
  <c r="AG14" i="7" l="1"/>
  <c r="H13" i="7"/>
  <c r="AH14" i="7" s="1"/>
  <c r="AH25" i="7" s="1"/>
  <c r="AH26" i="7" s="1"/>
  <c r="AH27" i="7" s="1"/>
  <c r="AZ12" i="7"/>
  <c r="H7" i="7"/>
  <c r="AH24" i="7" l="1"/>
  <c r="BA12" i="7"/>
  <c r="N23" i="7"/>
  <c r="N24" i="7"/>
  <c r="N25" i="7" s="1"/>
  <c r="N26" i="7" s="1"/>
  <c r="AY24" i="7" l="1"/>
  <c r="AY25" i="7"/>
  <c r="AY26" i="7" s="1"/>
  <c r="AY2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DB5E551F-42AB-472E-A0C7-EB81925DC8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really sure whether the exponent should be 1 or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52C6A7F3-16F8-410F-BE9A-3C0CBB74FF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1
 if not yet known</t>
        </r>
      </text>
    </comment>
    <comment ref="J9" authorId="0" shapeId="0" xr:uid="{6CB500F6-8976-4707-BEED-93FBBDA51B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4E628910-0ABE-48F1-AAF6-4CBFEDB337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F86E7D03-0384-4E1A-825A-A5A968412F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AC013FFB-C857-49AF-B268-D8B4416653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1 if not yet known</t>
        </r>
      </text>
    </comment>
    <comment ref="J9" authorId="0" shapeId="0" xr:uid="{27E82AEF-0873-4D39-BA40-16F14D43B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2BA3EE16-7420-42F2-A871-E037AC790B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22E11214-79D3-4007-8906-12CD83FC37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E5F161D4-A667-4A4F-8B54-03E6FEEA01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891CF6C0-1F97-4E8F-B554-2A485CE9ED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6A8535AE-B552-483B-A0C4-14D8102F2E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73F2D080-7081-4E37-A15C-062E913F89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EE1159E0-8231-4AAB-957D-8D9FF6D74E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8BE53835-3A29-463F-A9A0-E8CDC8B95E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07D8E35E-4444-4CD1-A94E-209751CBF7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F10ED61B-E666-442B-B3F7-9E64A30E04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9EF579E5-4414-48D3-B0F5-D26EB5CB50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202E8170-AA6D-43D3-859A-78CA717E28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ECA01900-1C32-45DF-9D86-858770EECA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381F3891-B1E2-4817-9C23-E966492270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59742BDF-1348-4677-B5F9-33CB6E2E8B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CCDF5AF6-3191-449D-A45E-543C3E69EE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CB8A2F5B-F966-4F4A-87BC-03B452D8D8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5F38B6EF-669C-4706-8F0E-22572B2D17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EACFDE9D-C9A2-4170-9E79-74DA69BE97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4C72641B-32AD-464E-B258-1625B89152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9F9F1AAD-B1E8-40AE-B442-DF67704257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F55F7038-1AA5-43A1-A5F3-DC2CA66EC2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793AF66A-06FF-4192-A553-D951AF0F0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DLS results; enter 0 if not yet known</t>
        </r>
      </text>
    </comment>
    <comment ref="J9" authorId="0" shapeId="0" xr:uid="{8290A234-1724-4C43-8A94-60F053115F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 wavelength relative to scatterer size</t>
        </r>
      </text>
    </comment>
    <comment ref="J10" authorId="0" shapeId="0" xr:uid="{453FA2C7-67F2-4BAF-B7C2-84850D7F81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&lt;1 implies you are in Guinier region</t>
        </r>
      </text>
    </comment>
    <comment ref="J11" authorId="0" shapeId="0" xr:uid="{9DB81C11-3235-4220-9CD2-D1B88CB8E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deviation from 1 shows how much there is to measure. </t>
        </r>
      </text>
    </comment>
  </commentList>
</comments>
</file>

<file path=xl/sharedStrings.xml><?xml version="1.0" encoding="utf-8"?>
<sst xmlns="http://schemas.openxmlformats.org/spreadsheetml/2006/main" count="1130" uniqueCount="317">
  <si>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</si>
  <si>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</si>
  <si>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</si>
  <si>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</si>
  <si>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</si>
  <si>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</si>
  <si>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</si>
  <si>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</si>
  <si>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</si>
  <si>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Wavelength/cm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</si>
  <si>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</si>
  <si>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</si>
  <si>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</si>
  <si>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</si>
  <si>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</si>
  <si>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</si>
  <si>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</si>
  <si>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</si>
  <si>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</si>
  <si>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</si>
  <si>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</si>
  <si>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</si>
  <si>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</si>
  <si>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</si>
  <si>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</si>
  <si>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</si>
  <si>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</si>
  <si>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</si>
  <si>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</si>
  <si>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</si>
  <si>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</si>
  <si>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</si>
  <si>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</si>
  <si>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</si>
  <si>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</si>
  <si>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</si>
  <si>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</si>
  <si>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</si>
  <si>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</si>
  <si>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>a small latex particle, bovine serum albumen, or Brij-97 microemulsion.</t>
  </si>
  <si>
    <t>The Wyatt detectors can most easily be read from the front panel display.</t>
  </si>
  <si>
    <t xml:space="preserve">The unit of measurement is probably in volts, but it does not matter.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</si>
  <si>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</si>
  <si>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</si>
  <si>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stray light.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</si>
  <si>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</si>
  <si>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</si>
  <si>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</si>
  <si>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</si>
  <si>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</si>
  <si>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</si>
  <si>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</si>
  <si>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t>At this point, your normalization constants should be ready.</t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</si>
  <si>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</si>
  <si>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</si>
  <si>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</si>
  <si>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</si>
  <si>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</si>
  <si>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</si>
  <si>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>Principle:</t>
  </si>
  <si>
    <t>Port</t>
  </si>
  <si>
    <t>Normalized</t>
  </si>
  <si>
    <t>intensity, I</t>
  </si>
  <si>
    <t>Intercept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</si>
  <si>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</si>
  <si>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</si>
  <si>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</si>
  <si>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>Developed May-June 2022 by Paul Russo</t>
  </si>
  <si>
    <t>Date of measurement</t>
  </si>
  <si>
    <t>Sample</t>
  </si>
  <si>
    <t xml:space="preserve">There is no such thing as a perfect Rayleigh scatterer. Typically, we might use </t>
  </si>
  <si>
    <t xml:space="preserve">The idea is to use something small that scatters a lot, well above solvent level and any </t>
  </si>
  <si>
    <t>SSE--&gt;</t>
  </si>
  <si>
    <r>
      <t>R</t>
    </r>
    <r>
      <rPr>
        <vertAlign val="subscript"/>
        <sz val="11"/>
        <color theme="1"/>
        <rFont val="Calibri"/>
        <family val="2"/>
        <scheme val="minor"/>
      </rPr>
      <t>sphere</t>
    </r>
    <r>
      <rPr>
        <sz val="11"/>
        <color theme="1"/>
        <rFont val="Calibri"/>
        <family val="2"/>
        <scheme val="minor"/>
      </rPr>
      <t>/nm</t>
    </r>
  </si>
  <si>
    <r>
      <t>I</t>
    </r>
    <r>
      <rPr>
        <vertAlign val="subscript"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>/Arbitrary</t>
    </r>
  </si>
  <si>
    <t>Sq.Err.</t>
  </si>
  <si>
    <t>Izero*Icalc,pt by pt</t>
  </si>
  <si>
    <t>x=qR</t>
  </si>
  <si>
    <r>
      <t>q/nm</t>
    </r>
    <r>
      <rPr>
        <vertAlign val="superscript"/>
        <sz val="11"/>
        <color theme="1"/>
        <rFont val="Calibri"/>
        <family val="2"/>
        <scheme val="minor"/>
      </rPr>
      <t>-1</t>
    </r>
  </si>
  <si>
    <t>Icalc</t>
  </si>
  <si>
    <t>PthetaCalc</t>
  </si>
  <si>
    <r>
      <t>q/cm</t>
    </r>
    <r>
      <rPr>
        <vertAlign val="superscript"/>
        <sz val="11"/>
        <color theme="1"/>
        <rFont val="Calibri"/>
        <family val="2"/>
        <scheme val="minor"/>
      </rPr>
      <t>-1</t>
    </r>
  </si>
  <si>
    <t>CalcInten</t>
  </si>
  <si>
    <t>Measured</t>
  </si>
  <si>
    <t>-Slope</t>
  </si>
  <si>
    <t>SMALS Det #</t>
  </si>
  <si>
    <t xml:space="preserve">The APD detectors measure photocounts in kHz, a totally different thing. </t>
  </si>
  <si>
    <t>measurement (unlike a blank template). Be sure to cover these tracks with your new data.</t>
  </si>
  <si>
    <t>March 2 2023</t>
  </si>
  <si>
    <t>PS Cmax 100</t>
  </si>
  <si>
    <t>Wyatt Diode</t>
  </si>
  <si>
    <t>ALV APD</t>
  </si>
  <si>
    <t>Color key</t>
  </si>
  <si>
    <t>Row #</t>
  </si>
  <si>
    <t>Made separate Guinier plots for ALV and Wyatt detectors at ORNL</t>
  </si>
  <si>
    <t>Changed log(I) to ln(I)</t>
  </si>
  <si>
    <r>
      <t>q/cm</t>
    </r>
    <r>
      <rPr>
        <b/>
        <vertAlign val="superscript"/>
        <sz val="11"/>
        <color indexed="8"/>
        <rFont val="Calibri"/>
        <family val="2"/>
      </rPr>
      <t>-1</t>
    </r>
  </si>
  <si>
    <r>
      <t>q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/10</t>
    </r>
    <r>
      <rPr>
        <b/>
        <vertAlign val="superscript"/>
        <sz val="11"/>
        <color indexed="8"/>
        <rFont val="Calibri"/>
        <family val="2"/>
      </rPr>
      <t>10</t>
    </r>
    <r>
      <rPr>
        <b/>
        <sz val="11"/>
        <color theme="1"/>
        <rFont val="Calibri"/>
        <family val="2"/>
        <scheme val="minor"/>
      </rPr>
      <t>cm</t>
    </r>
    <r>
      <rPr>
        <b/>
        <vertAlign val="superscript"/>
        <sz val="11"/>
        <color indexed="8"/>
        <rFont val="Calibri"/>
        <family val="2"/>
      </rPr>
      <t>-2</t>
    </r>
  </si>
  <si>
    <r>
      <t>q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/10</t>
    </r>
    <r>
      <rPr>
        <b/>
        <vertAlign val="superscript"/>
        <sz val="11"/>
        <color indexed="8"/>
        <rFont val="Calibri"/>
        <family val="2"/>
      </rPr>
      <t>-4</t>
    </r>
    <r>
      <rPr>
        <b/>
        <sz val="11"/>
        <color theme="1"/>
        <rFont val="Calibri"/>
        <family val="2"/>
        <scheme val="minor"/>
      </rPr>
      <t>nm</t>
    </r>
    <r>
      <rPr>
        <b/>
        <vertAlign val="superscript"/>
        <sz val="11"/>
        <color indexed="8"/>
        <rFont val="Calibri"/>
        <family val="2"/>
      </rPr>
      <t>-2</t>
    </r>
  </si>
  <si>
    <r>
      <t xml:space="preserve"> </t>
    </r>
    <r>
      <rPr>
        <b/>
        <sz val="11"/>
        <color indexed="8"/>
        <rFont val="Script MT Bold"/>
        <family val="4"/>
      </rPr>
      <t xml:space="preserve"> ln</t>
    </r>
    <r>
      <rPr>
        <b/>
        <sz val="11"/>
        <color indexed="8"/>
        <rFont val="script"/>
      </rPr>
      <t xml:space="preserve"> </t>
    </r>
    <r>
      <rPr>
        <b/>
        <sz val="11"/>
        <color theme="1"/>
        <rFont val="Calibri"/>
        <family val="2"/>
        <scheme val="minor"/>
      </rPr>
      <t>(I)</t>
    </r>
  </si>
  <si>
    <t>arb.</t>
  </si>
  <si>
    <r>
      <t>nm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</si>
  <si>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>/degrees</t>
    </r>
  </si>
  <si>
    <t>ALV APD Results</t>
  </si>
  <si>
    <t>Wyatt diode results</t>
  </si>
  <si>
    <t>All Detectors Results</t>
  </si>
  <si>
    <t>Normalized Intensity, I</t>
  </si>
  <si>
    <t xml:space="preserve">                                    Normalizing solvent background</t>
  </si>
  <si>
    <t xml:space="preserve">          Solution reading</t>
  </si>
  <si>
    <t xml:space="preserve">         Solvent background</t>
  </si>
  <si>
    <t>Normalized intensity</t>
  </si>
  <si>
    <t>Wyatt reading</t>
  </si>
  <si>
    <t>ALV reading/kHz</t>
  </si>
  <si>
    <t>ALV reading</t>
  </si>
  <si>
    <t>Sep5_2023</t>
  </si>
  <si>
    <t>Modified Guinier page; cosmetic changes</t>
  </si>
  <si>
    <t>Refractive index of solutions &amp; solvent</t>
  </si>
  <si>
    <t>Refactive index of Rayleigh standard</t>
  </si>
  <si>
    <t>Volume expansion exponent, m</t>
  </si>
  <si>
    <t>Toluene</t>
  </si>
  <si>
    <t>Solvent for solutions</t>
  </si>
  <si>
    <t>Rayleigh factor of toluene</t>
  </si>
  <si>
    <t>dn/dc in mL/gram</t>
  </si>
  <si>
    <t>More accurate readings can be obtained by collecting data using the Astra software (requires Win98).</t>
  </si>
  <si>
    <r>
      <t>normalization standard on the 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</si>
  <si>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>Caveat:</t>
  </si>
  <si>
    <t xml:space="preserve">Similar to a GUI program, it is incumbent on the user to remember to enter data, update labels, etc. </t>
  </si>
  <si>
    <t xml:space="preserve">In a good GUI program (e.g., Visual C) it is easy to flag users when data is not updated or omitted.  </t>
  </si>
  <si>
    <t>That's a little trickier in VB for Excel, but probably doable. It's just not done here, that's all.</t>
  </si>
  <si>
    <r>
      <t>Drop</t>
    </r>
    <r>
      <rPr>
        <b/>
        <sz val="11"/>
        <color rgb="FFFFFF99"/>
        <rFont val="Calibri"/>
        <family val="2"/>
      </rPr>
      <t xml:space="preserve"> </t>
    </r>
    <r>
      <rPr>
        <b/>
        <u/>
        <sz val="11"/>
        <color rgb="FFFFFF99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</si>
  <si>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t xml:space="preserve">Brij </t>
  </si>
  <si>
    <r>
      <t>The master version contains data from a normalization and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</t>
    </r>
  </si>
  <si>
    <t>Limitation:</t>
  </si>
  <si>
    <t xml:space="preserve">In this Master document, the data are populated only for the Excelitas APD detectors. </t>
  </si>
  <si>
    <t>Rayleigh factors:</t>
  </si>
  <si>
    <t>This assertion is developed in our J. Chem. Ed. Article: (see: https://pubs.acs.org/doi/abs/10.1021/ed076p1534 ).</t>
  </si>
  <si>
    <t xml:space="preserve">Data from NormaSize can be extracted for Zimm plot creation as follows. </t>
  </si>
  <si>
    <t>1. Perform normalization as usual (or inherit a previous result by making a new copy of NormaSize)</t>
  </si>
  <si>
    <t>it's still a great way to present a snapshot of a polymer's molecular weight, size and virial coefficient.</t>
  </si>
  <si>
    <t xml:space="preserve">3. Data from the Excelitas APDs can be copy/pasted from the .ASC file into the marked boxes --&gt;   </t>
  </si>
  <si>
    <t xml:space="preserve">4. Data from the Wyatt pin photodiodes can be entered manually. At low angles, </t>
  </si>
  <si>
    <t xml:space="preserve">     it may help to average several readings (in teaching situations, several people </t>
  </si>
  <si>
    <t xml:space="preserve">    That will automatically populate the appropriate cells for those detectors</t>
  </si>
  <si>
    <t xml:space="preserve">     It is also possible to use Wyatt Astra software to record these values. Refer to the Astra manual. </t>
  </si>
  <si>
    <t>5.  The angle/intensity data are in columns D and M, respectively.</t>
  </si>
  <si>
    <t>Zimm plots:</t>
  </si>
  <si>
    <t>Angle/deg</t>
  </si>
  <si>
    <t>Detector</t>
  </si>
  <si>
    <t>Type</t>
  </si>
  <si>
    <t>Wyatt</t>
  </si>
  <si>
    <t>Blank</t>
  </si>
  <si>
    <t xml:space="preserve">The equations and figure below come from the Macro HowTo: https://macro.lsu.edu/HowTo/guide/guide.doc </t>
  </si>
  <si>
    <t xml:space="preserve">These equations are intended for rotating detectors. </t>
  </si>
  <si>
    <t>We will modify them the last one for SMALS.</t>
  </si>
  <si>
    <t xml:space="preserve">An important caveat here about using the SMALS apparatus: we have only </t>
  </si>
  <si>
    <t xml:space="preserve">listed the Rayleigh factors at 90 degrees scattering angle. There are no </t>
  </si>
  <si>
    <t xml:space="preserve">for SLS, one must still make a measurement at 90 degrees with the </t>
  </si>
  <si>
    <t xml:space="preserve">Wyatt's diode detector at that angle. </t>
  </si>
  <si>
    <t xml:space="preserve">A:RUN4157.GAL </t>
  </si>
  <si>
    <t>The name of the file</t>
  </si>
  <si>
    <t>start time</t>
  </si>
  <si>
    <t>start date</t>
  </si>
  <si>
    <t>end time</t>
  </si>
  <si>
    <t>end date</t>
  </si>
  <si>
    <r>
      <t xml:space="preserve">DOW 1683 POLYSTYRENE IN TOLUENE. . . . . . . . . . . . . . . . . . . . . . . . . . . </t>
    </r>
    <r>
      <rPr>
        <i/>
        <sz val="12"/>
        <color rgb="FF0000FF"/>
        <rFont val="Times New Roman"/>
        <family val="1"/>
      </rPr>
      <t>first label</t>
    </r>
  </si>
  <si>
    <r>
      <t xml:space="preserve">WIESLAW WORST DAY. . . . . . . . . . . . . . . . . . . . . . . . . . . . . . . . . . . . . . . </t>
    </r>
    <r>
      <rPr>
        <i/>
        <sz val="12"/>
        <color rgb="FF0000FF"/>
        <rFont val="Times New Roman"/>
        <family val="1"/>
      </rPr>
      <t>second label</t>
    </r>
  </si>
  <si>
    <t xml:space="preserve">WS. . . . . . . . </t>
  </si>
  <si>
    <t>operator</t>
  </si>
  <si>
    <t>wavelength in Angstroms</t>
  </si>
  <si>
    <t xml:space="preserve">TOLUENE. . . . . . . </t>
  </si>
  <si>
    <t>Rayleigh standard material</t>
  </si>
  <si>
    <t>refractive index of Rayleigh standard</t>
  </si>
  <si>
    <t>refractive index of solvent for the polymer solutions</t>
  </si>
  <si>
    <t>m = volume exponent (see documentation)</t>
  </si>
  <si>
    <t>lowest temperature during measurement</t>
  </si>
  <si>
    <t>highest temperature during measurement</t>
  </si>
  <si>
    <t>dark count</t>
  </si>
  <si>
    <t xml:space="preserve">Rayleigh standard intensity = Istd </t>
  </si>
  <si>
    <t>uncertainty of Istd</t>
  </si>
  <si>
    <t>angle where Rayleigh standard was measured</t>
  </si>
  <si>
    <t>number of angles = Nang</t>
  </si>
  <si>
    <t>number of concentrations = Nconc; includes solvent as c=0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</si>
  <si>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</si>
  <si>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</si>
  <si>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</si>
  <si>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</si>
  <si>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</si>
  <si>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</si>
  <si>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</si>
  <si>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</si>
  <si>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</si>
  <si>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 xml:space="preserve"> 81428.38  97591.7  122109.7  162909.5  197399.6  252660.4  301346.8  345541.3  373001.3</t>
  </si>
  <si>
    <t xml:space="preserve"> 189.3396  1144.371  75.31445  854.0734  235.379  396.2553  522.5136  2446.77  1101.427</t>
  </si>
  <si>
    <t xml:space="preserve"> 55574.58  66837.77  84346.55  112079.5  136769.3  177428.5  214188.9  232087  261054</t>
  </si>
  <si>
    <t xml:space="preserve"> 197.434  392.5005  324.2591  173.9281  403.8692  568.4637  619.549  392.1764  669.6632</t>
  </si>
  <si>
    <t xml:space="preserve"> 43341.26  51996.1  65401.65  87735.49  106350.9  138269.6  166658.1  179940.2  203643.3</t>
  </si>
  <si>
    <t xml:space="preserve"> 239.8559  261.1551  328.7555  248.4714  564.8671  214.7371  180.5043  537.835  635.0795</t>
  </si>
  <si>
    <t xml:space="preserve"> 36311.72  43244.43  55113.06  73145.96  89001.34  116999.8  137346.4  150733.3  170081.7</t>
  </si>
  <si>
    <t xml:space="preserve"> 32257.47  38655.18  48411.66  62924.06  78320.7  102318.9  119509.9  132199.1 148991</t>
  </si>
  <si>
    <t xml:space="preserve"> 106.8938  102.5643  131.3934  215.5929  239.1338  440.27  302.6808  93.53061  286.8959</t>
  </si>
  <si>
    <t xml:space="preserve"> 28955.09  33923.45  42198.49  55891.61  68934.62  90674.13  105791.5  116571.6  131802.6</t>
  </si>
  <si>
    <t xml:space="preserve"> 150.9799  122.7043  159.0369  253.9555  388.7278  110.6202  293.2361  286.2568  516.4243</t>
  </si>
  <si>
    <t xml:space="preserve"> 27126.31  32055.37  39665.98  51456.23  62408.91  84488.31  98041.87  105803.9  122512.3</t>
  </si>
  <si>
    <t xml:space="preserve"> 95.50737  194.1532  109.4389  230.5697  135.4062  152.2081  149.2928  281.5163  146.4149</t>
  </si>
  <si>
    <t xml:space="preserve"> 29638.82  34479.8  42685.7  54635.88  67755.86  89103.03  104593  114505.7  130324.7</t>
  </si>
  <si>
    <t xml:space="preserve"> 96.0753  157.568  165.4995  108.4058  114.0652  86.36407  222.5477  229.0522  273.5556</t>
  </si>
  <si>
    <t xml:space="preserve"> 32521.76  36138.69  46225.73  59356.04  73573.95  95478.31  110844.5  122913.1  140521</t>
  </si>
  <si>
    <t xml:space="preserve"> 170.4942  112.1322  216.0858  107.3936  102.3973  236.4535  258.8731  319.9878  372.4431</t>
  </si>
  <si>
    <t>EXAMPLE FROM ROTATING ARM INSTRUMENT</t>
  </si>
  <si>
    <t xml:space="preserve"> 78.70634  234.4586  90.72663  191.5141  199.758  266.8599  273.3365  371.6528  367.2414</t>
  </si>
  <si>
    <t>first label</t>
  </si>
  <si>
    <t>second label</t>
  </si>
  <si>
    <t>OVERWRITE WITH YOUR DATA USING FORMAT SHOWN IN EXAMPLE AT RIGHT</t>
  </si>
  <si>
    <r>
      <t xml:space="preserve">first angle; next row is intensity (c=0 &amp; up) and then </t>
    </r>
    <r>
      <rPr>
        <i/>
        <sz val="12"/>
        <color rgb="FF0000FF"/>
        <rFont val="Symbol"/>
        <family val="1"/>
        <charset val="2"/>
      </rPr>
      <t>s</t>
    </r>
    <r>
      <rPr>
        <i/>
        <sz val="12"/>
        <color rgb="FF0000FF"/>
        <rFont val="Times New Roman"/>
        <family val="1"/>
      </rPr>
      <t>intensity</t>
    </r>
  </si>
  <si>
    <t>Excess, Normalized Intensities (arbitrary units)</t>
  </si>
  <si>
    <t>Rayleigh calibration standard</t>
  </si>
  <si>
    <t>Rayleigh factor for calib. Std.</t>
  </si>
  <si>
    <t>(from Wyatt front panel display)</t>
  </si>
  <si>
    <t>Volume exponent, m</t>
  </si>
  <si>
    <t>Measured intensity Rayleigh Std at 90 deg.</t>
  </si>
  <si>
    <t xml:space="preserve">APD detectors at this angle. So, even if the plan is to use just the APD detectors </t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</si>
  <si>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</si>
  <si>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sz val="11"/>
        <color theme="1"/>
        <rFont val="Colonna MT"/>
        <family val="5"/>
      </rPr>
      <t>R</t>
    </r>
    <r>
      <rPr>
        <sz val="11"/>
        <color theme="1"/>
        <rFont val="Calibri"/>
        <family val="2"/>
        <scheme val="minor"/>
      </rPr>
      <t xml:space="preserve"> in cm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</si>
  <si>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 xml:space="preserve">  28.07 x 10</t>
    </r>
    <r>
      <rPr>
        <vertAlign val="superscript"/>
        <sz val="10"/>
        <color theme="1"/>
        <rFont val="Calibri"/>
        <family val="2"/>
        <scheme val="minor"/>
      </rPr>
      <t>-6</t>
    </r>
    <r>
      <rPr>
        <sz val="10"/>
        <color theme="1"/>
        <rFont val="Calibri"/>
        <family val="2"/>
        <scheme val="minor"/>
      </rPr>
      <t xml:space="preserve"> cm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 xml:space="preserve"> @ 532 nm (Frequency doubled diode)</t>
    </r>
  </si>
  <si>
    <r>
      <t xml:space="preserve">  32.08 x 10</t>
    </r>
    <r>
      <rPr>
        <vertAlign val="superscript"/>
        <sz val="10"/>
        <color theme="1"/>
        <rFont val="Calibri"/>
        <family val="2"/>
        <scheme val="minor"/>
      </rPr>
      <t>-6</t>
    </r>
    <r>
      <rPr>
        <sz val="10"/>
        <color theme="1"/>
        <rFont val="Calibri"/>
        <family val="2"/>
        <scheme val="minor"/>
      </rPr>
      <t xml:space="preserve"> cm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 xml:space="preserve"> @ 514.5 nm (Argon ion green)</t>
    </r>
  </si>
  <si>
    <r>
      <t xml:space="preserve">  39.64 x 10</t>
    </r>
    <r>
      <rPr>
        <vertAlign val="superscript"/>
        <sz val="10"/>
        <color theme="1"/>
        <rFont val="Calibri"/>
        <family val="2"/>
        <scheme val="minor"/>
      </rPr>
      <t>-6</t>
    </r>
    <r>
      <rPr>
        <sz val="10"/>
        <color theme="1"/>
        <rFont val="Calibri"/>
        <family val="2"/>
        <scheme val="minor"/>
      </rPr>
      <t xml:space="preserve"> cm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 xml:space="preserve"> @ 488 nm (Argon ion blue)</t>
    </r>
  </si>
  <si>
    <r>
      <t>R</t>
    </r>
    <r>
      <rPr>
        <vertAlign val="subscript"/>
        <sz val="11"/>
        <color theme="1"/>
        <rFont val="Calibri  "/>
      </rPr>
      <t>tol,Uv</t>
    </r>
    <r>
      <rPr>
        <sz val="11"/>
        <color theme="1"/>
        <rFont val="Calibri  "/>
      </rPr>
      <t xml:space="preserve"> =     </t>
    </r>
  </si>
  <si>
    <r>
      <t xml:space="preserve">  14.02 x 10</t>
    </r>
    <r>
      <rPr>
        <vertAlign val="superscript"/>
        <sz val="10"/>
        <color theme="1"/>
        <rFont val="Calibri"/>
        <family val="2"/>
        <scheme val="minor"/>
      </rPr>
      <t>-6</t>
    </r>
    <r>
      <rPr>
        <sz val="10"/>
        <color theme="1"/>
        <rFont val="Calibri"/>
        <family val="2"/>
        <scheme val="minor"/>
      </rPr>
      <t xml:space="preserve"> cm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 xml:space="preserve"> @ 632.8 nm (HeNe red)</t>
    </r>
  </si>
  <si>
    <t xml:space="preserve">These values were calculated using </t>
  </si>
  <si>
    <r>
      <t xml:space="preserve">assuming 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 0.495 from the data collected by Hu</t>
    </r>
  </si>
  <si>
    <t xml:space="preserve">The dispersion equation is from: </t>
  </si>
  <si>
    <r>
      <t>Moutzouris, K., Papamichael, M., Betsis, S.C. </t>
    </r>
    <r>
      <rPr>
        <i/>
        <sz val="9"/>
        <color rgb="FF222222"/>
        <rFont val="Arial"/>
        <family val="2"/>
      </rPr>
      <t>et al.</t>
    </r>
    <r>
      <rPr>
        <sz val="9"/>
        <color rgb="FF222222"/>
        <rFont val="Arial"/>
        <family val="2"/>
      </rPr>
      <t> Refractive, dispersive and thermo-optic properties of twelve organic solvents in the visible and near-infrared. </t>
    </r>
    <r>
      <rPr>
        <i/>
        <sz val="9"/>
        <color rgb="FF222222"/>
        <rFont val="Arial"/>
        <family val="2"/>
      </rPr>
      <t>Appl. Phys. B</t>
    </r>
    <r>
      <rPr>
        <sz val="9"/>
        <color rgb="FF222222"/>
        <rFont val="Arial"/>
        <family val="2"/>
      </rPr>
      <t> </t>
    </r>
    <r>
      <rPr>
        <b/>
        <sz val="9"/>
        <color rgb="FF222222"/>
        <rFont val="Arial"/>
        <family val="2"/>
      </rPr>
      <t>116</t>
    </r>
    <r>
      <rPr>
        <sz val="9"/>
        <color rgb="FF222222"/>
        <rFont val="Arial"/>
        <family val="2"/>
      </rPr>
      <t>, 617–622 (2014). https://doi.org/10.1007/s00340-013-5744-3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</si>
  <si>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</si>
  <si>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</si>
  <si>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</si>
  <si>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</si>
  <si>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</si>
  <si>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t xml:space="preserve">(633/488)^4 = </t>
  </si>
  <si>
    <t xml:space="preserve">(633/488)^4.17 = </t>
  </si>
  <si>
    <t>See values in N11 - N15 for common wavelengths</t>
  </si>
  <si>
    <t>* H. Wu, Chemical Physics 367 (1), 44-47 (2010), https://doi.org/10.1016/j.chemphys.2009.10.019</t>
  </si>
  <si>
    <r>
      <t xml:space="preserve">&lt;&lt; use </t>
    </r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in all these expressions</t>
    </r>
  </si>
  <si>
    <t>%</t>
  </si>
  <si>
    <t>The 4.17 exponent values in N11 - N15 compare reasonably well to the 4.0 exponent values in K2 - K5</t>
  </si>
  <si>
    <r>
      <t>Using the normalization, you can then push ahead to measure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using the law of Guinier </t>
    </r>
  </si>
  <si>
    <t xml:space="preserve">The SMALS instrument has two kinds of detectors: Wyatt pin photodiodes plus </t>
  </si>
  <si>
    <t>Excelitas avalanche photodiode light sensors selected for DLS performance by ALV.</t>
  </si>
  <si>
    <t xml:space="preserve">The objective of normalization is to figure out what factor puts the measured intensities for the  </t>
  </si>
  <si>
    <r>
      <t xml:space="preserve">Drop </t>
    </r>
    <r>
      <rPr>
        <b/>
        <u/>
        <sz val="11"/>
        <color rgb="FFFFFF99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</si>
  <si>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t xml:space="preserve">Read the ALV's front panel display for the laser monitor and all angles by gently pressing the selection button; </t>
  </si>
  <si>
    <t xml:space="preserve">Enter your name and date in the appropriate green cells. </t>
  </si>
  <si>
    <t xml:space="preserve">Enter "Y' or "N" in F6 to indicate whether or not beamstop was used. </t>
  </si>
  <si>
    <t>Enter the name of normalization standard in F3.</t>
  </si>
  <si>
    <r>
      <rPr>
        <sz val="10"/>
        <color theme="1"/>
        <rFont val="Symbol"/>
        <family val="1"/>
        <charset val="2"/>
      </rPr>
      <t>l</t>
    </r>
    <r>
      <rPr>
        <vertAlign val="subscript"/>
        <sz val="10"/>
        <color theme="1"/>
        <rFont val="Symbol"/>
        <family val="1"/>
        <charset val="2"/>
      </rPr>
      <t>o</t>
    </r>
    <r>
      <rPr>
        <sz val="10"/>
        <color theme="1"/>
        <rFont val="Symbol"/>
        <family val="1"/>
        <charset val="2"/>
      </rPr>
      <t>/</t>
    </r>
    <r>
      <rPr>
        <sz val="10"/>
        <color theme="1"/>
        <rFont val="Calibri "/>
      </rPr>
      <t>nm</t>
    </r>
    <r>
      <rPr>
        <sz val="10"/>
        <color theme="1"/>
        <rFont val="Calibri"/>
        <family val="2"/>
        <scheme val="minor"/>
      </rPr>
      <t xml:space="preserve"> </t>
    </r>
  </si>
  <si>
    <t>Almost always toluene</t>
  </si>
  <si>
    <t xml:space="preserve"> </t>
  </si>
  <si>
    <t>TO USE:</t>
  </si>
  <si>
    <r>
      <t>Normally, this will give you the automatic cumulants Gamma value, a 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value, and intensities for each APD detector. Copy the intensities.</t>
    </r>
  </si>
  <si>
    <t>SIZE MEASUREMENT OF A DISSOLVED SOLUTE</t>
  </si>
  <si>
    <t>NORMALIZATION USING A SOLUTION (E.G., BSA, BRIJ MICROEMULSION OR PS/TOL)</t>
  </si>
  <si>
    <t xml:space="preserve">Make a DLS run on your normalization solution, save as .ASC file. </t>
  </si>
  <si>
    <t>A Guinier plot or similar should give you the SLS size.</t>
  </si>
  <si>
    <r>
      <t>You can enter the solute's 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value from DLS in cell J7; a DLS-based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estimate will be calculated automatically from a sphere model, </t>
    </r>
  </si>
  <si>
    <r>
      <t>along with comparisons to wavelength and the P(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) estimate at max angle; these will tell you whether there is hope of getting a useful size. 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</si>
  <si>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estimate (sphere)</t>
    </r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</si>
  <si>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rgb="FF000000"/>
        <rFont val="Calibri"/>
        <family val="2"/>
      </rPr>
      <t>*Estimated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</si>
  <si>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rgb="FF000000"/>
        <rFont val="Calibri"/>
        <family val="2"/>
      </rPr>
      <t>*estimated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</si>
  <si>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Will SLS work?</t>
  </si>
  <si>
    <t>Select the NormStandard sheet; paste the intensities from .ASC file into the yellow cells (cursor on Q16). The ALV results are automatically copied where they need to go.</t>
  </si>
  <si>
    <t xml:space="preserve">type the results into the blue cells in column H. </t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</si>
  <si>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(from .ASC file's automatic cumulant zone or any other analysis) into the K7 cell.</t>
    </r>
  </si>
  <si>
    <t xml:space="preserve">Repeat the previous 2 steps for the normalization standard's solvent (usually a much weaker scatterer) blue cells of column K. </t>
  </si>
  <si>
    <t xml:space="preserve"> but paste intensites to cell T16 and type the panel readings into</t>
  </si>
  <si>
    <t>Select the Conc1 sheet &amp; measure your solution and solvent. For the ALV APD readings, enter intensities in cells O16 or R16, respectively.</t>
  </si>
  <si>
    <t>For the Wyatt diode detectors enter the front panel readings in the blue cells of columns G and J, respectively.</t>
  </si>
  <si>
    <r>
      <t>Then you can get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for shape analysis (e.g., should be sqrt(3/5) for solid, uniform spheres).</t>
    </r>
  </si>
  <si>
    <t>REPEAT FOR EACH CONCENTRATION</t>
  </si>
  <si>
    <t>EXTRAPOLATE THE SIZE RESULTS TO c = 0</t>
  </si>
  <si>
    <t xml:space="preserve">It has been many years since the Zimm plot was an efficient way to process SLS data, but </t>
  </si>
  <si>
    <t>2. Measure the sample and solvent as described above and briefly repeated below.</t>
  </si>
  <si>
    <t xml:space="preserve">     can provide a reading). </t>
  </si>
  <si>
    <r>
      <t>q/cm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</si>
  <si>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>-2</t>
    </r>
  </si>
  <si>
    <r>
      <t>c1/g.mL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</si>
  <si>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c2/g.mL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</si>
  <si>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c3/g.mL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</si>
  <si>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c4/g.mL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</si>
  <si>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c5/g.mL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</si>
  <si>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c6/g.mL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</si>
  <si>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c7/g.mL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</si>
  <si>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c8/g.mL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</si>
  <si>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&lt;&lt;</t>
  </si>
  <si>
    <r>
      <t>Excess Rayleigh factors in 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</si>
  <si>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Kc/Excess Rayleigh factor in mol.g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</si>
  <si>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 xml:space="preserve">-2  </t>
    </r>
    <r>
      <rPr>
        <b/>
        <sz val="11"/>
        <color theme="1"/>
        <rFont val="Calibri"/>
        <family val="2"/>
        <scheme val="minor"/>
      </rPr>
      <t>+ k</t>
    </r>
    <r>
      <rPr>
        <b/>
        <vertAlign val="subscript"/>
        <sz val="11"/>
        <color theme="1"/>
        <rFont val="Calibri"/>
        <family val="2"/>
        <scheme val="minor"/>
      </rPr>
      <t>scale</t>
    </r>
    <r>
      <rPr>
        <b/>
        <sz val="11"/>
        <color theme="1"/>
        <rFont val="Calibri"/>
        <family val="2"/>
        <scheme val="minor"/>
      </rPr>
      <t>*c  &gt;&gt;</t>
    </r>
  </si>
  <si>
    <t>mL/g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</si>
  <si>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scale</t>
    </r>
    <r>
      <rPr>
        <b/>
        <sz val="11"/>
        <color theme="1"/>
        <rFont val="Calibri"/>
        <family val="2"/>
        <scheme val="minor"/>
      </rPr>
      <t>:</t>
    </r>
  </si>
  <si>
    <t>&lt;&lt;Dummy values stored here prevent computational overflows</t>
  </si>
  <si>
    <t>April 5, 2024 Brij</t>
  </si>
  <si>
    <t>April 5, 2024 Dirty Water</t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</si>
  <si>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; reminder:</t>
    </r>
  </si>
  <si>
    <t>refractive index dispersion by Wu* and the values claimed for toluene are:</t>
  </si>
  <si>
    <t>Uu geometry*</t>
  </si>
  <si>
    <t>Uv geometry (** our own calculation, based on Wu's collection of literature data, adjusted from Uu to Uv)</t>
  </si>
  <si>
    <r>
      <t>** R</t>
    </r>
    <r>
      <rPr>
        <vertAlign val="subscript"/>
        <sz val="11"/>
        <color theme="1"/>
        <rFont val="Calibri"/>
        <family val="2"/>
        <scheme val="minor"/>
      </rPr>
      <t xml:space="preserve">Uv  </t>
    </r>
    <r>
      <rPr>
        <sz val="11"/>
        <color theme="1"/>
        <rFont val="Calibri"/>
        <family val="2"/>
        <scheme val="minor"/>
      </rPr>
      <t>analysis from our own WavelengthDispersion spreadsheet &amp; associated Origin non-linear fit to data with error bars</t>
    </r>
  </si>
  <si>
    <t>Should they? Yes...here is how a 4.0 and 4.17 exponent differ.</t>
  </si>
  <si>
    <t>% Difference</t>
  </si>
  <si>
    <t>See our spreadsheet WavelengthDispersion.xlsx and associated Origin files RayleighVsWavelength.opj (2 files with different error assumptions)</t>
  </si>
  <si>
    <r>
      <rPr>
        <b/>
        <sz val="14"/>
        <color theme="1"/>
        <rFont val="Colonna MT"/>
        <family val="5"/>
      </rPr>
      <t>R</t>
    </r>
    <r>
      <rPr>
        <b/>
        <vertAlign val="subscript"/>
        <sz val="14"/>
        <color theme="1"/>
        <rFont val="Colonna MT"/>
        <family val="5"/>
      </rPr>
      <t>tol,Uu</t>
    </r>
    <r>
      <rPr>
        <b/>
        <sz val="11"/>
        <color theme="1"/>
        <rFont val="Calibri"/>
        <family val="2"/>
        <scheme val="minor"/>
      </rPr>
      <t xml:space="preserve"> = 4.9 x 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/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vertAlign val="superscript"/>
        <sz val="11"/>
        <color theme="1"/>
        <rFont val="Calibri"/>
        <family val="2"/>
        <scheme val="minor"/>
      </rPr>
      <t>4.17</t>
    </r>
    <r>
      <rPr>
        <b/>
        <sz val="11"/>
        <color theme="1"/>
        <rFont val="Calibri"/>
        <family val="5"/>
        <scheme val="minor"/>
      </rPr>
      <t xml:space="preserve">  *</t>
    </r>
  </si>
  <si>
    <r>
      <t>in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sz val="11"/>
        <color theme="1"/>
        <rFont val="Calibri"/>
        <family val="2"/>
        <scheme val="minor"/>
      </rPr>
      <t xml:space="preserve"> given in nm</t>
    </r>
  </si>
  <si>
    <r>
      <rPr>
        <b/>
        <sz val="14"/>
        <color theme="1"/>
        <rFont val="Colonna MT"/>
        <family val="5"/>
      </rPr>
      <t>R</t>
    </r>
    <r>
      <rPr>
        <b/>
        <vertAlign val="subscript"/>
        <sz val="14"/>
        <color theme="1"/>
        <rFont val="Colonna MT"/>
        <family val="5"/>
      </rPr>
      <t>tol,Uv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 6.653 x 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/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vertAlign val="superscript"/>
        <sz val="11"/>
        <color theme="1"/>
        <rFont val="Calibri"/>
        <family val="2"/>
        <scheme val="minor"/>
      </rPr>
      <t>4.17</t>
    </r>
    <r>
      <rPr>
        <b/>
        <sz val="11"/>
        <color theme="1"/>
        <rFont val="Calibri"/>
        <family val="5"/>
        <scheme val="minor"/>
      </rPr>
      <t xml:space="preserve">  **</t>
    </r>
  </si>
  <si>
    <r>
      <t>in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sz val="11"/>
        <color theme="1"/>
        <rFont val="Calibri"/>
        <family val="2"/>
        <scheme val="minor"/>
      </rPr>
      <t xml:space="preserve">  in nm</t>
    </r>
  </si>
  <si>
    <r>
      <t xml:space="preserve">Traditional values we have always used (e.g., GuiDe documentation) are  scaled by 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-4</t>
    </r>
    <r>
      <rPr>
        <b/>
        <sz val="11"/>
        <color theme="1"/>
        <rFont val="Calibri"/>
        <family val="2"/>
        <scheme val="minor"/>
      </rPr>
      <t xml:space="preserve"> from a 632.8 nm result, probably Kaye &amp; McDaniel. </t>
    </r>
  </si>
  <si>
    <r>
      <t xml:space="preserve">These traditional values assume a 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vertAlign val="superscript"/>
        <sz val="11"/>
        <color theme="1"/>
        <rFont val="Calibri"/>
        <family val="2"/>
        <scheme val="minor"/>
      </rPr>
      <t>-4</t>
    </r>
    <r>
      <rPr>
        <b/>
        <sz val="11"/>
        <color theme="1"/>
        <rFont val="Calibri"/>
        <family val="2"/>
        <scheme val="minor"/>
      </rPr>
      <t xml:space="preserve"> dependence. The wavelength dependence was re-examined to account for </t>
    </r>
  </si>
  <si>
    <r>
      <t>Optical constant K/cm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.mol.g</t>
    </r>
    <r>
      <rPr>
        <b/>
        <vertAlign val="superscript"/>
        <sz val="11"/>
        <color theme="1"/>
        <rFont val="Calibri"/>
        <family val="2"/>
        <scheme val="minor"/>
      </rPr>
      <t>-2</t>
    </r>
  </si>
  <si>
    <t>Taken from Conc1 Sheet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</si>
  <si>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(if avail from DLS)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</si>
</sst>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"/>
    <numFmt numFmtId="166" formatCode="0.0"/>
    <numFmt numFmtId="167" formatCode="[$-409]d\-mmm\-yy;@"/>
    <numFmt numFmtId="168" formatCode="0.000E+00"/>
    <numFmt numFmtId="172" formatCode="0.0000"/>
    <numFmt numFmtId="174" formatCode="[$-409]mmmm\ d\,\ yyyy;@"/>
  </numFmts>
  <fonts count="5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b/>
      <sz val="11"/>
      <color indexed="8"/>
      <name val="Script MT Bold"/>
      <family val="4"/>
    </font>
    <font>
      <sz val="8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99"/>
      <name val="Calibri"/>
      <family val="2"/>
    </font>
    <font>
      <b/>
      <u/>
      <sz val="11"/>
      <color rgb="FFFFFF99"/>
      <name val="Calibri"/>
      <family val="2"/>
    </font>
    <font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rgb="FF0000FF"/>
      <name val="Symbol"/>
      <family val="1"/>
      <charset val="2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 "/>
    </font>
    <font>
      <sz val="10"/>
      <color theme="1"/>
      <name val="Symbol"/>
      <family val="1"/>
      <charset val="2"/>
    </font>
    <font>
      <sz val="11"/>
      <color theme="1"/>
      <name val="Colonna MT"/>
      <family val="5"/>
    </font>
    <font>
      <sz val="11"/>
      <color theme="1"/>
      <name val="Calibri"/>
      <family val="5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1"/>
      <color theme="1"/>
      <name val="Calibri  "/>
    </font>
    <font>
      <sz val="11"/>
      <color theme="1"/>
      <name val="Calibri  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rgb="FF222222"/>
      <name val="Arial"/>
      <family val="2"/>
    </font>
    <font>
      <sz val="10"/>
      <color theme="1"/>
      <name val="Calibri"/>
      <family val="1"/>
      <charset val="2"/>
      <scheme val="minor"/>
    </font>
    <font>
      <vertAlign val="subscript"/>
      <sz val="10"/>
      <color theme="1"/>
      <name val="Symbol"/>
      <family val="1"/>
      <charset val="2"/>
    </font>
    <font>
      <sz val="11"/>
      <color rgb="FF000000"/>
      <name val="Calibri"/>
      <family val="2"/>
    </font>
    <font>
      <sz val="11"/>
      <color rgb="FFFFFF9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5"/>
      <scheme val="minor"/>
    </font>
    <font>
      <b/>
      <sz val="14"/>
      <color theme="1"/>
      <name val="Colonna MT"/>
      <family val="5"/>
    </font>
    <font>
      <b/>
      <vertAlign val="subscript"/>
      <sz val="14"/>
      <color theme="1"/>
      <name val="Colonna MT"/>
      <family val="5"/>
    </font>
    <font>
      <b/>
      <vertAlign val="subscript"/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7" fontId="0" fillId="9" borderId="14" xfId="0" applyNumberFormat="1" applyFill="1" applyBorder="1"/>
    <xf numFmtId="15" fontId="0" fillId="9" borderId="14" xfId="0" applyNumberForma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11" fontId="0" fillId="0" borderId="0" xfId="0" applyNumberFormat="1"/>
    <xf numFmtId="0" fontId="0" fillId="0" borderId="10" xfId="0" applyFill="1" applyBorder="1"/>
    <xf numFmtId="0" fontId="0" fillId="0" borderId="0" xfId="0" applyAlignment="1">
      <alignment horizontal="right" vertical="center"/>
    </xf>
    <xf numFmtId="0" fontId="0" fillId="10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165" fontId="0" fillId="10" borderId="1" xfId="0" applyNumberFormat="1" applyFill="1" applyBorder="1"/>
    <xf numFmtId="166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13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64" fontId="0" fillId="14" borderId="1" xfId="0" applyNumberFormat="1" applyFill="1" applyBorder="1"/>
    <xf numFmtId="0" fontId="14" fillId="0" borderId="1" xfId="0" applyFont="1" applyBorder="1"/>
    <xf numFmtId="0" fontId="14" fillId="12" borderId="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7" fillId="12" borderId="1" xfId="0" applyFont="1" applyFill="1" applyBorder="1" applyAlignment="1">
      <alignment horizontal="center"/>
    </xf>
    <xf numFmtId="0" fontId="0" fillId="0" borderId="18" xfId="0" applyBorder="1"/>
    <xf numFmtId="0" fontId="14" fillId="0" borderId="19" xfId="0" applyFont="1" applyBorder="1"/>
    <xf numFmtId="0" fontId="14" fillId="13" borderId="1" xfId="0" applyFont="1" applyFill="1" applyBorder="1" applyAlignment="1">
      <alignment horizontal="center"/>
    </xf>
    <xf numFmtId="0" fontId="14" fillId="13" borderId="1" xfId="0" applyFont="1" applyFill="1" applyBorder="1"/>
    <xf numFmtId="0" fontId="0" fillId="12" borderId="1" xfId="0" applyFill="1" applyBorder="1" applyAlignment="1">
      <alignment horizontal="left"/>
    </xf>
    <xf numFmtId="0" fontId="0" fillId="12" borderId="20" xfId="0" applyFill="1" applyBorder="1" applyAlignment="1">
      <alignment horizontal="left"/>
    </xf>
    <xf numFmtId="0" fontId="0" fillId="12" borderId="21" xfId="0" applyFill="1" applyBorder="1" applyAlignment="1">
      <alignment horizontal="left"/>
    </xf>
    <xf numFmtId="0" fontId="0" fillId="12" borderId="22" xfId="0" applyFill="1" applyBorder="1" applyAlignment="1">
      <alignment horizontal="left"/>
    </xf>
    <xf numFmtId="0" fontId="0" fillId="12" borderId="23" xfId="0" applyFill="1" applyBorder="1" applyAlignment="1">
      <alignment horizontal="left"/>
    </xf>
    <xf numFmtId="0" fontId="0" fillId="12" borderId="24" xfId="0" applyFill="1" applyBorder="1" applyAlignment="1">
      <alignment horizontal="left"/>
    </xf>
    <xf numFmtId="0" fontId="0" fillId="12" borderId="25" xfId="0" applyFill="1" applyBorder="1" applyAlignment="1">
      <alignment horizontal="left"/>
    </xf>
    <xf numFmtId="0" fontId="0" fillId="12" borderId="26" xfId="0" applyFill="1" applyBorder="1" applyAlignment="1">
      <alignment horizontal="left"/>
    </xf>
    <xf numFmtId="0" fontId="0" fillId="12" borderId="27" xfId="0" applyFill="1" applyBorder="1" applyAlignment="1">
      <alignment horizontal="left"/>
    </xf>
    <xf numFmtId="11" fontId="0" fillId="13" borderId="1" xfId="0" applyNumberFormat="1" applyFill="1" applyBorder="1"/>
    <xf numFmtId="2" fontId="0" fillId="13" borderId="1" xfId="0" applyNumberFormat="1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12" xfId="0" applyFill="1" applyBorder="1"/>
    <xf numFmtId="0" fontId="0" fillId="13" borderId="23" xfId="0" quotePrefix="1" applyFill="1" applyBorder="1"/>
    <xf numFmtId="0" fontId="0" fillId="13" borderId="7" xfId="0" applyFill="1" applyBorder="1"/>
    <xf numFmtId="0" fontId="0" fillId="13" borderId="23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27" xfId="0" applyFill="1" applyBorder="1"/>
    <xf numFmtId="0" fontId="0" fillId="13" borderId="28" xfId="0" applyFill="1" applyBorder="1"/>
    <xf numFmtId="0" fontId="0" fillId="12" borderId="12" xfId="0" applyFill="1" applyBorder="1" applyAlignment="1">
      <alignment horizontal="left"/>
    </xf>
    <xf numFmtId="0" fontId="0" fillId="12" borderId="31" xfId="0" applyFill="1" applyBorder="1" applyAlignment="1">
      <alignment horizontal="left"/>
    </xf>
    <xf numFmtId="0" fontId="14" fillId="12" borderId="30" xfId="0" applyFont="1" applyFill="1" applyBorder="1" applyAlignment="1">
      <alignment horizontal="left"/>
    </xf>
    <xf numFmtId="0" fontId="14" fillId="13" borderId="11" xfId="0" applyFont="1" applyFill="1" applyBorder="1"/>
    <xf numFmtId="0" fontId="0" fillId="15" borderId="28" xfId="0" applyFill="1" applyBorder="1"/>
    <xf numFmtId="0" fontId="0" fillId="15" borderId="12" xfId="0" applyFill="1" applyBorder="1"/>
    <xf numFmtId="0" fontId="0" fillId="15" borderId="23" xfId="0" applyFill="1" applyBorder="1"/>
    <xf numFmtId="0" fontId="0" fillId="15" borderId="23" xfId="0" quotePrefix="1" applyFill="1" applyBorder="1"/>
    <xf numFmtId="11" fontId="0" fillId="15" borderId="1" xfId="0" applyNumberFormat="1" applyFill="1" applyBorder="1"/>
    <xf numFmtId="2" fontId="0" fillId="15" borderId="1" xfId="0" applyNumberFormat="1" applyFill="1" applyBorder="1"/>
    <xf numFmtId="0" fontId="0" fillId="15" borderId="24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0" xfId="0" applyFill="1" applyBorder="1"/>
    <xf numFmtId="0" fontId="0" fillId="15" borderId="21" xfId="0" applyFill="1" applyBorder="1"/>
    <xf numFmtId="0" fontId="14" fillId="15" borderId="11" xfId="0" applyFont="1" applyFill="1" applyBorder="1"/>
    <xf numFmtId="0" fontId="0" fillId="15" borderId="22" xfId="0" applyFill="1" applyBorder="1"/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5" fontId="0" fillId="9" borderId="17" xfId="0" applyNumberFormat="1" applyFont="1" applyFill="1" applyBorder="1"/>
    <xf numFmtId="166" fontId="0" fillId="0" borderId="4" xfId="0" applyNumberFormat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7" fillId="5" borderId="28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left"/>
    </xf>
    <xf numFmtId="0" fontId="0" fillId="11" borderId="0" xfId="0" applyFill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21" fontId="22" fillId="0" borderId="0" xfId="0" applyNumberFormat="1" applyFont="1" applyAlignment="1">
      <alignment vertical="center"/>
    </xf>
    <xf numFmtId="14" fontId="22" fillId="0" borderId="0" xfId="0" applyNumberFormat="1" applyFont="1" applyAlignment="1">
      <alignment vertical="center"/>
    </xf>
    <xf numFmtId="0" fontId="24" fillId="0" borderId="0" xfId="0" applyFont="1"/>
    <xf numFmtId="0" fontId="14" fillId="0" borderId="0" xfId="0" applyFont="1" applyBorder="1"/>
    <xf numFmtId="0" fontId="0" fillId="17" borderId="0" xfId="0" applyFill="1"/>
    <xf numFmtId="0" fontId="22" fillId="17" borderId="0" xfId="0" applyFont="1" applyFill="1" applyAlignment="1">
      <alignment vertical="center"/>
    </xf>
    <xf numFmtId="0" fontId="23" fillId="0" borderId="0" xfId="0" applyFont="1"/>
    <xf numFmtId="0" fontId="0" fillId="18" borderId="0" xfId="0" applyFill="1"/>
    <xf numFmtId="0" fontId="26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168" fontId="0" fillId="0" borderId="0" xfId="0" applyNumberFormat="1"/>
    <xf numFmtId="0" fontId="0" fillId="0" borderId="0" xfId="0" applyAlignment="1">
      <alignment horizontal="right"/>
    </xf>
    <xf numFmtId="0" fontId="31" fillId="0" borderId="0" xfId="0" applyFont="1"/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quotePrefix="1"/>
    <xf numFmtId="0" fontId="35" fillId="0" borderId="0" xfId="0" applyFont="1"/>
    <xf numFmtId="2" fontId="0" fillId="0" borderId="0" xfId="0" applyNumberFormat="1"/>
    <xf numFmtId="0" fontId="38" fillId="0" borderId="0" xfId="0" applyFont="1" applyAlignment="1">
      <alignment horizontal="right"/>
    </xf>
    <xf numFmtId="0" fontId="0" fillId="0" borderId="34" xfId="0" applyBorder="1"/>
    <xf numFmtId="0" fontId="14" fillId="21" borderId="20" xfId="0" applyFont="1" applyFill="1" applyBorder="1"/>
    <xf numFmtId="0" fontId="0" fillId="21" borderId="21" xfId="0" applyFill="1" applyBorder="1"/>
    <xf numFmtId="0" fontId="0" fillId="21" borderId="28" xfId="0" applyFill="1" applyBorder="1"/>
    <xf numFmtId="0" fontId="0" fillId="21" borderId="12" xfId="0" applyFill="1" applyBorder="1"/>
    <xf numFmtId="0" fontId="0" fillId="21" borderId="23" xfId="0" applyFill="1" applyBorder="1"/>
    <xf numFmtId="0" fontId="0" fillId="21" borderId="2" xfId="0" applyFill="1" applyBorder="1"/>
    <xf numFmtId="0" fontId="0" fillId="21" borderId="35" xfId="0" applyFill="1" applyBorder="1"/>
    <xf numFmtId="0" fontId="0" fillId="21" borderId="1" xfId="0" applyFill="1" applyBorder="1"/>
    <xf numFmtId="166" fontId="0" fillId="21" borderId="4" xfId="0" applyNumberFormat="1" applyFill="1" applyBorder="1" applyAlignment="1">
      <alignment horizontal="center"/>
    </xf>
    <xf numFmtId="0" fontId="0" fillId="21" borderId="24" xfId="0" applyFill="1" applyBorder="1"/>
    <xf numFmtId="1" fontId="0" fillId="21" borderId="1" xfId="0" applyNumberFormat="1" applyFill="1" applyBorder="1" applyAlignment="1">
      <alignment horizontal="center"/>
    </xf>
    <xf numFmtId="2" fontId="0" fillId="21" borderId="1" xfId="0" applyNumberFormat="1" applyFill="1" applyBorder="1" applyAlignment="1">
      <alignment horizontal="center"/>
    </xf>
    <xf numFmtId="0" fontId="0" fillId="21" borderId="25" xfId="0" applyFill="1" applyBorder="1"/>
    <xf numFmtId="0" fontId="0" fillId="21" borderId="26" xfId="0" applyFill="1" applyBorder="1"/>
    <xf numFmtId="165" fontId="0" fillId="21" borderId="26" xfId="0" applyNumberFormat="1" applyFill="1" applyBorder="1" applyAlignment="1">
      <alignment horizontal="center"/>
    </xf>
    <xf numFmtId="0" fontId="0" fillId="21" borderId="27" xfId="0" applyFill="1" applyBorder="1"/>
    <xf numFmtId="0" fontId="0" fillId="0" borderId="0" xfId="0" applyAlignment="1">
      <alignment horizontal="center"/>
    </xf>
    <xf numFmtId="0" fontId="0" fillId="9" borderId="16" xfId="0" applyFill="1" applyBorder="1" applyAlignment="1">
      <alignment horizontal="center"/>
    </xf>
    <xf numFmtId="0" fontId="1" fillId="20" borderId="36" xfId="0" applyFont="1" applyFill="1" applyBorder="1"/>
    <xf numFmtId="0" fontId="14" fillId="0" borderId="37" xfId="0" applyFont="1" applyBorder="1"/>
    <xf numFmtId="0" fontId="0" fillId="0" borderId="37" xfId="0" applyBorder="1"/>
    <xf numFmtId="0" fontId="0" fillId="0" borderId="14" xfId="0" applyBorder="1"/>
    <xf numFmtId="0" fontId="0" fillId="20" borderId="36" xfId="0" applyFill="1" applyBorder="1"/>
    <xf numFmtId="0" fontId="14" fillId="0" borderId="36" xfId="0" applyFont="1" applyBorder="1"/>
    <xf numFmtId="0" fontId="41" fillId="0" borderId="0" xfId="0" applyFont="1" applyFill="1" applyBorder="1"/>
    <xf numFmtId="0" fontId="41" fillId="0" borderId="36" xfId="0" applyFont="1" applyFill="1" applyBorder="1"/>
    <xf numFmtId="0" fontId="14" fillId="0" borderId="13" xfId="0" applyFont="1" applyBorder="1"/>
    <xf numFmtId="0" fontId="0" fillId="13" borderId="1" xfId="0" applyFill="1" applyBorder="1"/>
    <xf numFmtId="0" fontId="0" fillId="16" borderId="1" xfId="0" applyFill="1" applyBorder="1"/>
    <xf numFmtId="0" fontId="0" fillId="19" borderId="1" xfId="0" applyFont="1" applyFill="1" applyBorder="1"/>
    <xf numFmtId="0" fontId="0" fillId="9" borderId="1" xfId="0" applyFill="1" applyBorder="1"/>
    <xf numFmtId="11" fontId="0" fillId="10" borderId="1" xfId="0" applyNumberFormat="1" applyFill="1" applyBorder="1"/>
    <xf numFmtId="0" fontId="0" fillId="22" borderId="1" xfId="0" applyFill="1" applyBorder="1"/>
    <xf numFmtId="0" fontId="0" fillId="22" borderId="1" xfId="0" applyFill="1" applyBorder="1" applyAlignment="1">
      <alignment horizontal="left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0" fillId="11" borderId="13" xfId="0" applyFill="1" applyBorder="1"/>
    <xf numFmtId="0" fontId="1" fillId="0" borderId="1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72" fontId="0" fillId="0" borderId="0" xfId="0" applyNumberFormat="1"/>
    <xf numFmtId="0" fontId="45" fillId="0" borderId="0" xfId="0" applyFont="1"/>
    <xf numFmtId="0" fontId="14" fillId="0" borderId="10" xfId="0" applyFont="1" applyFill="1" applyBorder="1"/>
    <xf numFmtId="0" fontId="14" fillId="0" borderId="1" xfId="0" applyFont="1" applyBorder="1" applyAlignment="1">
      <alignment horizontal="left"/>
    </xf>
    <xf numFmtId="168" fontId="0" fillId="10" borderId="1" xfId="0" applyNumberFormat="1" applyFill="1" applyBorder="1"/>
    <xf numFmtId="0" fontId="7" fillId="11" borderId="12" xfId="0" applyFont="1" applyFill="1" applyBorder="1"/>
    <xf numFmtId="0" fontId="7" fillId="11" borderId="6" xfId="0" applyFont="1" applyFill="1" applyBorder="1"/>
    <xf numFmtId="0" fontId="7" fillId="11" borderId="7" xfId="0" applyFont="1" applyFill="1" applyBorder="1"/>
    <xf numFmtId="174" fontId="0" fillId="9" borderId="14" xfId="0" applyNumberFormat="1" applyFill="1" applyBorder="1"/>
    <xf numFmtId="0" fontId="50" fillId="11" borderId="11" xfId="0" applyFont="1" applyFill="1" applyBorder="1"/>
    <xf numFmtId="0" fontId="0" fillId="11" borderId="14" xfId="0" applyFill="1" applyBorder="1"/>
    <xf numFmtId="174" fontId="0" fillId="11" borderId="14" xfId="0" applyNumberFormat="1" applyFill="1" applyBorder="1" applyAlignment="1">
      <alignment horizontal="left"/>
    </xf>
    <xf numFmtId="0" fontId="0" fillId="11" borderId="17" xfId="0" applyFill="1" applyBorder="1"/>
    <xf numFmtId="0" fontId="0" fillId="11" borderId="15" xfId="0" applyFill="1" applyBorder="1"/>
    <xf numFmtId="0" fontId="0" fillId="11" borderId="17" xfId="0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44" fillId="2" borderId="1" xfId="0" applyFont="1" applyFill="1" applyBorder="1"/>
    <xf numFmtId="0" fontId="44" fillId="3" borderId="7" xfId="0" applyFont="1" applyFill="1" applyBorder="1"/>
    <xf numFmtId="0" fontId="44" fillId="3" borderId="9" xfId="0" applyFont="1" applyFill="1" applyBorder="1"/>
    <xf numFmtId="0" fontId="51" fillId="3" borderId="7" xfId="0" applyFont="1" applyFill="1" applyBorder="1"/>
    <xf numFmtId="0" fontId="5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Guinier plot, Diode &amp; APD detectors</a:t>
            </a:r>
          </a:p>
        </c:rich>
      </c:tx>
      <c:layout>
        <c:manualLayout>
          <c:xMode val="edge"/>
          <c:yMode val="edge"/>
          <c:x val="1.684133257898213E-2"/>
          <c:y val="1.0009529319037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1032555056875893E-2"/>
                  <c:y val="1.0607325461425973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'Guinier+SphereFit1'!$F$7:$F$22</c:f>
              <c:numCache>
                <c:formatCode>General</c:formatCode>
                <c:ptCount val="16"/>
                <c:pt idx="0">
                  <c:v>0.28628093142053257</c:v>
                </c:pt>
                <c:pt idx="1">
                  <c:v>0.44022157570604104</c:v>
                </c:pt>
                <c:pt idx="2">
                  <c:v>0.57147484768024681</c:v>
                </c:pt>
                <c:pt idx="3">
                  <c:v>1.0555329732261189</c:v>
                </c:pt>
                <c:pt idx="4">
                  <c:v>1.3434375692589569</c:v>
                </c:pt>
                <c:pt idx="5">
                  <c:v>1.7125638542325015</c:v>
                </c:pt>
                <c:pt idx="6">
                  <c:v>2.1122260085135278</c:v>
                </c:pt>
                <c:pt idx="7">
                  <c:v>2.5987131315953915</c:v>
                </c:pt>
                <c:pt idx="8">
                  <c:v>3.1725596942550371</c:v>
                </c:pt>
                <c:pt idx="9">
                  <c:v>3.7608929748491216</c:v>
                </c:pt>
                <c:pt idx="10">
                  <c:v>4.349226255443206</c:v>
                </c:pt>
                <c:pt idx="11">
                  <c:v>5.4683026559678263</c:v>
                </c:pt>
                <c:pt idx="12">
                  <c:v>5.971490400915803</c:v>
                </c:pt>
                <c:pt idx="13">
                  <c:v>6.3734287602285056</c:v>
                </c:pt>
                <c:pt idx="14">
                  <c:v>6.6836557617250101</c:v>
                </c:pt>
                <c:pt idx="15">
                  <c:v>6.9150432220477915</c:v>
                </c:pt>
              </c:numCache>
            </c:numRef>
          </c:xVal>
          <c:yVal>
            <c:numRef>
              <c:f>'Guinier+SphereFit1'!$H$7:$H$22</c:f>
              <c:numCache>
                <c:formatCode>General</c:formatCode>
                <c:ptCount val="16"/>
                <c:pt idx="0">
                  <c:v>0.63540754909081176</c:v>
                </c:pt>
                <c:pt idx="1">
                  <c:v>1.1163806731254957</c:v>
                </c:pt>
                <c:pt idx="2">
                  <c:v>0.85809125875157166</c:v>
                </c:pt>
                <c:pt idx="3">
                  <c:v>-2.7704485299748627</c:v>
                </c:pt>
                <c:pt idx="4">
                  <c:v>-2.4819459629698319</c:v>
                </c:pt>
                <c:pt idx="5">
                  <c:v>0.5407215066771428</c:v>
                </c:pt>
                <c:pt idx="6">
                  <c:v>-2.6312506421069708</c:v>
                </c:pt>
                <c:pt idx="7">
                  <c:v>0.62872555730748803</c:v>
                </c:pt>
                <c:pt idx="8">
                  <c:v>-2.7320754885725167</c:v>
                </c:pt>
                <c:pt idx="9">
                  <c:v>0.73674092784723699</c:v>
                </c:pt>
                <c:pt idx="10">
                  <c:v>-2.3464985192097245</c:v>
                </c:pt>
                <c:pt idx="11">
                  <c:v>-2.3091077548648475</c:v>
                </c:pt>
                <c:pt idx="12">
                  <c:v>0.48272469261720852</c:v>
                </c:pt>
                <c:pt idx="13">
                  <c:v>-2.6075030264198276</c:v>
                </c:pt>
                <c:pt idx="14">
                  <c:v>1.0985145135505359</c:v>
                </c:pt>
                <c:pt idx="15">
                  <c:v>-2.3744622247654124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9-40C9-AE62-615D241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q</a:t>
                </a:r>
                <a:r>
                  <a:rPr lang="en-US" sz="1400" b="0" i="0" u="none" strike="noStrike" baseline="30000">
                    <a:solidFill>
                      <a:sysClr val="windowText" lastClr="000000"/>
                    </a:solidFill>
                    <a:latin typeface="Calibri"/>
                  </a:rPr>
                  <a:t>2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/nm</a:t>
                </a:r>
                <a:r>
                  <a:rPr lang="en-US" sz="1400" b="0" i="0" u="none" strike="noStrike" baseline="30000">
                    <a:solidFill>
                      <a:sysClr val="windowText" lastClr="000000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53162913388271171"/>
              <c:y val="1.7720481667841112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4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layout>
            <c:manualLayout>
              <c:xMode val="edge"/>
              <c:yMode val="edge"/>
              <c:x val="8.9726141093454236E-3"/>
              <c:y val="0.431585161134227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'Guinier+SphereFit1'!$D$7:$D$22</c:f>
              <c:numCache>
                <c:formatCode>General</c:formatCode>
                <c:ptCount val="16"/>
                <c:pt idx="0">
                  <c:v>53505.226980224332</c:v>
                </c:pt>
                <c:pt idx="1">
                  <c:v>66349.195602210661</c:v>
                </c:pt>
                <c:pt idx="2">
                  <c:v>75595.955426216213</c:v>
                </c:pt>
                <c:pt idx="3">
                  <c:v>102739.13437566617</c:v>
                </c:pt>
                <c:pt idx="4">
                  <c:v>115906.75430098787</c:v>
                </c:pt>
                <c:pt idx="5">
                  <c:v>130864.96300509552</c:v>
                </c:pt>
                <c:pt idx="6">
                  <c:v>145334.99263816432</c:v>
                </c:pt>
                <c:pt idx="7">
                  <c:v>161205.2459318676</c:v>
                </c:pt>
                <c:pt idx="8">
                  <c:v>178116.80701873807</c:v>
                </c:pt>
                <c:pt idx="9">
                  <c:v>193930.21876048925</c:v>
                </c:pt>
                <c:pt idx="10">
                  <c:v>208547.98621524032</c:v>
                </c:pt>
                <c:pt idx="11">
                  <c:v>233844.02186003872</c:v>
                </c:pt>
                <c:pt idx="12">
                  <c:v>244366.33157855037</c:v>
                </c:pt>
                <c:pt idx="13">
                  <c:v>252456.50635760027</c:v>
                </c:pt>
                <c:pt idx="14">
                  <c:v>258527.67282681772</c:v>
                </c:pt>
                <c:pt idx="15">
                  <c:v>262964.69766962621</c:v>
                </c:pt>
              </c:numCache>
            </c:numRef>
          </c:xVal>
          <c:yVal>
            <c:numRef>
              <c:f>'Guinier+SphereFit1'!$G$7:$G$22</c:f>
              <c:numCache>
                <c:formatCode>General</c:formatCode>
                <c:ptCount val="16"/>
                <c:pt idx="0">
                  <c:v>1.887791352351784</c:v>
                </c:pt>
                <c:pt idx="1">
                  <c:v>3.0537815439825073</c:v>
                </c:pt>
                <c:pt idx="2">
                  <c:v>2.3586543335190044</c:v>
                </c:pt>
                <c:pt idx="3">
                  <c:v>6.2633905256943095E-2</c:v>
                </c:pt>
                <c:pt idx="4">
                  <c:v>8.3580422831665696E-2</c:v>
                </c:pt>
                <c:pt idx="5">
                  <c:v>1.7172454193538516</c:v>
                </c:pt>
                <c:pt idx="6">
                  <c:v>7.1988374224558796E-2</c:v>
                </c:pt>
                <c:pt idx="7">
                  <c:v>1.8752191963461335</c:v>
                </c:pt>
                <c:pt idx="8">
                  <c:v>6.5084068151610414E-2</c:v>
                </c:pt>
                <c:pt idx="9">
                  <c:v>2.089115828385935</c:v>
                </c:pt>
                <c:pt idx="10">
                  <c:v>9.5703680818486445E-2</c:v>
                </c:pt>
                <c:pt idx="11">
                  <c:v>9.9349856451222421E-2</c:v>
                </c:pt>
                <c:pt idx="12">
                  <c:v>1.6204837124651064</c:v>
                </c:pt>
                <c:pt idx="13">
                  <c:v>7.3718387006404235E-2</c:v>
                </c:pt>
                <c:pt idx="14">
                  <c:v>2.9997066889867718</c:v>
                </c:pt>
                <c:pt idx="15">
                  <c:v>9.3064523551827746E-2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4C52-AFAC-2B744F03BFFA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'Guinier+SphereFit1'!$B$30:$B$79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'Guinier+SphereFit1'!$F$30:$F$79</c:f>
              <c:numCache>
                <c:formatCode>General</c:formatCode>
                <c:ptCount val="50"/>
                <c:pt idx="0">
                  <c:v>1.4456708102296651</c:v>
                </c:pt>
                <c:pt idx="1">
                  <c:v>1.4420069628981558</c:v>
                </c:pt>
                <c:pt idx="2">
                  <c:v>1.4374334765185786</c:v>
                </c:pt>
                <c:pt idx="3">
                  <c:v>1.4310514830196617</c:v>
                </c:pt>
                <c:pt idx="4">
                  <c:v>1.422881752064294</c:v>
                </c:pt>
                <c:pt idx="5">
                  <c:v>1.4129508200247456</c:v>
                </c:pt>
                <c:pt idx="6">
                  <c:v>1.401290865701295</c:v>
                </c:pt>
                <c:pt idx="7">
                  <c:v>1.3879395598878199</c:v>
                </c:pt>
                <c:pt idx="8">
                  <c:v>1.3729398896488623</c:v>
                </c:pt>
                <c:pt idx="9">
                  <c:v>1.3563399583155451</c:v>
                </c:pt>
                <c:pt idx="10">
                  <c:v>1.3381927623450272</c:v>
                </c:pt>
                <c:pt idx="11">
                  <c:v>1.3185559463174821</c:v>
                </c:pt>
                <c:pt idx="12">
                  <c:v>1.2974915374657905</c:v>
                </c:pt>
                <c:pt idx="13">
                  <c:v>1.2750656612451015</c:v>
                </c:pt>
                <c:pt idx="14">
                  <c:v>1.2513482395516169</c:v>
                </c:pt>
                <c:pt idx="15">
                  <c:v>1.2264126732918315</c:v>
                </c:pt>
                <c:pt idx="16">
                  <c:v>1.2003355110840861</c:v>
                </c:pt>
                <c:pt idx="17">
                  <c:v>1.1731961059436939</c:v>
                </c:pt>
                <c:pt idx="18">
                  <c:v>1.1450762618602175</c:v>
                </c:pt>
                <c:pt idx="19">
                  <c:v>1.1160598722206938</c:v>
                </c:pt>
                <c:pt idx="20">
                  <c:v>1.0862325520653473</c:v>
                </c:pt>
                <c:pt idx="21">
                  <c:v>1.0556812661824742</c:v>
                </c:pt>
                <c:pt idx="22">
                  <c:v>1.0244939550567211</c:v>
                </c:pt>
                <c:pt idx="23">
                  <c:v>0.99275916067989733</c:v>
                </c:pt>
                <c:pt idx="24">
                  <c:v>0.96056565421588791</c:v>
                </c:pt>
                <c:pt idx="25">
                  <c:v>0.92800206748137337</c:v>
                </c:pt>
                <c:pt idx="26">
                  <c:v>0.89515653016224606</c:v>
                </c:pt>
                <c:pt idx="27">
                  <c:v>0.86211631463212623</c:v>
                </c:pt>
                <c:pt idx="28">
                  <c:v>0.82896749017476634</c:v>
                </c:pt>
                <c:pt idx="29">
                  <c:v>0.79579458833685179</c:v>
                </c:pt>
                <c:pt idx="30">
                  <c:v>0.76268028105236918</c:v>
                </c:pt>
                <c:pt idx="31">
                  <c:v>0.7297050730850182</c:v>
                </c:pt>
                <c:pt idx="32">
                  <c:v>0.69694701023171413</c:v>
                </c:pt>
                <c:pt idx="33">
                  <c:v>0.66448140461897875</c:v>
                </c:pt>
                <c:pt idx="34">
                  <c:v>0.63238057830561767</c:v>
                </c:pt>
                <c:pt idx="35">
                  <c:v>0.60071362628052749</c:v>
                </c:pt>
                <c:pt idx="36">
                  <c:v>0.56954619981456966</c:v>
                </c:pt>
                <c:pt idx="37">
                  <c:v>0.53894031099118633</c:v>
                </c:pt>
                <c:pt idx="38">
                  <c:v>0.5089541591027138</c:v>
                </c:pt>
                <c:pt idx="39">
                  <c:v>0.47964197945916903</c:v>
                </c:pt>
                <c:pt idx="40">
                  <c:v>0.45105391501459818</c:v>
                </c:pt>
                <c:pt idx="41">
                  <c:v>0.42323591107385833</c:v>
                </c:pt>
                <c:pt idx="42">
                  <c:v>0.39622963320091498</c:v>
                </c:pt>
                <c:pt idx="43">
                  <c:v>0.37007240830932064</c:v>
                </c:pt>
                <c:pt idx="44">
                  <c:v>0.34479718877745208</c:v>
                </c:pt>
                <c:pt idx="45">
                  <c:v>0.3204325392961575</c:v>
                </c:pt>
                <c:pt idx="46">
                  <c:v>0.29700264602566023</c:v>
                </c:pt>
                <c:pt idx="47">
                  <c:v>0.27452734751261521</c:v>
                </c:pt>
                <c:pt idx="48">
                  <c:v>0.25302218669795967</c:v>
                </c:pt>
                <c:pt idx="49">
                  <c:v>0.23249848323234981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7-4C52-AFAC-2B744F03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q/cm</a:t>
                </a:r>
                <a:r>
                  <a:rPr lang="en-US" sz="1400" b="0" i="0" u="none" strike="noStrike" baseline="30000">
                    <a:solidFill>
                      <a:sysClr val="windowText" lastClr="000000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55347381945702334"/>
              <c:y val="1.259865695494906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Guinier plot, ALV APD detectors</a:t>
            </a:r>
          </a:p>
        </c:rich>
      </c:tx>
      <c:layout>
        <c:manualLayout>
          <c:xMode val="edge"/>
          <c:yMode val="edge"/>
          <c:x val="2.0542306940523183E-2"/>
          <c:y val="1.2517237584322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368135920848"/>
          <c:y val="7.4652904345880136E-2"/>
          <c:w val="0.8473154106366203"/>
          <c:h val="0.826412348259735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0.11678638458971426"/>
                  <c:y val="0.39256377813871757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'Guinier+SphereFit1'!$AF$12:$AF$19</c:f>
              <c:numCache>
                <c:formatCode>General</c:formatCode>
                <c:ptCount val="8"/>
                <c:pt idx="0">
                  <c:v>1.0555329732261189</c:v>
                </c:pt>
                <c:pt idx="1">
                  <c:v>1.3434375692589569</c:v>
                </c:pt>
                <c:pt idx="2">
                  <c:v>2.1122260085135278</c:v>
                </c:pt>
                <c:pt idx="3">
                  <c:v>3.1725596942550371</c:v>
                </c:pt>
                <c:pt idx="4">
                  <c:v>4.349226255443206</c:v>
                </c:pt>
                <c:pt idx="5">
                  <c:v>5.4683026559678263</c:v>
                </c:pt>
                <c:pt idx="6">
                  <c:v>6.3734287602285056</c:v>
                </c:pt>
                <c:pt idx="7">
                  <c:v>6.9150432220477915</c:v>
                </c:pt>
              </c:numCache>
            </c:numRef>
          </c:xVal>
          <c:yVal>
            <c:numRef>
              <c:f>'Guinier+SphereFit1'!$AH$12:$AH$19</c:f>
              <c:numCache>
                <c:formatCode>General</c:formatCode>
                <c:ptCount val="8"/>
                <c:pt idx="0">
                  <c:v>-2.7704485299748627</c:v>
                </c:pt>
                <c:pt idx="1">
                  <c:v>-2.4819459629698319</c:v>
                </c:pt>
                <c:pt idx="2">
                  <c:v>-2.6312506421069708</c:v>
                </c:pt>
                <c:pt idx="3">
                  <c:v>-2.7320754885725167</c:v>
                </c:pt>
                <c:pt idx="4">
                  <c:v>-2.3464985192097245</c:v>
                </c:pt>
                <c:pt idx="5">
                  <c:v>-2.3091077548648475</c:v>
                </c:pt>
                <c:pt idx="6">
                  <c:v>-2.6075030264198276</c:v>
                </c:pt>
                <c:pt idx="7">
                  <c:v>-2.3744622247654124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A-492B-90F9-B981F2CF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q</a:t>
                </a:r>
                <a:r>
                  <a:rPr lang="en-US" sz="1400" b="0" i="0" u="none" strike="noStrike" baseline="30000">
                    <a:solidFill>
                      <a:sysClr val="windowText" lastClr="000000"/>
                    </a:solidFill>
                    <a:latin typeface="Calibri"/>
                  </a:rPr>
                  <a:t>2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/nm</a:t>
                </a:r>
                <a:r>
                  <a:rPr lang="en-US" sz="1400" b="0" i="0" u="none" strike="noStrike" baseline="30000">
                    <a:solidFill>
                      <a:sysClr val="windowText" lastClr="000000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5324262481908667"/>
              <c:y val="2.013417648804468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4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99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Guinier plot, Wyatt diode detectors</a:t>
            </a:r>
          </a:p>
        </c:rich>
      </c:tx>
      <c:layout>
        <c:manualLayout>
          <c:xMode val="edge"/>
          <c:yMode val="edge"/>
          <c:x val="2.2761462729386957E-2"/>
          <c:y val="1.0189409961216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1774920739069"/>
          <c:y val="7.4652904345880136E-2"/>
          <c:w val="0.82368130070967549"/>
          <c:h val="0.8095711323793723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9.6111118197899276E-2"/>
                  <c:y val="9.7896846191205117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'Guinier+SphereFit1'!$AY$12:$AY$19</c:f>
              <c:numCache>
                <c:formatCode>General</c:formatCode>
                <c:ptCount val="8"/>
                <c:pt idx="0">
                  <c:v>0.28628093142053257</c:v>
                </c:pt>
                <c:pt idx="1">
                  <c:v>0.44022157570604104</c:v>
                </c:pt>
                <c:pt idx="2">
                  <c:v>0.57147484768024681</c:v>
                </c:pt>
                <c:pt idx="3">
                  <c:v>1.7125638542325015</c:v>
                </c:pt>
                <c:pt idx="4">
                  <c:v>2.5987131315953915</c:v>
                </c:pt>
                <c:pt idx="5">
                  <c:v>3.7608929748491216</c:v>
                </c:pt>
                <c:pt idx="6">
                  <c:v>5.971490400915803</c:v>
                </c:pt>
                <c:pt idx="7">
                  <c:v>6.6836557617250101</c:v>
                </c:pt>
              </c:numCache>
            </c:numRef>
          </c:xVal>
          <c:yVal>
            <c:numRef>
              <c:f>'Guinier+SphereFit1'!$BA$12:$BA$19</c:f>
              <c:numCache>
                <c:formatCode>General</c:formatCode>
                <c:ptCount val="8"/>
                <c:pt idx="0">
                  <c:v>0.63540754909081176</c:v>
                </c:pt>
                <c:pt idx="1">
                  <c:v>1.1163806731254957</c:v>
                </c:pt>
                <c:pt idx="2">
                  <c:v>0.85809125875157166</c:v>
                </c:pt>
                <c:pt idx="3">
                  <c:v>0.5407215066771428</c:v>
                </c:pt>
                <c:pt idx="4">
                  <c:v>0.62872555730748803</c:v>
                </c:pt>
                <c:pt idx="5">
                  <c:v>0.73674092784723699</c:v>
                </c:pt>
                <c:pt idx="6">
                  <c:v>0.48272469261720852</c:v>
                </c:pt>
                <c:pt idx="7">
                  <c:v>1.0985145135505359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D-47FB-8BD9-1CF992FD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Calibri"/>
                  </a:rPr>
                  <a:t>q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latin typeface="Calibri"/>
                  </a:rPr>
                  <a:t>2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Calibri"/>
                  </a:rPr>
                  <a:t>/nm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5441432664938296"/>
              <c:y val="1.51199483058877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Script MT Bold"/>
                  </a:rPr>
                  <a:t>ln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(Intensity)</a:t>
                </a:r>
              </a:p>
            </c:rich>
          </c:tx>
          <c:layout>
            <c:manualLayout>
              <c:xMode val="edge"/>
              <c:yMode val="edge"/>
              <c:x val="3.9728983876253857E-2"/>
              <c:y val="0.41297524826116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Sphere plot, ALV APD detectors</a:t>
            </a:r>
          </a:p>
        </c:rich>
      </c:tx>
      <c:layout>
        <c:manualLayout>
          <c:xMode val="edge"/>
          <c:yMode val="edge"/>
          <c:x val="2.0542180176352426E-2"/>
          <c:y val="1.213535607204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'Guinier+SphereFit1'!$AD$12:$AD$19</c:f>
              <c:numCache>
                <c:formatCode>General</c:formatCode>
                <c:ptCount val="8"/>
                <c:pt idx="0">
                  <c:v>102739.13437566617</c:v>
                </c:pt>
                <c:pt idx="1">
                  <c:v>115906.75430098787</c:v>
                </c:pt>
                <c:pt idx="2">
                  <c:v>145334.99263816432</c:v>
                </c:pt>
                <c:pt idx="3">
                  <c:v>178116.80701873807</c:v>
                </c:pt>
                <c:pt idx="4">
                  <c:v>208547.98621524032</c:v>
                </c:pt>
                <c:pt idx="5">
                  <c:v>233844.02186003872</c:v>
                </c:pt>
                <c:pt idx="6">
                  <c:v>252456.50635760027</c:v>
                </c:pt>
                <c:pt idx="7">
                  <c:v>262964.69766962621</c:v>
                </c:pt>
              </c:numCache>
            </c:numRef>
          </c:xVal>
          <c:yVal>
            <c:numRef>
              <c:f>'Guinier+SphereFit1'!$AG$12:$AG$19</c:f>
              <c:numCache>
                <c:formatCode>General</c:formatCode>
                <c:ptCount val="8"/>
                <c:pt idx="0">
                  <c:v>6.2633905256943095E-2</c:v>
                </c:pt>
                <c:pt idx="1">
                  <c:v>8.3580422831665696E-2</c:v>
                </c:pt>
                <c:pt idx="2">
                  <c:v>7.1988374224558796E-2</c:v>
                </c:pt>
                <c:pt idx="3">
                  <c:v>6.5084068151610414E-2</c:v>
                </c:pt>
                <c:pt idx="4">
                  <c:v>9.5703680818486445E-2</c:v>
                </c:pt>
                <c:pt idx="5">
                  <c:v>9.9349856451222421E-2</c:v>
                </c:pt>
                <c:pt idx="6">
                  <c:v>7.3718387006404235E-2</c:v>
                </c:pt>
                <c:pt idx="7">
                  <c:v>9.3064523551827746E-2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2-4165-A8D1-8C7429F432AB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'Guinier+SphereFit1'!$B$30:$B$79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'Guinier+SphereFit1'!$F$30:$F$79</c:f>
              <c:numCache>
                <c:formatCode>General</c:formatCode>
                <c:ptCount val="50"/>
                <c:pt idx="0">
                  <c:v>1.4456708102296651</c:v>
                </c:pt>
                <c:pt idx="1">
                  <c:v>1.4420069628981558</c:v>
                </c:pt>
                <c:pt idx="2">
                  <c:v>1.4374334765185786</c:v>
                </c:pt>
                <c:pt idx="3">
                  <c:v>1.4310514830196617</c:v>
                </c:pt>
                <c:pt idx="4">
                  <c:v>1.422881752064294</c:v>
                </c:pt>
                <c:pt idx="5">
                  <c:v>1.4129508200247456</c:v>
                </c:pt>
                <c:pt idx="6">
                  <c:v>1.401290865701295</c:v>
                </c:pt>
                <c:pt idx="7">
                  <c:v>1.3879395598878199</c:v>
                </c:pt>
                <c:pt idx="8">
                  <c:v>1.3729398896488623</c:v>
                </c:pt>
                <c:pt idx="9">
                  <c:v>1.3563399583155451</c:v>
                </c:pt>
                <c:pt idx="10">
                  <c:v>1.3381927623450272</c:v>
                </c:pt>
                <c:pt idx="11">
                  <c:v>1.3185559463174821</c:v>
                </c:pt>
                <c:pt idx="12">
                  <c:v>1.2974915374657905</c:v>
                </c:pt>
                <c:pt idx="13">
                  <c:v>1.2750656612451015</c:v>
                </c:pt>
                <c:pt idx="14">
                  <c:v>1.2513482395516169</c:v>
                </c:pt>
                <c:pt idx="15">
                  <c:v>1.2264126732918315</c:v>
                </c:pt>
                <c:pt idx="16">
                  <c:v>1.2003355110840861</c:v>
                </c:pt>
                <c:pt idx="17">
                  <c:v>1.1731961059436939</c:v>
                </c:pt>
                <c:pt idx="18">
                  <c:v>1.1450762618602175</c:v>
                </c:pt>
                <c:pt idx="19">
                  <c:v>1.1160598722206938</c:v>
                </c:pt>
                <c:pt idx="20">
                  <c:v>1.0862325520653473</c:v>
                </c:pt>
                <c:pt idx="21">
                  <c:v>1.0556812661824742</c:v>
                </c:pt>
                <c:pt idx="22">
                  <c:v>1.0244939550567211</c:v>
                </c:pt>
                <c:pt idx="23">
                  <c:v>0.99275916067989733</c:v>
                </c:pt>
                <c:pt idx="24">
                  <c:v>0.96056565421588791</c:v>
                </c:pt>
                <c:pt idx="25">
                  <c:v>0.92800206748137337</c:v>
                </c:pt>
                <c:pt idx="26">
                  <c:v>0.89515653016224606</c:v>
                </c:pt>
                <c:pt idx="27">
                  <c:v>0.86211631463212623</c:v>
                </c:pt>
                <c:pt idx="28">
                  <c:v>0.82896749017476634</c:v>
                </c:pt>
                <c:pt idx="29">
                  <c:v>0.79579458833685179</c:v>
                </c:pt>
                <c:pt idx="30">
                  <c:v>0.76268028105236918</c:v>
                </c:pt>
                <c:pt idx="31">
                  <c:v>0.7297050730850182</c:v>
                </c:pt>
                <c:pt idx="32">
                  <c:v>0.69694701023171413</c:v>
                </c:pt>
                <c:pt idx="33">
                  <c:v>0.66448140461897875</c:v>
                </c:pt>
                <c:pt idx="34">
                  <c:v>0.63238057830561767</c:v>
                </c:pt>
                <c:pt idx="35">
                  <c:v>0.60071362628052749</c:v>
                </c:pt>
                <c:pt idx="36">
                  <c:v>0.56954619981456966</c:v>
                </c:pt>
                <c:pt idx="37">
                  <c:v>0.53894031099118633</c:v>
                </c:pt>
                <c:pt idx="38">
                  <c:v>0.5089541591027138</c:v>
                </c:pt>
                <c:pt idx="39">
                  <c:v>0.47964197945916903</c:v>
                </c:pt>
                <c:pt idx="40">
                  <c:v>0.45105391501459818</c:v>
                </c:pt>
                <c:pt idx="41">
                  <c:v>0.42323591107385833</c:v>
                </c:pt>
                <c:pt idx="42">
                  <c:v>0.39622963320091498</c:v>
                </c:pt>
                <c:pt idx="43">
                  <c:v>0.37007240830932064</c:v>
                </c:pt>
                <c:pt idx="44">
                  <c:v>0.34479718877745208</c:v>
                </c:pt>
                <c:pt idx="45">
                  <c:v>0.3204325392961575</c:v>
                </c:pt>
                <c:pt idx="46">
                  <c:v>0.29700264602566023</c:v>
                </c:pt>
                <c:pt idx="47">
                  <c:v>0.27452734751261521</c:v>
                </c:pt>
                <c:pt idx="48">
                  <c:v>0.25302218669795967</c:v>
                </c:pt>
                <c:pt idx="49">
                  <c:v>0.23249848323234981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2-4165-A8D1-8C7429F4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chemeClr val="tx1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Calibri"/>
                  </a:rPr>
                  <a:t>q/cm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54309028556845951"/>
              <c:y val="2.468163331288696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99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Sphere plot, Wyatt diode detectors</a:t>
            </a:r>
          </a:p>
        </c:rich>
      </c:tx>
      <c:layout>
        <c:manualLayout>
          <c:xMode val="edge"/>
          <c:yMode val="edge"/>
          <c:x val="2.054228477548499E-2"/>
          <c:y val="9.707593492794748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'Guinier+SphereFit1'!$AW$12:$AW$19</c:f>
              <c:numCache>
                <c:formatCode>General</c:formatCode>
                <c:ptCount val="8"/>
                <c:pt idx="0">
                  <c:v>53505.226980224332</c:v>
                </c:pt>
                <c:pt idx="1">
                  <c:v>66349.195602210661</c:v>
                </c:pt>
                <c:pt idx="2">
                  <c:v>75595.955426216213</c:v>
                </c:pt>
                <c:pt idx="3">
                  <c:v>130864.96300509552</c:v>
                </c:pt>
                <c:pt idx="4">
                  <c:v>161205.2459318676</c:v>
                </c:pt>
                <c:pt idx="5">
                  <c:v>193930.21876048925</c:v>
                </c:pt>
                <c:pt idx="6">
                  <c:v>244366.33157855037</c:v>
                </c:pt>
                <c:pt idx="7">
                  <c:v>258527.67282681772</c:v>
                </c:pt>
              </c:numCache>
            </c:numRef>
          </c:xVal>
          <c:yVal>
            <c:numRef>
              <c:f>'Guinier+SphereFit1'!$AZ$12:$AZ$19</c:f>
              <c:numCache>
                <c:formatCode>General</c:formatCode>
                <c:ptCount val="8"/>
                <c:pt idx="0">
                  <c:v>1.887791352351784</c:v>
                </c:pt>
                <c:pt idx="1">
                  <c:v>3.0537815439825073</c:v>
                </c:pt>
                <c:pt idx="2">
                  <c:v>2.3586543335190044</c:v>
                </c:pt>
                <c:pt idx="3">
                  <c:v>1.7172454193538516</c:v>
                </c:pt>
                <c:pt idx="4">
                  <c:v>1.8752191963461335</c:v>
                </c:pt>
                <c:pt idx="5">
                  <c:v>2.089115828385935</c:v>
                </c:pt>
                <c:pt idx="6">
                  <c:v>1.6204837124651064</c:v>
                </c:pt>
                <c:pt idx="7">
                  <c:v>2.9997066889867718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5-4797-A643-87EDC06F620B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'Guinier+SphereFit1'!$B$30:$B$79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'Guinier+SphereFit1'!$F$30:$F$79</c:f>
              <c:numCache>
                <c:formatCode>General</c:formatCode>
                <c:ptCount val="50"/>
                <c:pt idx="0">
                  <c:v>1.4456708102296651</c:v>
                </c:pt>
                <c:pt idx="1">
                  <c:v>1.4420069628981558</c:v>
                </c:pt>
                <c:pt idx="2">
                  <c:v>1.4374334765185786</c:v>
                </c:pt>
                <c:pt idx="3">
                  <c:v>1.4310514830196617</c:v>
                </c:pt>
                <c:pt idx="4">
                  <c:v>1.422881752064294</c:v>
                </c:pt>
                <c:pt idx="5">
                  <c:v>1.4129508200247456</c:v>
                </c:pt>
                <c:pt idx="6">
                  <c:v>1.401290865701295</c:v>
                </c:pt>
                <c:pt idx="7">
                  <c:v>1.3879395598878199</c:v>
                </c:pt>
                <c:pt idx="8">
                  <c:v>1.3729398896488623</c:v>
                </c:pt>
                <c:pt idx="9">
                  <c:v>1.3563399583155451</c:v>
                </c:pt>
                <c:pt idx="10">
                  <c:v>1.3381927623450272</c:v>
                </c:pt>
                <c:pt idx="11">
                  <c:v>1.3185559463174821</c:v>
                </c:pt>
                <c:pt idx="12">
                  <c:v>1.2974915374657905</c:v>
                </c:pt>
                <c:pt idx="13">
                  <c:v>1.2750656612451015</c:v>
                </c:pt>
                <c:pt idx="14">
                  <c:v>1.2513482395516169</c:v>
                </c:pt>
                <c:pt idx="15">
                  <c:v>1.2264126732918315</c:v>
                </c:pt>
                <c:pt idx="16">
                  <c:v>1.2003355110840861</c:v>
                </c:pt>
                <c:pt idx="17">
                  <c:v>1.1731961059436939</c:v>
                </c:pt>
                <c:pt idx="18">
                  <c:v>1.1450762618602175</c:v>
                </c:pt>
                <c:pt idx="19">
                  <c:v>1.1160598722206938</c:v>
                </c:pt>
                <c:pt idx="20">
                  <c:v>1.0862325520653473</c:v>
                </c:pt>
                <c:pt idx="21">
                  <c:v>1.0556812661824742</c:v>
                </c:pt>
                <c:pt idx="22">
                  <c:v>1.0244939550567211</c:v>
                </c:pt>
                <c:pt idx="23">
                  <c:v>0.99275916067989733</c:v>
                </c:pt>
                <c:pt idx="24">
                  <c:v>0.96056565421588791</c:v>
                </c:pt>
                <c:pt idx="25">
                  <c:v>0.92800206748137337</c:v>
                </c:pt>
                <c:pt idx="26">
                  <c:v>0.89515653016224606</c:v>
                </c:pt>
                <c:pt idx="27">
                  <c:v>0.86211631463212623</c:v>
                </c:pt>
                <c:pt idx="28">
                  <c:v>0.82896749017476634</c:v>
                </c:pt>
                <c:pt idx="29">
                  <c:v>0.79579458833685179</c:v>
                </c:pt>
                <c:pt idx="30">
                  <c:v>0.76268028105236918</c:v>
                </c:pt>
                <c:pt idx="31">
                  <c:v>0.7297050730850182</c:v>
                </c:pt>
                <c:pt idx="32">
                  <c:v>0.69694701023171413</c:v>
                </c:pt>
                <c:pt idx="33">
                  <c:v>0.66448140461897875</c:v>
                </c:pt>
                <c:pt idx="34">
                  <c:v>0.63238057830561767</c:v>
                </c:pt>
                <c:pt idx="35">
                  <c:v>0.60071362628052749</c:v>
                </c:pt>
                <c:pt idx="36">
                  <c:v>0.56954619981456966</c:v>
                </c:pt>
                <c:pt idx="37">
                  <c:v>0.53894031099118633</c:v>
                </c:pt>
                <c:pt idx="38">
                  <c:v>0.5089541591027138</c:v>
                </c:pt>
                <c:pt idx="39">
                  <c:v>0.47964197945916903</c:v>
                </c:pt>
                <c:pt idx="40">
                  <c:v>0.45105391501459818</c:v>
                </c:pt>
                <c:pt idx="41">
                  <c:v>0.42323591107385833</c:v>
                </c:pt>
                <c:pt idx="42">
                  <c:v>0.39622963320091498</c:v>
                </c:pt>
                <c:pt idx="43">
                  <c:v>0.37007240830932064</c:v>
                </c:pt>
                <c:pt idx="44">
                  <c:v>0.34479718877745208</c:v>
                </c:pt>
                <c:pt idx="45">
                  <c:v>0.3204325392961575</c:v>
                </c:pt>
                <c:pt idx="46">
                  <c:v>0.29700264602566023</c:v>
                </c:pt>
                <c:pt idx="47">
                  <c:v>0.27452734751261521</c:v>
                </c:pt>
                <c:pt idx="48">
                  <c:v>0.25302218669795967</c:v>
                </c:pt>
                <c:pt idx="49">
                  <c:v>0.23249848323234981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5-4797-A643-87EDC06F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Calibri"/>
                  </a:rPr>
                  <a:t>q/cm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54804355655138448"/>
              <c:y val="1.748009979668107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ZimmPrep!$F$70:$F$86</c:f>
              <c:numCache>
                <c:formatCode>0.000E+00</c:formatCode>
                <c:ptCount val="17"/>
                <c:pt idx="0">
                  <c:v>2862809314.3053255</c:v>
                </c:pt>
                <c:pt idx="1">
                  <c:v>4402215757.1604109</c:v>
                </c:pt>
                <c:pt idx="2">
                  <c:v>5714748476.9024687</c:v>
                </c:pt>
                <c:pt idx="3">
                  <c:v>7972688675.1403933</c:v>
                </c:pt>
                <c:pt idx="4">
                  <c:v>10555329732.361189</c:v>
                </c:pt>
                <c:pt idx="5">
                  <c:v>13434375692.689571</c:v>
                </c:pt>
                <c:pt idx="6">
                  <c:v>17125638542.425018</c:v>
                </c:pt>
                <c:pt idx="7">
                  <c:v>21122260085.235275</c:v>
                </c:pt>
                <c:pt idx="8">
                  <c:v>25987131316.053913</c:v>
                </c:pt>
                <c:pt idx="9">
                  <c:v>31725596942.650375</c:v>
                </c:pt>
                <c:pt idx="10">
                  <c:v>37608929748.591217</c:v>
                </c:pt>
                <c:pt idx="11">
                  <c:v>43492262554.532066</c:v>
                </c:pt>
                <c:pt idx="12">
                  <c:v>49230728181.128532</c:v>
                </c:pt>
                <c:pt idx="13">
                  <c:v>54683026559.778267</c:v>
                </c:pt>
                <c:pt idx="14">
                  <c:v>59714904009.258018</c:v>
                </c:pt>
                <c:pt idx="15">
                  <c:v>63734287602.385063</c:v>
                </c:pt>
                <c:pt idx="16">
                  <c:v>66836557617.350105</c:v>
                </c:pt>
              </c:numCache>
            </c:numRef>
          </c:xVal>
          <c:yVal>
            <c:numRef>
              <c:f>ZimmPrep!$F$28:$F$45</c:f>
              <c:numCache>
                <c:formatCode>General</c:formatCode>
                <c:ptCount val="18"/>
                <c:pt idx="0">
                  <c:v>6.2664355587039042E-3</c:v>
                </c:pt>
                <c:pt idx="1">
                  <c:v>1.0136885748462578E-2</c:v>
                </c:pt>
                <c:pt idx="2">
                  <c:v>7.8294433163079106E-3</c:v>
                </c:pt>
                <c:pt idx="4">
                  <c:v>2.0791033426106089E-4</c:v>
                </c:pt>
                <c:pt idx="5">
                  <c:v>2.77441324747767E-4</c:v>
                </c:pt>
                <c:pt idx="6">
                  <c:v>5.7003162693029926E-3</c:v>
                </c:pt>
                <c:pt idx="7">
                  <c:v>2.3896205875298225E-4</c:v>
                </c:pt>
                <c:pt idx="8">
                  <c:v>6.2247028718022323E-3</c:v>
                </c:pt>
                <c:pt idx="9">
                  <c:v>2.1604353598837715E-4</c:v>
                </c:pt>
                <c:pt idx="10">
                  <c:v>6.9347227896450619E-3</c:v>
                </c:pt>
                <c:pt idx="11">
                  <c:v>3.1768391556232542E-4</c:v>
                </c:pt>
                <c:pt idx="13">
                  <c:v>3.2978722592540767E-4</c:v>
                </c:pt>
                <c:pt idx="14">
                  <c:v>5.3791202854284329E-3</c:v>
                </c:pt>
                <c:pt idx="15">
                  <c:v>2.4470475568803439E-4</c:v>
                </c:pt>
                <c:pt idx="16">
                  <c:v>9.9573867833068711E-3</c:v>
                </c:pt>
                <c:pt idx="17">
                  <c:v>3.0892335581074112E-4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E04-B6DB-1028077CFF38}"/>
            </c:ext>
          </c:extLst>
        </c:ser>
        <c:ser>
          <c:idx val="1"/>
          <c:order val="1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ZimmPrep!$G$70:$G$86</c:f>
              <c:numCache>
                <c:formatCode>0.000E+00</c:formatCode>
                <c:ptCount val="17"/>
                <c:pt idx="0">
                  <c:v>2862809314.4053254</c:v>
                </c:pt>
                <c:pt idx="1">
                  <c:v>4402215757.2604103</c:v>
                </c:pt>
                <c:pt idx="2">
                  <c:v>5714748477.0024681</c:v>
                </c:pt>
                <c:pt idx="3">
                  <c:v>7972688675.2403927</c:v>
                </c:pt>
                <c:pt idx="4">
                  <c:v>10555329732.461189</c:v>
                </c:pt>
                <c:pt idx="5">
                  <c:v>13434375692.789572</c:v>
                </c:pt>
                <c:pt idx="6">
                  <c:v>17125638542.525019</c:v>
                </c:pt>
                <c:pt idx="7">
                  <c:v>21122260085.335278</c:v>
                </c:pt>
                <c:pt idx="8">
                  <c:v>25987131316.153915</c:v>
                </c:pt>
                <c:pt idx="9">
                  <c:v>31725596942.750378</c:v>
                </c:pt>
                <c:pt idx="10">
                  <c:v>37608929748.691216</c:v>
                </c:pt>
                <c:pt idx="11">
                  <c:v>43492262554.632065</c:v>
                </c:pt>
                <c:pt idx="12">
                  <c:v>49230728181.228531</c:v>
                </c:pt>
                <c:pt idx="13">
                  <c:v>54683026559.878265</c:v>
                </c:pt>
                <c:pt idx="14">
                  <c:v>59714904009.358017</c:v>
                </c:pt>
                <c:pt idx="15">
                  <c:v>63734287602.485062</c:v>
                </c:pt>
                <c:pt idx="16">
                  <c:v>66836557617.450104</c:v>
                </c:pt>
              </c:numCache>
            </c:numRef>
          </c:xVal>
          <c:yVal>
            <c:numRef>
              <c:f>ZimmPrep!$G$50:$G$67</c:f>
              <c:numCache>
                <c:formatCode>General</c:formatCode>
                <c:ptCount val="18"/>
                <c:pt idx="0">
                  <c:v>-5.7197540585279428E-7</c:v>
                </c:pt>
                <c:pt idx="1">
                  <c:v>-6.3257363728683306E-7</c:v>
                </c:pt>
                <c:pt idx="2">
                  <c:v>-1.3507299761172892E-6</c:v>
                </c:pt>
                <c:pt idx="4">
                  <c:v>7.7460157237777675E-7</c:v>
                </c:pt>
                <c:pt idx="5">
                  <c:v>5.8047470750300727E-7</c:v>
                </c:pt>
                <c:pt idx="6">
                  <c:v>-1.0796852334532619E-6</c:v>
                </c:pt>
                <c:pt idx="7">
                  <c:v>6.7394662011463367E-7</c:v>
                </c:pt>
                <c:pt idx="8">
                  <c:v>-1.4960304099125059E-6</c:v>
                </c:pt>
                <c:pt idx="9">
                  <c:v>7.4544082559762882E-7</c:v>
                </c:pt>
                <c:pt idx="10">
                  <c:v>-1.5250016625667509E-6</c:v>
                </c:pt>
                <c:pt idx="11">
                  <c:v>5.0694310899291178E-7</c:v>
                </c:pt>
                <c:pt idx="13">
                  <c:v>4.8833811370435917E-7</c:v>
                </c:pt>
                <c:pt idx="14">
                  <c:v>-1.1920772075010979E-6</c:v>
                </c:pt>
                <c:pt idx="15">
                  <c:v>6.5813053522147732E-7</c:v>
                </c:pt>
                <c:pt idx="16">
                  <c:v>-1.2777213893180802E-6</c:v>
                </c:pt>
                <c:pt idx="17">
                  <c:v>5.213191842020232E-7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4-4E04-B6DB-1028077CFF38}"/>
            </c:ext>
          </c:extLst>
        </c:ser>
        <c:ser>
          <c:idx val="2"/>
          <c:order val="2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ZimmPrep!$H$70:$H$86</c:f>
              <c:numCache>
                <c:formatCode>0.000E+00</c:formatCode>
                <c:ptCount val="17"/>
                <c:pt idx="0">
                  <c:v>2862809314.5053258</c:v>
                </c:pt>
                <c:pt idx="1">
                  <c:v>4402215757.3604107</c:v>
                </c:pt>
                <c:pt idx="2">
                  <c:v>5714748477.1024685</c:v>
                </c:pt>
                <c:pt idx="3">
                  <c:v>7972688675.3403931</c:v>
                </c:pt>
                <c:pt idx="4">
                  <c:v>10555329732.561188</c:v>
                </c:pt>
                <c:pt idx="5">
                  <c:v>13434375692.88957</c:v>
                </c:pt>
                <c:pt idx="6">
                  <c:v>17125638542.625017</c:v>
                </c:pt>
                <c:pt idx="7">
                  <c:v>21122260085.435276</c:v>
                </c:pt>
                <c:pt idx="8">
                  <c:v>25987131316.253914</c:v>
                </c:pt>
                <c:pt idx="9">
                  <c:v>31725596942.850376</c:v>
                </c:pt>
                <c:pt idx="10">
                  <c:v>37608929748.791222</c:v>
                </c:pt>
                <c:pt idx="11">
                  <c:v>43492262554.732071</c:v>
                </c:pt>
                <c:pt idx="12">
                  <c:v>49230728181.328537</c:v>
                </c:pt>
                <c:pt idx="13">
                  <c:v>54683026559.978271</c:v>
                </c:pt>
                <c:pt idx="14">
                  <c:v>59714904009.458023</c:v>
                </c:pt>
                <c:pt idx="15">
                  <c:v>63734287602.585068</c:v>
                </c:pt>
                <c:pt idx="16">
                  <c:v>66836557617.55011</c:v>
                </c:pt>
              </c:numCache>
            </c:numRef>
          </c:xVal>
          <c:yVal>
            <c:numRef>
              <c:f>ZimmPrep!$H$50:$H$67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7.7306839273933225E-7</c:v>
                </c:pt>
                <c:pt idx="5">
                  <c:v>8.5662598354202867E-7</c:v>
                </c:pt>
                <c:pt idx="6">
                  <c:v>0</c:v>
                </c:pt>
                <c:pt idx="7">
                  <c:v>8.6819144243325225E-7</c:v>
                </c:pt>
                <c:pt idx="8">
                  <c:v>0</c:v>
                </c:pt>
                <c:pt idx="9">
                  <c:v>8.0770466404474514E-7</c:v>
                </c:pt>
                <c:pt idx="10">
                  <c:v>0</c:v>
                </c:pt>
                <c:pt idx="11">
                  <c:v>8.6766688190507567E-7</c:v>
                </c:pt>
                <c:pt idx="13">
                  <c:v>7.7330221362754845E-7</c:v>
                </c:pt>
                <c:pt idx="14">
                  <c:v>0</c:v>
                </c:pt>
                <c:pt idx="15">
                  <c:v>8.8967795258788533E-7</c:v>
                </c:pt>
                <c:pt idx="16">
                  <c:v>0</c:v>
                </c:pt>
                <c:pt idx="17">
                  <c:v>8.195572463750451E-7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4-4E04-B6DB-1028077CFF38}"/>
            </c:ext>
          </c:extLst>
        </c:ser>
        <c:ser>
          <c:idx val="3"/>
          <c:order val="3"/>
          <c:tx>
            <c:v>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ZimmPrep!$I$70:$I$86</c:f>
              <c:numCache>
                <c:formatCode>0.000E+00</c:formatCode>
                <c:ptCount val="17"/>
                <c:pt idx="0">
                  <c:v>2862809314.6053257</c:v>
                </c:pt>
                <c:pt idx="1">
                  <c:v>4402215757.4604101</c:v>
                </c:pt>
                <c:pt idx="2">
                  <c:v>5714748477.2024679</c:v>
                </c:pt>
                <c:pt idx="3">
                  <c:v>7972688675.4403925</c:v>
                </c:pt>
                <c:pt idx="4">
                  <c:v>10555329732.661188</c:v>
                </c:pt>
                <c:pt idx="5">
                  <c:v>13434375692.989571</c:v>
                </c:pt>
                <c:pt idx="6">
                  <c:v>17125638542.725018</c:v>
                </c:pt>
                <c:pt idx="7">
                  <c:v>21122260085.535278</c:v>
                </c:pt>
                <c:pt idx="8">
                  <c:v>25987131316.353916</c:v>
                </c:pt>
                <c:pt idx="9">
                  <c:v>31725596942.950378</c:v>
                </c:pt>
                <c:pt idx="10">
                  <c:v>37608929748.89122</c:v>
                </c:pt>
                <c:pt idx="11">
                  <c:v>43492262554.832069</c:v>
                </c:pt>
                <c:pt idx="12">
                  <c:v>49230728181.428535</c:v>
                </c:pt>
                <c:pt idx="13">
                  <c:v>54683026560.07827</c:v>
                </c:pt>
                <c:pt idx="14">
                  <c:v>59714904009.558022</c:v>
                </c:pt>
                <c:pt idx="15">
                  <c:v>63734287602.685066</c:v>
                </c:pt>
                <c:pt idx="16">
                  <c:v>66836557617.650108</c:v>
                </c:pt>
              </c:numCache>
            </c:numRef>
          </c:xVal>
          <c:yVal>
            <c:numRef>
              <c:f>ZimmPrep!$I$50:$I$67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1.0307578569857763E-6</c:v>
                </c:pt>
                <c:pt idx="5">
                  <c:v>1.1421679780560382E-6</c:v>
                </c:pt>
                <c:pt idx="6">
                  <c:v>0</c:v>
                </c:pt>
                <c:pt idx="7">
                  <c:v>1.1575885899110029E-6</c:v>
                </c:pt>
                <c:pt idx="8">
                  <c:v>0</c:v>
                </c:pt>
                <c:pt idx="9">
                  <c:v>1.07693955205966E-6</c:v>
                </c:pt>
                <c:pt idx="10">
                  <c:v>0</c:v>
                </c:pt>
                <c:pt idx="11">
                  <c:v>1.156889175873434E-6</c:v>
                </c:pt>
                <c:pt idx="13">
                  <c:v>1.0310696181700646E-6</c:v>
                </c:pt>
                <c:pt idx="14">
                  <c:v>0</c:v>
                </c:pt>
                <c:pt idx="15">
                  <c:v>1.1862372701171803E-6</c:v>
                </c:pt>
                <c:pt idx="16">
                  <c:v>0</c:v>
                </c:pt>
                <c:pt idx="17">
                  <c:v>1.0927429951667267E-6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4-4E04-B6DB-1028077C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0143"/>
        <c:axId val="626107919"/>
      </c:scatterChart>
      <c:valAx>
        <c:axId val="6823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7919"/>
        <c:crosses val="autoZero"/>
        <c:crossBetween val="midCat"/>
      </c:valAx>
      <c:valAx>
        <c:axId val="6261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40218</xdr:colOff>
      <xdr:row>71</xdr:row>
      <xdr:rowOff>70998</xdr:rowOff>
    </xdr:from>
    <xdr:to>
      <xdr:col>8</xdr:col>
      <xdr:colOff>400051</xdr:colOff>
      <xdr:row>73</xdr:row>
      <xdr:rowOff>86937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8093" y="11453373"/>
          <a:ext cx="3598333" cy="37788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35454</xdr:colOff>
      <xdr:row>73</xdr:row>
      <xdr:rowOff>179493</xdr:rowOff>
    </xdr:from>
    <xdr:to>
      <xdr:col>8</xdr:col>
      <xdr:colOff>390525</xdr:colOff>
      <xdr:row>78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49" b="28826"/>
        <a:stretch/>
      </xdr:blipFill>
      <xdr:spPr>
        <a:xfrm>
          <a:off x="2083329" y="11923818"/>
          <a:ext cx="3593571" cy="830158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270009</xdr:colOff>
      <xdr:row>58</xdr:row>
      <xdr:rowOff>176213</xdr:rowOff>
    </xdr:from>
    <xdr:to>
      <xdr:col>12</xdr:col>
      <xdr:colOff>281604</xdr:colOff>
      <xdr:row>63</xdr:row>
      <xdr:rowOff>19402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1784" y="11558588"/>
          <a:ext cx="1306995" cy="748064"/>
        </a:xfrm>
        <a:prstGeom prst="rect">
          <a:avLst/>
        </a:prstGeom>
      </xdr:spPr>
    </xdr:pic>
    <xdr:clientData/>
  </xdr:twoCellAnchor>
  <xdr:twoCellAnchor>
    <xdr:from>
      <xdr:col>3</xdr:col>
      <xdr:colOff>33344</xdr:colOff>
      <xdr:row>79</xdr:row>
      <xdr:rowOff>0</xdr:rowOff>
    </xdr:from>
    <xdr:to>
      <xdr:col>6</xdr:col>
      <xdr:colOff>542932</xdr:colOff>
      <xdr:row>81</xdr:row>
      <xdr:rowOff>71422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219" y="13192109"/>
          <a:ext cx="2452688" cy="4333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14288</xdr:colOff>
          <xdr:row>84</xdr:row>
          <xdr:rowOff>80963</xdr:rowOff>
        </xdr:from>
        <xdr:to>
          <xdr:col>6</xdr:col>
          <xdr:colOff>623888</xdr:colOff>
          <xdr:row>87</xdr:row>
          <xdr:rowOff>138113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905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</xdr:colOff>
      <xdr:row>94</xdr:row>
      <xdr:rowOff>1</xdr:rowOff>
    </xdr:from>
    <xdr:to>
      <xdr:col>5</xdr:col>
      <xdr:colOff>309563</xdr:colOff>
      <xdr:row>95</xdr:row>
      <xdr:rowOff>126398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7876" y="15544801"/>
          <a:ext cx="1604962" cy="307372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355511</xdr:colOff>
      <xdr:row>10</xdr:row>
      <xdr:rowOff>228062</xdr:rowOff>
    </xdr:from>
    <xdr:to>
      <xdr:col>17</xdr:col>
      <xdr:colOff>608453</xdr:colOff>
      <xdr:row>12</xdr:row>
      <xdr:rowOff>40117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6462" y="1770844"/>
          <a:ext cx="1562904" cy="288307"/>
        </a:xfrm>
        <a:prstGeom prst="rect">
          <a:avLst/>
        </a:prstGeom>
      </xdr:spPr>
    </xdr:pic>
    <xdr:clientData/>
  </xdr:twoCellAnchor>
  <xdr:twoCellAnchor>
    <xdr:from>
      <xdr:col>7</xdr:col>
      <xdr:colOff>345849</xdr:colOff>
      <xdr:row>5</xdr:row>
      <xdr:rowOff>79376</xdr:rowOff>
    </xdr:from>
    <xdr:to>
      <xdr:col>8</xdr:col>
      <xdr:colOff>555625</xdr:colOff>
      <xdr:row>7</xdr:row>
      <xdr:rowOff>164420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A377038-9505-4D7B-83AD-B941FE6831D0}"/>
            </a:ext>
          </a:extLst>
        </xdr:cNvPr>
        <xdr:cNvSpPr/>
      </xdr:nvSpPr>
      <xdr:spPr>
        <a:xfrm>
          <a:off x="7149420" y="1043215"/>
          <a:ext cx="1672544" cy="453572"/>
        </a:xfrm>
        <a:prstGeom prst="wedgeRectCallout">
          <a:avLst>
            <a:gd name="adj1" fmla="val -71198"/>
            <a:gd name="adj2" fmla="val -1107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From JustWyatt xls spreadsheet April 6, 2024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483691</xdr:colOff>
      <xdr:row>9</xdr:row>
      <xdr:rowOff>111621</xdr:rowOff>
    </xdr:from>
    <xdr:to>
      <xdr:col>22</xdr:col>
      <xdr:colOff>126504</xdr:colOff>
      <xdr:row>10</xdr:row>
      <xdr:rowOff>193477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6407FE09-B383-4072-8E05-63E083C4A9D1}"/>
            </a:ext>
          </a:extLst>
        </xdr:cNvPr>
        <xdr:cNvSpPr/>
      </xdr:nvSpPr>
      <xdr:spPr>
        <a:xfrm>
          <a:off x="13602891" y="1845469"/>
          <a:ext cx="2046386" cy="282774"/>
        </a:xfrm>
        <a:prstGeom prst="wedgeRoundRectCallout">
          <a:avLst>
            <a:gd name="adj1" fmla="val -71378"/>
            <a:gd name="adj2" fmla="val 158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Probably from an</a:t>
          </a:r>
        </a:p>
        <a:p>
          <a:pPr algn="l"/>
          <a:r>
            <a:rPr lang="en-US" sz="1100"/>
            <a:t> old run. </a:t>
          </a:r>
        </a:p>
      </xdr:txBody>
    </xdr:sp>
    <xdr:clientData/>
  </xdr:twoCellAnchor>
  <xdr:twoCellAnchor>
    <xdr:from>
      <xdr:col>12</xdr:col>
      <xdr:colOff>107751</xdr:colOff>
      <xdr:row>6</xdr:row>
      <xdr:rowOff>156268</xdr:rowOff>
    </xdr:from>
    <xdr:to>
      <xdr:col>14</xdr:col>
      <xdr:colOff>851892</xdr:colOff>
      <xdr:row>8</xdr:row>
      <xdr:rowOff>174722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906293E8-A1CF-41FE-8430-DC049C2D65CD}"/>
            </a:ext>
          </a:extLst>
        </xdr:cNvPr>
        <xdr:cNvSpPr/>
      </xdr:nvSpPr>
      <xdr:spPr>
        <a:xfrm>
          <a:off x="9416951" y="1279921"/>
          <a:ext cx="2046386" cy="427731"/>
        </a:xfrm>
        <a:prstGeom prst="wedgeRoundRectCallout">
          <a:avLst>
            <a:gd name="adj1" fmla="val -162651"/>
            <a:gd name="adj2" fmla="val 2528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Wyatt entries possibly from</a:t>
          </a:r>
          <a:r>
            <a:rPr lang="en-US" sz="1100" baseline="0"/>
            <a:t> an  old run.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19050</xdr:rowOff>
    </xdr:from>
    <xdr:to>
      <xdr:col>26</xdr:col>
      <xdr:colOff>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199405</xdr:colOff>
      <xdr:row>31</xdr:row>
      <xdr:rowOff>98534</xdr:rowOff>
    </xdr:from>
    <xdr:to>
      <xdr:col>26</xdr:col>
      <xdr:colOff>0</xdr:colOff>
      <xdr:row>60</xdr:row>
      <xdr:rowOff>27517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23971</xdr:colOff>
      <xdr:row>2</xdr:row>
      <xdr:rowOff>18583</xdr:rowOff>
    </xdr:from>
    <xdr:to>
      <xdr:col>44</xdr:col>
      <xdr:colOff>399969</xdr:colOff>
      <xdr:row>30</xdr:row>
      <xdr:rowOff>47158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76967</xdr:colOff>
      <xdr:row>2</xdr:row>
      <xdr:rowOff>5776</xdr:rowOff>
    </xdr:from>
    <xdr:to>
      <xdr:col>61</xdr:col>
      <xdr:colOff>634998</xdr:colOff>
      <xdr:row>30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14942</xdr:colOff>
      <xdr:row>31</xdr:row>
      <xdr:rowOff>149411</xdr:rowOff>
    </xdr:from>
    <xdr:to>
      <xdr:col>44</xdr:col>
      <xdr:colOff>428312</xdr:colOff>
      <xdr:row>60</xdr:row>
      <xdr:rowOff>135467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67734</xdr:colOff>
      <xdr:row>31</xdr:row>
      <xdr:rowOff>135464</xdr:rowOff>
    </xdr:from>
    <xdr:to>
      <xdr:col>61</xdr:col>
      <xdr:colOff>634999</xdr:colOff>
      <xdr:row>60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363990</xdr:colOff>
      <xdr:row>49</xdr:row>
      <xdr:rowOff>40139</xdr:rowOff>
    </xdr:from>
    <xdr:to>
      <xdr:col>21</xdr:col>
      <xdr:colOff>438830</xdr:colOff>
      <xdr:row>64</xdr:row>
      <xdr:rowOff>27893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B6" sqref="B6"/>
    </sheetView>
  </sheetViews>
  <sheetFormatPr defaultRowHeight="14.25"/>
  <sheetData>
    <row r="2" spans="1:2">
      <c r="B2" t="s">
        <v>67</v>
      </c>
    </row>
    <row r="3" spans="1:2">
      <c r="B3" t="s">
        <v>94</v>
      </c>
    </row>
    <row r="4" spans="1:2">
      <c r="B4" t="s">
        <v>95</v>
      </c>
    </row>
    <row r="5" spans="1:2">
      <c r="A5" t="s">
        <v>114</v>
      </c>
      <c r="B5" t="s">
        <v>115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8E6B-3C2A-4ECE-A13C-B1759E0722FC}">
  <dimension ref="B1:S32"/>
  <sheetViews>
    <sheetView topLeftCell="A7" zoomScale="81" zoomScaleNormal="100" workbookViewId="0">
      <selection activeCell="M14" sqref="M1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25FF-354A-46C0-9A76-C4EFA3328667}">
  <dimension ref="B1:S32"/>
  <sheetViews>
    <sheetView topLeftCell="A7" zoomScale="81" zoomScaleNormal="100" workbookViewId="0">
      <selection activeCell="M14" sqref="M1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7F5B-27F6-4D9E-9CE2-A06872E8128F}">
  <dimension ref="B1:S32"/>
  <sheetViews>
    <sheetView zoomScale="81" zoomScaleNormal="100" workbookViewId="0">
      <selection activeCell="O11" sqref="O11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8B8F-7995-4491-A86F-195A6B626DF7}">
  <dimension ref="A2:BA79"/>
  <sheetViews>
    <sheetView zoomScale="55" zoomScaleNormal="55" workbookViewId="0">
      <selection activeCell="N23" sqref="N23"/>
    </sheetView>
  </sheetViews>
  <sheetFormatPr defaultRowHeight="14.25"/>
  <cols>
    <col min="2" max="2" width="11.73046875" customWidth="1"/>
    <col min="3" max="3" width="12.265625" customWidth="1"/>
    <col min="4" max="4" width="8.86328125" customWidth="1"/>
    <col min="5" max="5" width="12.265625" customWidth="1"/>
    <col min="6" max="6" width="12.86328125" customWidth="1"/>
    <col min="7" max="7" width="18.73046875" customWidth="1"/>
    <col min="8" max="8" width="12.265625" bestFit="1" customWidth="1"/>
    <col min="9" max="9" width="12.265625" customWidth="1"/>
    <col min="10" max="10" width="16.3984375" customWidth="1"/>
    <col min="11" max="11" width="9" customWidth="1"/>
    <col min="12" max="12" width="3.1328125" customWidth="1"/>
    <col min="13" max="13" width="12.86328125" customWidth="1"/>
    <col min="27" max="27" width="6.19921875" customWidth="1"/>
    <col min="32" max="32" width="8.9296875" customWidth="1"/>
    <col min="33" max="33" width="10.19921875" customWidth="1"/>
    <col min="35" max="35" width="4.46484375" customWidth="1"/>
    <col min="36" max="36" width="1.9296875" customWidth="1"/>
    <col min="46" max="46" width="6.19921875" customWidth="1"/>
    <col min="47" max="47" width="10.53125" customWidth="1"/>
    <col min="52" max="52" width="9.9296875" customWidth="1"/>
  </cols>
  <sheetData>
    <row r="2" spans="1:53">
      <c r="A2" t="s">
        <v>92</v>
      </c>
      <c r="B2" s="64" t="s">
        <v>90</v>
      </c>
    </row>
    <row r="3" spans="1:53">
      <c r="B3" s="65" t="s">
        <v>91</v>
      </c>
    </row>
    <row r="5" spans="1:53" ht="14.65" thickBot="1">
      <c r="G5" s="129"/>
    </row>
    <row r="6" spans="1:53" ht="16.5">
      <c r="B6" s="133" t="s">
        <v>60</v>
      </c>
      <c r="C6" s="119" t="s">
        <v>36</v>
      </c>
      <c r="D6" s="119" t="s">
        <v>96</v>
      </c>
      <c r="E6" s="119" t="s">
        <v>97</v>
      </c>
      <c r="F6" s="119" t="s">
        <v>98</v>
      </c>
      <c r="G6" s="119" t="s">
        <v>106</v>
      </c>
      <c r="H6" s="120" t="s">
        <v>99</v>
      </c>
      <c r="I6" s="53"/>
      <c r="J6" s="53"/>
      <c r="AC6" s="75"/>
    </row>
    <row r="7" spans="1:53">
      <c r="B7" s="121">
        <f>Conc1!C15</f>
        <v>1</v>
      </c>
      <c r="C7" s="63">
        <f>Conc1!D15</f>
        <v>22.5</v>
      </c>
      <c r="D7" s="66">
        <f t="shared" ref="D7:D22" si="0">4*PI()*Refin*SIN(RADIANS(C7/2))/Lamcm</f>
        <v>53505.226980224332</v>
      </c>
      <c r="E7" s="66">
        <f t="shared" ref="E7:E22" si="1">D7*D7/10000000000</f>
        <v>0.28628093142053257</v>
      </c>
      <c r="F7" s="66">
        <f t="shared" ref="F7:F22" si="2">(D7/10000000)^2/0.0001</f>
        <v>0.28628093142053257</v>
      </c>
      <c r="G7" s="66">
        <f>Conc1!M15</f>
        <v>1.887791352351784</v>
      </c>
      <c r="H7" s="122">
        <f t="shared" ref="H7:H22" si="3">LN(G7)</f>
        <v>0.63540754909081176</v>
      </c>
      <c r="I7" s="53"/>
      <c r="J7" s="53"/>
    </row>
    <row r="8" spans="1:53">
      <c r="B8" s="121">
        <f>Conc1!C16</f>
        <v>2</v>
      </c>
      <c r="C8" s="63">
        <f>Conc1!D16</f>
        <v>28</v>
      </c>
      <c r="D8" s="66">
        <f t="shared" si="0"/>
        <v>66349.195602210661</v>
      </c>
      <c r="E8" s="66">
        <f t="shared" si="1"/>
        <v>0.44022157570604104</v>
      </c>
      <c r="F8" s="66">
        <f t="shared" si="2"/>
        <v>0.44022157570604104</v>
      </c>
      <c r="G8" s="66">
        <f>Conc1!M16</f>
        <v>3.0537815439825073</v>
      </c>
      <c r="H8" s="122">
        <f t="shared" si="3"/>
        <v>1.1163806731254957</v>
      </c>
      <c r="I8" s="53"/>
      <c r="J8" s="53"/>
    </row>
    <row r="9" spans="1:53">
      <c r="B9" s="121">
        <f>Conc1!C17</f>
        <v>3</v>
      </c>
      <c r="C9" s="63">
        <f>Conc1!D17</f>
        <v>32</v>
      </c>
      <c r="D9" s="66">
        <f t="shared" si="0"/>
        <v>75595.955426216213</v>
      </c>
      <c r="E9" s="66">
        <f t="shared" si="1"/>
        <v>0.57147484768024681</v>
      </c>
      <c r="F9" s="66">
        <f t="shared" si="2"/>
        <v>0.57147484768024681</v>
      </c>
      <c r="G9" s="66">
        <f>Conc1!M17</f>
        <v>2.3586543335190044</v>
      </c>
      <c r="H9" s="122">
        <f t="shared" si="3"/>
        <v>0.85809125875157166</v>
      </c>
      <c r="I9" s="53"/>
      <c r="J9" s="53"/>
    </row>
    <row r="10" spans="1:53">
      <c r="B10" s="123">
        <f>Conc1!C19</f>
        <v>5</v>
      </c>
      <c r="C10" s="67">
        <f>Conc1!D19</f>
        <v>44</v>
      </c>
      <c r="D10" s="68">
        <f t="shared" si="0"/>
        <v>102739.13437566617</v>
      </c>
      <c r="E10" s="68">
        <f t="shared" si="1"/>
        <v>1.0555329732261189</v>
      </c>
      <c r="F10" s="68">
        <f t="shared" si="2"/>
        <v>1.0555329732261189</v>
      </c>
      <c r="G10" s="67">
        <f>Conc1!M19</f>
        <v>6.2633905256943095E-2</v>
      </c>
      <c r="H10" s="124">
        <f t="shared" si="3"/>
        <v>-2.7704485299748627</v>
      </c>
      <c r="I10" s="53"/>
      <c r="J10" s="53"/>
      <c r="AB10" s="71" t="s">
        <v>91</v>
      </c>
      <c r="AC10" s="72"/>
      <c r="AD10" s="72"/>
      <c r="AE10" s="72"/>
      <c r="AF10" s="76"/>
      <c r="AG10" s="71" t="s">
        <v>61</v>
      </c>
      <c r="AH10" s="72"/>
      <c r="AU10" s="77" t="s">
        <v>2</v>
      </c>
      <c r="AV10" s="72"/>
      <c r="AW10" s="72"/>
      <c r="AX10" s="72"/>
      <c r="AY10" s="72"/>
      <c r="AZ10" s="77" t="s">
        <v>61</v>
      </c>
      <c r="BA10" s="72"/>
    </row>
    <row r="11" spans="1:53" ht="16.5">
      <c r="B11" s="123">
        <f>Conc1!C20</f>
        <v>6</v>
      </c>
      <c r="C11" s="67">
        <f>Conc1!D20</f>
        <v>50</v>
      </c>
      <c r="D11" s="68">
        <f t="shared" si="0"/>
        <v>115906.75430098787</v>
      </c>
      <c r="E11" s="68">
        <f t="shared" si="1"/>
        <v>1.3434375692589571</v>
      </c>
      <c r="F11" s="68">
        <f t="shared" si="2"/>
        <v>1.3434375692589569</v>
      </c>
      <c r="G11" s="67">
        <f>Conc1!M20</f>
        <v>8.3580422831665696E-2</v>
      </c>
      <c r="H11" s="124">
        <f t="shared" si="3"/>
        <v>-2.4819459629698319</v>
      </c>
      <c r="I11" s="53"/>
      <c r="J11" s="53"/>
      <c r="AA11" s="73" t="s">
        <v>93</v>
      </c>
      <c r="AB11" s="71" t="s">
        <v>60</v>
      </c>
      <c r="AC11" s="74" t="s">
        <v>102</v>
      </c>
      <c r="AD11" s="71" t="s">
        <v>96</v>
      </c>
      <c r="AE11" s="71" t="s">
        <v>97</v>
      </c>
      <c r="AF11" s="71" t="s">
        <v>98</v>
      </c>
      <c r="AG11" s="71" t="s">
        <v>62</v>
      </c>
      <c r="AH11" s="71" t="s">
        <v>99</v>
      </c>
      <c r="AI11" s="53"/>
      <c r="AJ11" s="53"/>
      <c r="AT11" s="72" t="s">
        <v>93</v>
      </c>
      <c r="AU11" s="78" t="s">
        <v>60</v>
      </c>
      <c r="AV11" s="78" t="s">
        <v>36</v>
      </c>
      <c r="AW11" s="78" t="s">
        <v>96</v>
      </c>
      <c r="AX11" s="78" t="s">
        <v>97</v>
      </c>
      <c r="AY11" s="78" t="s">
        <v>98</v>
      </c>
      <c r="AZ11" s="77" t="s">
        <v>62</v>
      </c>
      <c r="BA11" s="77" t="s">
        <v>99</v>
      </c>
    </row>
    <row r="12" spans="1:53">
      <c r="B12" s="121">
        <f>Conc1!C21</f>
        <v>7</v>
      </c>
      <c r="C12" s="63">
        <f>Conc1!D21</f>
        <v>57</v>
      </c>
      <c r="D12" s="66">
        <f t="shared" si="0"/>
        <v>130864.96300509552</v>
      </c>
      <c r="E12" s="66">
        <f t="shared" si="1"/>
        <v>1.7125638542325019</v>
      </c>
      <c r="F12" s="66">
        <f t="shared" si="2"/>
        <v>1.7125638542325015</v>
      </c>
      <c r="G12" s="63">
        <f>Conc1!M21</f>
        <v>1.7172454193538516</v>
      </c>
      <c r="H12" s="122">
        <f t="shared" si="3"/>
        <v>0.5407215066771428</v>
      </c>
      <c r="I12" s="53"/>
      <c r="J12" s="53"/>
      <c r="AA12">
        <v>10</v>
      </c>
      <c r="AB12" s="62">
        <f>B10</f>
        <v>5</v>
      </c>
      <c r="AC12" s="62">
        <f>C10</f>
        <v>44</v>
      </c>
      <c r="AD12" s="62">
        <f t="shared" ref="AD12:AH12" si="4">D10</f>
        <v>102739.13437566617</v>
      </c>
      <c r="AE12" s="62">
        <f t="shared" si="4"/>
        <v>1.0555329732261189</v>
      </c>
      <c r="AF12" s="62">
        <f t="shared" si="4"/>
        <v>1.0555329732261189</v>
      </c>
      <c r="AG12" s="62">
        <f t="shared" si="4"/>
        <v>6.2633905256943095E-2</v>
      </c>
      <c r="AH12" s="62">
        <f t="shared" si="4"/>
        <v>-2.7704485299748627</v>
      </c>
      <c r="AT12">
        <v>7</v>
      </c>
      <c r="AU12" s="63">
        <f>B7</f>
        <v>1</v>
      </c>
      <c r="AV12" s="63">
        <f t="shared" ref="AV12:BA12" si="5">C7</f>
        <v>22.5</v>
      </c>
      <c r="AW12" s="63">
        <f t="shared" si="5"/>
        <v>53505.226980224332</v>
      </c>
      <c r="AX12" s="63">
        <f t="shared" si="5"/>
        <v>0.28628093142053257</v>
      </c>
      <c r="AY12" s="63">
        <f t="shared" si="5"/>
        <v>0.28628093142053257</v>
      </c>
      <c r="AZ12" s="63">
        <f t="shared" si="5"/>
        <v>1.887791352351784</v>
      </c>
      <c r="BA12" s="63">
        <f t="shared" si="5"/>
        <v>0.63540754909081176</v>
      </c>
    </row>
    <row r="13" spans="1:53">
      <c r="B13" s="123">
        <f>Conc1!C22</f>
        <v>8</v>
      </c>
      <c r="C13" s="67">
        <f>Conc1!D22</f>
        <v>64</v>
      </c>
      <c r="D13" s="68">
        <f t="shared" si="0"/>
        <v>145334.99263816432</v>
      </c>
      <c r="E13" s="68">
        <f t="shared" si="1"/>
        <v>2.1122260085135278</v>
      </c>
      <c r="F13" s="68">
        <f t="shared" si="2"/>
        <v>2.1122260085135278</v>
      </c>
      <c r="G13" s="67">
        <f>Conc1!M22</f>
        <v>7.1988374224558796E-2</v>
      </c>
      <c r="H13" s="124">
        <f t="shared" si="3"/>
        <v>-2.6312506421069708</v>
      </c>
      <c r="I13" s="53"/>
      <c r="J13" s="53"/>
      <c r="AA13">
        <v>11</v>
      </c>
      <c r="AB13" s="62">
        <f>B11</f>
        <v>6</v>
      </c>
      <c r="AC13" s="62">
        <f t="shared" ref="AC13:AH13" si="6">C11</f>
        <v>50</v>
      </c>
      <c r="AD13" s="62">
        <f t="shared" si="6"/>
        <v>115906.75430098787</v>
      </c>
      <c r="AE13" s="62">
        <f t="shared" si="6"/>
        <v>1.3434375692589571</v>
      </c>
      <c r="AF13" s="62">
        <f t="shared" si="6"/>
        <v>1.3434375692589569</v>
      </c>
      <c r="AG13" s="62">
        <f t="shared" si="6"/>
        <v>8.3580422831665696E-2</v>
      </c>
      <c r="AH13" s="62">
        <f t="shared" si="6"/>
        <v>-2.4819459629698319</v>
      </c>
      <c r="AT13">
        <v>8</v>
      </c>
      <c r="AU13" s="63">
        <f>B8</f>
        <v>2</v>
      </c>
      <c r="AV13" s="63">
        <f t="shared" ref="AV13:BA13" si="7">C8</f>
        <v>28</v>
      </c>
      <c r="AW13" s="63">
        <f t="shared" si="7"/>
        <v>66349.195602210661</v>
      </c>
      <c r="AX13" s="63">
        <f t="shared" si="7"/>
        <v>0.44022157570604104</v>
      </c>
      <c r="AY13" s="63">
        <f t="shared" si="7"/>
        <v>0.44022157570604104</v>
      </c>
      <c r="AZ13" s="63">
        <f t="shared" si="7"/>
        <v>3.0537815439825073</v>
      </c>
      <c r="BA13" s="63">
        <f t="shared" si="7"/>
        <v>1.1163806731254957</v>
      </c>
    </row>
    <row r="14" spans="1:53">
      <c r="B14" s="121">
        <f>Conc1!C23</f>
        <v>9</v>
      </c>
      <c r="C14" s="63">
        <f>Conc1!D23</f>
        <v>72</v>
      </c>
      <c r="D14" s="66">
        <f t="shared" si="0"/>
        <v>161205.2459318676</v>
      </c>
      <c r="E14" s="66">
        <f t="shared" si="1"/>
        <v>2.5987131315953915</v>
      </c>
      <c r="F14" s="66">
        <f t="shared" si="2"/>
        <v>2.5987131315953915</v>
      </c>
      <c r="G14" s="63">
        <f>Conc1!M23</f>
        <v>1.8752191963461335</v>
      </c>
      <c r="H14" s="122">
        <f t="shared" si="3"/>
        <v>0.62872555730748803</v>
      </c>
      <c r="I14" s="53"/>
      <c r="J14" s="53"/>
      <c r="AA14">
        <v>13</v>
      </c>
      <c r="AB14" s="62">
        <f>B13</f>
        <v>8</v>
      </c>
      <c r="AC14" s="62">
        <f t="shared" ref="AC14:AH14" si="8">C13</f>
        <v>64</v>
      </c>
      <c r="AD14" s="62">
        <f t="shared" si="8"/>
        <v>145334.99263816432</v>
      </c>
      <c r="AE14" s="62">
        <f t="shared" si="8"/>
        <v>2.1122260085135278</v>
      </c>
      <c r="AF14" s="62">
        <f t="shared" si="8"/>
        <v>2.1122260085135278</v>
      </c>
      <c r="AG14" s="62">
        <f t="shared" si="8"/>
        <v>7.1988374224558796E-2</v>
      </c>
      <c r="AH14" s="62">
        <f t="shared" si="8"/>
        <v>-2.6312506421069708</v>
      </c>
      <c r="AT14">
        <v>9</v>
      </c>
      <c r="AU14" s="63">
        <f>B9</f>
        <v>3</v>
      </c>
      <c r="AV14" s="63">
        <f t="shared" ref="AV14:BA14" si="9">C9</f>
        <v>32</v>
      </c>
      <c r="AW14" s="63">
        <f t="shared" si="9"/>
        <v>75595.955426216213</v>
      </c>
      <c r="AX14" s="63">
        <f t="shared" si="9"/>
        <v>0.57147484768024681</v>
      </c>
      <c r="AY14" s="63">
        <f t="shared" si="9"/>
        <v>0.57147484768024681</v>
      </c>
      <c r="AZ14" s="63">
        <f t="shared" si="9"/>
        <v>2.3586543335190044</v>
      </c>
      <c r="BA14" s="63">
        <f t="shared" si="9"/>
        <v>0.85809125875157166</v>
      </c>
    </row>
    <row r="15" spans="1:53">
      <c r="B15" s="123">
        <f>Conc1!C24</f>
        <v>10</v>
      </c>
      <c r="C15" s="67">
        <f>Conc1!D24</f>
        <v>81</v>
      </c>
      <c r="D15" s="68">
        <f t="shared" si="0"/>
        <v>178116.80701873807</v>
      </c>
      <c r="E15" s="68">
        <f t="shared" si="1"/>
        <v>3.1725596942550376</v>
      </c>
      <c r="F15" s="68">
        <f t="shared" si="2"/>
        <v>3.1725596942550371</v>
      </c>
      <c r="G15" s="67">
        <f>Conc1!M24</f>
        <v>6.5084068151610414E-2</v>
      </c>
      <c r="H15" s="124">
        <f t="shared" si="3"/>
        <v>-2.7320754885725167</v>
      </c>
      <c r="I15" s="53"/>
      <c r="J15" s="53"/>
      <c r="AA15">
        <v>15</v>
      </c>
      <c r="AB15" s="62">
        <f>B15</f>
        <v>10</v>
      </c>
      <c r="AC15" s="62">
        <f t="shared" ref="AC15:AH15" si="10">C15</f>
        <v>81</v>
      </c>
      <c r="AD15" s="62">
        <f t="shared" si="10"/>
        <v>178116.80701873807</v>
      </c>
      <c r="AE15" s="62">
        <f t="shared" si="10"/>
        <v>3.1725596942550376</v>
      </c>
      <c r="AF15" s="62">
        <f t="shared" si="10"/>
        <v>3.1725596942550371</v>
      </c>
      <c r="AG15" s="62">
        <f t="shared" si="10"/>
        <v>6.5084068151610414E-2</v>
      </c>
      <c r="AH15" s="62">
        <f t="shared" si="10"/>
        <v>-2.7320754885725167</v>
      </c>
      <c r="AT15">
        <v>12</v>
      </c>
      <c r="AU15" s="63">
        <f>B12</f>
        <v>7</v>
      </c>
      <c r="AV15" s="63">
        <f t="shared" ref="AV15:BA15" si="11">C12</f>
        <v>57</v>
      </c>
      <c r="AW15" s="63">
        <f t="shared" si="11"/>
        <v>130864.96300509552</v>
      </c>
      <c r="AX15" s="63">
        <f t="shared" si="11"/>
        <v>1.7125638542325019</v>
      </c>
      <c r="AY15" s="63">
        <f t="shared" si="11"/>
        <v>1.7125638542325015</v>
      </c>
      <c r="AZ15" s="63">
        <f t="shared" si="11"/>
        <v>1.7172454193538516</v>
      </c>
      <c r="BA15" s="63">
        <f t="shared" si="11"/>
        <v>0.5407215066771428</v>
      </c>
    </row>
    <row r="16" spans="1:53">
      <c r="B16" s="121">
        <f>Conc1!C25</f>
        <v>11</v>
      </c>
      <c r="C16" s="63">
        <f>Conc1!D25</f>
        <v>90</v>
      </c>
      <c r="D16" s="66">
        <f t="shared" si="0"/>
        <v>193930.21876048925</v>
      </c>
      <c r="E16" s="66">
        <f t="shared" si="1"/>
        <v>3.760892974849122</v>
      </c>
      <c r="F16" s="66">
        <f t="shared" si="2"/>
        <v>3.7608929748491216</v>
      </c>
      <c r="G16" s="63">
        <f>Conc1!M25</f>
        <v>2.089115828385935</v>
      </c>
      <c r="H16" s="122">
        <f t="shared" si="3"/>
        <v>0.73674092784723699</v>
      </c>
      <c r="I16" s="53"/>
      <c r="J16" s="53"/>
      <c r="AA16">
        <v>17</v>
      </c>
      <c r="AB16" s="62">
        <f>B17</f>
        <v>12</v>
      </c>
      <c r="AC16" s="62">
        <f t="shared" ref="AC16:AH17" si="12">C17</f>
        <v>99</v>
      </c>
      <c r="AD16" s="62">
        <f t="shared" si="12"/>
        <v>208547.98621524032</v>
      </c>
      <c r="AE16" s="62">
        <f t="shared" si="12"/>
        <v>4.3492262554432068</v>
      </c>
      <c r="AF16" s="62">
        <f t="shared" si="12"/>
        <v>4.349226255443206</v>
      </c>
      <c r="AG16" s="62">
        <f t="shared" si="12"/>
        <v>9.5703680818486445E-2</v>
      </c>
      <c r="AH16" s="62">
        <f t="shared" si="12"/>
        <v>-2.3464985192097245</v>
      </c>
      <c r="AT16">
        <v>14</v>
      </c>
      <c r="AU16" s="63">
        <f>B14</f>
        <v>9</v>
      </c>
      <c r="AV16" s="63">
        <f t="shared" ref="AV16:BA16" si="13">C14</f>
        <v>72</v>
      </c>
      <c r="AW16" s="63">
        <f t="shared" si="13"/>
        <v>161205.2459318676</v>
      </c>
      <c r="AX16" s="63">
        <f t="shared" si="13"/>
        <v>2.5987131315953915</v>
      </c>
      <c r="AY16" s="63">
        <f t="shared" si="13"/>
        <v>2.5987131315953915</v>
      </c>
      <c r="AZ16" s="63">
        <f t="shared" si="13"/>
        <v>1.8752191963461335</v>
      </c>
      <c r="BA16" s="63">
        <f t="shared" si="13"/>
        <v>0.62872555730748803</v>
      </c>
    </row>
    <row r="17" spans="2:53">
      <c r="B17" s="123">
        <f>Conc1!C26</f>
        <v>12</v>
      </c>
      <c r="C17" s="67">
        <f>Conc1!D26</f>
        <v>99</v>
      </c>
      <c r="D17" s="68">
        <f t="shared" si="0"/>
        <v>208547.98621524032</v>
      </c>
      <c r="E17" s="68">
        <f t="shared" si="1"/>
        <v>4.3492262554432068</v>
      </c>
      <c r="F17" s="68">
        <f t="shared" si="2"/>
        <v>4.349226255443206</v>
      </c>
      <c r="G17" s="67">
        <f>Conc1!M26</f>
        <v>9.5703680818486445E-2</v>
      </c>
      <c r="H17" s="124">
        <f t="shared" si="3"/>
        <v>-2.3464985192097245</v>
      </c>
      <c r="I17" s="53"/>
      <c r="J17" s="53"/>
      <c r="AA17">
        <v>18</v>
      </c>
      <c r="AB17" s="62">
        <f>B18</f>
        <v>14</v>
      </c>
      <c r="AC17" s="62">
        <f t="shared" si="12"/>
        <v>117</v>
      </c>
      <c r="AD17" s="62">
        <f t="shared" si="12"/>
        <v>233844.02186003872</v>
      </c>
      <c r="AE17" s="62">
        <f t="shared" si="12"/>
        <v>5.4683026559678272</v>
      </c>
      <c r="AF17" s="62">
        <f t="shared" si="12"/>
        <v>5.4683026559678263</v>
      </c>
      <c r="AG17" s="62">
        <f t="shared" si="12"/>
        <v>9.9349856451222421E-2</v>
      </c>
      <c r="AH17" s="62">
        <f t="shared" si="12"/>
        <v>-2.3091077548648475</v>
      </c>
      <c r="AT17">
        <v>16</v>
      </c>
      <c r="AU17" s="63">
        <f>B16</f>
        <v>11</v>
      </c>
      <c r="AV17" s="63">
        <f t="shared" ref="AV17:BA17" si="14">C16</f>
        <v>90</v>
      </c>
      <c r="AW17" s="63">
        <f t="shared" si="14"/>
        <v>193930.21876048925</v>
      </c>
      <c r="AX17" s="63">
        <f t="shared" si="14"/>
        <v>3.760892974849122</v>
      </c>
      <c r="AY17" s="63">
        <f t="shared" si="14"/>
        <v>3.7608929748491216</v>
      </c>
      <c r="AZ17" s="63">
        <f t="shared" si="14"/>
        <v>2.089115828385935</v>
      </c>
      <c r="BA17" s="63">
        <f t="shared" si="14"/>
        <v>0.73674092784723699</v>
      </c>
    </row>
    <row r="18" spans="2:53">
      <c r="B18" s="123">
        <f>Conc1!C28</f>
        <v>14</v>
      </c>
      <c r="C18" s="67">
        <f>Conc1!D28</f>
        <v>117</v>
      </c>
      <c r="D18" s="68">
        <f t="shared" si="0"/>
        <v>233844.02186003872</v>
      </c>
      <c r="E18" s="68">
        <f t="shared" si="1"/>
        <v>5.4683026559678272</v>
      </c>
      <c r="F18" s="68">
        <f t="shared" si="2"/>
        <v>5.4683026559678263</v>
      </c>
      <c r="G18" s="67">
        <f>Conc1!M28</f>
        <v>9.9349856451222421E-2</v>
      </c>
      <c r="H18" s="124">
        <f t="shared" si="3"/>
        <v>-2.3091077548648475</v>
      </c>
      <c r="I18" s="53"/>
      <c r="J18" s="53"/>
      <c r="AA18">
        <v>20</v>
      </c>
      <c r="AB18" s="62">
        <f>B20</f>
        <v>16</v>
      </c>
      <c r="AC18" s="62">
        <f t="shared" ref="AC18:AH18" si="15">C20</f>
        <v>134</v>
      </c>
      <c r="AD18" s="62">
        <f t="shared" si="15"/>
        <v>252456.50635760027</v>
      </c>
      <c r="AE18" s="62">
        <f t="shared" si="15"/>
        <v>6.3734287602285065</v>
      </c>
      <c r="AF18" s="62">
        <f t="shared" si="15"/>
        <v>6.3734287602285056</v>
      </c>
      <c r="AG18" s="62">
        <f t="shared" si="15"/>
        <v>7.3718387006404235E-2</v>
      </c>
      <c r="AH18" s="62">
        <f t="shared" si="15"/>
        <v>-2.6075030264198276</v>
      </c>
      <c r="AT18">
        <v>19</v>
      </c>
      <c r="AU18" s="63">
        <f>B19</f>
        <v>15</v>
      </c>
      <c r="AV18" s="63">
        <f t="shared" ref="AV18:BA18" si="16">C19</f>
        <v>126</v>
      </c>
      <c r="AW18" s="63">
        <f t="shared" si="16"/>
        <v>244366.33157855037</v>
      </c>
      <c r="AX18" s="63">
        <f t="shared" si="16"/>
        <v>5.9714904009158021</v>
      </c>
      <c r="AY18" s="63">
        <f t="shared" si="16"/>
        <v>5.971490400915803</v>
      </c>
      <c r="AZ18" s="63">
        <f t="shared" si="16"/>
        <v>1.6204837124651064</v>
      </c>
      <c r="BA18" s="63">
        <f t="shared" si="16"/>
        <v>0.48272469261720852</v>
      </c>
    </row>
    <row r="19" spans="2:53">
      <c r="B19" s="121">
        <f>Conc1!C29</f>
        <v>15</v>
      </c>
      <c r="C19" s="63">
        <f>Conc1!D29</f>
        <v>126</v>
      </c>
      <c r="D19" s="66">
        <f t="shared" si="0"/>
        <v>244366.33157855037</v>
      </c>
      <c r="E19" s="66">
        <f t="shared" si="1"/>
        <v>5.9714904009158021</v>
      </c>
      <c r="F19" s="66">
        <f t="shared" si="2"/>
        <v>5.971490400915803</v>
      </c>
      <c r="G19" s="63">
        <f>Conc1!M29</f>
        <v>1.6204837124651064</v>
      </c>
      <c r="H19" s="122">
        <f t="shared" si="3"/>
        <v>0.48272469261720852</v>
      </c>
      <c r="I19" s="53"/>
      <c r="J19" s="53"/>
      <c r="N19" s="39"/>
      <c r="AA19">
        <v>22</v>
      </c>
      <c r="AB19" s="62">
        <f>B22</f>
        <v>18</v>
      </c>
      <c r="AC19" s="62">
        <f t="shared" ref="AC19:AH19" si="17">C22</f>
        <v>147</v>
      </c>
      <c r="AD19" s="62">
        <f t="shared" si="17"/>
        <v>262964.69766962621</v>
      </c>
      <c r="AE19" s="62">
        <f t="shared" si="17"/>
        <v>6.9150432220477924</v>
      </c>
      <c r="AF19" s="62">
        <f t="shared" si="17"/>
        <v>6.9150432220477915</v>
      </c>
      <c r="AG19" s="62">
        <f t="shared" si="17"/>
        <v>9.3064523551827746E-2</v>
      </c>
      <c r="AH19" s="62">
        <f t="shared" si="17"/>
        <v>-2.3744622247654124</v>
      </c>
      <c r="AT19">
        <v>21</v>
      </c>
      <c r="AU19" s="63">
        <f>B21</f>
        <v>17</v>
      </c>
      <c r="AV19" s="63">
        <f t="shared" ref="AV19:BA19" si="18">C21</f>
        <v>141</v>
      </c>
      <c r="AW19" s="63">
        <f t="shared" si="18"/>
        <v>258527.67282681772</v>
      </c>
      <c r="AX19" s="63">
        <f t="shared" si="18"/>
        <v>6.683655761725011</v>
      </c>
      <c r="AY19" s="63">
        <f t="shared" si="18"/>
        <v>6.6836557617250101</v>
      </c>
      <c r="AZ19" s="63">
        <f t="shared" si="18"/>
        <v>2.9997066889867718</v>
      </c>
      <c r="BA19" s="63">
        <f t="shared" si="18"/>
        <v>1.0985145135505359</v>
      </c>
    </row>
    <row r="20" spans="2:53">
      <c r="B20" s="123">
        <f>Conc1!C30</f>
        <v>16</v>
      </c>
      <c r="C20" s="67">
        <f>Conc1!D30</f>
        <v>134</v>
      </c>
      <c r="D20" s="68">
        <f t="shared" si="0"/>
        <v>252456.50635760027</v>
      </c>
      <c r="E20" s="68">
        <f t="shared" si="1"/>
        <v>6.3734287602285065</v>
      </c>
      <c r="F20" s="68">
        <f t="shared" si="2"/>
        <v>6.3734287602285056</v>
      </c>
      <c r="G20" s="67">
        <f>Conc1!M30</f>
        <v>7.3718387006404235E-2</v>
      </c>
      <c r="H20" s="124">
        <f t="shared" si="3"/>
        <v>-2.6075030264198276</v>
      </c>
      <c r="I20" s="53"/>
      <c r="J20" s="53"/>
    </row>
    <row r="21" spans="2:53" ht="14.65" thickBot="1">
      <c r="B21" s="121">
        <f>Conc1!C31</f>
        <v>17</v>
      </c>
      <c r="C21" s="63">
        <f>Conc1!D31</f>
        <v>141</v>
      </c>
      <c r="D21" s="66">
        <f t="shared" si="0"/>
        <v>258527.67282681772</v>
      </c>
      <c r="E21" s="66">
        <f t="shared" si="1"/>
        <v>6.683655761725011</v>
      </c>
      <c r="F21" s="66">
        <f t="shared" si="2"/>
        <v>6.6836557617250101</v>
      </c>
      <c r="G21" s="63">
        <f>Conc1!M31</f>
        <v>2.9997066889867718</v>
      </c>
      <c r="H21" s="122">
        <f t="shared" si="3"/>
        <v>1.0985145135505359</v>
      </c>
      <c r="I21" s="53"/>
      <c r="J21" s="53"/>
    </row>
    <row r="22" spans="2:53" ht="14.65" thickBot="1">
      <c r="B22" s="125">
        <f>Conc1!C32</f>
        <v>18</v>
      </c>
      <c r="C22" s="126">
        <f>Conc1!D32</f>
        <v>147</v>
      </c>
      <c r="D22" s="127">
        <f t="shared" si="0"/>
        <v>262964.69766962621</v>
      </c>
      <c r="E22" s="127">
        <f t="shared" si="1"/>
        <v>6.9150432220477924</v>
      </c>
      <c r="F22" s="127">
        <f t="shared" si="2"/>
        <v>6.9150432220477915</v>
      </c>
      <c r="G22" s="126">
        <f>Conc1!M32</f>
        <v>9.3064523551827746E-2</v>
      </c>
      <c r="H22" s="128">
        <f t="shared" si="3"/>
        <v>-2.3744622247654124</v>
      </c>
      <c r="I22" s="53"/>
      <c r="J22" s="53"/>
      <c r="K22" s="39"/>
      <c r="L22" s="39"/>
      <c r="M22" s="117" t="s">
        <v>105</v>
      </c>
      <c r="N22" s="105"/>
      <c r="O22" s="106"/>
    </row>
    <row r="23" spans="2:53" ht="14.65" thickBot="1">
      <c r="M23" s="115" t="s">
        <v>63</v>
      </c>
      <c r="N23" s="116">
        <f>INTERCEPT(H7:H22,F7:F22)</f>
        <v>-0.38423020530325913</v>
      </c>
      <c r="O23" s="118" t="s">
        <v>100</v>
      </c>
      <c r="AG23" s="103" t="s">
        <v>103</v>
      </c>
      <c r="AH23" s="102"/>
      <c r="AI23" s="101"/>
      <c r="AX23" s="104" t="s">
        <v>104</v>
      </c>
      <c r="AY23" s="100"/>
      <c r="AZ23" s="92"/>
    </row>
    <row r="24" spans="2:53" ht="15.75">
      <c r="M24" s="108" t="s">
        <v>84</v>
      </c>
      <c r="N24" s="109">
        <f>-SLOPE(H7:H22,F7:F22)</f>
        <v>0.15162916804015539</v>
      </c>
      <c r="O24" s="111" t="s">
        <v>101</v>
      </c>
      <c r="AG24" s="80" t="s">
        <v>63</v>
      </c>
      <c r="AH24" s="81">
        <f>INTERCEPT(AH12:AH19,AF12:AF19)</f>
        <v>-2.7011854305704235</v>
      </c>
      <c r="AI24" s="82" t="s">
        <v>100</v>
      </c>
      <c r="AX24" s="90" t="s">
        <v>63</v>
      </c>
      <c r="AY24" s="91">
        <f>INTERCEPT(BA12:BA19,AY12:AY19)</f>
        <v>0.76639093190607399</v>
      </c>
      <c r="AZ24" s="92" t="s">
        <v>100</v>
      </c>
    </row>
    <row r="25" spans="2:53" ht="16.5">
      <c r="M25" s="107" t="s">
        <v>64</v>
      </c>
      <c r="N25" s="110">
        <f>SQRT(30000*ABS(Guinslope))</f>
        <v>67.445348551287523</v>
      </c>
      <c r="O25" s="111" t="s">
        <v>19</v>
      </c>
      <c r="AG25" s="83" t="s">
        <v>84</v>
      </c>
      <c r="AH25" s="79">
        <f>-SLOPE(AH12:AH19,AF12:AF19)</f>
        <v>-4.4046833158166342E-2</v>
      </c>
      <c r="AI25" s="84" t="s">
        <v>101</v>
      </c>
      <c r="AX25" s="93" t="s">
        <v>84</v>
      </c>
      <c r="AY25" s="88">
        <f>SLOPE(BA12:BA19,AY12:AY19)</f>
        <v>-1.5355425940040597E-3</v>
      </c>
      <c r="AZ25" s="94" t="s">
        <v>101</v>
      </c>
    </row>
    <row r="26" spans="2:53" ht="15.75">
      <c r="M26" s="107" t="s">
        <v>65</v>
      </c>
      <c r="N26" s="110">
        <f>N25*SQRT(5/3)</f>
        <v>87.071570572763704</v>
      </c>
      <c r="O26" s="111" t="s">
        <v>19</v>
      </c>
      <c r="AG26" s="83" t="s">
        <v>64</v>
      </c>
      <c r="AH26" s="79">
        <f>SQRT(30000*ABS(AH25))</f>
        <v>36.351134710556018</v>
      </c>
      <c r="AI26" s="84" t="s">
        <v>19</v>
      </c>
      <c r="AX26" s="95" t="s">
        <v>64</v>
      </c>
      <c r="AY26" s="89">
        <f>SQRT(30000*ABS(AY25))</f>
        <v>6.7872142901282988</v>
      </c>
      <c r="AZ26" s="96" t="s">
        <v>19</v>
      </c>
    </row>
    <row r="27" spans="2:53" ht="16.149999999999999" thickBot="1">
      <c r="M27" s="112" t="s">
        <v>66</v>
      </c>
      <c r="N27" s="113">
        <f>Conc1!J7</f>
        <v>1</v>
      </c>
      <c r="O27" s="114" t="s">
        <v>19</v>
      </c>
      <c r="AG27" s="83" t="s">
        <v>65</v>
      </c>
      <c r="AH27" s="79">
        <f>AH26*SQRT(5/3)</f>
        <v>46.929113116575273</v>
      </c>
      <c r="AI27" s="84" t="s">
        <v>19</v>
      </c>
      <c r="AX27" s="95" t="s">
        <v>65</v>
      </c>
      <c r="AY27" s="89">
        <f>AY26*SQRT(5/3)</f>
        <v>8.762255970935966</v>
      </c>
      <c r="AZ27" s="96" t="s">
        <v>19</v>
      </c>
    </row>
    <row r="28" spans="2:53" ht="16.149999999999999" thickBot="1">
      <c r="G28" s="5" t="s">
        <v>83</v>
      </c>
      <c r="H28" s="5" t="s">
        <v>61</v>
      </c>
      <c r="I28" s="5"/>
      <c r="J28" s="5" t="s">
        <v>82</v>
      </c>
      <c r="K28" s="1"/>
      <c r="AG28" s="85" t="s">
        <v>66</v>
      </c>
      <c r="AH28" s="86">
        <f>Conc1!J7</f>
        <v>1</v>
      </c>
      <c r="AI28" s="87" t="s">
        <v>19</v>
      </c>
      <c r="AX28" s="97" t="s">
        <v>66</v>
      </c>
      <c r="AY28" s="98">
        <f>Conc1!J7</f>
        <v>1</v>
      </c>
      <c r="AZ28" s="99" t="s">
        <v>19</v>
      </c>
    </row>
    <row r="29" spans="2:53" ht="15.75">
      <c r="B29" t="s">
        <v>81</v>
      </c>
      <c r="C29" t="s">
        <v>78</v>
      </c>
      <c r="D29" t="s">
        <v>77</v>
      </c>
      <c r="E29" t="s">
        <v>80</v>
      </c>
      <c r="F29" t="s">
        <v>79</v>
      </c>
      <c r="G29" s="1" t="s">
        <v>78</v>
      </c>
      <c r="H29" s="5" t="s">
        <v>62</v>
      </c>
      <c r="I29" s="5" t="s">
        <v>77</v>
      </c>
      <c r="J29" s="5" t="s">
        <v>76</v>
      </c>
      <c r="K29" s="52" t="s">
        <v>75</v>
      </c>
      <c r="L29" s="51"/>
    </row>
    <row r="30" spans="2:53" ht="15.75">
      <c r="B30">
        <f t="shared" ref="B30:B61" si="19">10000000*C30</f>
        <v>1</v>
      </c>
      <c r="C30">
        <v>9.9999999999999995E-8</v>
      </c>
      <c r="D30">
        <f t="shared" ref="D30:D61" si="20">C30*Rsphere</f>
        <v>1.1269034418874374E-5</v>
      </c>
      <c r="E30">
        <f t="shared" ref="E30:E61" si="21">((3/D30^3)*(SIN(D30)-D30*COS(D30)))^2</f>
        <v>0.99999729121698844</v>
      </c>
      <c r="F30">
        <f t="shared" ref="F30:F61" si="22">E30*Izero</f>
        <v>1.4456708102296651</v>
      </c>
      <c r="G30" s="1">
        <f t="shared" ref="G30:G45" si="23">D7/10000000</f>
        <v>5.3505226980224332E-3</v>
      </c>
      <c r="H30" s="40">
        <f>Conc1!M15</f>
        <v>1.887791352351784</v>
      </c>
      <c r="I30" s="40">
        <f t="shared" ref="I30:I45" si="24">G30*Rsphere</f>
        <v>0.60295224442983375</v>
      </c>
      <c r="J30" s="40">
        <f t="shared" ref="J30:J45" si="25">Izero*(3/I30^3*(SIN(I30)-I30*COS(I30)))^2</f>
        <v>1.3437767504580342</v>
      </c>
      <c r="K30" s="1">
        <f t="shared" ref="K30:K45" si="26">(H30-J30)^2</f>
        <v>0.29595188707361503</v>
      </c>
      <c r="M30" s="50" t="s">
        <v>74</v>
      </c>
      <c r="N30" s="54">
        <v>1.4456747262488039</v>
      </c>
    </row>
    <row r="31" spans="2:53" ht="15.75">
      <c r="B31">
        <f t="shared" si="19"/>
        <v>10000</v>
      </c>
      <c r="C31" s="47">
        <v>1E-3</v>
      </c>
      <c r="D31">
        <f t="shared" si="20"/>
        <v>0.11269034418874374</v>
      </c>
      <c r="E31">
        <f t="shared" si="21"/>
        <v>0.99746294011781955</v>
      </c>
      <c r="F31">
        <f t="shared" si="22"/>
        <v>1.4420069628981558</v>
      </c>
      <c r="G31" s="1">
        <f t="shared" si="23"/>
        <v>6.6349195602210661E-3</v>
      </c>
      <c r="H31" s="40">
        <f>Conc1!M16</f>
        <v>3.0537815439825073</v>
      </c>
      <c r="I31" s="40">
        <f t="shared" si="24"/>
        <v>0.74769136890594012</v>
      </c>
      <c r="J31" s="40">
        <f t="shared" si="25"/>
        <v>1.2915714312538566</v>
      </c>
      <c r="K31" s="1">
        <f t="shared" si="26"/>
        <v>3.105384481403124</v>
      </c>
      <c r="M31" s="50" t="s">
        <v>73</v>
      </c>
      <c r="N31" s="55">
        <v>112.69034418874374</v>
      </c>
    </row>
    <row r="32" spans="2:53">
      <c r="B32">
        <f t="shared" si="19"/>
        <v>15000</v>
      </c>
      <c r="C32" s="47">
        <v>1.5E-3</v>
      </c>
      <c r="D32">
        <f t="shared" si="20"/>
        <v>0.16903551628311561</v>
      </c>
      <c r="E32">
        <f t="shared" si="21"/>
        <v>0.99429937483128761</v>
      </c>
      <c r="F32">
        <f t="shared" si="22"/>
        <v>1.4374334765185786</v>
      </c>
      <c r="G32" s="1">
        <f t="shared" si="23"/>
        <v>7.5595955426216209E-3</v>
      </c>
      <c r="H32" s="40">
        <f>Conc1!M17</f>
        <v>2.3586543335190044</v>
      </c>
      <c r="I32" s="40">
        <f t="shared" si="24"/>
        <v>0.8518934236257234</v>
      </c>
      <c r="J32" s="40">
        <f t="shared" si="25"/>
        <v>1.2484386141560717</v>
      </c>
      <c r="K32" s="1">
        <f t="shared" si="26"/>
        <v>1.2325789435205543</v>
      </c>
    </row>
    <row r="33" spans="2:11">
      <c r="B33">
        <f t="shared" si="19"/>
        <v>20000</v>
      </c>
      <c r="C33" s="47">
        <v>2E-3</v>
      </c>
      <c r="D33">
        <f t="shared" si="20"/>
        <v>0.22538068837748748</v>
      </c>
      <c r="E33">
        <f t="shared" si="21"/>
        <v>0.98988483165429186</v>
      </c>
      <c r="F33">
        <f t="shared" si="22"/>
        <v>1.4310514830196617</v>
      </c>
      <c r="G33" s="1">
        <f t="shared" si="23"/>
        <v>1.0273913437566617E-2</v>
      </c>
      <c r="H33" s="40">
        <f>Conc1!M19</f>
        <v>6.2633905256943095E-2</v>
      </c>
      <c r="I33" s="40">
        <f t="shared" si="24"/>
        <v>1.1577708414447414</v>
      </c>
      <c r="J33" s="40">
        <f t="shared" si="25"/>
        <v>1.0998145730876969</v>
      </c>
      <c r="K33" s="1">
        <f t="shared" si="26"/>
        <v>1.0757437377218484</v>
      </c>
    </row>
    <row r="34" spans="2:11">
      <c r="B34">
        <f t="shared" si="19"/>
        <v>25000</v>
      </c>
      <c r="C34" s="47">
        <v>2.5000000000000001E-3</v>
      </c>
      <c r="D34">
        <f t="shared" si="20"/>
        <v>0.28172586047185932</v>
      </c>
      <c r="E34">
        <f t="shared" si="21"/>
        <v>0.98423367734756462</v>
      </c>
      <c r="F34">
        <f t="shared" si="22"/>
        <v>1.422881752064294</v>
      </c>
      <c r="G34" s="1">
        <f t="shared" si="23"/>
        <v>1.1590675430098786E-2</v>
      </c>
      <c r="H34" s="40">
        <f>Conc1!M20</f>
        <v>8.3580422831665696E-2</v>
      </c>
      <c r="I34" s="40">
        <f t="shared" si="24"/>
        <v>1.3061572035978475</v>
      </c>
      <c r="J34" s="40">
        <f t="shared" si="25"/>
        <v>1.0187768692440813</v>
      </c>
      <c r="K34" s="1">
        <f t="shared" si="26"/>
        <v>0.87459239338241013</v>
      </c>
    </row>
    <row r="35" spans="2:11">
      <c r="B35">
        <f t="shared" si="19"/>
        <v>30000</v>
      </c>
      <c r="C35" s="47">
        <v>3.0000000000000001E-3</v>
      </c>
      <c r="D35">
        <f t="shared" si="20"/>
        <v>0.33807103256623122</v>
      </c>
      <c r="E35">
        <f t="shared" si="21"/>
        <v>0.97736426761158823</v>
      </c>
      <c r="F35">
        <f t="shared" si="22"/>
        <v>1.4129508200247456</v>
      </c>
      <c r="G35" s="1">
        <f t="shared" si="23"/>
        <v>1.3086496300509551E-2</v>
      </c>
      <c r="H35" s="40">
        <f>Conc1!M21</f>
        <v>1.7172454193538516</v>
      </c>
      <c r="I35" s="40">
        <f t="shared" si="24"/>
        <v>1.4747217723291428</v>
      </c>
      <c r="J35" s="40">
        <f t="shared" si="25"/>
        <v>0.92233774750037412</v>
      </c>
      <c r="K35" s="1">
        <f t="shared" si="26"/>
        <v>0.63187820677151574</v>
      </c>
    </row>
    <row r="36" spans="2:11">
      <c r="B36">
        <f t="shared" si="19"/>
        <v>35000</v>
      </c>
      <c r="C36" s="47">
        <v>3.5000000000000001E-3</v>
      </c>
      <c r="D36">
        <f t="shared" si="20"/>
        <v>0.39441620466060306</v>
      </c>
      <c r="E36">
        <f t="shared" si="21"/>
        <v>0.96929886111886665</v>
      </c>
      <c r="F36">
        <f t="shared" si="22"/>
        <v>1.401290865701295</v>
      </c>
      <c r="G36" s="1">
        <f t="shared" si="23"/>
        <v>1.4533499263816432E-2</v>
      </c>
      <c r="H36" s="40">
        <f>Conc1!M22</f>
        <v>7.1988374224558796E-2</v>
      </c>
      <c r="I36" s="40">
        <f t="shared" si="24"/>
        <v>1.6377850343063274</v>
      </c>
      <c r="J36" s="40">
        <f t="shared" si="25"/>
        <v>0.82674477743470576</v>
      </c>
      <c r="K36" s="1">
        <f t="shared" si="26"/>
        <v>0.56965722818671782</v>
      </c>
    </row>
    <row r="37" spans="2:11">
      <c r="B37">
        <f t="shared" si="19"/>
        <v>40000</v>
      </c>
      <c r="C37" s="47">
        <v>4.0000000000000001E-3</v>
      </c>
      <c r="D37">
        <f t="shared" si="20"/>
        <v>0.45076137675497496</v>
      </c>
      <c r="E37">
        <f t="shared" si="21"/>
        <v>0.96006351545565616</v>
      </c>
      <c r="F37">
        <f t="shared" si="22"/>
        <v>1.3879395598878199</v>
      </c>
      <c r="G37" s="1">
        <f t="shared" si="23"/>
        <v>1.6120524593186761E-2</v>
      </c>
      <c r="H37" s="40">
        <f>Conc1!M23</f>
        <v>1.8752191963461335</v>
      </c>
      <c r="I37" s="40">
        <f t="shared" si="24"/>
        <v>1.8166274649093241</v>
      </c>
      <c r="J37" s="40">
        <f t="shared" si="25"/>
        <v>0.72178600862293218</v>
      </c>
      <c r="K37" s="1">
        <f t="shared" si="26"/>
        <v>1.3304081185413059</v>
      </c>
    </row>
    <row r="38" spans="2:11">
      <c r="B38">
        <f t="shared" si="19"/>
        <v>45000</v>
      </c>
      <c r="C38" s="47">
        <v>4.4999999999999997E-3</v>
      </c>
      <c r="D38">
        <f t="shared" si="20"/>
        <v>0.50710654884934681</v>
      </c>
      <c r="E38">
        <f t="shared" si="21"/>
        <v>0.94968796557115454</v>
      </c>
      <c r="F38">
        <f t="shared" si="22"/>
        <v>1.3729398896488623</v>
      </c>
      <c r="G38" s="1">
        <f t="shared" si="23"/>
        <v>1.7811680701873805E-2</v>
      </c>
      <c r="H38" s="40">
        <f>Conc1!M24</f>
        <v>6.5084068151610414E-2</v>
      </c>
      <c r="I38" s="40">
        <f t="shared" si="24"/>
        <v>2.0072044288741639</v>
      </c>
      <c r="J38" s="40">
        <f t="shared" si="25"/>
        <v>0.61258544174007779</v>
      </c>
      <c r="K38" s="1">
        <f t="shared" si="26"/>
        <v>0.29975775408125854</v>
      </c>
    </row>
    <row r="39" spans="2:11">
      <c r="B39">
        <f t="shared" si="19"/>
        <v>50000</v>
      </c>
      <c r="C39" s="47">
        <v>5.0000000000000001E-3</v>
      </c>
      <c r="D39">
        <f t="shared" si="20"/>
        <v>0.56345172094371865</v>
      </c>
      <c r="E39">
        <f t="shared" si="21"/>
        <v>0.93820548543097093</v>
      </c>
      <c r="F39">
        <f t="shared" si="22"/>
        <v>1.3563399583155451</v>
      </c>
      <c r="G39" s="1">
        <f t="shared" si="23"/>
        <v>1.9393021876048924E-2</v>
      </c>
      <c r="H39" s="40">
        <f>Conc1!M25</f>
        <v>2.089115828385935</v>
      </c>
      <c r="I39" s="40">
        <f t="shared" si="24"/>
        <v>2.18540631007179</v>
      </c>
      <c r="J39" s="40">
        <f t="shared" si="25"/>
        <v>0.51531499374922141</v>
      </c>
      <c r="K39" s="1">
        <f t="shared" si="26"/>
        <v>2.4768490671032164</v>
      </c>
    </row>
    <row r="40" spans="2:11">
      <c r="B40">
        <f t="shared" si="19"/>
        <v>55000</v>
      </c>
      <c r="C40" s="47">
        <v>5.4999999999999997E-3</v>
      </c>
      <c r="D40">
        <f t="shared" si="20"/>
        <v>0.61979689303809049</v>
      </c>
      <c r="E40">
        <f t="shared" si="21"/>
        <v>0.92565273366667489</v>
      </c>
      <c r="F40">
        <f t="shared" si="22"/>
        <v>1.3381927623450272</v>
      </c>
      <c r="G40" s="1">
        <f t="shared" si="23"/>
        <v>2.0854798621524031E-2</v>
      </c>
      <c r="H40" s="40">
        <f>Conc1!M26</f>
        <v>9.5703680818486445E-2</v>
      </c>
      <c r="I40" s="40">
        <f t="shared" si="24"/>
        <v>2.3501344346464816</v>
      </c>
      <c r="J40" s="40">
        <f t="shared" si="25"/>
        <v>0.43123246512441477</v>
      </c>
      <c r="K40" s="1">
        <f t="shared" si="26"/>
        <v>0.11257956509781417</v>
      </c>
    </row>
    <row r="41" spans="2:11">
      <c r="B41">
        <f t="shared" si="19"/>
        <v>60000</v>
      </c>
      <c r="C41" s="47">
        <v>6.0000000000000001E-3</v>
      </c>
      <c r="D41">
        <f t="shared" si="20"/>
        <v>0.67614206513246244</v>
      </c>
      <c r="E41">
        <f t="shared" si="21"/>
        <v>0.91206958410266603</v>
      </c>
      <c r="F41">
        <f t="shared" si="22"/>
        <v>1.3185559463174821</v>
      </c>
      <c r="G41" s="1">
        <f t="shared" si="23"/>
        <v>2.3384402186003871E-2</v>
      </c>
      <c r="H41" s="5">
        <f>Conc1!M28</f>
        <v>9.9349856451222421E-2</v>
      </c>
      <c r="I41" s="40">
        <f t="shared" si="24"/>
        <v>2.6351963309887876</v>
      </c>
      <c r="J41" s="40">
        <f t="shared" si="25"/>
        <v>0.30233535191551547</v>
      </c>
      <c r="K41" s="1">
        <f t="shared" si="26"/>
        <v>4.1203111368884542E-2</v>
      </c>
    </row>
    <row r="42" spans="2:11">
      <c r="B42">
        <f t="shared" si="19"/>
        <v>65000</v>
      </c>
      <c r="C42" s="47">
        <v>6.4999999999999997E-3</v>
      </c>
      <c r="D42">
        <f t="shared" si="20"/>
        <v>0.73248723722683429</v>
      </c>
      <c r="E42">
        <f t="shared" si="21"/>
        <v>0.89749894212544279</v>
      </c>
      <c r="F42">
        <f t="shared" si="22"/>
        <v>1.2974915374657905</v>
      </c>
      <c r="G42" s="1">
        <f t="shared" si="23"/>
        <v>2.4436633157855037E-2</v>
      </c>
      <c r="H42" s="5">
        <f>Conc1!M29</f>
        <v>1.6204837124651064</v>
      </c>
      <c r="I42" s="40">
        <f t="shared" si="24"/>
        <v>2.7537726013727517</v>
      </c>
      <c r="J42" s="40">
        <f t="shared" si="25"/>
        <v>0.25569349953578013</v>
      </c>
      <c r="K42" s="1">
        <f t="shared" si="26"/>
        <v>1.8626523253076759</v>
      </c>
    </row>
    <row r="43" spans="2:11">
      <c r="B43">
        <f t="shared" si="19"/>
        <v>70000</v>
      </c>
      <c r="C43" s="47">
        <v>7.0000000000000001E-3</v>
      </c>
      <c r="D43">
        <f t="shared" si="20"/>
        <v>0.78883240932120613</v>
      </c>
      <c r="E43">
        <f t="shared" si="21"/>
        <v>0.88198654793779652</v>
      </c>
      <c r="F43">
        <f t="shared" si="22"/>
        <v>1.2750656612451015</v>
      </c>
      <c r="G43" s="1">
        <f t="shared" si="23"/>
        <v>2.5245650635760026E-2</v>
      </c>
      <c r="H43" s="5">
        <f>Conc1!M30</f>
        <v>7.3718387006404235E-2</v>
      </c>
      <c r="I43" s="40">
        <f t="shared" si="24"/>
        <v>2.8449410594125744</v>
      </c>
      <c r="J43" s="40">
        <f t="shared" si="25"/>
        <v>0.22277705158596953</v>
      </c>
      <c r="K43" s="1">
        <f t="shared" si="26"/>
        <v>2.2218485486243354E-2</v>
      </c>
    </row>
    <row r="44" spans="2:11">
      <c r="B44">
        <f t="shared" si="19"/>
        <v>75000</v>
      </c>
      <c r="C44" s="47">
        <v>7.4999999999999997E-3</v>
      </c>
      <c r="D44">
        <f t="shared" si="20"/>
        <v>0.84517758141557797</v>
      </c>
      <c r="E44">
        <f t="shared" si="21"/>
        <v>0.86558076781115212</v>
      </c>
      <c r="F44">
        <f t="shared" si="22"/>
        <v>1.2513482395516169</v>
      </c>
      <c r="G44" s="1">
        <f t="shared" si="23"/>
        <v>2.5852767282681773E-2</v>
      </c>
      <c r="H44" s="5">
        <f>Conc1!M31</f>
        <v>2.9997066889867718</v>
      </c>
      <c r="I44" s="40">
        <f t="shared" si="24"/>
        <v>2.9133572433169022</v>
      </c>
      <c r="J44" s="40">
        <f t="shared" si="25"/>
        <v>0.1997774670016651</v>
      </c>
      <c r="K44" s="1">
        <f t="shared" si="26"/>
        <v>7.8396036481261255</v>
      </c>
    </row>
    <row r="45" spans="2:11">
      <c r="B45">
        <f t="shared" si="19"/>
        <v>80000</v>
      </c>
      <c r="C45" s="47">
        <v>8.0000000000000002E-3</v>
      </c>
      <c r="D45">
        <f t="shared" si="20"/>
        <v>0.90152275350994993</v>
      </c>
      <c r="E45">
        <f t="shared" si="21"/>
        <v>0.84833237451282872</v>
      </c>
      <c r="F45">
        <f t="shared" si="22"/>
        <v>1.2264126732918315</v>
      </c>
      <c r="G45" s="1">
        <f t="shared" si="23"/>
        <v>2.6296469766962621E-2</v>
      </c>
      <c r="H45" s="5">
        <f>Conc1!M32</f>
        <v>9.3064523551827746E-2</v>
      </c>
      <c r="I45" s="40">
        <f t="shared" si="24"/>
        <v>2.9633582289879117</v>
      </c>
      <c r="J45" s="40">
        <f t="shared" si="25"/>
        <v>0.1838934081230115</v>
      </c>
      <c r="K45" s="1">
        <f t="shared" si="26"/>
        <v>8.2498862724454218E-3</v>
      </c>
    </row>
    <row r="46" spans="2:11">
      <c r="B46">
        <f t="shared" si="19"/>
        <v>85000</v>
      </c>
      <c r="C46" s="47">
        <v>8.5000000000000006E-3</v>
      </c>
      <c r="D46">
        <f t="shared" si="20"/>
        <v>0.95786792560432188</v>
      </c>
      <c r="E46">
        <f t="shared" si="21"/>
        <v>0.83029431814076393</v>
      </c>
      <c r="F46">
        <f t="shared" si="22"/>
        <v>1.2003355110840861</v>
      </c>
      <c r="I46" s="49"/>
      <c r="J46" s="49" t="s">
        <v>72</v>
      </c>
      <c r="K46" s="48">
        <f>SUM(K32:K45)</f>
        <v>18.377972470968018</v>
      </c>
    </row>
    <row r="47" spans="2:11">
      <c r="B47">
        <f t="shared" si="19"/>
        <v>90000</v>
      </c>
      <c r="C47" s="47">
        <v>8.9999999999999993E-3</v>
      </c>
      <c r="D47">
        <f t="shared" si="20"/>
        <v>1.0142130976986936</v>
      </c>
      <c r="E47">
        <f t="shared" si="21"/>
        <v>0.81152148864625318</v>
      </c>
      <c r="F47">
        <f t="shared" si="22"/>
        <v>1.1731961059436939</v>
      </c>
    </row>
    <row r="48" spans="2:11">
      <c r="B48">
        <f t="shared" si="19"/>
        <v>95000</v>
      </c>
      <c r="C48" s="47">
        <v>9.4999999999999998E-3</v>
      </c>
      <c r="D48">
        <f t="shared" si="20"/>
        <v>1.0705582697930656</v>
      </c>
      <c r="E48">
        <f t="shared" si="21"/>
        <v>0.79207047136490327</v>
      </c>
      <c r="F48">
        <f t="shared" si="22"/>
        <v>1.1450762618602175</v>
      </c>
    </row>
    <row r="49" spans="2:6">
      <c r="B49">
        <f t="shared" si="19"/>
        <v>100000</v>
      </c>
      <c r="C49" s="47">
        <v>0.01</v>
      </c>
      <c r="D49">
        <f t="shared" si="20"/>
        <v>1.1269034418874373</v>
      </c>
      <c r="E49">
        <f t="shared" si="21"/>
        <v>0.77199929690727498</v>
      </c>
      <c r="F49">
        <f t="shared" si="22"/>
        <v>1.1160598722206938</v>
      </c>
    </row>
    <row r="50" spans="2:6">
      <c r="B50">
        <f t="shared" si="19"/>
        <v>105000</v>
      </c>
      <c r="C50" s="47">
        <v>1.0500000000000001E-2</v>
      </c>
      <c r="D50">
        <f t="shared" si="20"/>
        <v>1.1832486139818092</v>
      </c>
      <c r="E50">
        <f t="shared" si="21"/>
        <v>0.7513671867833458</v>
      </c>
      <c r="F50">
        <f t="shared" si="22"/>
        <v>1.0862325520653473</v>
      </c>
    </row>
    <row r="51" spans="2:6">
      <c r="B51">
        <f t="shared" si="19"/>
        <v>110000</v>
      </c>
      <c r="C51" s="47">
        <v>1.0999999999999999E-2</v>
      </c>
      <c r="D51">
        <f t="shared" si="20"/>
        <v>1.239593786076181</v>
      </c>
      <c r="E51">
        <f t="shared" si="21"/>
        <v>0.73023429614884827</v>
      </c>
      <c r="F51">
        <f t="shared" si="22"/>
        <v>1.0556812661824742</v>
      </c>
    </row>
    <row r="52" spans="2:6">
      <c r="B52">
        <f t="shared" si="19"/>
        <v>115000</v>
      </c>
      <c r="C52" s="47">
        <v>1.15E-2</v>
      </c>
      <c r="D52">
        <f t="shared" si="20"/>
        <v>1.2959389581705529</v>
      </c>
      <c r="E52">
        <f t="shared" si="21"/>
        <v>0.70866145506676259</v>
      </c>
      <c r="F52">
        <f t="shared" si="22"/>
        <v>1.0244939550567211</v>
      </c>
    </row>
    <row r="53" spans="2:6">
      <c r="B53">
        <f t="shared" si="19"/>
        <v>120000</v>
      </c>
      <c r="C53" s="47">
        <v>1.2E-2</v>
      </c>
      <c r="D53">
        <f t="shared" si="20"/>
        <v>1.3522841302649249</v>
      </c>
      <c r="E53">
        <f t="shared" si="21"/>
        <v>0.68670990967372092</v>
      </c>
      <c r="F53">
        <f t="shared" si="22"/>
        <v>0.99275916067989733</v>
      </c>
    </row>
    <row r="54" spans="2:6">
      <c r="B54">
        <f t="shared" si="19"/>
        <v>125000</v>
      </c>
      <c r="C54" s="47">
        <v>1.2500000000000001E-2</v>
      </c>
      <c r="D54">
        <f t="shared" si="20"/>
        <v>1.4086293023592968</v>
      </c>
      <c r="E54">
        <f t="shared" si="21"/>
        <v>0.66444106462892705</v>
      </c>
      <c r="F54">
        <f t="shared" si="22"/>
        <v>0.96056565421588791</v>
      </c>
    </row>
    <row r="55" spans="2:6">
      <c r="B55">
        <f t="shared" si="19"/>
        <v>130000</v>
      </c>
      <c r="C55" s="47">
        <v>1.2999999999999999E-2</v>
      </c>
      <c r="D55">
        <f t="shared" si="20"/>
        <v>1.4649744744536686</v>
      </c>
      <c r="E55">
        <f t="shared" si="21"/>
        <v>0.64191622820254113</v>
      </c>
      <c r="F55">
        <f t="shared" si="22"/>
        <v>0.92800206748137337</v>
      </c>
    </row>
    <row r="56" spans="2:6">
      <c r="B56">
        <f t="shared" si="19"/>
        <v>135000</v>
      </c>
      <c r="C56" s="47">
        <v>1.35E-2</v>
      </c>
      <c r="D56">
        <f t="shared" si="20"/>
        <v>1.5213196465480405</v>
      </c>
      <c r="E56">
        <f t="shared" si="21"/>
        <v>0.61919636133155143</v>
      </c>
      <c r="F56">
        <f t="shared" si="22"/>
        <v>0.89515653016224606</v>
      </c>
    </row>
    <row r="57" spans="2:6">
      <c r="B57">
        <f t="shared" si="19"/>
        <v>140000</v>
      </c>
      <c r="C57" s="47">
        <v>1.4E-2</v>
      </c>
      <c r="D57">
        <f t="shared" si="20"/>
        <v>1.5776648186424123</v>
      </c>
      <c r="E57">
        <f t="shared" si="21"/>
        <v>0.59634183193415946</v>
      </c>
      <c r="F57">
        <f t="shared" si="22"/>
        <v>0.86211631463212623</v>
      </c>
    </row>
    <row r="58" spans="2:6">
      <c r="B58">
        <f t="shared" si="19"/>
        <v>145000</v>
      </c>
      <c r="C58" s="47">
        <v>1.4500000000000001E-2</v>
      </c>
      <c r="D58">
        <f t="shared" si="20"/>
        <v>1.6340099907367842</v>
      </c>
      <c r="E58">
        <f t="shared" si="21"/>
        <v>0.57341217572900915</v>
      </c>
      <c r="F58">
        <f t="shared" si="22"/>
        <v>0.82896749017476634</v>
      </c>
    </row>
    <row r="59" spans="2:6">
      <c r="B59">
        <f t="shared" si="19"/>
        <v>150000</v>
      </c>
      <c r="C59" s="47">
        <v>1.4999999999999999E-2</v>
      </c>
      <c r="D59">
        <f t="shared" si="20"/>
        <v>1.6903551628311559</v>
      </c>
      <c r="E59">
        <f t="shared" si="21"/>
        <v>0.550465864753517</v>
      </c>
      <c r="F59">
        <f t="shared" si="22"/>
        <v>0.79579458833685179</v>
      </c>
    </row>
    <row r="60" spans="2:6">
      <c r="B60">
        <f t="shared" si="19"/>
        <v>155000</v>
      </c>
      <c r="C60" s="47">
        <v>1.55E-2</v>
      </c>
      <c r="D60">
        <f t="shared" si="20"/>
        <v>1.7467003349255279</v>
      </c>
      <c r="E60">
        <f t="shared" si="21"/>
        <v>0.52756008471653271</v>
      </c>
      <c r="F60">
        <f t="shared" si="22"/>
        <v>0.76268028105236918</v>
      </c>
    </row>
    <row r="61" spans="2:6">
      <c r="B61">
        <f t="shared" si="19"/>
        <v>160000</v>
      </c>
      <c r="C61" s="47">
        <v>1.6E-2</v>
      </c>
      <c r="D61">
        <f t="shared" si="20"/>
        <v>1.8030455070198999</v>
      </c>
      <c r="E61">
        <f t="shared" si="21"/>
        <v>0.50475052225505557</v>
      </c>
      <c r="F61">
        <f t="shared" si="22"/>
        <v>0.7297050730850182</v>
      </c>
    </row>
    <row r="62" spans="2:6">
      <c r="B62">
        <f t="shared" ref="B62:B79" si="27">10000000*C62</f>
        <v>165000</v>
      </c>
      <c r="C62" s="47">
        <v>1.6500000000000001E-2</v>
      </c>
      <c r="D62">
        <f t="shared" ref="D62:D79" si="28">C62*Rsphere</f>
        <v>1.8593906791142718</v>
      </c>
      <c r="E62">
        <f t="shared" ref="E62:E79" si="29">((3/D62^3)*(SIN(D62)-D62*COS(D62)))^2</f>
        <v>0.48209116309318945</v>
      </c>
      <c r="F62">
        <f t="shared" ref="F62:F79" si="30">E62*Izero</f>
        <v>0.69694701023171413</v>
      </c>
    </row>
    <row r="63" spans="2:6">
      <c r="B63">
        <f t="shared" si="27"/>
        <v>170000</v>
      </c>
      <c r="C63" s="47">
        <v>1.7000000000000001E-2</v>
      </c>
      <c r="D63">
        <f t="shared" si="28"/>
        <v>1.9157358512086438</v>
      </c>
      <c r="E63">
        <f t="shared" si="29"/>
        <v>0.45963410202456567</v>
      </c>
      <c r="F63">
        <f t="shared" si="30"/>
        <v>0.66448140461897875</v>
      </c>
    </row>
    <row r="64" spans="2:6">
      <c r="B64">
        <f t="shared" si="27"/>
        <v>175000.00000000003</v>
      </c>
      <c r="C64" s="47">
        <v>1.7500000000000002E-2</v>
      </c>
      <c r="D64">
        <f t="shared" si="28"/>
        <v>1.9720810233030155</v>
      </c>
      <c r="E64">
        <f t="shared" si="29"/>
        <v>0.43742936555756284</v>
      </c>
      <c r="F64">
        <f t="shared" si="30"/>
        <v>0.63238057830561767</v>
      </c>
    </row>
    <row r="65" spans="2:6">
      <c r="B65">
        <f t="shared" si="27"/>
        <v>180000</v>
      </c>
      <c r="C65" s="47">
        <v>1.7999999999999999E-2</v>
      </c>
      <c r="D65">
        <f t="shared" si="28"/>
        <v>2.0284261953973872</v>
      </c>
      <c r="E65">
        <f t="shared" si="29"/>
        <v>0.41552474797649835</v>
      </c>
      <c r="F65">
        <f t="shared" si="30"/>
        <v>0.60071362628052749</v>
      </c>
    </row>
    <row r="66" spans="2:6">
      <c r="B66">
        <f t="shared" si="27"/>
        <v>185000</v>
      </c>
      <c r="C66" s="47">
        <v>1.8499999999999999E-2</v>
      </c>
      <c r="D66">
        <f t="shared" si="28"/>
        <v>2.0847713674917592</v>
      </c>
      <c r="E66">
        <f t="shared" si="29"/>
        <v>0.39396566148210405</v>
      </c>
      <c r="F66">
        <f t="shared" si="30"/>
        <v>0.56954619981456966</v>
      </c>
    </row>
    <row r="67" spans="2:6">
      <c r="B67">
        <f t="shared" si="27"/>
        <v>190000</v>
      </c>
      <c r="C67" s="47">
        <v>1.9E-2</v>
      </c>
      <c r="D67">
        <f t="shared" si="28"/>
        <v>2.1411165395861311</v>
      </c>
      <c r="E67">
        <f t="shared" si="29"/>
        <v>0.37279500098173085</v>
      </c>
      <c r="F67">
        <f t="shared" si="30"/>
        <v>0.53894031099118633</v>
      </c>
    </row>
    <row r="68" spans="2:6">
      <c r="B68">
        <f t="shared" si="27"/>
        <v>195000</v>
      </c>
      <c r="C68" s="47">
        <v>1.95E-2</v>
      </c>
      <c r="D68">
        <f t="shared" si="28"/>
        <v>2.1974617116805031</v>
      </c>
      <c r="E68">
        <f t="shared" si="29"/>
        <v>0.35205302400446176</v>
      </c>
      <c r="F68">
        <f t="shared" si="30"/>
        <v>0.5089541591027138</v>
      </c>
    </row>
    <row r="69" spans="2:6">
      <c r="B69">
        <f t="shared" si="27"/>
        <v>200000</v>
      </c>
      <c r="C69" s="47">
        <v>0.02</v>
      </c>
      <c r="D69">
        <f t="shared" si="28"/>
        <v>2.2538068837748746</v>
      </c>
      <c r="E69">
        <f t="shared" si="29"/>
        <v>0.331777246119347</v>
      </c>
      <c r="F69">
        <f t="shared" si="30"/>
        <v>0.47964197945916903</v>
      </c>
    </row>
    <row r="70" spans="2:6">
      <c r="B70">
        <f t="shared" si="27"/>
        <v>205000</v>
      </c>
      <c r="C70" s="47">
        <v>2.0500000000000001E-2</v>
      </c>
      <c r="D70">
        <f t="shared" si="28"/>
        <v>2.3101520558692465</v>
      </c>
      <c r="E70">
        <f t="shared" si="29"/>
        <v>0.31200235213697081</v>
      </c>
      <c r="F70">
        <f t="shared" si="30"/>
        <v>0.45105391501459818</v>
      </c>
    </row>
    <row r="71" spans="2:6">
      <c r="B71">
        <f t="shared" si="27"/>
        <v>210000</v>
      </c>
      <c r="C71" s="47">
        <v>2.1000000000000001E-2</v>
      </c>
      <c r="D71">
        <f t="shared" si="28"/>
        <v>2.3664972279636185</v>
      </c>
      <c r="E71">
        <f t="shared" si="29"/>
        <v>0.29276012327618051</v>
      </c>
      <c r="F71">
        <f t="shared" si="30"/>
        <v>0.42323591107385833</v>
      </c>
    </row>
    <row r="72" spans="2:6">
      <c r="B72">
        <f t="shared" si="27"/>
        <v>214999.99999999997</v>
      </c>
      <c r="C72" s="47">
        <v>2.1499999999999998E-2</v>
      </c>
      <c r="D72">
        <f t="shared" si="28"/>
        <v>2.42284240005799</v>
      </c>
      <c r="E72">
        <f t="shared" si="29"/>
        <v>0.27407938037973484</v>
      </c>
      <c r="F72">
        <f t="shared" si="30"/>
        <v>0.39622963320091498</v>
      </c>
    </row>
    <row r="73" spans="2:6">
      <c r="B73">
        <f t="shared" si="27"/>
        <v>220000</v>
      </c>
      <c r="C73" s="47">
        <v>2.1999999999999999E-2</v>
      </c>
      <c r="D73">
        <f t="shared" si="28"/>
        <v>2.479187572152362</v>
      </c>
      <c r="E73">
        <f t="shared" si="29"/>
        <v>0.25598594316549622</v>
      </c>
      <c r="F73">
        <f t="shared" si="30"/>
        <v>0.37007240830932064</v>
      </c>
    </row>
    <row r="74" spans="2:6">
      <c r="B74">
        <f t="shared" si="27"/>
        <v>225000</v>
      </c>
      <c r="C74" s="47">
        <v>2.2499999999999999E-2</v>
      </c>
      <c r="D74">
        <f t="shared" si="28"/>
        <v>2.5355327442467339</v>
      </c>
      <c r="E74">
        <f t="shared" si="29"/>
        <v>0.23850260540427523</v>
      </c>
      <c r="F74">
        <f t="shared" si="30"/>
        <v>0.34479718877745208</v>
      </c>
    </row>
    <row r="75" spans="2:6">
      <c r="B75">
        <f t="shared" si="27"/>
        <v>230000</v>
      </c>
      <c r="C75" s="47">
        <v>2.3E-2</v>
      </c>
      <c r="D75">
        <f t="shared" si="28"/>
        <v>2.5918779163411059</v>
      </c>
      <c r="E75">
        <f t="shared" si="29"/>
        <v>0.22164912582210441</v>
      </c>
      <c r="F75">
        <f t="shared" si="30"/>
        <v>0.3204325392961575</v>
      </c>
    </row>
    <row r="76" spans="2:6">
      <c r="B76">
        <f t="shared" si="27"/>
        <v>235000</v>
      </c>
      <c r="C76" s="47">
        <v>2.35E-2</v>
      </c>
      <c r="D76">
        <f t="shared" si="28"/>
        <v>2.6482230884354778</v>
      </c>
      <c r="E76">
        <f t="shared" si="29"/>
        <v>0.20544223443423842</v>
      </c>
      <c r="F76">
        <f t="shared" si="30"/>
        <v>0.29700264602566023</v>
      </c>
    </row>
    <row r="77" spans="2:6">
      <c r="B77">
        <f t="shared" si="27"/>
        <v>240000</v>
      </c>
      <c r="C77" s="47">
        <v>2.4E-2</v>
      </c>
      <c r="D77">
        <f t="shared" si="28"/>
        <v>2.7045682605298498</v>
      </c>
      <c r="E77">
        <f t="shared" si="29"/>
        <v>0.18989565393105479</v>
      </c>
      <c r="F77">
        <f t="shared" si="30"/>
        <v>0.27452734751261521</v>
      </c>
    </row>
    <row r="78" spans="2:6">
      <c r="B78">
        <f t="shared" si="27"/>
        <v>245000</v>
      </c>
      <c r="C78" s="47">
        <v>2.4500000000000001E-2</v>
      </c>
      <c r="D78">
        <f t="shared" si="28"/>
        <v>2.7609134326242217</v>
      </c>
      <c r="E78">
        <f t="shared" si="29"/>
        <v>0.17502013565284807</v>
      </c>
      <c r="F78">
        <f t="shared" si="30"/>
        <v>0.25302218669795967</v>
      </c>
    </row>
    <row r="79" spans="2:6">
      <c r="B79">
        <f t="shared" si="27"/>
        <v>250000</v>
      </c>
      <c r="C79" s="47">
        <v>2.5000000000000001E-2</v>
      </c>
      <c r="D79">
        <f t="shared" si="28"/>
        <v>2.8172586047185937</v>
      </c>
      <c r="E79">
        <f t="shared" si="29"/>
        <v>0.16082350961175779</v>
      </c>
      <c r="F79">
        <f t="shared" si="30"/>
        <v>0.23249848323234981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F55C-7597-4266-B06E-4C8A8A62DD78}">
  <dimension ref="A3:W86"/>
  <sheetViews>
    <sheetView zoomScale="70" zoomScaleNormal="70" workbookViewId="0">
      <selection activeCell="H6" sqref="H6"/>
    </sheetView>
  </sheetViews>
  <sheetFormatPr defaultRowHeight="14.25"/>
  <cols>
    <col min="1" max="1" width="7.9296875" customWidth="1"/>
    <col min="2" max="2" width="9.33203125" customWidth="1"/>
    <col min="5" max="5" width="10.73046875" bestFit="1" customWidth="1"/>
    <col min="6" max="6" width="10.3984375" customWidth="1"/>
    <col min="7" max="7" width="10.796875" customWidth="1"/>
    <col min="8" max="8" width="11.796875" customWidth="1"/>
    <col min="9" max="9" width="11.33203125" customWidth="1"/>
    <col min="10" max="10" width="10.796875" customWidth="1"/>
    <col min="11" max="11" width="9.9296875" customWidth="1"/>
    <col min="12" max="12" width="10.1328125" customWidth="1"/>
    <col min="13" max="13" width="10.19921875" customWidth="1"/>
    <col min="14" max="14" width="1.9296875" customWidth="1"/>
    <col min="15" max="15" width="6.9296875" customWidth="1"/>
    <col min="16" max="16" width="10.73046875" bestFit="1" customWidth="1"/>
  </cols>
  <sheetData>
    <row r="3" spans="1:15">
      <c r="F3" s="72" t="s">
        <v>214</v>
      </c>
    </row>
    <row r="4" spans="1:15" ht="15.75">
      <c r="F4" s="70" t="s">
        <v>283</v>
      </c>
      <c r="G4" s="70" t="s">
        <v>284</v>
      </c>
      <c r="H4" s="70" t="s">
        <v>285</v>
      </c>
      <c r="I4" s="70" t="s">
        <v>286</v>
      </c>
      <c r="J4" s="70" t="s">
        <v>287</v>
      </c>
      <c r="K4" s="70" t="s">
        <v>288</v>
      </c>
      <c r="L4" s="70" t="s">
        <v>289</v>
      </c>
      <c r="M4" s="70" t="s">
        <v>290</v>
      </c>
    </row>
    <row r="5" spans="1:15" ht="15.75">
      <c r="A5" s="70" t="s">
        <v>147</v>
      </c>
      <c r="B5" s="70" t="s">
        <v>148</v>
      </c>
      <c r="C5" s="70" t="s">
        <v>146</v>
      </c>
      <c r="D5" s="70" t="s">
        <v>281</v>
      </c>
      <c r="E5" s="70" t="s">
        <v>282</v>
      </c>
      <c r="F5" s="190">
        <v>1E-3</v>
      </c>
      <c r="G5" s="190">
        <v>2E-3</v>
      </c>
      <c r="H5" s="190">
        <v>3.0000000000000001E-3</v>
      </c>
      <c r="I5" s="190">
        <v>4.0000000000000001E-3</v>
      </c>
      <c r="J5" s="190">
        <v>5.0000000000000001E-3</v>
      </c>
      <c r="K5" s="190">
        <v>6.0000000000000001E-3</v>
      </c>
      <c r="L5" s="190">
        <v>7.0000000000000001E-3</v>
      </c>
      <c r="M5" s="190">
        <v>8.0000000000000002E-3</v>
      </c>
      <c r="N5" s="143"/>
      <c r="O5" t="s">
        <v>297</v>
      </c>
    </row>
    <row r="6" spans="1:15">
      <c r="A6" s="72">
        <v>1</v>
      </c>
      <c r="B6" s="188" t="s">
        <v>149</v>
      </c>
      <c r="C6" s="188">
        <f>NormStandard!E15</f>
        <v>22.5</v>
      </c>
      <c r="D6" s="188">
        <f t="shared" ref="D6:D23" si="0">4*PI()*Refin*SIN(RADIANS(C6/2))/Lamcm</f>
        <v>53505.226980224332</v>
      </c>
      <c r="E6" s="188">
        <f>D6^2</f>
        <v>2862809314.2053256</v>
      </c>
      <c r="F6" s="188">
        <f>Conc1!M15</f>
        <v>1.887791352351784</v>
      </c>
      <c r="G6" s="188">
        <f>Conc2!M15</f>
        <v>-8.4822390962514843E-2</v>
      </c>
      <c r="H6" s="188">
        <f>Conc3a!M15</f>
        <v>0</v>
      </c>
      <c r="I6" s="188">
        <f>Conc4!M15</f>
        <v>0</v>
      </c>
      <c r="J6" s="188">
        <f>Conc5!M15</f>
        <v>0</v>
      </c>
      <c r="K6" s="188">
        <f>Conc6!M15</f>
        <v>0</v>
      </c>
      <c r="L6" s="188">
        <f>Conc7!M15</f>
        <v>0</v>
      </c>
      <c r="M6" s="188">
        <f>Conc8!M15</f>
        <v>0</v>
      </c>
    </row>
    <row r="7" spans="1:15">
      <c r="A7" s="72">
        <v>2</v>
      </c>
      <c r="B7" s="188" t="s">
        <v>149</v>
      </c>
      <c r="C7" s="188">
        <f>NormStandard!E16</f>
        <v>28</v>
      </c>
      <c r="D7" s="188">
        <f t="shared" si="0"/>
        <v>66349.195602210661</v>
      </c>
      <c r="E7" s="188">
        <f t="shared" ref="E7:E23" si="1">D7^2</f>
        <v>4402215757.0604105</v>
      </c>
      <c r="F7" s="188">
        <f>Conc1!M16</f>
        <v>3.0537815439825073</v>
      </c>
      <c r="G7" s="188">
        <f>Conc2!M16</f>
        <v>-7.6696717403968662E-2</v>
      </c>
      <c r="H7" s="188">
        <f>Conc3a!M16</f>
        <v>0</v>
      </c>
      <c r="I7" s="188">
        <f>Conc4!M16</f>
        <v>0</v>
      </c>
      <c r="J7" s="188">
        <f>Conc5!M16</f>
        <v>0</v>
      </c>
      <c r="K7" s="188">
        <f>Conc6!M16</f>
        <v>0</v>
      </c>
      <c r="L7" s="188">
        <f>Conc7!M16</f>
        <v>0</v>
      </c>
      <c r="M7" s="188">
        <f>Conc8!M16</f>
        <v>0</v>
      </c>
    </row>
    <row r="8" spans="1:15">
      <c r="A8" s="72">
        <v>3</v>
      </c>
      <c r="B8" s="188" t="s">
        <v>149</v>
      </c>
      <c r="C8" s="188">
        <f>NormStandard!E17</f>
        <v>32</v>
      </c>
      <c r="D8" s="188">
        <f t="shared" si="0"/>
        <v>75595.955426216213</v>
      </c>
      <c r="E8" s="188">
        <f t="shared" si="1"/>
        <v>5714748476.8024683</v>
      </c>
      <c r="F8" s="188">
        <f>Conc1!M17</f>
        <v>2.3586543335190044</v>
      </c>
      <c r="G8" s="188">
        <f>Conc2!M17</f>
        <v>-3.5918593911456922E-2</v>
      </c>
      <c r="H8" s="188">
        <f>Conc3a!M17</f>
        <v>0</v>
      </c>
      <c r="I8" s="188">
        <f>Conc4!M17</f>
        <v>0</v>
      </c>
      <c r="J8" s="188">
        <f>Conc5!M17</f>
        <v>0</v>
      </c>
      <c r="K8" s="188">
        <f>Conc6!M17</f>
        <v>0</v>
      </c>
      <c r="L8" s="188">
        <f>Conc7!M17</f>
        <v>0</v>
      </c>
      <c r="M8" s="188">
        <f>Conc8!M17</f>
        <v>0</v>
      </c>
    </row>
    <row r="9" spans="1:15">
      <c r="A9" s="72">
        <v>4</v>
      </c>
      <c r="B9" s="57" t="s">
        <v>150</v>
      </c>
      <c r="C9" s="57">
        <f>NormStandard!E18</f>
        <v>38</v>
      </c>
      <c r="D9" s="57">
        <f t="shared" si="0"/>
        <v>89289.913624330453</v>
      </c>
      <c r="E9" s="57">
        <f t="shared" si="1"/>
        <v>7972688675.0403929</v>
      </c>
      <c r="F9" s="57" t="str">
        <f>Conc1!M18</f>
        <v>---</v>
      </c>
      <c r="G9" s="57" t="str">
        <f>Conc2!M18</f>
        <v>---</v>
      </c>
      <c r="H9" s="57" t="str">
        <f>Conc3a!M18</f>
        <v>---</v>
      </c>
      <c r="I9" s="57" t="str">
        <f>Conc4!M18</f>
        <v>---</v>
      </c>
      <c r="J9" s="57" t="str">
        <f>Conc5!M18</f>
        <v>---</v>
      </c>
      <c r="K9" s="57" t="str">
        <f>Conc6!M18</f>
        <v>---</v>
      </c>
      <c r="L9" s="57" t="str">
        <f>Conc7!M18</f>
        <v>---</v>
      </c>
      <c r="M9" s="57" t="str">
        <f>Conc8!M18</f>
        <v>---</v>
      </c>
    </row>
    <row r="10" spans="1:15">
      <c r="A10" s="72">
        <v>5</v>
      </c>
      <c r="B10" s="189" t="s">
        <v>1</v>
      </c>
      <c r="C10" s="189">
        <f>NormStandard!E19</f>
        <v>44</v>
      </c>
      <c r="D10" s="189">
        <f t="shared" si="0"/>
        <v>102739.13437566617</v>
      </c>
      <c r="E10" s="189">
        <f t="shared" si="1"/>
        <v>10555329732.261189</v>
      </c>
      <c r="F10" s="189">
        <f>Conc1!M19</f>
        <v>6.2633905256943095E-2</v>
      </c>
      <c r="G10" s="189">
        <f>Conc2!M19</f>
        <v>6.2633905256943095E-2</v>
      </c>
      <c r="H10" s="189">
        <f>Conc3a!M19</f>
        <v>9.4137184921518E-2</v>
      </c>
      <c r="I10" s="189">
        <f>Conc4!M19</f>
        <v>9.4137184921518E-2</v>
      </c>
      <c r="J10" s="189">
        <f>Conc5!M19</f>
        <v>9.4137184921518E-2</v>
      </c>
      <c r="K10" s="189">
        <f>Conc6!M19</f>
        <v>9.4137184921518E-2</v>
      </c>
      <c r="L10" s="189">
        <f>Conc7!M19</f>
        <v>9.4137184921518E-2</v>
      </c>
      <c r="M10" s="189">
        <f>Conc8!M19</f>
        <v>9.4137184921518E-2</v>
      </c>
    </row>
    <row r="11" spans="1:15">
      <c r="A11" s="72">
        <v>6</v>
      </c>
      <c r="B11" s="189" t="s">
        <v>1</v>
      </c>
      <c r="C11" s="189">
        <f>NormStandard!E20</f>
        <v>50</v>
      </c>
      <c r="D11" s="189">
        <f t="shared" si="0"/>
        <v>115906.75430098787</v>
      </c>
      <c r="E11" s="189">
        <f t="shared" si="1"/>
        <v>13434375692.589571</v>
      </c>
      <c r="F11" s="189">
        <f>Conc1!M20</f>
        <v>8.3580422831665696E-2</v>
      </c>
      <c r="G11" s="189">
        <f>Conc2!M20</f>
        <v>8.3580422831665696E-2</v>
      </c>
      <c r="H11" s="189">
        <f>Conc3a!M20</f>
        <v>8.4954791989113987E-2</v>
      </c>
      <c r="I11" s="189">
        <f>Conc4!M20</f>
        <v>8.4954791989113987E-2</v>
      </c>
      <c r="J11" s="189">
        <f>Conc5!M20</f>
        <v>8.4954791989113987E-2</v>
      </c>
      <c r="K11" s="189">
        <f>Conc6!M20</f>
        <v>8.4954791989113987E-2</v>
      </c>
      <c r="L11" s="189">
        <f>Conc7!M20</f>
        <v>8.4954791989113987E-2</v>
      </c>
      <c r="M11" s="189">
        <f>Conc8!M20</f>
        <v>8.4954791989113987E-2</v>
      </c>
    </row>
    <row r="12" spans="1:15">
      <c r="A12" s="72">
        <v>7</v>
      </c>
      <c r="B12" s="188" t="s">
        <v>149</v>
      </c>
      <c r="C12" s="188">
        <f>NormStandard!E21</f>
        <v>57</v>
      </c>
      <c r="D12" s="188">
        <f t="shared" si="0"/>
        <v>130864.96300509552</v>
      </c>
      <c r="E12" s="188">
        <f t="shared" si="1"/>
        <v>17125638542.325018</v>
      </c>
      <c r="F12" s="188">
        <f>Conc1!M21</f>
        <v>1.7172454193538516</v>
      </c>
      <c r="G12" s="188">
        <f>Conc2!M21</f>
        <v>-4.4935616412029977E-2</v>
      </c>
      <c r="H12" s="188">
        <f>Conc3a!M21</f>
        <v>0</v>
      </c>
      <c r="I12" s="188">
        <f>Conc4!M21</f>
        <v>0</v>
      </c>
      <c r="J12" s="188">
        <f>Conc5!M21</f>
        <v>0</v>
      </c>
      <c r="K12" s="188">
        <f>Conc6!M21</f>
        <v>0</v>
      </c>
      <c r="L12" s="188">
        <f>Conc7!M21</f>
        <v>0</v>
      </c>
      <c r="M12" s="188">
        <f>Conc8!M21</f>
        <v>0</v>
      </c>
    </row>
    <row r="13" spans="1:15">
      <c r="A13" s="72">
        <v>8</v>
      </c>
      <c r="B13" s="189" t="s">
        <v>1</v>
      </c>
      <c r="C13" s="189">
        <f>NormStandard!E22</f>
        <v>64</v>
      </c>
      <c r="D13" s="189">
        <f t="shared" si="0"/>
        <v>145334.99263816432</v>
      </c>
      <c r="E13" s="189">
        <f t="shared" si="1"/>
        <v>21122260085.135277</v>
      </c>
      <c r="F13" s="189">
        <f>Conc1!M22</f>
        <v>7.1988374224558796E-2</v>
      </c>
      <c r="G13" s="189">
        <f>Conc2!M22</f>
        <v>7.1988374224558796E-2</v>
      </c>
      <c r="H13" s="189">
        <f>Conc3a!M22</f>
        <v>8.3823081739115651E-2</v>
      </c>
      <c r="I13" s="189">
        <f>Conc4!M22</f>
        <v>8.3823081739115651E-2</v>
      </c>
      <c r="J13" s="189">
        <f>Conc5!M22</f>
        <v>8.3823081739115651E-2</v>
      </c>
      <c r="K13" s="189">
        <f>Conc6!M22</f>
        <v>8.3823081739115651E-2</v>
      </c>
      <c r="L13" s="189">
        <f>Conc7!M22</f>
        <v>8.3823081739115651E-2</v>
      </c>
      <c r="M13" s="189">
        <f>Conc8!M22</f>
        <v>8.3823081739115651E-2</v>
      </c>
    </row>
    <row r="14" spans="1:15">
      <c r="A14" s="72">
        <v>9</v>
      </c>
      <c r="B14" s="188" t="s">
        <v>149</v>
      </c>
      <c r="C14" s="188">
        <f>NormStandard!E23</f>
        <v>72</v>
      </c>
      <c r="D14" s="188">
        <f t="shared" si="0"/>
        <v>161205.2459318676</v>
      </c>
      <c r="E14" s="188">
        <f t="shared" si="1"/>
        <v>25987131315.953915</v>
      </c>
      <c r="F14" s="188">
        <f>Conc1!M23</f>
        <v>1.8752191963461335</v>
      </c>
      <c r="G14" s="188">
        <f>Conc2!M23</f>
        <v>-3.2430036966311568E-2</v>
      </c>
      <c r="H14" s="188">
        <f>Conc3a!M23</f>
        <v>0</v>
      </c>
      <c r="I14" s="188">
        <f>Conc4!M23</f>
        <v>0</v>
      </c>
      <c r="J14" s="188">
        <f>Conc5!M23</f>
        <v>0</v>
      </c>
      <c r="K14" s="188">
        <f>Conc6!M23</f>
        <v>0</v>
      </c>
      <c r="L14" s="188">
        <f>Conc7!M23</f>
        <v>0</v>
      </c>
      <c r="M14" s="188">
        <f>Conc8!M23</f>
        <v>0</v>
      </c>
    </row>
    <row r="15" spans="1:15">
      <c r="A15" s="72">
        <v>10</v>
      </c>
      <c r="B15" s="189" t="s">
        <v>1</v>
      </c>
      <c r="C15" s="189">
        <f>NormStandard!E24</f>
        <v>81</v>
      </c>
      <c r="D15" s="189">
        <f t="shared" si="0"/>
        <v>178116.80701873807</v>
      </c>
      <c r="E15" s="189">
        <f t="shared" si="1"/>
        <v>31725596942.550377</v>
      </c>
      <c r="F15" s="189">
        <f>Conc1!M24</f>
        <v>6.5084068151610414E-2</v>
      </c>
      <c r="G15" s="189">
        <f>Conc2!M24</f>
        <v>6.5084068151610414E-2</v>
      </c>
      <c r="H15" s="189">
        <f>Conc3a!M24</f>
        <v>9.0100361535428358E-2</v>
      </c>
      <c r="I15" s="189">
        <f>Conc4!M24</f>
        <v>9.0100361535428358E-2</v>
      </c>
      <c r="J15" s="189">
        <f>Conc5!M24</f>
        <v>9.0100361535428358E-2</v>
      </c>
      <c r="K15" s="189">
        <f>Conc6!M24</f>
        <v>9.0100361535428358E-2</v>
      </c>
      <c r="L15" s="189">
        <f>Conc7!M24</f>
        <v>9.0100361535428358E-2</v>
      </c>
      <c r="M15" s="189">
        <f>Conc8!M24</f>
        <v>9.0100361535428358E-2</v>
      </c>
    </row>
    <row r="16" spans="1:15">
      <c r="A16" s="72">
        <v>11</v>
      </c>
      <c r="B16" s="188" t="s">
        <v>149</v>
      </c>
      <c r="C16" s="188">
        <f>NormStandard!E25</f>
        <v>90</v>
      </c>
      <c r="D16" s="188">
        <f t="shared" si="0"/>
        <v>193930.21876048925</v>
      </c>
      <c r="E16" s="188">
        <f t="shared" si="1"/>
        <v>37608929748.491219</v>
      </c>
      <c r="F16" s="188">
        <f>Conc1!M25</f>
        <v>2.089115828385935</v>
      </c>
      <c r="G16" s="188">
        <f>Conc2!M25</f>
        <v>-3.1813946625166518E-2</v>
      </c>
      <c r="H16" s="188">
        <f>Conc3a!M25</f>
        <v>0</v>
      </c>
      <c r="I16" s="188">
        <f>Conc4!M25</f>
        <v>0</v>
      </c>
      <c r="J16" s="188">
        <f>Conc5!M25</f>
        <v>0</v>
      </c>
      <c r="K16" s="188">
        <f>Conc6!M25</f>
        <v>0</v>
      </c>
      <c r="L16" s="188">
        <f>Conc7!M25</f>
        <v>0</v>
      </c>
      <c r="M16" s="188">
        <f>Conc8!M25</f>
        <v>0</v>
      </c>
    </row>
    <row r="17" spans="1:13">
      <c r="A17" s="72">
        <v>12</v>
      </c>
      <c r="B17" s="189" t="s">
        <v>1</v>
      </c>
      <c r="C17" s="189">
        <f>NormStandard!E26</f>
        <v>99</v>
      </c>
      <c r="D17" s="189">
        <f t="shared" si="0"/>
        <v>208547.98621524032</v>
      </c>
      <c r="E17" s="189">
        <f t="shared" si="1"/>
        <v>43492262554.432068</v>
      </c>
      <c r="F17" s="189">
        <f>Conc1!M26</f>
        <v>9.5703680818486445E-2</v>
      </c>
      <c r="G17" s="189">
        <f>Conc2!M26</f>
        <v>9.5703680818486445E-2</v>
      </c>
      <c r="H17" s="189">
        <f>Conc3a!M26</f>
        <v>8.3873758192196265E-2</v>
      </c>
      <c r="I17" s="189">
        <f>Conc4!M26</f>
        <v>8.3873758192196265E-2</v>
      </c>
      <c r="J17" s="189">
        <f>Conc5!M26</f>
        <v>8.3873758192196265E-2</v>
      </c>
      <c r="K17" s="189">
        <f>Conc6!M26</f>
        <v>8.3873758192196265E-2</v>
      </c>
      <c r="L17" s="189">
        <f>Conc7!M26</f>
        <v>8.3873758192196265E-2</v>
      </c>
      <c r="M17" s="189">
        <f>Conc8!M26</f>
        <v>8.3873758192196265E-2</v>
      </c>
    </row>
    <row r="18" spans="1:13">
      <c r="A18" s="72">
        <v>13</v>
      </c>
      <c r="B18" s="57" t="s">
        <v>150</v>
      </c>
      <c r="C18" s="57">
        <f>NormStandard!E27</f>
        <v>108</v>
      </c>
      <c r="D18" s="57">
        <f t="shared" si="0"/>
        <v>221879.98598573179</v>
      </c>
      <c r="E18" s="57">
        <f t="shared" si="1"/>
        <v>49230728181.028534</v>
      </c>
      <c r="F18" s="57" t="str">
        <f>Conc1!M27</f>
        <v>---</v>
      </c>
      <c r="G18" s="57" t="str">
        <f>Conc2!M27</f>
        <v>---</v>
      </c>
      <c r="H18" s="57" t="str">
        <f>Conc3a!M27</f>
        <v>---</v>
      </c>
      <c r="I18" s="57" t="str">
        <f>Conc4!M27</f>
        <v>---</v>
      </c>
      <c r="J18" s="57" t="str">
        <f>Conc5!M27</f>
        <v>---</v>
      </c>
      <c r="K18" s="57" t="str">
        <f>Conc6!M27</f>
        <v>---</v>
      </c>
      <c r="L18" s="57" t="str">
        <f>Conc7!M27</f>
        <v>---</v>
      </c>
      <c r="M18" s="57" t="str">
        <f>Conc8!M27</f>
        <v>---</v>
      </c>
    </row>
    <row r="19" spans="1:13">
      <c r="A19" s="72">
        <v>14</v>
      </c>
      <c r="B19" s="189" t="s">
        <v>1</v>
      </c>
      <c r="C19" s="189">
        <f>NormStandard!E28</f>
        <v>117</v>
      </c>
      <c r="D19" s="189">
        <f t="shared" si="0"/>
        <v>233844.02186003872</v>
      </c>
      <c r="E19" s="189">
        <f t="shared" si="1"/>
        <v>54683026559.678268</v>
      </c>
      <c r="F19" s="189">
        <f>Conc1!M28</f>
        <v>9.9349856451222421E-2</v>
      </c>
      <c r="G19" s="189">
        <f>Conc2!M28</f>
        <v>9.9349856451222421E-2</v>
      </c>
      <c r="H19" s="189">
        <f>Conc3a!M28</f>
        <v>9.4108720965506196E-2</v>
      </c>
      <c r="I19" s="189">
        <f>Conc4!M28</f>
        <v>9.4108720965506196E-2</v>
      </c>
      <c r="J19" s="189">
        <f>Conc5!M28</f>
        <v>9.4108720965506196E-2</v>
      </c>
      <c r="K19" s="189">
        <f>Conc6!M28</f>
        <v>9.4108720965506196E-2</v>
      </c>
      <c r="L19" s="189">
        <f>Conc7!M28</f>
        <v>9.4108720965506196E-2</v>
      </c>
      <c r="M19" s="189">
        <f>Conc8!M28</f>
        <v>9.4108720965506196E-2</v>
      </c>
    </row>
    <row r="20" spans="1:13">
      <c r="A20" s="72">
        <v>15</v>
      </c>
      <c r="B20" s="188" t="s">
        <v>149</v>
      </c>
      <c r="C20" s="188">
        <f>NormStandard!E29</f>
        <v>126</v>
      </c>
      <c r="D20" s="188">
        <f t="shared" si="0"/>
        <v>244366.33157855037</v>
      </c>
      <c r="E20" s="188">
        <f t="shared" si="1"/>
        <v>59714904009.15802</v>
      </c>
      <c r="F20" s="188">
        <f>Conc1!M29</f>
        <v>1.6204837124651064</v>
      </c>
      <c r="G20" s="188">
        <f>Conc2!M29</f>
        <v>-4.0698975864064686E-2</v>
      </c>
      <c r="H20" s="188">
        <f>Conc3a!M29</f>
        <v>0</v>
      </c>
      <c r="I20" s="188">
        <f>Conc4!M29</f>
        <v>0</v>
      </c>
      <c r="J20" s="188">
        <f>Conc5!M29</f>
        <v>0</v>
      </c>
      <c r="K20" s="188">
        <f>Conc6!M29</f>
        <v>0</v>
      </c>
      <c r="L20" s="188">
        <f>Conc7!M29</f>
        <v>0</v>
      </c>
      <c r="M20" s="188">
        <f>Conc8!M29</f>
        <v>0</v>
      </c>
    </row>
    <row r="21" spans="1:13">
      <c r="A21" s="72">
        <v>16</v>
      </c>
      <c r="B21" s="189" t="s">
        <v>1</v>
      </c>
      <c r="C21" s="189">
        <f>NormStandard!E30</f>
        <v>134</v>
      </c>
      <c r="D21" s="189">
        <f t="shared" si="0"/>
        <v>252456.50635760027</v>
      </c>
      <c r="E21" s="189">
        <f t="shared" si="1"/>
        <v>63734287602.285065</v>
      </c>
      <c r="F21" s="189">
        <f>Conc1!M30</f>
        <v>7.3718387006404235E-2</v>
      </c>
      <c r="G21" s="189">
        <f>Conc2!M30</f>
        <v>7.3718387006404235E-2</v>
      </c>
      <c r="H21" s="189">
        <f>Conc3a!M30</f>
        <v>8.1798680109580801E-2</v>
      </c>
      <c r="I21" s="189">
        <f>Conc4!M30</f>
        <v>8.1798680109580801E-2</v>
      </c>
      <c r="J21" s="189">
        <f>Conc5!M30</f>
        <v>8.1798680109580801E-2</v>
      </c>
      <c r="K21" s="189">
        <f>Conc6!M30</f>
        <v>8.1798680109580801E-2</v>
      </c>
      <c r="L21" s="189">
        <f>Conc7!M30</f>
        <v>8.1798680109580801E-2</v>
      </c>
      <c r="M21" s="189">
        <f>Conc8!M30</f>
        <v>8.1798680109580801E-2</v>
      </c>
    </row>
    <row r="22" spans="1:13">
      <c r="A22" s="72">
        <v>17</v>
      </c>
      <c r="B22" s="188" t="s">
        <v>149</v>
      </c>
      <c r="C22" s="188">
        <f>NormStandard!E31</f>
        <v>141</v>
      </c>
      <c r="D22" s="188">
        <f t="shared" si="0"/>
        <v>258527.67282681772</v>
      </c>
      <c r="E22" s="188">
        <f t="shared" si="1"/>
        <v>66836557617.250107</v>
      </c>
      <c r="F22" s="188">
        <f>Conc1!M31</f>
        <v>2.9997066889867718</v>
      </c>
      <c r="G22" s="188">
        <f>Conc2!M31</f>
        <v>-3.7970970746667998E-2</v>
      </c>
      <c r="H22" s="188">
        <f>Conc3a!M31</f>
        <v>0</v>
      </c>
      <c r="I22" s="188">
        <f>Conc4!M31</f>
        <v>0</v>
      </c>
      <c r="J22" s="188">
        <f>Conc5!M31</f>
        <v>0</v>
      </c>
      <c r="K22" s="188">
        <f>Conc6!M31</f>
        <v>0</v>
      </c>
      <c r="L22" s="188">
        <f>Conc7!M31</f>
        <v>0</v>
      </c>
      <c r="M22" s="188">
        <f>Conc8!M31</f>
        <v>0</v>
      </c>
    </row>
    <row r="23" spans="1:13">
      <c r="A23" s="72">
        <v>18</v>
      </c>
      <c r="B23" s="189" t="s">
        <v>1</v>
      </c>
      <c r="C23" s="189">
        <f>NormStandard!E32</f>
        <v>147</v>
      </c>
      <c r="D23" s="189">
        <f t="shared" si="0"/>
        <v>262964.69766962621</v>
      </c>
      <c r="E23" s="189">
        <f t="shared" si="1"/>
        <v>69150432220.477921</v>
      </c>
      <c r="F23" s="189">
        <f>Conc1!M32</f>
        <v>9.3064523551827746E-2</v>
      </c>
      <c r="G23" s="189">
        <f>Conc2!M32</f>
        <v>9.3064523551827746E-2</v>
      </c>
      <c r="H23" s="189">
        <f>Conc3a!M32</f>
        <v>8.8797314118287021E-2</v>
      </c>
      <c r="I23" s="189">
        <f>Conc4!M32</f>
        <v>8.8797314118287021E-2</v>
      </c>
      <c r="J23" s="189">
        <f>Conc5!M32</f>
        <v>8.8797314118287021E-2</v>
      </c>
      <c r="K23" s="189">
        <f>Conc6!M32</f>
        <v>8.8797314118287021E-2</v>
      </c>
      <c r="L23" s="189">
        <f>Conc7!M32</f>
        <v>8.8797314118287021E-2</v>
      </c>
      <c r="M23" s="189">
        <f>Conc8!M32</f>
        <v>8.8797314118287021E-2</v>
      </c>
    </row>
    <row r="24" spans="1:13">
      <c r="A24" s="72"/>
      <c r="B24" s="12"/>
    </row>
    <row r="25" spans="1:13" ht="15.75">
      <c r="F25" s="72" t="s">
        <v>292</v>
      </c>
    </row>
    <row r="26" spans="1:13" ht="15.75">
      <c r="F26" s="70" t="s">
        <v>283</v>
      </c>
      <c r="G26" s="70" t="s">
        <v>284</v>
      </c>
      <c r="H26" s="70" t="s">
        <v>285</v>
      </c>
      <c r="I26" s="70" t="s">
        <v>286</v>
      </c>
      <c r="J26" s="70" t="s">
        <v>287</v>
      </c>
      <c r="K26" s="70" t="s">
        <v>288</v>
      </c>
      <c r="L26" s="70" t="s">
        <v>289</v>
      </c>
      <c r="M26" s="70" t="s">
        <v>290</v>
      </c>
    </row>
    <row r="27" spans="1:13" ht="15.75">
      <c r="A27" s="70" t="s">
        <v>147</v>
      </c>
      <c r="B27" s="187" t="s">
        <v>148</v>
      </c>
      <c r="C27" s="70" t="s">
        <v>146</v>
      </c>
      <c r="D27" s="70" t="s">
        <v>281</v>
      </c>
      <c r="E27" s="70" t="s">
        <v>282</v>
      </c>
      <c r="F27" s="197">
        <f>F5</f>
        <v>1E-3</v>
      </c>
      <c r="G27" s="197">
        <f t="shared" ref="G27:M27" si="2">G5</f>
        <v>2E-3</v>
      </c>
      <c r="H27" s="197">
        <f t="shared" si="2"/>
        <v>3.0000000000000001E-3</v>
      </c>
      <c r="I27" s="197">
        <f t="shared" si="2"/>
        <v>4.0000000000000001E-3</v>
      </c>
      <c r="J27" s="197">
        <f t="shared" si="2"/>
        <v>5.0000000000000001E-3</v>
      </c>
      <c r="K27" s="197">
        <f t="shared" si="2"/>
        <v>6.0000000000000001E-3</v>
      </c>
      <c r="L27" s="197">
        <f t="shared" si="2"/>
        <v>7.0000000000000001E-3</v>
      </c>
      <c r="M27" s="197">
        <f t="shared" si="2"/>
        <v>8.0000000000000002E-3</v>
      </c>
    </row>
    <row r="28" spans="1:13">
      <c r="A28">
        <f>A6</f>
        <v>1</v>
      </c>
      <c r="B28" s="188" t="str">
        <f t="shared" ref="B28:E28" si="3">B6</f>
        <v>Wyatt</v>
      </c>
      <c r="C28" s="188">
        <f t="shared" si="3"/>
        <v>22.5</v>
      </c>
      <c r="D28" s="188">
        <f t="shared" si="3"/>
        <v>53505.226980224332</v>
      </c>
      <c r="E28" s="188">
        <f t="shared" si="3"/>
        <v>2862809314.2053256</v>
      </c>
      <c r="F28" s="188">
        <f t="shared" ref="F28:M37" si="4">RayFactorStd*(F6/I90Std)*(Refin/RefinRayleigh)^VolExponent</f>
        <v>6.2664355587039042E-3</v>
      </c>
      <c r="G28" s="188">
        <f t="shared" si="4"/>
        <v>-2.8156398017164873E-4</v>
      </c>
      <c r="H28" s="188">
        <f t="shared" si="4"/>
        <v>0</v>
      </c>
      <c r="I28" s="188">
        <f t="shared" si="4"/>
        <v>0</v>
      </c>
      <c r="J28" s="188">
        <f t="shared" si="4"/>
        <v>0</v>
      </c>
      <c r="K28" s="188">
        <f t="shared" si="4"/>
        <v>0</v>
      </c>
      <c r="L28" s="188">
        <f t="shared" si="4"/>
        <v>0</v>
      </c>
      <c r="M28" s="188">
        <f t="shared" si="4"/>
        <v>0</v>
      </c>
    </row>
    <row r="29" spans="1:13">
      <c r="A29">
        <f t="shared" ref="A29:E29" si="5">A7</f>
        <v>2</v>
      </c>
      <c r="B29" s="188" t="str">
        <f t="shared" si="5"/>
        <v>Wyatt</v>
      </c>
      <c r="C29" s="188">
        <f t="shared" si="5"/>
        <v>28</v>
      </c>
      <c r="D29" s="188">
        <f t="shared" si="5"/>
        <v>66349.195602210661</v>
      </c>
      <c r="E29" s="188">
        <f t="shared" si="5"/>
        <v>4402215757.0604105</v>
      </c>
      <c r="F29" s="188">
        <f t="shared" si="4"/>
        <v>1.0136885748462578E-2</v>
      </c>
      <c r="G29" s="188">
        <f t="shared" si="4"/>
        <v>-2.5459118486656398E-4</v>
      </c>
      <c r="H29" s="188">
        <f t="shared" si="4"/>
        <v>0</v>
      </c>
      <c r="I29" s="188">
        <f t="shared" si="4"/>
        <v>0</v>
      </c>
      <c r="J29" s="188">
        <f t="shared" si="4"/>
        <v>0</v>
      </c>
      <c r="K29" s="188">
        <f t="shared" si="4"/>
        <v>0</v>
      </c>
      <c r="L29" s="188">
        <f t="shared" si="4"/>
        <v>0</v>
      </c>
      <c r="M29" s="188">
        <f t="shared" si="4"/>
        <v>0</v>
      </c>
    </row>
    <row r="30" spans="1:13">
      <c r="A30">
        <f t="shared" ref="A30:E30" si="6">A8</f>
        <v>3</v>
      </c>
      <c r="B30" s="188" t="str">
        <f t="shared" si="6"/>
        <v>Wyatt</v>
      </c>
      <c r="C30" s="188">
        <f t="shared" si="6"/>
        <v>32</v>
      </c>
      <c r="D30" s="188">
        <f t="shared" si="6"/>
        <v>75595.955426216213</v>
      </c>
      <c r="E30" s="188">
        <f t="shared" si="6"/>
        <v>5714748476.8024683</v>
      </c>
      <c r="F30" s="188">
        <f t="shared" si="4"/>
        <v>7.8294433163079106E-3</v>
      </c>
      <c r="G30" s="188">
        <f t="shared" si="4"/>
        <v>-1.1923010126357224E-4</v>
      </c>
      <c r="H30" s="188">
        <f t="shared" si="4"/>
        <v>0</v>
      </c>
      <c r="I30" s="188">
        <f t="shared" si="4"/>
        <v>0</v>
      </c>
      <c r="J30" s="188">
        <f t="shared" si="4"/>
        <v>0</v>
      </c>
      <c r="K30" s="188">
        <f t="shared" si="4"/>
        <v>0</v>
      </c>
      <c r="L30" s="188">
        <f t="shared" si="4"/>
        <v>0</v>
      </c>
      <c r="M30" s="188">
        <f t="shared" si="4"/>
        <v>0</v>
      </c>
    </row>
    <row r="31" spans="1:13">
      <c r="A31">
        <f t="shared" ref="A31:E31" si="7">A9</f>
        <v>4</v>
      </c>
      <c r="B31" s="57" t="str">
        <f t="shared" si="7"/>
        <v>Blank</v>
      </c>
      <c r="C31" s="57">
        <f t="shared" si="7"/>
        <v>38</v>
      </c>
      <c r="D31" s="57">
        <f t="shared" si="7"/>
        <v>89289.913624330453</v>
      </c>
      <c r="E31" s="57">
        <f t="shared" si="7"/>
        <v>7972688675.0403929</v>
      </c>
      <c r="F31" s="57"/>
      <c r="G31" s="57"/>
      <c r="H31" s="57"/>
      <c r="I31" s="57"/>
      <c r="J31" s="57"/>
      <c r="K31" s="57"/>
      <c r="L31" s="57"/>
      <c r="M31" s="57"/>
    </row>
    <row r="32" spans="1:13">
      <c r="A32">
        <f t="shared" ref="A32:E32" si="8">A10</f>
        <v>5</v>
      </c>
      <c r="B32" s="189" t="str">
        <f t="shared" si="8"/>
        <v>Fiber/APD</v>
      </c>
      <c r="C32" s="189">
        <f t="shared" si="8"/>
        <v>44</v>
      </c>
      <c r="D32" s="189">
        <f t="shared" si="8"/>
        <v>102739.13437566617</v>
      </c>
      <c r="E32" s="189">
        <f t="shared" si="8"/>
        <v>10555329732.261189</v>
      </c>
      <c r="F32" s="189">
        <f t="shared" si="4"/>
        <v>2.0791033426106089E-4</v>
      </c>
      <c r="G32" s="189">
        <f t="shared" si="4"/>
        <v>2.0791033426106089E-4</v>
      </c>
      <c r="H32" s="189">
        <f t="shared" si="4"/>
        <v>3.1248400531848532E-4</v>
      </c>
      <c r="I32" s="189">
        <f t="shared" si="4"/>
        <v>3.1248400531848532E-4</v>
      </c>
      <c r="J32" s="189">
        <f t="shared" si="4"/>
        <v>3.1248400531848532E-4</v>
      </c>
      <c r="K32" s="189">
        <f t="shared" si="4"/>
        <v>3.1248400531848532E-4</v>
      </c>
      <c r="L32" s="189">
        <f t="shared" si="4"/>
        <v>3.1248400531848532E-4</v>
      </c>
      <c r="M32" s="189">
        <f t="shared" si="4"/>
        <v>3.1248400531848532E-4</v>
      </c>
    </row>
    <row r="33" spans="1:17">
      <c r="A33">
        <f t="shared" ref="A33:E33" si="9">A11</f>
        <v>6</v>
      </c>
      <c r="B33" s="189" t="str">
        <f t="shared" si="9"/>
        <v>Fiber/APD</v>
      </c>
      <c r="C33" s="189">
        <f t="shared" si="9"/>
        <v>50</v>
      </c>
      <c r="D33" s="189">
        <f t="shared" si="9"/>
        <v>115906.75430098787</v>
      </c>
      <c r="E33" s="189">
        <f t="shared" si="9"/>
        <v>13434375692.589571</v>
      </c>
      <c r="F33" s="189">
        <f t="shared" si="4"/>
        <v>2.77441324747767E-4</v>
      </c>
      <c r="G33" s="189">
        <f t="shared" si="4"/>
        <v>2.77441324747767E-4</v>
      </c>
      <c r="H33" s="189">
        <f t="shared" si="4"/>
        <v>2.8200347921907058E-4</v>
      </c>
      <c r="I33" s="189">
        <f t="shared" si="4"/>
        <v>2.8200347921907058E-4</v>
      </c>
      <c r="J33" s="189">
        <f t="shared" si="4"/>
        <v>2.8200347921907058E-4</v>
      </c>
      <c r="K33" s="189">
        <f t="shared" si="4"/>
        <v>2.8200347921907058E-4</v>
      </c>
      <c r="L33" s="189">
        <f t="shared" si="4"/>
        <v>2.8200347921907058E-4</v>
      </c>
      <c r="M33" s="189">
        <f t="shared" si="4"/>
        <v>2.8200347921907058E-4</v>
      </c>
    </row>
    <row r="34" spans="1:17">
      <c r="A34">
        <f t="shared" ref="A34:E34" si="10">A12</f>
        <v>7</v>
      </c>
      <c r="B34" s="188" t="str">
        <f t="shared" si="10"/>
        <v>Wyatt</v>
      </c>
      <c r="C34" s="188">
        <f t="shared" si="10"/>
        <v>57</v>
      </c>
      <c r="D34" s="188">
        <f t="shared" si="10"/>
        <v>130864.96300509552</v>
      </c>
      <c r="E34" s="188">
        <f t="shared" si="10"/>
        <v>17125638542.325018</v>
      </c>
      <c r="F34" s="188">
        <f t="shared" si="4"/>
        <v>5.7003162693029926E-3</v>
      </c>
      <c r="G34" s="188">
        <f t="shared" si="4"/>
        <v>-1.4916168790890335E-4</v>
      </c>
      <c r="H34" s="188">
        <f t="shared" si="4"/>
        <v>0</v>
      </c>
      <c r="I34" s="188">
        <f t="shared" si="4"/>
        <v>0</v>
      </c>
      <c r="J34" s="188">
        <f t="shared" si="4"/>
        <v>0</v>
      </c>
      <c r="K34" s="188">
        <f t="shared" si="4"/>
        <v>0</v>
      </c>
      <c r="L34" s="188">
        <f t="shared" si="4"/>
        <v>0</v>
      </c>
      <c r="M34" s="188">
        <f t="shared" si="4"/>
        <v>0</v>
      </c>
    </row>
    <row r="35" spans="1:17">
      <c r="A35">
        <f t="shared" ref="A35:E35" si="11">A13</f>
        <v>8</v>
      </c>
      <c r="B35" s="189" t="str">
        <f t="shared" si="11"/>
        <v>Fiber/APD</v>
      </c>
      <c r="C35" s="189">
        <f t="shared" si="11"/>
        <v>64</v>
      </c>
      <c r="D35" s="189">
        <f t="shared" si="11"/>
        <v>145334.99263816432</v>
      </c>
      <c r="E35" s="189">
        <f t="shared" si="11"/>
        <v>21122260085.135277</v>
      </c>
      <c r="F35" s="189">
        <f t="shared" si="4"/>
        <v>2.3896205875298225E-4</v>
      </c>
      <c r="G35" s="189">
        <f t="shared" si="4"/>
        <v>2.3896205875298225E-4</v>
      </c>
      <c r="H35" s="189">
        <f t="shared" si="4"/>
        <v>2.7824681970057858E-4</v>
      </c>
      <c r="I35" s="189">
        <f t="shared" si="4"/>
        <v>2.7824681970057858E-4</v>
      </c>
      <c r="J35" s="189">
        <f t="shared" si="4"/>
        <v>2.7824681970057858E-4</v>
      </c>
      <c r="K35" s="189">
        <f t="shared" si="4"/>
        <v>2.7824681970057858E-4</v>
      </c>
      <c r="L35" s="189">
        <f t="shared" si="4"/>
        <v>2.7824681970057858E-4</v>
      </c>
      <c r="M35" s="189">
        <f t="shared" si="4"/>
        <v>2.7824681970057858E-4</v>
      </c>
    </row>
    <row r="36" spans="1:17">
      <c r="A36">
        <f t="shared" ref="A36:E36" si="12">A14</f>
        <v>9</v>
      </c>
      <c r="B36" s="188" t="str">
        <f t="shared" si="12"/>
        <v>Wyatt</v>
      </c>
      <c r="C36" s="188">
        <f t="shared" si="12"/>
        <v>72</v>
      </c>
      <c r="D36" s="188">
        <f t="shared" si="12"/>
        <v>161205.2459318676</v>
      </c>
      <c r="E36" s="188">
        <f t="shared" si="12"/>
        <v>25987131315.953915</v>
      </c>
      <c r="F36" s="188">
        <f t="shared" si="4"/>
        <v>6.2247028718022323E-3</v>
      </c>
      <c r="G36" s="188">
        <f t="shared" si="4"/>
        <v>-1.0764999880024207E-4</v>
      </c>
      <c r="H36" s="188">
        <f t="shared" si="4"/>
        <v>0</v>
      </c>
      <c r="I36" s="188">
        <f t="shared" si="4"/>
        <v>0</v>
      </c>
      <c r="J36" s="188">
        <f t="shared" si="4"/>
        <v>0</v>
      </c>
      <c r="K36" s="188">
        <f t="shared" si="4"/>
        <v>0</v>
      </c>
      <c r="L36" s="188">
        <f t="shared" si="4"/>
        <v>0</v>
      </c>
      <c r="M36" s="188">
        <f t="shared" si="4"/>
        <v>0</v>
      </c>
    </row>
    <row r="37" spans="1:17">
      <c r="A37">
        <f t="shared" ref="A37:E37" si="13">A15</f>
        <v>10</v>
      </c>
      <c r="B37" s="189" t="str">
        <f t="shared" si="13"/>
        <v>Fiber/APD</v>
      </c>
      <c r="C37" s="189">
        <f t="shared" si="13"/>
        <v>81</v>
      </c>
      <c r="D37" s="189">
        <f t="shared" si="13"/>
        <v>178116.80701873807</v>
      </c>
      <c r="E37" s="189">
        <f t="shared" si="13"/>
        <v>31725596942.550377</v>
      </c>
      <c r="F37" s="189">
        <f t="shared" si="4"/>
        <v>2.1604353598837715E-4</v>
      </c>
      <c r="G37" s="189">
        <f t="shared" si="4"/>
        <v>2.1604353598837715E-4</v>
      </c>
      <c r="H37" s="189">
        <f t="shared" si="4"/>
        <v>2.990839579142604E-4</v>
      </c>
      <c r="I37" s="189">
        <f t="shared" si="4"/>
        <v>2.990839579142604E-4</v>
      </c>
      <c r="J37" s="189">
        <f t="shared" si="4"/>
        <v>2.990839579142604E-4</v>
      </c>
      <c r="K37" s="189">
        <f t="shared" si="4"/>
        <v>2.990839579142604E-4</v>
      </c>
      <c r="L37" s="189">
        <f t="shared" si="4"/>
        <v>2.990839579142604E-4</v>
      </c>
      <c r="M37" s="189">
        <f t="shared" si="4"/>
        <v>2.990839579142604E-4</v>
      </c>
    </row>
    <row r="38" spans="1:17">
      <c r="A38">
        <f t="shared" ref="A38:E38" si="14">A16</f>
        <v>11</v>
      </c>
      <c r="B38" s="188" t="str">
        <f t="shared" si="14"/>
        <v>Wyatt</v>
      </c>
      <c r="C38" s="188">
        <f t="shared" si="14"/>
        <v>90</v>
      </c>
      <c r="D38" s="188">
        <f t="shared" si="14"/>
        <v>193930.21876048925</v>
      </c>
      <c r="E38" s="188">
        <f t="shared" si="14"/>
        <v>37608929748.491219</v>
      </c>
      <c r="F38" s="188">
        <f t="shared" ref="F38:M45" si="15">RayFactorStd*(F16/I90Std)*(Refin/RefinRayleigh)^VolExponent</f>
        <v>6.9347227896450619E-3</v>
      </c>
      <c r="G38" s="188">
        <f t="shared" si="15"/>
        <v>-1.0560491557835117E-4</v>
      </c>
      <c r="H38" s="188">
        <f t="shared" si="15"/>
        <v>0</v>
      </c>
      <c r="I38" s="188">
        <f t="shared" si="15"/>
        <v>0</v>
      </c>
      <c r="J38" s="188">
        <f t="shared" si="15"/>
        <v>0</v>
      </c>
      <c r="K38" s="188">
        <f t="shared" si="15"/>
        <v>0</v>
      </c>
      <c r="L38" s="188">
        <f t="shared" si="15"/>
        <v>0</v>
      </c>
      <c r="M38" s="188">
        <f t="shared" si="15"/>
        <v>0</v>
      </c>
    </row>
    <row r="39" spans="1:17">
      <c r="A39">
        <f t="shared" ref="A39:E39" si="16">A17</f>
        <v>12</v>
      </c>
      <c r="B39" s="189" t="str">
        <f t="shared" si="16"/>
        <v>Fiber/APD</v>
      </c>
      <c r="C39" s="189">
        <f t="shared" si="16"/>
        <v>99</v>
      </c>
      <c r="D39" s="189">
        <f t="shared" si="16"/>
        <v>208547.98621524032</v>
      </c>
      <c r="E39" s="189">
        <f t="shared" si="16"/>
        <v>43492262554.432068</v>
      </c>
      <c r="F39" s="189">
        <f t="shared" si="15"/>
        <v>3.1768391556232542E-4</v>
      </c>
      <c r="G39" s="189">
        <f t="shared" si="15"/>
        <v>3.1768391556232542E-4</v>
      </c>
      <c r="H39" s="189">
        <f t="shared" si="15"/>
        <v>2.7841503782869835E-4</v>
      </c>
      <c r="I39" s="189">
        <f t="shared" si="15"/>
        <v>2.7841503782869835E-4</v>
      </c>
      <c r="J39" s="189">
        <f t="shared" si="15"/>
        <v>2.7841503782869835E-4</v>
      </c>
      <c r="K39" s="189">
        <f t="shared" si="15"/>
        <v>2.7841503782869835E-4</v>
      </c>
      <c r="L39" s="189">
        <f t="shared" si="15"/>
        <v>2.7841503782869835E-4</v>
      </c>
      <c r="M39" s="189">
        <f t="shared" si="15"/>
        <v>2.7841503782869835E-4</v>
      </c>
    </row>
    <row r="40" spans="1:17">
      <c r="A40">
        <f t="shared" ref="A40:E40" si="17">A18</f>
        <v>13</v>
      </c>
      <c r="B40" s="57" t="str">
        <f t="shared" si="17"/>
        <v>Blank</v>
      </c>
      <c r="C40" s="57">
        <f t="shared" si="17"/>
        <v>108</v>
      </c>
      <c r="D40" s="57">
        <f t="shared" si="17"/>
        <v>221879.98598573179</v>
      </c>
      <c r="E40" s="57">
        <f t="shared" si="17"/>
        <v>49230728181.028534</v>
      </c>
      <c r="F40" s="57"/>
      <c r="G40" s="57"/>
      <c r="H40" s="57"/>
      <c r="I40" s="57"/>
      <c r="J40" s="57"/>
      <c r="K40" s="57"/>
      <c r="L40" s="57"/>
      <c r="M40" s="57"/>
    </row>
    <row r="41" spans="1:17">
      <c r="A41">
        <f>A19</f>
        <v>14</v>
      </c>
      <c r="B41" s="189" t="str">
        <f t="shared" ref="B41:E41" si="18">B19</f>
        <v>Fiber/APD</v>
      </c>
      <c r="C41" s="189">
        <f t="shared" si="18"/>
        <v>117</v>
      </c>
      <c r="D41" s="189">
        <f t="shared" si="18"/>
        <v>233844.02186003872</v>
      </c>
      <c r="E41" s="189">
        <f t="shared" si="18"/>
        <v>54683026559.678268</v>
      </c>
      <c r="F41" s="189">
        <f t="shared" si="15"/>
        <v>3.2978722592540767E-4</v>
      </c>
      <c r="G41" s="189">
        <f t="shared" si="15"/>
        <v>3.2978722592540767E-4</v>
      </c>
      <c r="H41" s="189">
        <f t="shared" si="15"/>
        <v>3.1238952054087917E-4</v>
      </c>
      <c r="I41" s="189">
        <f t="shared" si="15"/>
        <v>3.1238952054087917E-4</v>
      </c>
      <c r="J41" s="189">
        <f t="shared" si="15"/>
        <v>3.1238952054087917E-4</v>
      </c>
      <c r="K41" s="189">
        <f t="shared" si="15"/>
        <v>3.1238952054087917E-4</v>
      </c>
      <c r="L41" s="189">
        <f t="shared" si="15"/>
        <v>3.1238952054087917E-4</v>
      </c>
      <c r="M41" s="189">
        <f t="shared" si="15"/>
        <v>3.1238952054087917E-4</v>
      </c>
    </row>
    <row r="42" spans="1:17">
      <c r="A42">
        <f t="shared" ref="A42:E42" si="19">A20</f>
        <v>15</v>
      </c>
      <c r="B42" s="188" t="str">
        <f t="shared" si="19"/>
        <v>Wyatt</v>
      </c>
      <c r="C42" s="188">
        <f t="shared" si="19"/>
        <v>126</v>
      </c>
      <c r="D42" s="188">
        <f t="shared" si="19"/>
        <v>244366.33157855037</v>
      </c>
      <c r="E42" s="188">
        <f t="shared" si="19"/>
        <v>59714904009.15802</v>
      </c>
      <c r="F42" s="188">
        <f t="shared" si="15"/>
        <v>5.3791202854284329E-3</v>
      </c>
      <c r="G42" s="188">
        <f t="shared" si="15"/>
        <v>-1.3509835673295397E-4</v>
      </c>
      <c r="H42" s="188">
        <f t="shared" si="15"/>
        <v>0</v>
      </c>
      <c r="I42" s="188">
        <f t="shared" si="15"/>
        <v>0</v>
      </c>
      <c r="J42" s="188">
        <f t="shared" si="15"/>
        <v>0</v>
      </c>
      <c r="K42" s="188">
        <f t="shared" si="15"/>
        <v>0</v>
      </c>
      <c r="L42" s="188">
        <f t="shared" si="15"/>
        <v>0</v>
      </c>
      <c r="M42" s="188">
        <f t="shared" si="15"/>
        <v>0</v>
      </c>
    </row>
    <row r="43" spans="1:17">
      <c r="A43">
        <f t="shared" ref="A43:E43" si="20">A21</f>
        <v>16</v>
      </c>
      <c r="B43" s="189" t="str">
        <f t="shared" si="20"/>
        <v>Fiber/APD</v>
      </c>
      <c r="C43" s="189">
        <f t="shared" si="20"/>
        <v>134</v>
      </c>
      <c r="D43" s="189">
        <f t="shared" si="20"/>
        <v>252456.50635760027</v>
      </c>
      <c r="E43" s="189">
        <f t="shared" si="20"/>
        <v>63734287602.285065</v>
      </c>
      <c r="F43" s="189">
        <f t="shared" si="15"/>
        <v>2.4470475568803439E-4</v>
      </c>
      <c r="G43" s="189">
        <f t="shared" si="15"/>
        <v>2.4470475568803439E-4</v>
      </c>
      <c r="H43" s="189">
        <f t="shared" si="15"/>
        <v>2.7152691268298812E-4</v>
      </c>
      <c r="I43" s="189">
        <f t="shared" si="15"/>
        <v>2.7152691268298812E-4</v>
      </c>
      <c r="J43" s="189">
        <f t="shared" si="15"/>
        <v>2.7152691268298812E-4</v>
      </c>
      <c r="K43" s="189">
        <f t="shared" si="15"/>
        <v>2.7152691268298812E-4</v>
      </c>
      <c r="L43" s="189">
        <f t="shared" si="15"/>
        <v>2.7152691268298812E-4</v>
      </c>
      <c r="M43" s="189">
        <f t="shared" si="15"/>
        <v>2.7152691268298812E-4</v>
      </c>
    </row>
    <row r="44" spans="1:17">
      <c r="A44">
        <f>A22</f>
        <v>17</v>
      </c>
      <c r="B44" s="188" t="str">
        <f t="shared" ref="B44:E44" si="21">B22</f>
        <v>Wyatt</v>
      </c>
      <c r="C44" s="188">
        <f t="shared" si="21"/>
        <v>141</v>
      </c>
      <c r="D44" s="188">
        <f t="shared" si="21"/>
        <v>258527.67282681772</v>
      </c>
      <c r="E44" s="188">
        <f t="shared" si="21"/>
        <v>66836557617.250107</v>
      </c>
      <c r="F44" s="188">
        <f t="shared" si="15"/>
        <v>9.9573867833068711E-3</v>
      </c>
      <c r="G44" s="188">
        <f t="shared" si="15"/>
        <v>-1.2604287067477052E-4</v>
      </c>
      <c r="H44" s="188">
        <f t="shared" si="15"/>
        <v>0</v>
      </c>
      <c r="I44" s="188">
        <f t="shared" si="15"/>
        <v>0</v>
      </c>
      <c r="J44" s="188">
        <f t="shared" si="15"/>
        <v>0</v>
      </c>
      <c r="K44" s="188">
        <f t="shared" si="15"/>
        <v>0</v>
      </c>
      <c r="L44" s="188">
        <f t="shared" si="15"/>
        <v>0</v>
      </c>
      <c r="M44" s="188">
        <f t="shared" si="15"/>
        <v>0</v>
      </c>
    </row>
    <row r="45" spans="1:17">
      <c r="A45">
        <f t="shared" ref="A45:E45" si="22">A23</f>
        <v>18</v>
      </c>
      <c r="B45" s="189" t="str">
        <f t="shared" si="22"/>
        <v>Fiber/APD</v>
      </c>
      <c r="C45" s="189">
        <f t="shared" si="22"/>
        <v>147</v>
      </c>
      <c r="D45" s="189">
        <f t="shared" si="22"/>
        <v>262964.69766962621</v>
      </c>
      <c r="E45" s="189">
        <f t="shared" si="22"/>
        <v>69150432220.477921</v>
      </c>
      <c r="F45" s="189">
        <f t="shared" si="15"/>
        <v>3.0892335581074112E-4</v>
      </c>
      <c r="G45" s="189">
        <f t="shared" si="15"/>
        <v>3.0892335581074112E-4</v>
      </c>
      <c r="H45" s="189">
        <f t="shared" si="15"/>
        <v>2.947585526414376E-4</v>
      </c>
      <c r="I45" s="189">
        <f t="shared" si="15"/>
        <v>2.947585526414376E-4</v>
      </c>
      <c r="J45" s="189">
        <f t="shared" si="15"/>
        <v>2.947585526414376E-4</v>
      </c>
      <c r="K45" s="189">
        <f t="shared" si="15"/>
        <v>2.947585526414376E-4</v>
      </c>
      <c r="L45" s="189">
        <f t="shared" si="15"/>
        <v>2.947585526414376E-4</v>
      </c>
      <c r="M45" s="189">
        <f t="shared" si="15"/>
        <v>2.947585526414376E-4</v>
      </c>
    </row>
    <row r="47" spans="1:17" ht="15.75">
      <c r="F47" s="72" t="s">
        <v>293</v>
      </c>
    </row>
    <row r="48" spans="1:17" ht="16.5">
      <c r="F48" s="70" t="s">
        <v>283</v>
      </c>
      <c r="G48" s="70" t="s">
        <v>284</v>
      </c>
      <c r="H48" s="70" t="s">
        <v>285</v>
      </c>
      <c r="I48" s="70" t="s">
        <v>286</v>
      </c>
      <c r="J48" s="70" t="s">
        <v>287</v>
      </c>
      <c r="K48" s="70" t="s">
        <v>288</v>
      </c>
      <c r="L48" s="70" t="s">
        <v>289</v>
      </c>
      <c r="M48" s="70" t="s">
        <v>290</v>
      </c>
      <c r="O48" s="196" t="s">
        <v>296</v>
      </c>
      <c r="P48" s="190">
        <v>100</v>
      </c>
      <c r="Q48" s="195" t="s">
        <v>295</v>
      </c>
    </row>
    <row r="49" spans="1:23" ht="15.75">
      <c r="A49" s="70" t="s">
        <v>147</v>
      </c>
      <c r="B49" s="187" t="s">
        <v>148</v>
      </c>
      <c r="C49" s="70" t="s">
        <v>146</v>
      </c>
      <c r="D49" s="70" t="s">
        <v>281</v>
      </c>
      <c r="E49" s="70" t="s">
        <v>282</v>
      </c>
      <c r="F49" s="197">
        <f>F5</f>
        <v>1E-3</v>
      </c>
      <c r="G49" s="197">
        <f t="shared" ref="G49:M49" si="23">G5</f>
        <v>2E-3</v>
      </c>
      <c r="H49" s="197">
        <f t="shared" si="23"/>
        <v>3.0000000000000001E-3</v>
      </c>
      <c r="I49" s="197">
        <f t="shared" si="23"/>
        <v>4.0000000000000001E-3</v>
      </c>
      <c r="J49" s="197">
        <f t="shared" si="23"/>
        <v>5.0000000000000001E-3</v>
      </c>
      <c r="K49" s="197">
        <f t="shared" si="23"/>
        <v>6.0000000000000001E-3</v>
      </c>
      <c r="L49" s="197">
        <f t="shared" si="23"/>
        <v>7.0000000000000001E-3</v>
      </c>
      <c r="M49" s="197">
        <f t="shared" si="23"/>
        <v>8.0000000000000002E-3</v>
      </c>
      <c r="N49" s="39"/>
    </row>
    <row r="50" spans="1:23">
      <c r="A50">
        <f>A28</f>
        <v>1</v>
      </c>
      <c r="B50" s="188" t="str">
        <f t="shared" ref="B50:E50" si="24">B28</f>
        <v>Wyatt</v>
      </c>
      <c r="C50" s="188">
        <f t="shared" si="24"/>
        <v>22.5</v>
      </c>
      <c r="D50" s="188">
        <f t="shared" si="24"/>
        <v>53505.226980224332</v>
      </c>
      <c r="E50" s="188">
        <f t="shared" si="24"/>
        <v>2862809314.2053256</v>
      </c>
      <c r="F50" s="188">
        <f t="shared" ref="F50:M52" si="25">Koptical*F$5/F28</f>
        <v>1.2850022179555983E-8</v>
      </c>
      <c r="G50" s="188">
        <f t="shared" si="25"/>
        <v>-5.7197540585279428E-7</v>
      </c>
      <c r="H50" s="188" t="e">
        <f t="shared" si="25"/>
        <v>#DIV/0!</v>
      </c>
      <c r="I50" s="188" t="e">
        <f t="shared" si="25"/>
        <v>#DIV/0!</v>
      </c>
      <c r="J50" s="188" t="e">
        <f t="shared" si="25"/>
        <v>#DIV/0!</v>
      </c>
      <c r="K50" s="188" t="e">
        <f t="shared" si="25"/>
        <v>#DIV/0!</v>
      </c>
      <c r="L50" s="188" t="e">
        <f t="shared" si="25"/>
        <v>#DIV/0!</v>
      </c>
      <c r="M50" s="188" t="e">
        <f t="shared" si="25"/>
        <v>#DIV/0!</v>
      </c>
      <c r="O50" s="39"/>
      <c r="P50" s="151"/>
      <c r="Q50" s="151"/>
      <c r="R50" s="151"/>
      <c r="S50" s="151"/>
      <c r="T50" s="151"/>
      <c r="U50" s="151"/>
      <c r="V50" s="151"/>
      <c r="W50" s="151"/>
    </row>
    <row r="51" spans="1:23">
      <c r="A51">
        <f t="shared" ref="A51:E51" si="26">A29</f>
        <v>2</v>
      </c>
      <c r="B51" s="188" t="str">
        <f t="shared" si="26"/>
        <v>Wyatt</v>
      </c>
      <c r="C51" s="188">
        <f t="shared" si="26"/>
        <v>28</v>
      </c>
      <c r="D51" s="188">
        <f t="shared" si="26"/>
        <v>66349.195602210661</v>
      </c>
      <c r="E51" s="188">
        <f t="shared" si="26"/>
        <v>4402215757.0604105</v>
      </c>
      <c r="F51" s="188">
        <f t="shared" si="25"/>
        <v>7.9436463934020547E-9</v>
      </c>
      <c r="G51" s="188">
        <f t="shared" si="25"/>
        <v>-6.3257363728683306E-7</v>
      </c>
      <c r="H51" s="188" t="e">
        <f t="shared" si="25"/>
        <v>#DIV/0!</v>
      </c>
      <c r="I51" s="188" t="e">
        <f t="shared" si="25"/>
        <v>#DIV/0!</v>
      </c>
      <c r="J51" s="188" t="e">
        <f t="shared" si="25"/>
        <v>#DIV/0!</v>
      </c>
      <c r="K51" s="188" t="e">
        <f t="shared" si="25"/>
        <v>#DIV/0!</v>
      </c>
      <c r="L51" s="188" t="e">
        <f t="shared" si="25"/>
        <v>#DIV/0!</v>
      </c>
      <c r="M51" s="188" t="e">
        <f t="shared" si="25"/>
        <v>#DIV/0!</v>
      </c>
      <c r="P51" s="151"/>
      <c r="Q51" s="151"/>
      <c r="R51" s="151"/>
      <c r="S51" s="151"/>
      <c r="T51" s="151"/>
      <c r="U51" s="151"/>
      <c r="V51" s="151"/>
      <c r="W51" s="151"/>
    </row>
    <row r="52" spans="1:23">
      <c r="A52">
        <f t="shared" ref="A52:E52" si="27">A30</f>
        <v>3</v>
      </c>
      <c r="B52" s="188" t="str">
        <f t="shared" si="27"/>
        <v>Wyatt</v>
      </c>
      <c r="C52" s="188">
        <f t="shared" si="27"/>
        <v>32</v>
      </c>
      <c r="D52" s="188">
        <f t="shared" si="27"/>
        <v>75595.955426216213</v>
      </c>
      <c r="E52" s="188">
        <f t="shared" si="27"/>
        <v>5714748476.8024683</v>
      </c>
      <c r="F52" s="188">
        <f t="shared" si="25"/>
        <v>1.0284746011045349E-8</v>
      </c>
      <c r="G52" s="188">
        <f t="shared" si="25"/>
        <v>-1.3507299761172892E-6</v>
      </c>
      <c r="H52" s="188" t="e">
        <f t="shared" si="25"/>
        <v>#DIV/0!</v>
      </c>
      <c r="I52" s="188" t="e">
        <f t="shared" si="25"/>
        <v>#DIV/0!</v>
      </c>
      <c r="J52" s="188" t="e">
        <f t="shared" si="25"/>
        <v>#DIV/0!</v>
      </c>
      <c r="K52" s="188" t="e">
        <f t="shared" si="25"/>
        <v>#DIV/0!</v>
      </c>
      <c r="L52" s="188" t="e">
        <f t="shared" si="25"/>
        <v>#DIV/0!</v>
      </c>
      <c r="M52" s="188" t="e">
        <f t="shared" si="25"/>
        <v>#DIV/0!</v>
      </c>
      <c r="O52" s="39"/>
      <c r="P52" s="151"/>
      <c r="Q52" s="151"/>
      <c r="R52" s="151"/>
      <c r="S52" s="151"/>
      <c r="T52" s="151"/>
      <c r="U52" s="151"/>
      <c r="V52" s="151"/>
      <c r="W52" s="151"/>
    </row>
    <row r="53" spans="1:23">
      <c r="A53">
        <f t="shared" ref="A53:E53" si="28">A31</f>
        <v>4</v>
      </c>
      <c r="B53" s="57" t="str">
        <f t="shared" si="28"/>
        <v>Blank</v>
      </c>
      <c r="C53" s="57">
        <f t="shared" si="28"/>
        <v>38</v>
      </c>
      <c r="D53" s="57">
        <f t="shared" si="28"/>
        <v>89289.913624330453</v>
      </c>
      <c r="E53" s="57">
        <f t="shared" si="28"/>
        <v>7972688675.0403929</v>
      </c>
      <c r="F53" s="57"/>
      <c r="G53" s="57"/>
      <c r="H53" s="57"/>
      <c r="I53" s="57"/>
      <c r="J53" s="57"/>
      <c r="K53" s="57"/>
      <c r="L53" s="57"/>
      <c r="M53" s="57"/>
      <c r="P53" s="151"/>
      <c r="Q53" s="151"/>
      <c r="R53" s="151"/>
      <c r="S53" s="151"/>
      <c r="T53" s="151"/>
      <c r="U53" s="151"/>
      <c r="V53" s="151"/>
      <c r="W53" s="151"/>
    </row>
    <row r="54" spans="1:23">
      <c r="A54">
        <f t="shared" ref="A54:E54" si="29">A32</f>
        <v>5</v>
      </c>
      <c r="B54" s="189" t="str">
        <f t="shared" si="29"/>
        <v>Fiber/APD</v>
      </c>
      <c r="C54" s="189">
        <f t="shared" si="29"/>
        <v>44</v>
      </c>
      <c r="D54" s="189">
        <f t="shared" si="29"/>
        <v>102739.13437566617</v>
      </c>
      <c r="E54" s="189">
        <f t="shared" si="29"/>
        <v>10555329732.261189</v>
      </c>
      <c r="F54" s="189">
        <f t="shared" ref="F54:M61" si="30">Koptical*F$5/F32</f>
        <v>3.8730078618888837E-7</v>
      </c>
      <c r="G54" s="189">
        <f t="shared" si="30"/>
        <v>7.7460157237777675E-7</v>
      </c>
      <c r="H54" s="189">
        <f t="shared" si="30"/>
        <v>7.7306839273933225E-7</v>
      </c>
      <c r="I54" s="189">
        <f t="shared" si="30"/>
        <v>1.0307578569857763E-6</v>
      </c>
      <c r="J54" s="189">
        <f t="shared" si="30"/>
        <v>1.2884473212322203E-6</v>
      </c>
      <c r="K54" s="189">
        <f t="shared" si="30"/>
        <v>1.5461367854786645E-6</v>
      </c>
      <c r="L54" s="189">
        <f t="shared" si="30"/>
        <v>1.8038262497251085E-6</v>
      </c>
      <c r="M54" s="189">
        <f t="shared" si="30"/>
        <v>2.0615157139715525E-6</v>
      </c>
      <c r="P54" s="151"/>
      <c r="Q54" s="151"/>
      <c r="R54" s="151"/>
      <c r="S54" s="151"/>
      <c r="T54" s="151"/>
      <c r="U54" s="151"/>
      <c r="V54" s="151"/>
      <c r="W54" s="151"/>
    </row>
    <row r="55" spans="1:23">
      <c r="A55">
        <f t="shared" ref="A55:E55" si="31">A33</f>
        <v>6</v>
      </c>
      <c r="B55" s="189" t="str">
        <f t="shared" si="31"/>
        <v>Fiber/APD</v>
      </c>
      <c r="C55" s="189">
        <f t="shared" si="31"/>
        <v>50</v>
      </c>
      <c r="D55" s="189">
        <f t="shared" si="31"/>
        <v>115906.75430098787</v>
      </c>
      <c r="E55" s="189">
        <f t="shared" si="31"/>
        <v>13434375692.589571</v>
      </c>
      <c r="F55" s="189">
        <f t="shared" si="30"/>
        <v>2.9023735375150364E-7</v>
      </c>
      <c r="G55" s="189">
        <f t="shared" si="30"/>
        <v>5.8047470750300727E-7</v>
      </c>
      <c r="H55" s="189">
        <f t="shared" si="30"/>
        <v>8.5662598354202867E-7</v>
      </c>
      <c r="I55" s="189">
        <f t="shared" si="30"/>
        <v>1.1421679780560382E-6</v>
      </c>
      <c r="J55" s="189">
        <f t="shared" si="30"/>
        <v>1.4277099725700477E-6</v>
      </c>
      <c r="K55" s="189">
        <f t="shared" si="30"/>
        <v>1.7132519670840573E-6</v>
      </c>
      <c r="L55" s="189">
        <f t="shared" si="30"/>
        <v>1.9987939615980669E-6</v>
      </c>
      <c r="M55" s="189">
        <f t="shared" si="30"/>
        <v>2.2843359561120763E-6</v>
      </c>
      <c r="P55" s="151"/>
      <c r="Q55" s="151"/>
      <c r="R55" s="151"/>
      <c r="S55" s="151"/>
      <c r="T55" s="151"/>
      <c r="U55" s="151"/>
      <c r="V55" s="151"/>
      <c r="W55" s="151"/>
    </row>
    <row r="56" spans="1:23">
      <c r="A56">
        <f t="shared" ref="A56:E56" si="32">A34</f>
        <v>7</v>
      </c>
      <c r="B56" s="188" t="str">
        <f t="shared" si="32"/>
        <v>Wyatt</v>
      </c>
      <c r="C56" s="188">
        <f t="shared" si="32"/>
        <v>57</v>
      </c>
      <c r="D56" s="188">
        <f t="shared" si="32"/>
        <v>130864.96300509552</v>
      </c>
      <c r="E56" s="188">
        <f t="shared" si="32"/>
        <v>17125638542.325018</v>
      </c>
      <c r="F56" s="188">
        <f t="shared" si="30"/>
        <v>1.4126204952826157E-8</v>
      </c>
      <c r="G56" s="188">
        <f t="shared" si="30"/>
        <v>-1.0796852334532619E-6</v>
      </c>
      <c r="H56" s="188" t="e">
        <f t="shared" si="30"/>
        <v>#DIV/0!</v>
      </c>
      <c r="I56" s="188" t="e">
        <f t="shared" si="30"/>
        <v>#DIV/0!</v>
      </c>
      <c r="J56" s="188" t="e">
        <f t="shared" si="30"/>
        <v>#DIV/0!</v>
      </c>
      <c r="K56" s="188" t="e">
        <f t="shared" si="30"/>
        <v>#DIV/0!</v>
      </c>
      <c r="L56" s="188" t="e">
        <f t="shared" si="30"/>
        <v>#DIV/0!</v>
      </c>
      <c r="M56" s="188" t="e">
        <f t="shared" si="30"/>
        <v>#DIV/0!</v>
      </c>
      <c r="P56" s="151"/>
      <c r="Q56" s="151"/>
      <c r="R56" s="151"/>
      <c r="S56" s="151"/>
      <c r="T56" s="151"/>
      <c r="U56" s="151"/>
      <c r="V56" s="151"/>
      <c r="W56" s="151"/>
    </row>
    <row r="57" spans="1:23">
      <c r="A57">
        <f t="shared" ref="A57:E57" si="33">A35</f>
        <v>8</v>
      </c>
      <c r="B57" s="189" t="str">
        <f t="shared" si="33"/>
        <v>Fiber/APD</v>
      </c>
      <c r="C57" s="189">
        <f t="shared" si="33"/>
        <v>64</v>
      </c>
      <c r="D57" s="189">
        <f t="shared" si="33"/>
        <v>145334.99263816432</v>
      </c>
      <c r="E57" s="189">
        <f t="shared" si="33"/>
        <v>21122260085.135277</v>
      </c>
      <c r="F57" s="189">
        <f t="shared" si="30"/>
        <v>3.3697331005731684E-7</v>
      </c>
      <c r="G57" s="189">
        <f t="shared" si="30"/>
        <v>6.7394662011463367E-7</v>
      </c>
      <c r="H57" s="189">
        <f t="shared" si="30"/>
        <v>8.6819144243325225E-7</v>
      </c>
      <c r="I57" s="189">
        <f t="shared" si="30"/>
        <v>1.1575885899110029E-6</v>
      </c>
      <c r="J57" s="189">
        <f t="shared" si="30"/>
        <v>1.4469857373887537E-6</v>
      </c>
      <c r="K57" s="189">
        <f t="shared" si="30"/>
        <v>1.7363828848665045E-6</v>
      </c>
      <c r="L57" s="189">
        <f t="shared" si="30"/>
        <v>2.0257800323442551E-6</v>
      </c>
      <c r="M57" s="189">
        <f t="shared" si="30"/>
        <v>2.3151771798220059E-6</v>
      </c>
      <c r="P57" s="151"/>
      <c r="Q57" s="151"/>
      <c r="R57" s="151"/>
      <c r="S57" s="151"/>
      <c r="T57" s="151"/>
      <c r="U57" s="151"/>
      <c r="V57" s="151"/>
      <c r="W57" s="151"/>
    </row>
    <row r="58" spans="1:23">
      <c r="A58">
        <f t="shared" ref="A58:E58" si="34">A36</f>
        <v>9</v>
      </c>
      <c r="B58" s="188" t="str">
        <f t="shared" si="34"/>
        <v>Wyatt</v>
      </c>
      <c r="C58" s="188">
        <f t="shared" si="34"/>
        <v>72</v>
      </c>
      <c r="D58" s="188">
        <f t="shared" si="34"/>
        <v>161205.2459318676</v>
      </c>
      <c r="E58" s="188">
        <f t="shared" si="34"/>
        <v>25987131315.953915</v>
      </c>
      <c r="F58" s="188">
        <f t="shared" si="30"/>
        <v>1.2936173432610682E-8</v>
      </c>
      <c r="G58" s="188">
        <f t="shared" si="30"/>
        <v>-1.4960304099125059E-6</v>
      </c>
      <c r="H58" s="188" t="e">
        <f t="shared" si="30"/>
        <v>#DIV/0!</v>
      </c>
      <c r="I58" s="188" t="e">
        <f t="shared" si="30"/>
        <v>#DIV/0!</v>
      </c>
      <c r="J58" s="188" t="e">
        <f t="shared" si="30"/>
        <v>#DIV/0!</v>
      </c>
      <c r="K58" s="188" t="e">
        <f t="shared" si="30"/>
        <v>#DIV/0!</v>
      </c>
      <c r="L58" s="188" t="e">
        <f t="shared" si="30"/>
        <v>#DIV/0!</v>
      </c>
      <c r="M58" s="188" t="e">
        <f t="shared" si="30"/>
        <v>#DIV/0!</v>
      </c>
      <c r="P58" s="151"/>
      <c r="Q58" s="151"/>
      <c r="R58" s="151"/>
      <c r="S58" s="151"/>
      <c r="T58" s="151"/>
      <c r="U58" s="151"/>
      <c r="V58" s="151"/>
      <c r="W58" s="151"/>
    </row>
    <row r="59" spans="1:23">
      <c r="A59">
        <f t="shared" ref="A59:E59" si="35">A37</f>
        <v>10</v>
      </c>
      <c r="B59" s="189" t="str">
        <f t="shared" si="35"/>
        <v>Fiber/APD</v>
      </c>
      <c r="C59" s="189">
        <f t="shared" si="35"/>
        <v>81</v>
      </c>
      <c r="D59" s="189">
        <f t="shared" si="35"/>
        <v>178116.80701873807</v>
      </c>
      <c r="E59" s="189">
        <f t="shared" si="35"/>
        <v>31725596942.550377</v>
      </c>
      <c r="F59" s="189">
        <f t="shared" si="30"/>
        <v>3.7272041279881441E-7</v>
      </c>
      <c r="G59" s="189">
        <f t="shared" si="30"/>
        <v>7.4544082559762882E-7</v>
      </c>
      <c r="H59" s="189">
        <f t="shared" si="30"/>
        <v>8.0770466404474514E-7</v>
      </c>
      <c r="I59" s="189">
        <f t="shared" si="30"/>
        <v>1.07693955205966E-6</v>
      </c>
      <c r="J59" s="189">
        <f t="shared" si="30"/>
        <v>1.3461744400745751E-6</v>
      </c>
      <c r="K59" s="189">
        <f t="shared" si="30"/>
        <v>1.6154093280894903E-6</v>
      </c>
      <c r="L59" s="189">
        <f t="shared" si="30"/>
        <v>1.8846442161044051E-6</v>
      </c>
      <c r="M59" s="189">
        <f t="shared" si="30"/>
        <v>2.1538791041193201E-6</v>
      </c>
      <c r="P59" s="151"/>
      <c r="Q59" s="151"/>
      <c r="R59" s="151"/>
      <c r="S59" s="151"/>
      <c r="T59" s="151"/>
      <c r="U59" s="151"/>
      <c r="V59" s="151"/>
      <c r="W59" s="151"/>
    </row>
    <row r="60" spans="1:23">
      <c r="A60">
        <f t="shared" ref="A60:E60" si="36">A38</f>
        <v>11</v>
      </c>
      <c r="B60" s="188" t="str">
        <f t="shared" si="36"/>
        <v>Wyatt</v>
      </c>
      <c r="C60" s="188">
        <f t="shared" si="36"/>
        <v>90</v>
      </c>
      <c r="D60" s="188">
        <f t="shared" si="36"/>
        <v>193930.21876048925</v>
      </c>
      <c r="E60" s="188">
        <f t="shared" si="36"/>
        <v>37608929748.491219</v>
      </c>
      <c r="F60" s="188">
        <f t="shared" si="30"/>
        <v>1.1611687786041248E-8</v>
      </c>
      <c r="G60" s="188">
        <f t="shared" si="30"/>
        <v>-1.5250016625667509E-6</v>
      </c>
      <c r="H60" s="188" t="e">
        <f t="shared" si="30"/>
        <v>#DIV/0!</v>
      </c>
      <c r="I60" s="188" t="e">
        <f t="shared" si="30"/>
        <v>#DIV/0!</v>
      </c>
      <c r="J60" s="188" t="e">
        <f t="shared" si="30"/>
        <v>#DIV/0!</v>
      </c>
      <c r="K60" s="188" t="e">
        <f t="shared" si="30"/>
        <v>#DIV/0!</v>
      </c>
      <c r="L60" s="188" t="e">
        <f t="shared" si="30"/>
        <v>#DIV/0!</v>
      </c>
      <c r="M60" s="188" t="e">
        <f t="shared" si="30"/>
        <v>#DIV/0!</v>
      </c>
      <c r="P60" s="151"/>
      <c r="Q60" s="151"/>
      <c r="R60" s="151"/>
      <c r="S60" s="151"/>
      <c r="T60" s="151"/>
      <c r="U60" s="151"/>
      <c r="V60" s="151"/>
      <c r="W60" s="151"/>
    </row>
    <row r="61" spans="1:23">
      <c r="A61">
        <f t="shared" ref="A61:E61" si="37">A39</f>
        <v>12</v>
      </c>
      <c r="B61" s="189" t="str">
        <f t="shared" si="37"/>
        <v>Fiber/APD</v>
      </c>
      <c r="C61" s="189">
        <f t="shared" si="37"/>
        <v>99</v>
      </c>
      <c r="D61" s="189">
        <f t="shared" si="37"/>
        <v>208547.98621524032</v>
      </c>
      <c r="E61" s="189">
        <f t="shared" si="37"/>
        <v>43492262554.432068</v>
      </c>
      <c r="F61" s="189">
        <f t="shared" si="30"/>
        <v>2.5347155449645589E-7</v>
      </c>
      <c r="G61" s="189">
        <f t="shared" si="30"/>
        <v>5.0694310899291178E-7</v>
      </c>
      <c r="H61" s="189">
        <f t="shared" si="30"/>
        <v>8.6766688190507567E-7</v>
      </c>
      <c r="I61" s="189">
        <f t="shared" si="30"/>
        <v>1.156889175873434E-6</v>
      </c>
      <c r="J61" s="189">
        <f t="shared" si="30"/>
        <v>1.4461114698417928E-6</v>
      </c>
      <c r="K61" s="189">
        <f t="shared" si="30"/>
        <v>1.7353337638101513E-6</v>
      </c>
      <c r="L61" s="189">
        <f t="shared" si="30"/>
        <v>2.0245560577785099E-6</v>
      </c>
      <c r="M61" s="189">
        <f t="shared" si="30"/>
        <v>2.313778351746868E-6</v>
      </c>
      <c r="P61" s="151"/>
      <c r="Q61" s="151"/>
      <c r="R61" s="151"/>
      <c r="S61" s="151"/>
      <c r="T61" s="151"/>
      <c r="U61" s="151"/>
      <c r="V61" s="151"/>
      <c r="W61" s="151"/>
    </row>
    <row r="62" spans="1:23">
      <c r="A62">
        <f t="shared" ref="A62:E62" si="38">A40</f>
        <v>13</v>
      </c>
      <c r="B62" s="57" t="str">
        <f t="shared" si="38"/>
        <v>Blank</v>
      </c>
      <c r="C62" s="57">
        <f t="shared" si="38"/>
        <v>108</v>
      </c>
      <c r="D62" s="57">
        <f t="shared" si="38"/>
        <v>221879.98598573179</v>
      </c>
      <c r="E62" s="57">
        <f t="shared" si="38"/>
        <v>49230728181.028534</v>
      </c>
      <c r="F62" s="57"/>
      <c r="G62" s="57"/>
      <c r="H62" s="57"/>
      <c r="I62" s="57"/>
      <c r="J62" s="57"/>
      <c r="K62" s="57"/>
      <c r="L62" s="57"/>
      <c r="M62" s="57"/>
      <c r="P62" s="151"/>
      <c r="Q62" s="151"/>
      <c r="R62" s="151"/>
      <c r="S62" s="151"/>
      <c r="T62" s="151"/>
      <c r="U62" s="151"/>
      <c r="V62" s="151"/>
      <c r="W62" s="151"/>
    </row>
    <row r="63" spans="1:23">
      <c r="A63">
        <f>A41</f>
        <v>14</v>
      </c>
      <c r="B63" s="189" t="str">
        <f t="shared" ref="B63:E63" si="39">B41</f>
        <v>Fiber/APD</v>
      </c>
      <c r="C63" s="189">
        <f t="shared" si="39"/>
        <v>117</v>
      </c>
      <c r="D63" s="189">
        <f t="shared" si="39"/>
        <v>233844.02186003872</v>
      </c>
      <c r="E63" s="189">
        <f t="shared" si="39"/>
        <v>54683026559.678268</v>
      </c>
      <c r="F63" s="189">
        <f t="shared" ref="F63:M67" si="40">Koptical*F$5/F41</f>
        <v>2.4416905685217958E-7</v>
      </c>
      <c r="G63" s="189">
        <f t="shared" si="40"/>
        <v>4.8833811370435917E-7</v>
      </c>
      <c r="H63" s="189">
        <f t="shared" si="40"/>
        <v>7.7330221362754845E-7</v>
      </c>
      <c r="I63" s="189">
        <f t="shared" si="40"/>
        <v>1.0310696181700646E-6</v>
      </c>
      <c r="J63" s="189">
        <f t="shared" si="40"/>
        <v>1.2888370227125807E-6</v>
      </c>
      <c r="K63" s="189">
        <f t="shared" si="40"/>
        <v>1.5466044272550969E-6</v>
      </c>
      <c r="L63" s="189">
        <f t="shared" si="40"/>
        <v>1.804371831797613E-6</v>
      </c>
      <c r="M63" s="189">
        <f t="shared" si="40"/>
        <v>2.0621392363401292E-6</v>
      </c>
      <c r="P63" s="151"/>
      <c r="Q63" s="151"/>
      <c r="R63" s="151"/>
      <c r="S63" s="151"/>
      <c r="T63" s="151"/>
      <c r="U63" s="151"/>
      <c r="V63" s="151"/>
      <c r="W63" s="151"/>
    </row>
    <row r="64" spans="1:23">
      <c r="A64">
        <f t="shared" ref="A64:E64" si="41">A42</f>
        <v>15</v>
      </c>
      <c r="B64" s="188" t="str">
        <f t="shared" si="41"/>
        <v>Wyatt</v>
      </c>
      <c r="C64" s="188">
        <f t="shared" si="41"/>
        <v>126</v>
      </c>
      <c r="D64" s="188">
        <f t="shared" si="41"/>
        <v>244366.33157855037</v>
      </c>
      <c r="E64" s="188">
        <f t="shared" si="41"/>
        <v>59714904009.15802</v>
      </c>
      <c r="F64" s="188">
        <f t="shared" si="40"/>
        <v>1.4969703528332594E-8</v>
      </c>
      <c r="G64" s="188">
        <f t="shared" si="40"/>
        <v>-1.1920772075010979E-6</v>
      </c>
      <c r="H64" s="188" t="e">
        <f t="shared" si="40"/>
        <v>#DIV/0!</v>
      </c>
      <c r="I64" s="188" t="e">
        <f t="shared" si="40"/>
        <v>#DIV/0!</v>
      </c>
      <c r="J64" s="188" t="e">
        <f t="shared" si="40"/>
        <v>#DIV/0!</v>
      </c>
      <c r="K64" s="188" t="e">
        <f t="shared" si="40"/>
        <v>#DIV/0!</v>
      </c>
      <c r="L64" s="188" t="e">
        <f t="shared" si="40"/>
        <v>#DIV/0!</v>
      </c>
      <c r="M64" s="188" t="e">
        <f t="shared" si="40"/>
        <v>#DIV/0!</v>
      </c>
      <c r="P64" s="151"/>
      <c r="Q64" s="151"/>
      <c r="R64" s="151"/>
      <c r="S64" s="151"/>
      <c r="T64" s="151"/>
      <c r="U64" s="151"/>
      <c r="V64" s="151"/>
      <c r="W64" s="151"/>
    </row>
    <row r="65" spans="1:23">
      <c r="A65">
        <f t="shared" ref="A65:E65" si="42">A43</f>
        <v>16</v>
      </c>
      <c r="B65" s="189" t="str">
        <f t="shared" si="42"/>
        <v>Fiber/APD</v>
      </c>
      <c r="C65" s="189">
        <f t="shared" si="42"/>
        <v>134</v>
      </c>
      <c r="D65" s="189">
        <f t="shared" si="42"/>
        <v>252456.50635760027</v>
      </c>
      <c r="E65" s="189">
        <f t="shared" si="42"/>
        <v>63734287602.285065</v>
      </c>
      <c r="F65" s="189">
        <f t="shared" si="40"/>
        <v>3.2906526761073866E-7</v>
      </c>
      <c r="G65" s="189">
        <f t="shared" si="40"/>
        <v>6.5813053522147732E-7</v>
      </c>
      <c r="H65" s="189">
        <f t="shared" si="40"/>
        <v>8.8967795258788533E-7</v>
      </c>
      <c r="I65" s="189">
        <f t="shared" si="40"/>
        <v>1.1862372701171803E-6</v>
      </c>
      <c r="J65" s="189">
        <f t="shared" si="40"/>
        <v>1.4827965876464755E-6</v>
      </c>
      <c r="K65" s="189">
        <f t="shared" si="40"/>
        <v>1.7793559051757707E-6</v>
      </c>
      <c r="L65" s="189">
        <f t="shared" si="40"/>
        <v>2.0759152227050658E-6</v>
      </c>
      <c r="M65" s="189">
        <f t="shared" si="40"/>
        <v>2.3724745402343606E-6</v>
      </c>
      <c r="P65" s="151"/>
      <c r="Q65" s="151"/>
      <c r="R65" s="151"/>
      <c r="S65" s="151"/>
      <c r="T65" s="151"/>
      <c r="U65" s="151"/>
      <c r="V65" s="151"/>
      <c r="W65" s="151"/>
    </row>
    <row r="66" spans="1:23">
      <c r="A66">
        <f>A44</f>
        <v>17</v>
      </c>
      <c r="B66" s="188" t="str">
        <f t="shared" ref="B66:E66" si="43">B44</f>
        <v>Wyatt</v>
      </c>
      <c r="C66" s="188">
        <f t="shared" si="43"/>
        <v>141</v>
      </c>
      <c r="D66" s="188">
        <f t="shared" si="43"/>
        <v>258527.67282681772</v>
      </c>
      <c r="E66" s="188">
        <f t="shared" si="43"/>
        <v>66836557617.250107</v>
      </c>
      <c r="F66" s="188">
        <f t="shared" si="40"/>
        <v>8.0868442361903808E-9</v>
      </c>
      <c r="G66" s="188">
        <f t="shared" si="40"/>
        <v>-1.2777213893180802E-6</v>
      </c>
      <c r="H66" s="188" t="e">
        <f t="shared" si="40"/>
        <v>#DIV/0!</v>
      </c>
      <c r="I66" s="188" t="e">
        <f t="shared" si="40"/>
        <v>#DIV/0!</v>
      </c>
      <c r="J66" s="188" t="e">
        <f t="shared" si="40"/>
        <v>#DIV/0!</v>
      </c>
      <c r="K66" s="188" t="e">
        <f t="shared" si="40"/>
        <v>#DIV/0!</v>
      </c>
      <c r="L66" s="188" t="e">
        <f t="shared" si="40"/>
        <v>#DIV/0!</v>
      </c>
      <c r="M66" s="188" t="e">
        <f t="shared" si="40"/>
        <v>#DIV/0!</v>
      </c>
      <c r="P66" s="151"/>
      <c r="Q66" s="151"/>
      <c r="R66" s="151"/>
      <c r="S66" s="151"/>
      <c r="T66" s="151"/>
      <c r="U66" s="151"/>
      <c r="V66" s="151"/>
      <c r="W66" s="151"/>
    </row>
    <row r="67" spans="1:23">
      <c r="A67">
        <f t="shared" ref="A67:E67" si="44">A45</f>
        <v>18</v>
      </c>
      <c r="B67" s="189" t="str">
        <f t="shared" si="44"/>
        <v>Fiber/APD</v>
      </c>
      <c r="C67" s="189">
        <f t="shared" si="44"/>
        <v>147</v>
      </c>
      <c r="D67" s="189">
        <f t="shared" si="44"/>
        <v>262964.69766962621</v>
      </c>
      <c r="E67" s="189">
        <f t="shared" si="44"/>
        <v>69150432220.477921</v>
      </c>
      <c r="F67" s="189">
        <f t="shared" si="40"/>
        <v>2.606595921010116E-7</v>
      </c>
      <c r="G67" s="189">
        <f t="shared" si="40"/>
        <v>5.213191842020232E-7</v>
      </c>
      <c r="H67" s="189">
        <f t="shared" si="40"/>
        <v>8.195572463750451E-7</v>
      </c>
      <c r="I67" s="189">
        <f t="shared" si="40"/>
        <v>1.0927429951667267E-6</v>
      </c>
      <c r="J67" s="189">
        <f t="shared" si="40"/>
        <v>1.3659287439584086E-6</v>
      </c>
      <c r="K67" s="189">
        <f t="shared" si="40"/>
        <v>1.6391144927500902E-6</v>
      </c>
      <c r="L67" s="189">
        <f t="shared" si="40"/>
        <v>1.9123002415417718E-6</v>
      </c>
      <c r="M67" s="189">
        <f t="shared" si="40"/>
        <v>2.1854859903334534E-6</v>
      </c>
      <c r="P67" s="151"/>
      <c r="Q67" s="151"/>
      <c r="R67" s="151"/>
      <c r="S67" s="151"/>
      <c r="T67" s="151"/>
      <c r="U67" s="151"/>
      <c r="V67" s="151"/>
      <c r="W67" s="151"/>
    </row>
    <row r="68" spans="1:23"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P68" s="151"/>
      <c r="Q68" s="151"/>
      <c r="R68" s="151"/>
      <c r="S68" s="151"/>
      <c r="T68" s="151"/>
      <c r="U68" s="151"/>
      <c r="V68" s="151"/>
      <c r="W68" s="151"/>
    </row>
    <row r="69" spans="1:23">
      <c r="A69" s="70" t="s">
        <v>147</v>
      </c>
      <c r="B69" s="187" t="s">
        <v>148</v>
      </c>
      <c r="C69" s="70" t="s">
        <v>146</v>
      </c>
    </row>
    <row r="70" spans="1:23" ht="16.5">
      <c r="D70" s="143" t="s">
        <v>294</v>
      </c>
      <c r="F70" s="151">
        <f t="shared" ref="F70:M79" si="45">$E50+kscale*F$49</f>
        <v>2862809314.3053255</v>
      </c>
      <c r="G70" s="151">
        <f t="shared" si="45"/>
        <v>2862809314.4053254</v>
      </c>
      <c r="H70" s="151">
        <f t="shared" si="45"/>
        <v>2862809314.5053258</v>
      </c>
      <c r="I70" s="151">
        <f t="shared" si="45"/>
        <v>2862809314.6053257</v>
      </c>
      <c r="J70" s="151">
        <f t="shared" si="45"/>
        <v>2862809314.7053256</v>
      </c>
      <c r="K70" s="151">
        <f t="shared" si="45"/>
        <v>2862809314.8053255</v>
      </c>
      <c r="L70" s="151">
        <f t="shared" si="45"/>
        <v>2862809314.9053254</v>
      </c>
      <c r="M70" s="151">
        <f t="shared" si="45"/>
        <v>2862809315.0053258</v>
      </c>
    </row>
    <row r="71" spans="1:23">
      <c r="F71" s="151">
        <f t="shared" si="45"/>
        <v>4402215757.1604109</v>
      </c>
      <c r="G71" s="151">
        <f t="shared" si="45"/>
        <v>4402215757.2604103</v>
      </c>
      <c r="H71" s="151">
        <f t="shared" si="45"/>
        <v>4402215757.3604107</v>
      </c>
      <c r="I71" s="151">
        <f t="shared" si="45"/>
        <v>4402215757.4604101</v>
      </c>
      <c r="J71" s="151">
        <f t="shared" si="45"/>
        <v>4402215757.5604105</v>
      </c>
      <c r="K71" s="151">
        <f t="shared" si="45"/>
        <v>4402215757.6604109</v>
      </c>
      <c r="L71" s="151">
        <f t="shared" si="45"/>
        <v>4402215757.7604103</v>
      </c>
      <c r="M71" s="151">
        <f t="shared" si="45"/>
        <v>4402215757.8604107</v>
      </c>
    </row>
    <row r="72" spans="1:23">
      <c r="F72" s="151">
        <f t="shared" si="45"/>
        <v>5714748476.9024687</v>
      </c>
      <c r="G72" s="151">
        <f t="shared" si="45"/>
        <v>5714748477.0024681</v>
      </c>
      <c r="H72" s="151">
        <f t="shared" si="45"/>
        <v>5714748477.1024685</v>
      </c>
      <c r="I72" s="151">
        <f t="shared" si="45"/>
        <v>5714748477.2024679</v>
      </c>
      <c r="J72" s="151">
        <f t="shared" si="45"/>
        <v>5714748477.3024683</v>
      </c>
      <c r="K72" s="151">
        <f t="shared" si="45"/>
        <v>5714748477.4024687</v>
      </c>
      <c r="L72" s="151">
        <f t="shared" si="45"/>
        <v>5714748477.5024681</v>
      </c>
      <c r="M72" s="151">
        <f t="shared" si="45"/>
        <v>5714748477.6024685</v>
      </c>
    </row>
    <row r="73" spans="1:23">
      <c r="F73" s="151">
        <f t="shared" si="45"/>
        <v>7972688675.1403933</v>
      </c>
      <c r="G73" s="151">
        <f t="shared" si="45"/>
        <v>7972688675.2403927</v>
      </c>
      <c r="H73" s="151">
        <f t="shared" si="45"/>
        <v>7972688675.3403931</v>
      </c>
      <c r="I73" s="151">
        <f t="shared" si="45"/>
        <v>7972688675.4403925</v>
      </c>
      <c r="J73" s="151">
        <f t="shared" si="45"/>
        <v>7972688675.5403929</v>
      </c>
      <c r="K73" s="151">
        <f t="shared" si="45"/>
        <v>7972688675.6403933</v>
      </c>
      <c r="L73" s="151">
        <f t="shared" si="45"/>
        <v>7972688675.7403927</v>
      </c>
      <c r="M73" s="151">
        <f t="shared" si="45"/>
        <v>7972688675.8403931</v>
      </c>
    </row>
    <row r="74" spans="1:23">
      <c r="F74" s="151">
        <f t="shared" si="45"/>
        <v>10555329732.361189</v>
      </c>
      <c r="G74" s="151">
        <f t="shared" si="45"/>
        <v>10555329732.461189</v>
      </c>
      <c r="H74" s="151">
        <f t="shared" si="45"/>
        <v>10555329732.561188</v>
      </c>
      <c r="I74" s="151">
        <f t="shared" si="45"/>
        <v>10555329732.661188</v>
      </c>
      <c r="J74" s="151">
        <f t="shared" si="45"/>
        <v>10555329732.761189</v>
      </c>
      <c r="K74" s="151">
        <f t="shared" si="45"/>
        <v>10555329732.861189</v>
      </c>
      <c r="L74" s="151">
        <f t="shared" si="45"/>
        <v>10555329732.961189</v>
      </c>
      <c r="M74" s="151">
        <f t="shared" si="45"/>
        <v>10555329733.061188</v>
      </c>
    </row>
    <row r="75" spans="1:23">
      <c r="F75" s="151">
        <f t="shared" si="45"/>
        <v>13434375692.689571</v>
      </c>
      <c r="G75" s="151">
        <f t="shared" si="45"/>
        <v>13434375692.789572</v>
      </c>
      <c r="H75" s="151">
        <f t="shared" si="45"/>
        <v>13434375692.88957</v>
      </c>
      <c r="I75" s="151">
        <f t="shared" si="45"/>
        <v>13434375692.989571</v>
      </c>
      <c r="J75" s="151">
        <f t="shared" si="45"/>
        <v>13434375693.089571</v>
      </c>
      <c r="K75" s="151">
        <f t="shared" si="45"/>
        <v>13434375693.189571</v>
      </c>
      <c r="L75" s="151">
        <f t="shared" si="45"/>
        <v>13434375693.289572</v>
      </c>
      <c r="M75" s="151">
        <f t="shared" si="45"/>
        <v>13434375693.38957</v>
      </c>
    </row>
    <row r="76" spans="1:23">
      <c r="F76" s="151">
        <f t="shared" si="45"/>
        <v>17125638542.425018</v>
      </c>
      <c r="G76" s="151">
        <f t="shared" si="45"/>
        <v>17125638542.525019</v>
      </c>
      <c r="H76" s="151">
        <f t="shared" si="45"/>
        <v>17125638542.625017</v>
      </c>
      <c r="I76" s="151">
        <f t="shared" si="45"/>
        <v>17125638542.725018</v>
      </c>
      <c r="J76" s="151">
        <f t="shared" si="45"/>
        <v>17125638542.825018</v>
      </c>
      <c r="K76" s="151">
        <f t="shared" si="45"/>
        <v>17125638542.925018</v>
      </c>
      <c r="L76" s="151">
        <f t="shared" si="45"/>
        <v>17125638543.025019</v>
      </c>
      <c r="M76" s="151">
        <f t="shared" si="45"/>
        <v>17125638543.125017</v>
      </c>
    </row>
    <row r="77" spans="1:23">
      <c r="F77" s="151">
        <f t="shared" si="45"/>
        <v>21122260085.235275</v>
      </c>
      <c r="G77" s="151">
        <f t="shared" si="45"/>
        <v>21122260085.335278</v>
      </c>
      <c r="H77" s="151">
        <f t="shared" si="45"/>
        <v>21122260085.435276</v>
      </c>
      <c r="I77" s="151">
        <f t="shared" si="45"/>
        <v>21122260085.535278</v>
      </c>
      <c r="J77" s="151">
        <f t="shared" si="45"/>
        <v>21122260085.635277</v>
      </c>
      <c r="K77" s="151">
        <f t="shared" si="45"/>
        <v>21122260085.735275</v>
      </c>
      <c r="L77" s="151">
        <f t="shared" si="45"/>
        <v>21122260085.835278</v>
      </c>
      <c r="M77" s="151">
        <f t="shared" si="45"/>
        <v>21122260085.935276</v>
      </c>
    </row>
    <row r="78" spans="1:23">
      <c r="F78" s="151">
        <f t="shared" si="45"/>
        <v>25987131316.053913</v>
      </c>
      <c r="G78" s="151">
        <f t="shared" si="45"/>
        <v>25987131316.153915</v>
      </c>
      <c r="H78" s="151">
        <f t="shared" si="45"/>
        <v>25987131316.253914</v>
      </c>
      <c r="I78" s="151">
        <f t="shared" si="45"/>
        <v>25987131316.353916</v>
      </c>
      <c r="J78" s="151">
        <f t="shared" si="45"/>
        <v>25987131316.453915</v>
      </c>
      <c r="K78" s="151">
        <f t="shared" si="45"/>
        <v>25987131316.553913</v>
      </c>
      <c r="L78" s="151">
        <f t="shared" si="45"/>
        <v>25987131316.653915</v>
      </c>
      <c r="M78" s="151">
        <f t="shared" si="45"/>
        <v>25987131316.753914</v>
      </c>
    </row>
    <row r="79" spans="1:23">
      <c r="F79" s="151">
        <f t="shared" si="45"/>
        <v>31725596942.650375</v>
      </c>
      <c r="G79" s="151">
        <f t="shared" si="45"/>
        <v>31725596942.750378</v>
      </c>
      <c r="H79" s="151">
        <f t="shared" si="45"/>
        <v>31725596942.850376</v>
      </c>
      <c r="I79" s="151">
        <f t="shared" si="45"/>
        <v>31725596942.950378</v>
      </c>
      <c r="J79" s="151">
        <f t="shared" si="45"/>
        <v>31725596943.050377</v>
      </c>
      <c r="K79" s="151">
        <f t="shared" si="45"/>
        <v>31725596943.150375</v>
      </c>
      <c r="L79" s="151">
        <f t="shared" si="45"/>
        <v>31725596943.250378</v>
      </c>
      <c r="M79" s="151">
        <f t="shared" si="45"/>
        <v>31725596943.350376</v>
      </c>
    </row>
    <row r="80" spans="1:23">
      <c r="F80" s="151">
        <f t="shared" ref="F80:M86" si="46">$E60+kscale*F$49</f>
        <v>37608929748.591217</v>
      </c>
      <c r="G80" s="151">
        <f t="shared" si="46"/>
        <v>37608929748.691216</v>
      </c>
      <c r="H80" s="151">
        <f t="shared" si="46"/>
        <v>37608929748.791222</v>
      </c>
      <c r="I80" s="151">
        <f t="shared" si="46"/>
        <v>37608929748.89122</v>
      </c>
      <c r="J80" s="151">
        <f t="shared" si="46"/>
        <v>37608929748.991219</v>
      </c>
      <c r="K80" s="151">
        <f t="shared" si="46"/>
        <v>37608929749.091217</v>
      </c>
      <c r="L80" s="151">
        <f t="shared" si="46"/>
        <v>37608929749.191216</v>
      </c>
      <c r="M80" s="151">
        <f t="shared" si="46"/>
        <v>37608929749.291222</v>
      </c>
    </row>
    <row r="81" spans="6:13">
      <c r="F81" s="151">
        <f t="shared" si="46"/>
        <v>43492262554.532066</v>
      </c>
      <c r="G81" s="151">
        <f t="shared" si="46"/>
        <v>43492262554.632065</v>
      </c>
      <c r="H81" s="151">
        <f t="shared" si="46"/>
        <v>43492262554.732071</v>
      </c>
      <c r="I81" s="151">
        <f t="shared" si="46"/>
        <v>43492262554.832069</v>
      </c>
      <c r="J81" s="151">
        <f t="shared" si="46"/>
        <v>43492262554.932068</v>
      </c>
      <c r="K81" s="151">
        <f t="shared" si="46"/>
        <v>43492262555.032066</v>
      </c>
      <c r="L81" s="151">
        <f t="shared" si="46"/>
        <v>43492262555.132065</v>
      </c>
      <c r="M81" s="151">
        <f t="shared" si="46"/>
        <v>43492262555.232071</v>
      </c>
    </row>
    <row r="82" spans="6:13">
      <c r="F82" s="151">
        <f t="shared" si="46"/>
        <v>49230728181.128532</v>
      </c>
      <c r="G82" s="151">
        <f t="shared" si="46"/>
        <v>49230728181.228531</v>
      </c>
      <c r="H82" s="151">
        <f t="shared" si="46"/>
        <v>49230728181.328537</v>
      </c>
      <c r="I82" s="151">
        <f t="shared" si="46"/>
        <v>49230728181.428535</v>
      </c>
      <c r="J82" s="151">
        <f t="shared" si="46"/>
        <v>49230728181.528534</v>
      </c>
      <c r="K82" s="151">
        <f t="shared" si="46"/>
        <v>49230728181.628532</v>
      </c>
      <c r="L82" s="151">
        <f t="shared" si="46"/>
        <v>49230728181.728531</v>
      </c>
      <c r="M82" s="151">
        <f t="shared" si="46"/>
        <v>49230728181.828537</v>
      </c>
    </row>
    <row r="83" spans="6:13">
      <c r="F83" s="151">
        <f t="shared" si="46"/>
        <v>54683026559.778267</v>
      </c>
      <c r="G83" s="151">
        <f t="shared" si="46"/>
        <v>54683026559.878265</v>
      </c>
      <c r="H83" s="151">
        <f t="shared" si="46"/>
        <v>54683026559.978271</v>
      </c>
      <c r="I83" s="151">
        <f t="shared" si="46"/>
        <v>54683026560.07827</v>
      </c>
      <c r="J83" s="151">
        <f t="shared" si="46"/>
        <v>54683026560.178268</v>
      </c>
      <c r="K83" s="151">
        <f t="shared" si="46"/>
        <v>54683026560.278267</v>
      </c>
      <c r="L83" s="151">
        <f t="shared" si="46"/>
        <v>54683026560.378265</v>
      </c>
      <c r="M83" s="151">
        <f t="shared" si="46"/>
        <v>54683026560.478271</v>
      </c>
    </row>
    <row r="84" spans="6:13">
      <c r="F84" s="151">
        <f t="shared" si="46"/>
        <v>59714904009.258018</v>
      </c>
      <c r="G84" s="151">
        <f t="shared" si="46"/>
        <v>59714904009.358017</v>
      </c>
      <c r="H84" s="151">
        <f t="shared" si="46"/>
        <v>59714904009.458023</v>
      </c>
      <c r="I84" s="151">
        <f t="shared" si="46"/>
        <v>59714904009.558022</v>
      </c>
      <c r="J84" s="151">
        <f t="shared" si="46"/>
        <v>59714904009.65802</v>
      </c>
      <c r="K84" s="151">
        <f t="shared" si="46"/>
        <v>59714904009.758018</v>
      </c>
      <c r="L84" s="151">
        <f t="shared" si="46"/>
        <v>59714904009.858017</v>
      </c>
      <c r="M84" s="151">
        <f t="shared" si="46"/>
        <v>59714904009.958023</v>
      </c>
    </row>
    <row r="85" spans="6:13">
      <c r="F85" s="151">
        <f t="shared" si="46"/>
        <v>63734287602.385063</v>
      </c>
      <c r="G85" s="151">
        <f t="shared" si="46"/>
        <v>63734287602.485062</v>
      </c>
      <c r="H85" s="151">
        <f t="shared" si="46"/>
        <v>63734287602.585068</v>
      </c>
      <c r="I85" s="151">
        <f t="shared" si="46"/>
        <v>63734287602.685066</v>
      </c>
      <c r="J85" s="151">
        <f t="shared" si="46"/>
        <v>63734287602.785065</v>
      </c>
      <c r="K85" s="151">
        <f t="shared" si="46"/>
        <v>63734287602.885063</v>
      </c>
      <c r="L85" s="151">
        <f t="shared" si="46"/>
        <v>63734287602.985062</v>
      </c>
      <c r="M85" s="151">
        <f t="shared" si="46"/>
        <v>63734287603.085068</v>
      </c>
    </row>
    <row r="86" spans="6:13">
      <c r="F86" s="151">
        <f t="shared" si="46"/>
        <v>66836557617.350105</v>
      </c>
      <c r="G86" s="151">
        <f t="shared" si="46"/>
        <v>66836557617.450104</v>
      </c>
      <c r="H86" s="151">
        <f t="shared" si="46"/>
        <v>66836557617.55011</v>
      </c>
      <c r="I86" s="151">
        <f t="shared" si="46"/>
        <v>66836557617.650108</v>
      </c>
      <c r="J86" s="151">
        <f t="shared" si="46"/>
        <v>66836557617.750107</v>
      </c>
      <c r="K86" s="151">
        <f t="shared" si="46"/>
        <v>66836557617.850105</v>
      </c>
      <c r="L86" s="151">
        <f t="shared" si="46"/>
        <v>66836557617.950104</v>
      </c>
      <c r="M86" s="151">
        <f t="shared" si="46"/>
        <v>66836557618.05011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9D5F-97A0-4D99-9C06-28C64CD24510}">
  <dimension ref="A1:L83"/>
  <sheetViews>
    <sheetView topLeftCell="A16" zoomScale="73" workbookViewId="0">
      <selection activeCell="A11" sqref="A11"/>
    </sheetView>
  </sheetViews>
  <sheetFormatPr defaultRowHeight="14.25"/>
  <cols>
    <col min="1" max="1" width="28.33203125" customWidth="1"/>
    <col min="9" max="9" width="9.06640625" customWidth="1"/>
    <col min="10" max="10" width="23.265625" customWidth="1"/>
  </cols>
  <sheetData>
    <row r="1" spans="1:12" ht="15.75">
      <c r="A1" s="142" t="s">
        <v>212</v>
      </c>
      <c r="I1" s="147"/>
      <c r="J1" s="142" t="s">
        <v>208</v>
      </c>
    </row>
    <row r="2" spans="1:12" ht="15.4">
      <c r="A2" s="139" t="s">
        <v>159</v>
      </c>
      <c r="I2" s="147"/>
      <c r="J2" s="138" t="s">
        <v>158</v>
      </c>
      <c r="L2" s="139" t="s">
        <v>159</v>
      </c>
    </row>
    <row r="3" spans="1:12" ht="15.4">
      <c r="A3" s="139" t="s">
        <v>160</v>
      </c>
      <c r="I3" s="147"/>
      <c r="J3" s="140">
        <v>0.47456018518518522</v>
      </c>
      <c r="L3" s="139" t="s">
        <v>160</v>
      </c>
    </row>
    <row r="4" spans="1:12" ht="15.4">
      <c r="A4" s="139" t="s">
        <v>161</v>
      </c>
      <c r="I4" s="147"/>
      <c r="J4" s="141">
        <v>35142</v>
      </c>
      <c r="L4" s="139" t="s">
        <v>161</v>
      </c>
    </row>
    <row r="5" spans="1:12" ht="15.4">
      <c r="A5" s="139" t="s">
        <v>162</v>
      </c>
      <c r="I5" s="147"/>
      <c r="J5" s="140">
        <v>0.75988425925925929</v>
      </c>
      <c r="L5" s="139" t="s">
        <v>162</v>
      </c>
    </row>
    <row r="6" spans="1:12" ht="15.4">
      <c r="A6" s="139" t="s">
        <v>163</v>
      </c>
      <c r="I6" s="147"/>
      <c r="J6" s="141">
        <v>35142</v>
      </c>
      <c r="L6" s="139" t="s">
        <v>163</v>
      </c>
    </row>
    <row r="7" spans="1:12" ht="15.4">
      <c r="A7" s="139" t="s">
        <v>210</v>
      </c>
      <c r="I7" s="147"/>
      <c r="J7" s="138" t="s">
        <v>164</v>
      </c>
    </row>
    <row r="8" spans="1:12" ht="15.4">
      <c r="A8" s="139" t="s">
        <v>211</v>
      </c>
      <c r="I8" s="147"/>
      <c r="J8" s="138" t="s">
        <v>165</v>
      </c>
    </row>
    <row r="9" spans="1:12" ht="15.4">
      <c r="A9" s="139" t="s">
        <v>167</v>
      </c>
      <c r="I9" s="147"/>
      <c r="J9" s="138" t="s">
        <v>166</v>
      </c>
      <c r="L9" s="139" t="s">
        <v>167</v>
      </c>
    </row>
    <row r="10" spans="1:12" ht="15.4">
      <c r="A10" s="139" t="s">
        <v>168</v>
      </c>
      <c r="I10" s="147"/>
      <c r="J10" s="138">
        <v>4880</v>
      </c>
      <c r="L10" s="139" t="s">
        <v>168</v>
      </c>
    </row>
    <row r="11" spans="1:12" ht="15.4">
      <c r="A11" s="139" t="s">
        <v>170</v>
      </c>
      <c r="I11" s="147"/>
      <c r="J11" s="138" t="s">
        <v>169</v>
      </c>
      <c r="L11" s="139" t="s">
        <v>170</v>
      </c>
    </row>
    <row r="12" spans="1:12" ht="15.4">
      <c r="A12" s="139" t="s">
        <v>171</v>
      </c>
      <c r="I12" s="147"/>
      <c r="J12" s="138">
        <v>1.4950000000000001</v>
      </c>
      <c r="L12" s="139" t="s">
        <v>171</v>
      </c>
    </row>
    <row r="13" spans="1:12" ht="15.4">
      <c r="A13" s="139" t="s">
        <v>172</v>
      </c>
      <c r="I13" s="147"/>
      <c r="J13" s="138">
        <v>1.4950000000000001</v>
      </c>
      <c r="L13" s="139" t="s">
        <v>172</v>
      </c>
    </row>
    <row r="14" spans="1:12" ht="15.4">
      <c r="A14" s="139" t="s">
        <v>173</v>
      </c>
      <c r="I14" s="147"/>
      <c r="J14" s="138">
        <v>1</v>
      </c>
      <c r="L14" s="139" t="s">
        <v>173</v>
      </c>
    </row>
    <row r="15" spans="1:12" ht="15.4">
      <c r="A15" s="139" t="s">
        <v>174</v>
      </c>
      <c r="I15" s="147"/>
      <c r="J15" s="138">
        <v>24.9</v>
      </c>
      <c r="L15" s="139" t="s">
        <v>174</v>
      </c>
    </row>
    <row r="16" spans="1:12" ht="15.4">
      <c r="A16" s="139" t="s">
        <v>175</v>
      </c>
      <c r="I16" s="147"/>
      <c r="J16" s="138">
        <v>25.1</v>
      </c>
      <c r="L16" s="139" t="s">
        <v>175</v>
      </c>
    </row>
    <row r="17" spans="1:12" ht="15.4">
      <c r="A17" s="139" t="s">
        <v>176</v>
      </c>
      <c r="I17" s="147"/>
      <c r="J17" s="138">
        <v>1018.1180000000001</v>
      </c>
      <c r="L17" s="139" t="s">
        <v>176</v>
      </c>
    </row>
    <row r="18" spans="1:12" ht="15.4">
      <c r="A18" s="139" t="s">
        <v>177</v>
      </c>
      <c r="I18" s="147"/>
      <c r="J18" s="138">
        <v>24133.97</v>
      </c>
      <c r="L18" s="139" t="s">
        <v>177</v>
      </c>
    </row>
    <row r="19" spans="1:12" ht="15.4">
      <c r="A19" s="139" t="s">
        <v>178</v>
      </c>
      <c r="I19" s="147"/>
      <c r="J19" s="138">
        <v>120.08929999999999</v>
      </c>
      <c r="L19" s="139" t="s">
        <v>178</v>
      </c>
    </row>
    <row r="20" spans="1:12" ht="15.4">
      <c r="A20" s="139" t="s">
        <v>179</v>
      </c>
      <c r="I20" s="147"/>
      <c r="J20" s="138">
        <v>90</v>
      </c>
      <c r="L20" s="139" t="s">
        <v>179</v>
      </c>
    </row>
    <row r="21" spans="1:12" ht="15.4">
      <c r="A21" s="139" t="s">
        <v>180</v>
      </c>
      <c r="I21" s="147"/>
      <c r="J21" s="138">
        <v>9</v>
      </c>
      <c r="L21" s="139" t="s">
        <v>180</v>
      </c>
    </row>
    <row r="22" spans="1:12" ht="15.4">
      <c r="A22" s="139" t="s">
        <v>181</v>
      </c>
      <c r="I22" s="147"/>
      <c r="J22" s="138">
        <v>9</v>
      </c>
      <c r="L22" s="139" t="s">
        <v>181</v>
      </c>
    </row>
    <row r="23" spans="1:12" ht="15.4">
      <c r="A23" s="139" t="s">
        <v>182</v>
      </c>
      <c r="I23" s="147"/>
      <c r="J23" s="138">
        <v>0</v>
      </c>
      <c r="L23" s="139" t="s">
        <v>182</v>
      </c>
    </row>
    <row r="24" spans="1:12" ht="15.4">
      <c r="A24" s="139" t="s">
        <v>183</v>
      </c>
      <c r="I24" s="147"/>
      <c r="J24" s="138">
        <v>1.305E-4</v>
      </c>
      <c r="L24" s="139" t="s">
        <v>183</v>
      </c>
    </row>
    <row r="25" spans="1:12" ht="15.4">
      <c r="A25" s="139" t="s">
        <v>184</v>
      </c>
      <c r="I25" s="147"/>
      <c r="J25" s="138">
        <v>2.61E-4</v>
      </c>
      <c r="L25" s="139" t="s">
        <v>184</v>
      </c>
    </row>
    <row r="26" spans="1:12" ht="15.4">
      <c r="A26" s="139" t="s">
        <v>185</v>
      </c>
      <c r="I26" s="147"/>
      <c r="J26" s="138">
        <v>6.5399999999999996E-4</v>
      </c>
      <c r="L26" s="139" t="s">
        <v>185</v>
      </c>
    </row>
    <row r="27" spans="1:12" ht="15.4">
      <c r="A27" s="139" t="s">
        <v>186</v>
      </c>
      <c r="I27" s="147"/>
      <c r="J27" s="138">
        <v>1.305E-3</v>
      </c>
      <c r="L27" s="139" t="s">
        <v>186</v>
      </c>
    </row>
    <row r="28" spans="1:12" ht="15.4">
      <c r="A28" s="139" t="s">
        <v>187</v>
      </c>
      <c r="I28" s="147"/>
      <c r="J28" s="138">
        <v>1.957E-3</v>
      </c>
      <c r="L28" s="139" t="s">
        <v>187</v>
      </c>
    </row>
    <row r="29" spans="1:12" ht="15.4">
      <c r="A29" s="139" t="s">
        <v>188</v>
      </c>
      <c r="I29" s="147"/>
      <c r="J29" s="138">
        <v>2.6099999999999999E-3</v>
      </c>
      <c r="L29" s="139" t="s">
        <v>188</v>
      </c>
    </row>
    <row r="30" spans="1:12" ht="15.4">
      <c r="A30" s="139" t="s">
        <v>189</v>
      </c>
      <c r="I30" s="147"/>
      <c r="J30" s="138">
        <v>3.9139999999999999E-3</v>
      </c>
      <c r="L30" s="139" t="s">
        <v>189</v>
      </c>
    </row>
    <row r="31" spans="1:12" ht="15.4">
      <c r="A31" s="139" t="s">
        <v>190</v>
      </c>
      <c r="I31" s="147"/>
      <c r="J31" s="138">
        <v>5.2189999999999997E-3</v>
      </c>
      <c r="L31" s="139" t="s">
        <v>190</v>
      </c>
    </row>
    <row r="32" spans="1:12" ht="15.4">
      <c r="A32" s="144">
        <f>NormStandard!E15</f>
        <v>22.5</v>
      </c>
      <c r="B32" s="144"/>
      <c r="C32" s="144"/>
      <c r="D32" s="144"/>
      <c r="E32" s="144"/>
      <c r="F32" s="144"/>
      <c r="G32" s="144"/>
      <c r="H32" s="144"/>
      <c r="I32" s="144"/>
      <c r="J32" s="145">
        <v>20</v>
      </c>
      <c r="L32" s="146" t="s">
        <v>213</v>
      </c>
    </row>
    <row r="33" spans="1:10" ht="15.4">
      <c r="I33" s="147"/>
      <c r="J33" s="138" t="s">
        <v>191</v>
      </c>
    </row>
    <row r="34" spans="1:10" ht="15.4">
      <c r="I34" s="147"/>
      <c r="J34" s="138" t="s">
        <v>192</v>
      </c>
    </row>
    <row r="35" spans="1:10" ht="15.4">
      <c r="A35" s="144">
        <f>NormStandard!E16</f>
        <v>28</v>
      </c>
      <c r="B35" s="144"/>
      <c r="C35" s="144"/>
      <c r="D35" s="144"/>
      <c r="E35" s="144"/>
      <c r="F35" s="144"/>
      <c r="G35" s="144"/>
      <c r="H35" s="144"/>
      <c r="I35" s="144"/>
      <c r="J35" s="145">
        <v>30</v>
      </c>
    </row>
    <row r="36" spans="1:10" ht="15.4">
      <c r="I36" s="147"/>
      <c r="J36" s="138" t="s">
        <v>193</v>
      </c>
    </row>
    <row r="37" spans="1:10" ht="15.4">
      <c r="I37" s="147"/>
      <c r="J37" s="138" t="s">
        <v>194</v>
      </c>
    </row>
    <row r="38" spans="1:10" ht="15.4">
      <c r="A38" s="144">
        <f>NormStandard!E17</f>
        <v>32</v>
      </c>
      <c r="B38" s="144"/>
      <c r="C38" s="144"/>
      <c r="D38" s="144"/>
      <c r="E38" s="144"/>
      <c r="F38" s="144"/>
      <c r="G38" s="144"/>
      <c r="H38" s="144"/>
      <c r="I38" s="144"/>
      <c r="J38" s="145">
        <v>40</v>
      </c>
    </row>
    <row r="39" spans="1:10" ht="15.4">
      <c r="I39" s="147"/>
      <c r="J39" s="138" t="s">
        <v>195</v>
      </c>
    </row>
    <row r="40" spans="1:10" ht="15.4">
      <c r="I40" s="147"/>
      <c r="J40" s="138" t="s">
        <v>196</v>
      </c>
    </row>
    <row r="41" spans="1:10" ht="15.4">
      <c r="A41" s="144">
        <f>NormStandard!E18</f>
        <v>38</v>
      </c>
      <c r="B41" s="144"/>
      <c r="C41" s="144"/>
      <c r="D41" s="144"/>
      <c r="E41" s="144"/>
      <c r="F41" s="144"/>
      <c r="G41" s="144"/>
      <c r="H41" s="144"/>
      <c r="I41" s="144"/>
      <c r="J41" s="145">
        <v>50</v>
      </c>
    </row>
    <row r="42" spans="1:10" ht="15.4">
      <c r="I42" s="147"/>
      <c r="J42" s="138" t="s">
        <v>197</v>
      </c>
    </row>
    <row r="43" spans="1:10" ht="15.4">
      <c r="I43" s="147"/>
      <c r="J43" s="138" t="s">
        <v>209</v>
      </c>
    </row>
    <row r="44" spans="1:10" ht="15.4">
      <c r="A44" s="144">
        <f>NormStandard!E19</f>
        <v>44</v>
      </c>
      <c r="B44" s="144"/>
      <c r="C44" s="144"/>
      <c r="D44" s="144"/>
      <c r="E44" s="144"/>
      <c r="F44" s="144"/>
      <c r="G44" s="144"/>
      <c r="H44" s="144"/>
      <c r="I44" s="144"/>
      <c r="J44" s="145">
        <v>60</v>
      </c>
    </row>
    <row r="45" spans="1:10" ht="15.4">
      <c r="I45" s="147"/>
      <c r="J45" s="138" t="s">
        <v>198</v>
      </c>
    </row>
    <row r="46" spans="1:10" ht="15.4">
      <c r="I46" s="147"/>
      <c r="J46" s="138" t="s">
        <v>199</v>
      </c>
    </row>
    <row r="47" spans="1:10" ht="15.4">
      <c r="A47" s="144">
        <f>NormStandard!E20</f>
        <v>50</v>
      </c>
      <c r="B47" s="144"/>
      <c r="C47" s="144"/>
      <c r="D47" s="144"/>
      <c r="E47" s="144"/>
      <c r="F47" s="144"/>
      <c r="G47" s="144"/>
      <c r="H47" s="144"/>
      <c r="I47" s="144"/>
      <c r="J47" s="145">
        <v>75</v>
      </c>
    </row>
    <row r="48" spans="1:10" ht="15.4">
      <c r="I48" s="147"/>
      <c r="J48" s="138" t="s">
        <v>200</v>
      </c>
    </row>
    <row r="49" spans="1:10" ht="15.4">
      <c r="I49" s="147"/>
      <c r="J49" s="138" t="s">
        <v>201</v>
      </c>
    </row>
    <row r="50" spans="1:10" ht="15.4">
      <c r="A50" s="144">
        <f>NormStandard!E21</f>
        <v>57</v>
      </c>
      <c r="B50" s="144"/>
      <c r="C50" s="144"/>
      <c r="D50" s="144"/>
      <c r="E50" s="144"/>
      <c r="F50" s="144"/>
      <c r="G50" s="144"/>
      <c r="H50" s="144"/>
      <c r="I50" s="144"/>
      <c r="J50" s="145">
        <v>90</v>
      </c>
    </row>
    <row r="51" spans="1:10" ht="15.4">
      <c r="I51" s="147"/>
      <c r="J51" s="138" t="s">
        <v>202</v>
      </c>
    </row>
    <row r="52" spans="1:10" ht="15.4">
      <c r="I52" s="147"/>
      <c r="J52" s="138" t="s">
        <v>203</v>
      </c>
    </row>
    <row r="53" spans="1:10" ht="15.4">
      <c r="A53" s="144">
        <f>NormStandard!E22</f>
        <v>64</v>
      </c>
      <c r="B53" s="144"/>
      <c r="C53" s="144"/>
      <c r="D53" s="144"/>
      <c r="E53" s="144"/>
      <c r="F53" s="144"/>
      <c r="G53" s="144"/>
      <c r="H53" s="144"/>
      <c r="I53" s="144"/>
      <c r="J53" s="145">
        <v>110</v>
      </c>
    </row>
    <row r="54" spans="1:10" ht="15.4">
      <c r="I54" s="147"/>
      <c r="J54" s="138" t="s">
        <v>204</v>
      </c>
    </row>
    <row r="55" spans="1:10" ht="15.4">
      <c r="I55" s="147"/>
      <c r="J55" s="138" t="s">
        <v>205</v>
      </c>
    </row>
    <row r="56" spans="1:10" ht="15.4">
      <c r="A56" s="144">
        <f>NormStandard!E23</f>
        <v>72</v>
      </c>
      <c r="B56" s="144"/>
      <c r="C56" s="144"/>
      <c r="D56" s="144"/>
      <c r="E56" s="144"/>
      <c r="F56" s="144"/>
      <c r="G56" s="144"/>
      <c r="H56" s="144"/>
      <c r="I56" s="144"/>
      <c r="J56" s="145">
        <v>120</v>
      </c>
    </row>
    <row r="57" spans="1:10" ht="15.4">
      <c r="I57" s="147"/>
      <c r="J57" s="138" t="s">
        <v>206</v>
      </c>
    </row>
    <row r="58" spans="1:10" ht="15.4">
      <c r="I58" s="147"/>
      <c r="J58" s="138" t="s">
        <v>207</v>
      </c>
    </row>
    <row r="59" spans="1:10" ht="15.4">
      <c r="A59" s="144">
        <f>NormStandard!E24</f>
        <v>81</v>
      </c>
      <c r="B59" s="144"/>
      <c r="C59" s="144"/>
      <c r="D59" s="144"/>
      <c r="E59" s="144"/>
      <c r="F59" s="144"/>
      <c r="G59" s="144"/>
      <c r="H59" s="144"/>
      <c r="I59" s="144"/>
      <c r="J59" s="145"/>
    </row>
    <row r="60" spans="1:10">
      <c r="I60" s="147"/>
    </row>
    <row r="61" spans="1:10">
      <c r="I61" s="147"/>
    </row>
    <row r="62" spans="1:10">
      <c r="A62" s="144">
        <f>NormStandard!E25</f>
        <v>90</v>
      </c>
      <c r="B62" s="144"/>
      <c r="C62" s="144"/>
      <c r="D62" s="144"/>
      <c r="E62" s="144"/>
      <c r="F62" s="144"/>
      <c r="G62" s="144"/>
      <c r="H62" s="144"/>
      <c r="I62" s="144"/>
      <c r="J62" s="144"/>
    </row>
    <row r="63" spans="1:10">
      <c r="I63" s="147"/>
    </row>
    <row r="64" spans="1:10">
      <c r="I64" s="147"/>
    </row>
    <row r="65" spans="1:10">
      <c r="A65" s="144">
        <f>NormStandard!E26</f>
        <v>99</v>
      </c>
      <c r="B65" s="144"/>
      <c r="C65" s="144"/>
      <c r="D65" s="144"/>
      <c r="E65" s="144"/>
      <c r="F65" s="144"/>
      <c r="G65" s="144"/>
      <c r="H65" s="144"/>
      <c r="I65" s="144"/>
      <c r="J65" s="144"/>
    </row>
    <row r="66" spans="1:10">
      <c r="I66" s="147"/>
    </row>
    <row r="67" spans="1:10">
      <c r="I67" s="147"/>
    </row>
    <row r="68" spans="1:10">
      <c r="A68" s="144">
        <f>NormStandard!E27</f>
        <v>108</v>
      </c>
      <c r="B68" s="144"/>
      <c r="C68" s="144"/>
      <c r="D68" s="144"/>
      <c r="E68" s="144"/>
      <c r="F68" s="144"/>
      <c r="G68" s="144"/>
      <c r="H68" s="144"/>
      <c r="I68" s="144"/>
      <c r="J68" s="144"/>
    </row>
    <row r="69" spans="1:10">
      <c r="I69" s="147"/>
    </row>
    <row r="70" spans="1:10">
      <c r="I70" s="147"/>
    </row>
    <row r="71" spans="1:10">
      <c r="A71" s="144">
        <f>NormStandard!E28</f>
        <v>117</v>
      </c>
      <c r="B71" s="144"/>
      <c r="C71" s="144"/>
      <c r="D71" s="144"/>
      <c r="E71" s="144"/>
      <c r="F71" s="144"/>
      <c r="G71" s="144"/>
      <c r="H71" s="144"/>
      <c r="I71" s="144"/>
      <c r="J71" s="144"/>
    </row>
    <row r="72" spans="1:10">
      <c r="I72" s="147"/>
    </row>
    <row r="73" spans="1:10">
      <c r="I73" s="147"/>
    </row>
    <row r="74" spans="1:10">
      <c r="A74" s="144">
        <f>NormStandard!E29</f>
        <v>126</v>
      </c>
      <c r="B74" s="144"/>
      <c r="C74" s="144"/>
      <c r="D74" s="144"/>
      <c r="E74" s="144"/>
      <c r="F74" s="144"/>
      <c r="G74" s="144"/>
      <c r="H74" s="144"/>
      <c r="I74" s="144"/>
      <c r="J74" s="144"/>
    </row>
    <row r="75" spans="1:10">
      <c r="I75" s="147"/>
    </row>
    <row r="76" spans="1:10">
      <c r="I76" s="147"/>
    </row>
    <row r="77" spans="1:10">
      <c r="A77" s="144">
        <f>NormStandard!E30</f>
        <v>134</v>
      </c>
      <c r="B77" s="144"/>
      <c r="C77" s="144"/>
      <c r="D77" s="144"/>
      <c r="E77" s="144"/>
      <c r="F77" s="144"/>
      <c r="G77" s="144"/>
      <c r="H77" s="144"/>
      <c r="I77" s="144"/>
      <c r="J77" s="144"/>
    </row>
    <row r="78" spans="1:10">
      <c r="I78" s="147"/>
    </row>
    <row r="79" spans="1:10">
      <c r="I79" s="147"/>
    </row>
    <row r="80" spans="1:10">
      <c r="A80" s="144">
        <f>NormStandard!E31</f>
        <v>141</v>
      </c>
      <c r="B80" s="144"/>
      <c r="C80" s="144"/>
      <c r="D80" s="144"/>
      <c r="E80" s="144"/>
      <c r="F80" s="144"/>
      <c r="G80" s="144"/>
      <c r="H80" s="144"/>
      <c r="I80" s="144"/>
      <c r="J80" s="144"/>
    </row>
    <row r="81" spans="1:9">
      <c r="I81" s="147"/>
    </row>
    <row r="82" spans="1:9">
      <c r="I82" s="147"/>
    </row>
    <row r="83" spans="1:9">
      <c r="A83">
        <f>NormStandard!E32</f>
        <v>147</v>
      </c>
      <c r="I83" s="14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"/>
  <sheetViews>
    <sheetView topLeftCell="A36" workbookViewId="0">
      <selection activeCell="C69" sqref="C69"/>
    </sheetView>
  </sheetViews>
  <sheetFormatPr defaultRowHeight="14.25"/>
  <cols>
    <col min="2" max="2" width="10" customWidth="1"/>
  </cols>
  <sheetData>
    <row r="1" spans="2:2">
      <c r="B1" s="11" t="s">
        <v>57</v>
      </c>
    </row>
    <row r="2" spans="2:2">
      <c r="B2" t="s">
        <v>58</v>
      </c>
    </row>
    <row r="3" spans="2:2" ht="15.75">
      <c r="B3" t="s">
        <v>244</v>
      </c>
    </row>
    <row r="4" spans="2:2" ht="15.75">
      <c r="B4" t="s">
        <v>131</v>
      </c>
    </row>
    <row r="5" spans="2:2">
      <c r="B5" t="s">
        <v>87</v>
      </c>
    </row>
    <row r="7" spans="2:2">
      <c r="B7" s="11" t="s">
        <v>59</v>
      </c>
    </row>
    <row r="8" spans="2:2">
      <c r="B8" t="s">
        <v>70</v>
      </c>
    </row>
    <row r="9" spans="2:2">
      <c r="B9" t="s">
        <v>39</v>
      </c>
    </row>
    <row r="10" spans="2:2">
      <c r="B10" t="s">
        <v>71</v>
      </c>
    </row>
    <row r="11" spans="2:2">
      <c r="B11" t="s">
        <v>44</v>
      </c>
    </row>
    <row r="12" spans="2:2">
      <c r="B12" t="s">
        <v>245</v>
      </c>
    </row>
    <row r="13" spans="2:2">
      <c r="B13" t="s">
        <v>246</v>
      </c>
    </row>
    <row r="14" spans="2:2">
      <c r="B14" t="s">
        <v>40</v>
      </c>
    </row>
    <row r="15" spans="2:2">
      <c r="B15" t="s">
        <v>123</v>
      </c>
    </row>
    <row r="16" spans="2:2">
      <c r="B16" t="s">
        <v>41</v>
      </c>
    </row>
    <row r="17" spans="1:17">
      <c r="B17" t="s">
        <v>86</v>
      </c>
    </row>
    <row r="18" spans="1:17">
      <c r="B18" t="s">
        <v>247</v>
      </c>
    </row>
    <row r="19" spans="1:17" ht="16.5">
      <c r="B19" t="s">
        <v>124</v>
      </c>
    </row>
    <row r="20" spans="1:17">
      <c r="B20" t="s">
        <v>42</v>
      </c>
    </row>
    <row r="21" spans="1:17">
      <c r="B21" t="s">
        <v>43</v>
      </c>
    </row>
    <row r="23" spans="1:17" ht="14.65" thickBot="1">
      <c r="B23" s="11" t="s">
        <v>256</v>
      </c>
    </row>
    <row r="24" spans="1:17" ht="14.65" thickBot="1">
      <c r="B24" s="179"/>
      <c r="C24" s="184" t="s">
        <v>259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2"/>
    </row>
    <row r="25" spans="1:17">
      <c r="A25" t="s">
        <v>255</v>
      </c>
      <c r="B25">
        <v>1</v>
      </c>
      <c r="C25" t="s">
        <v>260</v>
      </c>
    </row>
    <row r="26" spans="1:17" ht="15.75">
      <c r="B26">
        <v>2</v>
      </c>
      <c r="C26" t="s">
        <v>257</v>
      </c>
    </row>
    <row r="27" spans="1:17">
      <c r="B27">
        <v>3</v>
      </c>
      <c r="C27" t="s">
        <v>268</v>
      </c>
    </row>
    <row r="28" spans="1:17">
      <c r="B28">
        <v>4</v>
      </c>
      <c r="C28" t="s">
        <v>249</v>
      </c>
      <c r="F28" s="39"/>
    </row>
    <row r="29" spans="1:17">
      <c r="C29" t="s">
        <v>269</v>
      </c>
    </row>
    <row r="30" spans="1:17">
      <c r="B30">
        <v>5</v>
      </c>
      <c r="C30" t="s">
        <v>271</v>
      </c>
    </row>
    <row r="31" spans="1:17">
      <c r="C31" t="s">
        <v>272</v>
      </c>
    </row>
    <row r="32" spans="1:17" ht="15.75">
      <c r="B32">
        <v>6</v>
      </c>
      <c r="C32" t="s">
        <v>270</v>
      </c>
    </row>
    <row r="33" spans="2:17">
      <c r="B33">
        <v>7</v>
      </c>
      <c r="C33" t="s">
        <v>250</v>
      </c>
    </row>
    <row r="34" spans="2:17">
      <c r="B34">
        <v>8</v>
      </c>
      <c r="C34" t="s">
        <v>251</v>
      </c>
    </row>
    <row r="35" spans="2:17">
      <c r="B35">
        <v>9</v>
      </c>
      <c r="C35" t="s">
        <v>252</v>
      </c>
    </row>
    <row r="36" spans="2:17" ht="14.65" thickBot="1">
      <c r="B36">
        <v>10</v>
      </c>
      <c r="C36" t="s">
        <v>52</v>
      </c>
    </row>
    <row r="37" spans="2:17" ht="14.65" thickBot="1">
      <c r="B37" s="183"/>
      <c r="C37" s="184" t="s">
        <v>258</v>
      </c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2"/>
    </row>
    <row r="38" spans="2:17">
      <c r="B38">
        <v>1</v>
      </c>
      <c r="C38" t="s">
        <v>273</v>
      </c>
    </row>
    <row r="39" spans="2:17">
      <c r="B39">
        <v>2</v>
      </c>
      <c r="C39" t="s">
        <v>274</v>
      </c>
    </row>
    <row r="40" spans="2:17" ht="15.75">
      <c r="B40">
        <v>3</v>
      </c>
      <c r="C40" t="s">
        <v>262</v>
      </c>
    </row>
    <row r="41" spans="2:17" ht="14.65">
      <c r="C41" t="s">
        <v>263</v>
      </c>
    </row>
    <row r="42" spans="2:17">
      <c r="B42">
        <v>4</v>
      </c>
      <c r="C42" t="s">
        <v>261</v>
      </c>
    </row>
    <row r="43" spans="2:17" ht="15.75">
      <c r="B43">
        <v>5</v>
      </c>
      <c r="C43" t="s">
        <v>275</v>
      </c>
    </row>
    <row r="44" spans="2:17" ht="14.65" thickBot="1"/>
    <row r="45" spans="2:17" ht="14.65" thickBot="1">
      <c r="B45" s="183"/>
      <c r="C45" s="180" t="s">
        <v>276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2"/>
    </row>
    <row r="46" spans="2:17" ht="14.65" thickBot="1">
      <c r="B46" s="186"/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2"/>
    </row>
    <row r="47" spans="2:17" ht="14.65" thickBot="1">
      <c r="B47" s="183"/>
      <c r="C47" s="180" t="s">
        <v>277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2"/>
    </row>
    <row r="48" spans="2:17">
      <c r="B48" s="185"/>
      <c r="C48" s="1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2:3">
      <c r="B49" s="11" t="s">
        <v>125</v>
      </c>
      <c r="C49" t="s">
        <v>126</v>
      </c>
    </row>
    <row r="50" spans="2:3">
      <c r="C50" t="s">
        <v>127</v>
      </c>
    </row>
    <row r="51" spans="2:3">
      <c r="C51" t="s">
        <v>128</v>
      </c>
    </row>
    <row r="53" spans="2:3">
      <c r="B53" s="72" t="s">
        <v>132</v>
      </c>
      <c r="C53" t="s">
        <v>133</v>
      </c>
    </row>
    <row r="55" spans="2:3">
      <c r="B55" s="72" t="s">
        <v>145</v>
      </c>
      <c r="C55" t="s">
        <v>278</v>
      </c>
    </row>
    <row r="56" spans="2:3">
      <c r="C56" t="s">
        <v>138</v>
      </c>
    </row>
    <row r="57" spans="2:3">
      <c r="C57" t="s">
        <v>135</v>
      </c>
    </row>
    <row r="58" spans="2:3">
      <c r="C58" t="s">
        <v>136</v>
      </c>
    </row>
    <row r="59" spans="2:3">
      <c r="C59" t="s">
        <v>137</v>
      </c>
    </row>
    <row r="60" spans="2:3">
      <c r="C60" t="s">
        <v>279</v>
      </c>
    </row>
    <row r="61" spans="2:3">
      <c r="C61" t="s">
        <v>139</v>
      </c>
    </row>
    <row r="62" spans="2:3">
      <c r="C62" t="s">
        <v>142</v>
      </c>
    </row>
    <row r="63" spans="2:3">
      <c r="C63" t="s">
        <v>140</v>
      </c>
    </row>
    <row r="64" spans="2:3">
      <c r="C64" t="s">
        <v>141</v>
      </c>
    </row>
    <row r="65" spans="2:4">
      <c r="C65" t="s">
        <v>280</v>
      </c>
    </row>
    <row r="66" spans="2:4">
      <c r="C66" t="s">
        <v>143</v>
      </c>
    </row>
    <row r="67" spans="2:4">
      <c r="C67" s="136" t="s">
        <v>144</v>
      </c>
    </row>
    <row r="68" spans="2:4">
      <c r="C68">
        <v>6</v>
      </c>
    </row>
    <row r="69" spans="2:4">
      <c r="C69" s="136"/>
    </row>
    <row r="71" spans="2:4">
      <c r="B71" s="72" t="s">
        <v>134</v>
      </c>
      <c r="D71" t="s">
        <v>151</v>
      </c>
    </row>
    <row r="83" spans="4:4">
      <c r="D83" t="s">
        <v>152</v>
      </c>
    </row>
    <row r="84" spans="4:4">
      <c r="D84" t="s">
        <v>153</v>
      </c>
    </row>
    <row r="89" spans="4:4">
      <c r="D89" t="s">
        <v>154</v>
      </c>
    </row>
    <row r="90" spans="4:4">
      <c r="D90" t="s">
        <v>155</v>
      </c>
    </row>
    <row r="91" spans="4:4">
      <c r="D91" t="s">
        <v>220</v>
      </c>
    </row>
    <row r="92" spans="4:4">
      <c r="D92" t="s">
        <v>156</v>
      </c>
    </row>
    <row r="93" spans="4:4">
      <c r="D93" t="s">
        <v>157</v>
      </c>
    </row>
  </sheetData>
  <phoneticPr fontId="11" type="noConversion"/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 sizeWithCells="1">
              <from>
                <xdr:col>3</xdr:col>
                <xdr:colOff>14288</xdr:colOff>
                <xdr:row>84</xdr:row>
                <xdr:rowOff>80963</xdr:rowOff>
              </from>
              <to>
                <xdr:col>6</xdr:col>
                <xdr:colOff>623888</xdr:colOff>
                <xdr:row>87</xdr:row>
                <xdr:rowOff>138113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28"/>
  <sheetViews>
    <sheetView topLeftCell="B1" zoomScale="84" workbookViewId="0">
      <selection activeCell="H10" sqref="H10"/>
    </sheetView>
  </sheetViews>
  <sheetFormatPr defaultRowHeight="14.25"/>
  <cols>
    <col min="1" max="1" width="33.33203125" customWidth="1"/>
    <col min="2" max="2" width="12.06640625" bestFit="1" customWidth="1"/>
    <col min="3" max="3" width="2.6640625" customWidth="1"/>
    <col min="6" max="6" width="17.796875" customWidth="1"/>
    <col min="7" max="7" width="11.265625" customWidth="1"/>
    <col min="8" max="8" width="20.46484375" customWidth="1"/>
    <col min="9" max="9" width="8.73046875" customWidth="1"/>
    <col min="10" max="10" width="22.265625" customWidth="1"/>
    <col min="11" max="11" width="9.1328125" bestFit="1" customWidth="1"/>
    <col min="12" max="12" width="12" bestFit="1" customWidth="1"/>
    <col min="13" max="13" width="13.796875" customWidth="1"/>
    <col min="14" max="14" width="14.86328125" customWidth="1"/>
    <col min="15" max="17" width="9.1328125" bestFit="1" customWidth="1"/>
    <col min="18" max="19" width="11.73046875" bestFit="1" customWidth="1"/>
  </cols>
  <sheetData>
    <row r="2" spans="1:20" ht="16.5">
      <c r="A2" s="70" t="s">
        <v>120</v>
      </c>
      <c r="B2" s="191" t="s">
        <v>119</v>
      </c>
      <c r="D2" s="203" t="s">
        <v>215</v>
      </c>
      <c r="E2" s="1"/>
      <c r="F2" s="1"/>
      <c r="G2" s="50" t="s">
        <v>119</v>
      </c>
      <c r="H2" t="s">
        <v>254</v>
      </c>
      <c r="J2" s="72" t="s">
        <v>312</v>
      </c>
    </row>
    <row r="3" spans="1:20" ht="15.75">
      <c r="A3" s="70" t="s">
        <v>8</v>
      </c>
      <c r="B3" s="191">
        <v>685</v>
      </c>
      <c r="D3" s="203" t="s">
        <v>216</v>
      </c>
      <c r="E3" s="1"/>
      <c r="F3" s="1"/>
      <c r="G3" s="204">
        <f>N13</f>
        <v>9.9583604155680655E-5</v>
      </c>
      <c r="H3" t="s">
        <v>300</v>
      </c>
      <c r="J3" s="155" t="s">
        <v>226</v>
      </c>
      <c r="K3" s="148" t="s">
        <v>227</v>
      </c>
      <c r="L3" s="148"/>
      <c r="M3" s="148"/>
      <c r="O3" s="148"/>
      <c r="P3" s="148"/>
    </row>
    <row r="4" spans="1:20" ht="14.65">
      <c r="A4" s="70" t="s">
        <v>9</v>
      </c>
      <c r="B4" s="57">
        <f>Lamnm/10000000</f>
        <v>6.8499999999999998E-5</v>
      </c>
      <c r="D4" s="203" t="s">
        <v>219</v>
      </c>
      <c r="E4" s="1"/>
      <c r="F4" s="1"/>
      <c r="G4" s="50">
        <v>0.03</v>
      </c>
      <c r="H4" t="s">
        <v>217</v>
      </c>
      <c r="I4" s="148"/>
      <c r="J4" s="148"/>
      <c r="K4" s="154" t="s">
        <v>223</v>
      </c>
      <c r="L4" s="148"/>
      <c r="M4" s="148"/>
      <c r="N4" s="148"/>
      <c r="O4" s="148"/>
      <c r="P4" s="148"/>
    </row>
    <row r="5" spans="1:20" ht="14.65">
      <c r="A5" s="70" t="s">
        <v>116</v>
      </c>
      <c r="B5" s="191">
        <v>1.4950000000000001</v>
      </c>
      <c r="D5" s="203" t="s">
        <v>218</v>
      </c>
      <c r="E5" s="1"/>
      <c r="F5" s="1"/>
      <c r="G5" s="50">
        <v>1</v>
      </c>
      <c r="I5" s="148"/>
      <c r="J5" s="148"/>
      <c r="K5" s="154" t="s">
        <v>224</v>
      </c>
      <c r="L5" s="148"/>
      <c r="M5" s="154"/>
      <c r="N5" s="148"/>
      <c r="O5" s="148"/>
      <c r="P5" s="148"/>
    </row>
    <row r="6" spans="1:20" ht="14.65">
      <c r="A6" s="70" t="s">
        <v>117</v>
      </c>
      <c r="B6" s="50">
        <v>1.4950000000000001</v>
      </c>
      <c r="D6" s="149"/>
      <c r="I6" s="148"/>
      <c r="J6" s="148"/>
      <c r="K6" s="154" t="s">
        <v>225</v>
      </c>
      <c r="L6" s="148"/>
      <c r="M6" s="148"/>
      <c r="N6" s="148"/>
      <c r="O6" s="148"/>
      <c r="P6" s="148"/>
    </row>
    <row r="7" spans="1:20">
      <c r="A7" s="70" t="s">
        <v>118</v>
      </c>
      <c r="B7" s="191">
        <v>1</v>
      </c>
    </row>
    <row r="8" spans="1:20" ht="16.149999999999999">
      <c r="A8" s="70" t="s">
        <v>121</v>
      </c>
      <c r="B8" s="192">
        <v>1</v>
      </c>
      <c r="C8" s="193" t="s">
        <v>291</v>
      </c>
      <c r="D8" s="194" t="s">
        <v>239</v>
      </c>
      <c r="E8" s="193"/>
      <c r="F8" s="193"/>
      <c r="G8" s="193"/>
      <c r="J8" s="72" t="s">
        <v>313</v>
      </c>
      <c r="K8" s="72"/>
      <c r="L8" s="72"/>
      <c r="M8" s="72"/>
      <c r="N8" s="72"/>
      <c r="O8" s="72"/>
    </row>
    <row r="9" spans="1:20">
      <c r="A9" s="70" t="s">
        <v>122</v>
      </c>
      <c r="B9" s="50">
        <v>0.11</v>
      </c>
      <c r="J9" s="72" t="s">
        <v>301</v>
      </c>
      <c r="K9" s="72"/>
      <c r="L9" s="72"/>
      <c r="M9" s="72"/>
      <c r="N9" s="72"/>
      <c r="O9" s="72"/>
    </row>
    <row r="10" spans="1:20" ht="15.75">
      <c r="A10" s="202" t="s">
        <v>314</v>
      </c>
      <c r="B10" s="137">
        <f>4*PI()^2*Refin^2*dndc^2/(6.022E+23*(Lamnm/10000000)^4)</f>
        <v>8.0523835916103452E-8</v>
      </c>
      <c r="J10" s="72" t="s">
        <v>302</v>
      </c>
      <c r="N10" s="72" t="s">
        <v>303</v>
      </c>
    </row>
    <row r="11" spans="1:20" ht="21.4">
      <c r="J11" s="201" t="s">
        <v>308</v>
      </c>
      <c r="K11" s="72" t="s">
        <v>309</v>
      </c>
      <c r="L11" s="72"/>
      <c r="M11" s="72"/>
      <c r="N11" s="201" t="s">
        <v>310</v>
      </c>
      <c r="O11" s="72"/>
      <c r="P11" s="72" t="s">
        <v>311</v>
      </c>
      <c r="Q11" s="72"/>
    </row>
    <row r="12" spans="1:20" ht="16.5">
      <c r="J12" s="159" t="s">
        <v>253</v>
      </c>
      <c r="K12" s="153" t="s">
        <v>222</v>
      </c>
      <c r="N12" t="s">
        <v>228</v>
      </c>
      <c r="S12" t="s">
        <v>241</v>
      </c>
    </row>
    <row r="13" spans="1:20" ht="16.5">
      <c r="J13">
        <v>685</v>
      </c>
      <c r="K13" s="151">
        <f>4900000/(J13)^4.17</f>
        <v>7.334430487942811E-6</v>
      </c>
      <c r="L13" t="s">
        <v>221</v>
      </c>
      <c r="N13" s="151">
        <f>66530000/J13^4.17</f>
        <v>9.9583604155680655E-5</v>
      </c>
      <c r="O13" t="s">
        <v>232</v>
      </c>
      <c r="P13" t="s">
        <v>233</v>
      </c>
      <c r="Q13" t="s">
        <v>234</v>
      </c>
      <c r="R13" t="s">
        <v>235</v>
      </c>
      <c r="S13" t="s">
        <v>236</v>
      </c>
    </row>
    <row r="14" spans="1:20">
      <c r="J14">
        <v>632.79999999999995</v>
      </c>
      <c r="K14" s="151">
        <f>4900000/(J14)^4.17</f>
        <v>1.0207394457268623E-5</v>
      </c>
      <c r="N14" s="151">
        <f t="shared" ref="N14:N17" si="0">66530000/J14^4.17</f>
        <v>1.3859141902899621E-4</v>
      </c>
      <c r="O14">
        <v>2.1616591239999998</v>
      </c>
      <c r="P14">
        <v>4.9518800000000003E-4</v>
      </c>
      <c r="Q14">
        <v>2.1381790000000001E-2</v>
      </c>
      <c r="R14">
        <v>5.8838000000000001E-5</v>
      </c>
      <c r="S14">
        <v>8.7632000000000004E-5</v>
      </c>
      <c r="T14" s="157"/>
    </row>
    <row r="15" spans="1:20" ht="15.75">
      <c r="J15">
        <v>532</v>
      </c>
      <c r="K15" s="151">
        <f t="shared" ref="K15:K17" si="1">4900000/(J15)^4.17</f>
        <v>2.104478888325769E-5</v>
      </c>
      <c r="N15" s="151">
        <f t="shared" si="0"/>
        <v>2.8573669477614984E-4</v>
      </c>
      <c r="O15" s="156" t="s">
        <v>229</v>
      </c>
    </row>
    <row r="16" spans="1:20">
      <c r="J16">
        <v>514.5</v>
      </c>
      <c r="K16" s="151">
        <f t="shared" si="1"/>
        <v>2.4194633576923557E-5</v>
      </c>
      <c r="N16" s="151">
        <f t="shared" si="0"/>
        <v>3.2850387181076004E-4</v>
      </c>
      <c r="O16" t="s">
        <v>230</v>
      </c>
      <c r="R16" s="157" t="s">
        <v>231</v>
      </c>
    </row>
    <row r="17" spans="10:15">
      <c r="J17">
        <v>488</v>
      </c>
      <c r="K17" s="151">
        <f t="shared" si="1"/>
        <v>3.0163756224498893E-5</v>
      </c>
      <c r="N17" s="151">
        <f t="shared" si="0"/>
        <v>4.0954993910528805E-4</v>
      </c>
      <c r="O17" t="s">
        <v>307</v>
      </c>
    </row>
    <row r="18" spans="10:15">
      <c r="J18" s="150" t="s">
        <v>240</v>
      </c>
    </row>
    <row r="19" spans="10:15" ht="15.75">
      <c r="J19" t="s">
        <v>304</v>
      </c>
    </row>
    <row r="21" spans="10:15">
      <c r="J21" t="s">
        <v>243</v>
      </c>
    </row>
    <row r="22" spans="10:15">
      <c r="J22" t="s">
        <v>305</v>
      </c>
    </row>
    <row r="23" spans="10:15">
      <c r="M23" s="156" t="s">
        <v>237</v>
      </c>
      <c r="N23" s="200">
        <f>(633/488)^4</f>
        <v>2.8309718572661389</v>
      </c>
    </row>
    <row r="24" spans="10:15">
      <c r="K24" s="47"/>
      <c r="L24" s="47"/>
      <c r="M24" s="156" t="s">
        <v>238</v>
      </c>
      <c r="N24" s="200">
        <f>(633/488)^4.17</f>
        <v>2.9589853367577508</v>
      </c>
    </row>
    <row r="25" spans="10:15">
      <c r="M25" t="s">
        <v>306</v>
      </c>
      <c r="N25" s="158">
        <f>100*(N24-N23)/N24</f>
        <v>4.3262627192292928</v>
      </c>
      <c r="O25" t="s">
        <v>242</v>
      </c>
    </row>
    <row r="27" spans="10:15">
      <c r="N27" s="152"/>
    </row>
    <row r="28" spans="10:15">
      <c r="N28" s="152"/>
    </row>
  </sheetData>
  <phoneticPr fontId="1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32"/>
  <sheetViews>
    <sheetView zoomScale="64" zoomScaleNormal="100" workbookViewId="0">
      <selection activeCell="U28" sqref="U28"/>
    </sheetView>
  </sheetViews>
  <sheetFormatPr defaultRowHeight="14.25"/>
  <cols>
    <col min="2" max="2" width="13.73046875" customWidth="1"/>
    <col min="3" max="3" width="8.86328125" customWidth="1"/>
    <col min="4" max="4" width="8.59765625" customWidth="1"/>
    <col min="5" max="5" width="13.796875" customWidth="1"/>
    <col min="6" max="6" width="2.46484375" customWidth="1"/>
    <col min="7" max="7" width="12.3984375" customWidth="1"/>
    <col min="8" max="8" width="13.265625" customWidth="1"/>
    <col min="9" max="9" width="14.59765625" customWidth="1"/>
    <col min="10" max="10" width="4" customWidth="1"/>
    <col min="11" max="11" width="12.73046875" customWidth="1"/>
    <col min="12" max="12" width="16.86328125" customWidth="1"/>
    <col min="13" max="13" width="7.86328125" customWidth="1"/>
    <col min="14" max="14" width="10.265625" customWidth="1"/>
    <col min="15" max="15" width="12.1328125" customWidth="1"/>
    <col min="16" max="16" width="0.86328125" customWidth="1"/>
    <col min="17" max="17" width="12.3984375" customWidth="1"/>
    <col min="19" max="19" width="0.73046875" customWidth="1"/>
    <col min="20" max="20" width="13.265625" customWidth="1"/>
    <col min="21" max="21" width="11.3984375" customWidth="1"/>
    <col min="23" max="23" width="9.06640625" customWidth="1"/>
    <col min="25" max="25" width="15" customWidth="1"/>
  </cols>
  <sheetData>
    <row r="1" spans="2:26" ht="14.65" thickBot="1"/>
    <row r="2" spans="2:26" ht="14.65" thickBot="1">
      <c r="B2" s="6" t="s">
        <v>24</v>
      </c>
      <c r="C2" s="6"/>
      <c r="D2" s="58"/>
      <c r="E2" s="130" t="s">
        <v>88</v>
      </c>
    </row>
    <row r="3" spans="2:26" ht="14.65" thickBot="1">
      <c r="B3" s="6" t="s">
        <v>18</v>
      </c>
      <c r="C3" s="6"/>
      <c r="D3" s="58"/>
      <c r="E3" s="130" t="s">
        <v>130</v>
      </c>
      <c r="H3" s="11"/>
      <c r="I3" s="11"/>
    </row>
    <row r="4" spans="2:26" ht="14.65" thickBot="1">
      <c r="B4" s="6" t="s">
        <v>55</v>
      </c>
      <c r="C4" s="1"/>
      <c r="D4" s="39"/>
      <c r="E4" s="46" t="s">
        <v>25</v>
      </c>
      <c r="F4" s="12"/>
      <c r="I4" s="11"/>
      <c r="J4" s="11"/>
    </row>
    <row r="5" spans="2:26" ht="15" thickBot="1">
      <c r="B5" s="6" t="s">
        <v>17</v>
      </c>
      <c r="C5" s="7" t="s">
        <v>16</v>
      </c>
      <c r="D5" s="7"/>
      <c r="E5" s="1"/>
      <c r="F5" s="11"/>
    </row>
    <row r="6" spans="2:26" ht="14.65" thickBot="1">
      <c r="B6" s="1"/>
      <c r="C6" s="5" t="s">
        <v>5</v>
      </c>
      <c r="D6" s="59"/>
      <c r="E6" s="17" t="s">
        <v>6</v>
      </c>
      <c r="F6" s="132" t="s">
        <v>7</v>
      </c>
      <c r="G6" s="44">
        <v>1.4999999999999999E-2</v>
      </c>
      <c r="H6" s="14"/>
      <c r="I6" s="1" t="s">
        <v>56</v>
      </c>
      <c r="J6" s="1"/>
    </row>
    <row r="7" spans="2:26" ht="16.149999999999999" thickBot="1">
      <c r="B7" s="1"/>
      <c r="C7" s="5" t="s">
        <v>10</v>
      </c>
      <c r="D7" s="5"/>
      <c r="E7" s="1"/>
      <c r="F7" s="18"/>
      <c r="G7" s="45">
        <v>4.9800000000000004</v>
      </c>
      <c r="H7" s="14"/>
      <c r="I7" s="1" t="s">
        <v>21</v>
      </c>
      <c r="J7" s="13"/>
      <c r="K7" s="132">
        <v>4.76</v>
      </c>
      <c r="L7" s="14" t="s">
        <v>19</v>
      </c>
    </row>
    <row r="8" spans="2:26" ht="15.75">
      <c r="B8" s="1"/>
      <c r="C8" s="5" t="s">
        <v>11</v>
      </c>
      <c r="D8" s="5"/>
      <c r="E8" s="1"/>
      <c r="F8" s="13"/>
      <c r="G8" s="45">
        <v>14.99</v>
      </c>
      <c r="H8" s="14"/>
      <c r="I8" s="1" t="s">
        <v>22</v>
      </c>
      <c r="J8" s="1"/>
      <c r="K8" s="131">
        <f>K7*SQRT(3/5)</f>
        <v>3.6870801455894608</v>
      </c>
      <c r="L8" s="1" t="s">
        <v>19</v>
      </c>
    </row>
    <row r="9" spans="2:26" ht="15.75">
      <c r="B9" s="1"/>
      <c r="C9" s="5" t="s">
        <v>12</v>
      </c>
      <c r="D9" s="5"/>
      <c r="E9" s="1"/>
      <c r="F9" s="13"/>
      <c r="G9" s="45">
        <v>-14.8</v>
      </c>
      <c r="H9" s="14"/>
      <c r="I9" s="1" t="s">
        <v>20</v>
      </c>
      <c r="J9" s="1"/>
      <c r="K9" s="10">
        <f>Lamnm/(Refin*NormStandard!K7)</f>
        <v>96.25923948174588</v>
      </c>
      <c r="L9" s="1"/>
    </row>
    <row r="10" spans="2:26" ht="15.75">
      <c r="B10" s="1"/>
      <c r="C10" s="5" t="s">
        <v>13</v>
      </c>
      <c r="D10" s="5"/>
      <c r="E10" s="1"/>
      <c r="F10" s="13"/>
      <c r="G10" s="45">
        <v>79.400000000000006</v>
      </c>
      <c r="H10" s="14"/>
      <c r="I10" s="1" t="s">
        <v>45</v>
      </c>
      <c r="J10" s="1"/>
      <c r="K10" s="9">
        <f>K8*(4*PI()*Refin/Lamnm)*SIN(RADIANS(E32/2))</f>
        <v>9.695719157686139E-2</v>
      </c>
      <c r="L10" s="1"/>
    </row>
    <row r="11" spans="2:26" ht="16.5">
      <c r="B11" s="1"/>
      <c r="C11" s="5" t="s">
        <v>14</v>
      </c>
      <c r="D11" s="5"/>
      <c r="E11" s="33"/>
      <c r="F11" s="13"/>
      <c r="G11" s="45">
        <v>4.92</v>
      </c>
      <c r="I11" s="1" t="s">
        <v>46</v>
      </c>
      <c r="J11" s="1"/>
      <c r="K11" s="8">
        <f>1-K10^2/3</f>
        <v>0.99686643433384259</v>
      </c>
      <c r="L11" s="1"/>
    </row>
    <row r="12" spans="2:26">
      <c r="O12" s="37" t="s">
        <v>47</v>
      </c>
    </row>
    <row r="13" spans="2:26" ht="15" thickBot="1">
      <c r="B13" s="6" t="s">
        <v>17</v>
      </c>
      <c r="C13" s="7" t="s">
        <v>15</v>
      </c>
      <c r="D13" s="7" t="s">
        <v>85</v>
      </c>
      <c r="E13" s="7" t="s">
        <v>36</v>
      </c>
      <c r="F13" s="13"/>
      <c r="G13" s="24" t="s">
        <v>38</v>
      </c>
      <c r="H13" s="15" t="s">
        <v>49</v>
      </c>
      <c r="I13" s="6"/>
      <c r="J13" s="34"/>
      <c r="K13" s="7" t="s">
        <v>107</v>
      </c>
      <c r="L13" s="1"/>
      <c r="M13" s="7" t="s">
        <v>23</v>
      </c>
      <c r="N13" s="36" t="s">
        <v>50</v>
      </c>
      <c r="O13" s="38" t="s">
        <v>48</v>
      </c>
    </row>
    <row r="14" spans="2:26">
      <c r="B14" s="1"/>
      <c r="C14" s="23" t="s">
        <v>37</v>
      </c>
      <c r="D14" s="60"/>
      <c r="E14">
        <v>0</v>
      </c>
      <c r="F14" s="1"/>
      <c r="G14" s="16" t="s">
        <v>0</v>
      </c>
      <c r="H14" s="6" t="s">
        <v>3</v>
      </c>
      <c r="I14" s="6" t="s">
        <v>26</v>
      </c>
      <c r="J14" s="34"/>
      <c r="K14" s="6" t="s">
        <v>3</v>
      </c>
      <c r="L14" s="6" t="s">
        <v>4</v>
      </c>
      <c r="M14" s="1"/>
      <c r="N14" s="6">
        <f>1-((4*PI()*Refin*SIN(RADIANS(E14/2)/Lamnm)*Rgyration)^2/3)</f>
        <v>1</v>
      </c>
      <c r="O14" s="16">
        <v>1</v>
      </c>
      <c r="Q14" s="27" t="s">
        <v>248</v>
      </c>
      <c r="R14" s="28"/>
      <c r="S14" s="11"/>
      <c r="T14" s="27" t="s">
        <v>51</v>
      </c>
      <c r="U14" s="28"/>
    </row>
    <row r="15" spans="2:26">
      <c r="B15" s="1"/>
      <c r="C15" s="5">
        <v>1</v>
      </c>
      <c r="D15" s="5">
        <v>1</v>
      </c>
      <c r="E15" s="1">
        <v>22.5</v>
      </c>
      <c r="F15" s="1"/>
      <c r="G15" s="2" t="s">
        <v>2</v>
      </c>
      <c r="H15" s="2">
        <f>(1.03+1.031+1.035+1.039)/4</f>
        <v>1.0337499999999999</v>
      </c>
      <c r="I15" s="4"/>
      <c r="J15" s="35"/>
      <c r="K15" s="2">
        <v>0.02</v>
      </c>
      <c r="L15" s="4"/>
      <c r="M15" s="2">
        <f>H15+I15-K15-L15</f>
        <v>1.0137499999999999</v>
      </c>
      <c r="N15" s="2">
        <f>1-((4*PI()*Refin*SIN(RADIANS(E15/2)/Lamnm)*Rgyration)^2/3)</f>
        <v>0.9998685911424352</v>
      </c>
      <c r="O15" s="25">
        <f>N15/M15</f>
        <v>0.98630687165714948</v>
      </c>
      <c r="Q15" s="29" t="s">
        <v>35</v>
      </c>
      <c r="R15" s="30"/>
      <c r="S15" s="11"/>
      <c r="T15" s="29" t="s">
        <v>35</v>
      </c>
      <c r="U15" s="30"/>
      <c r="W15" t="s">
        <v>298</v>
      </c>
      <c r="Y15" t="s">
        <v>299</v>
      </c>
    </row>
    <row r="16" spans="2:26">
      <c r="B16" s="1"/>
      <c r="C16" s="5">
        <v>2</v>
      </c>
      <c r="D16" s="5">
        <v>2</v>
      </c>
      <c r="E16" s="1">
        <v>28</v>
      </c>
      <c r="F16" s="1"/>
      <c r="G16" s="2" t="s">
        <v>2</v>
      </c>
      <c r="H16" s="2">
        <f>(0.715+0.694+0.692+0.694)/4</f>
        <v>0.69874999999999998</v>
      </c>
      <c r="I16" s="4"/>
      <c r="J16" s="35"/>
      <c r="K16" s="2">
        <v>0.06</v>
      </c>
      <c r="L16" s="4"/>
      <c r="M16" s="2">
        <f>H16+I16-K16-L16</f>
        <v>0.63874999999999993</v>
      </c>
      <c r="N16" s="2">
        <f>1-((4*PI()*Refin*SIN(RADIANS(E16/2)/Lamnm)*Rgyration)^2/3)</f>
        <v>0.99979649473030563</v>
      </c>
      <c r="O16" s="25">
        <f>N16/M16</f>
        <v>1.5652391306932381</v>
      </c>
      <c r="Q16" s="19" t="s">
        <v>27</v>
      </c>
      <c r="R16" s="20">
        <v>261.94101000000001</v>
      </c>
      <c r="T16" s="19" t="s">
        <v>27</v>
      </c>
      <c r="U16" s="20">
        <v>1.9109</v>
      </c>
      <c r="W16" t="s">
        <v>27</v>
      </c>
      <c r="X16">
        <v>489.13528000000002</v>
      </c>
      <c r="Y16" t="s">
        <v>27</v>
      </c>
      <c r="Z16">
        <v>2.2986800000000001</v>
      </c>
    </row>
    <row r="17" spans="2:26">
      <c r="B17" s="1"/>
      <c r="C17" s="5">
        <v>3</v>
      </c>
      <c r="D17" s="5">
        <v>3</v>
      </c>
      <c r="E17" s="1">
        <v>32</v>
      </c>
      <c r="F17" s="1"/>
      <c r="G17" s="2" t="s">
        <v>2</v>
      </c>
      <c r="H17" s="2">
        <f>(0.85+0.856+0.845+0.849)/4</f>
        <v>0.85000000000000009</v>
      </c>
      <c r="I17" s="4"/>
      <c r="J17" s="35"/>
      <c r="K17" s="2">
        <v>1.4999999999999999E-2</v>
      </c>
      <c r="L17" s="4"/>
      <c r="M17" s="2">
        <f>H17+I17-K17-L17</f>
        <v>0.83500000000000008</v>
      </c>
      <c r="N17" s="2">
        <f>1-((4*PI()*Refin*SIN(RADIANS(E17/2)/Lamnm)*Rgyration)^2/3)</f>
        <v>0.99973419720221768</v>
      </c>
      <c r="O17" s="25">
        <f t="shared" ref="O17:O32" si="0">N17/M17</f>
        <v>1.1972864637152307</v>
      </c>
      <c r="Q17" s="19" t="s">
        <v>28</v>
      </c>
      <c r="R17" s="20">
        <v>872.99010999999996</v>
      </c>
      <c r="T17" s="19" t="s">
        <v>28</v>
      </c>
      <c r="U17" s="20">
        <v>3.1774200000000001</v>
      </c>
      <c r="W17" t="s">
        <v>28</v>
      </c>
      <c r="X17">
        <v>793.15197999999998</v>
      </c>
      <c r="Y17" t="s">
        <v>28</v>
      </c>
      <c r="Z17">
        <v>3.5894300000000001</v>
      </c>
    </row>
    <row r="18" spans="2:26">
      <c r="B18" s="1"/>
      <c r="C18" s="56">
        <v>4</v>
      </c>
      <c r="D18" s="56"/>
      <c r="E18" s="57">
        <v>38</v>
      </c>
      <c r="F18" s="57"/>
      <c r="G18" s="31" t="s">
        <v>53</v>
      </c>
      <c r="H18" s="32" t="s">
        <v>54</v>
      </c>
      <c r="I18" s="57"/>
      <c r="J18" s="57"/>
      <c r="K18" s="61" t="s">
        <v>54</v>
      </c>
      <c r="L18" s="57"/>
      <c r="M18" s="61" t="s">
        <v>54</v>
      </c>
      <c r="N18" s="32" t="s">
        <v>54</v>
      </c>
      <c r="O18" s="32" t="s">
        <v>54</v>
      </c>
      <c r="Q18" s="19" t="s">
        <v>29</v>
      </c>
      <c r="R18" s="20">
        <v>796.78638000000001</v>
      </c>
      <c r="T18" s="19" t="s">
        <v>29</v>
      </c>
      <c r="U18" s="20">
        <v>3.1847099999999999</v>
      </c>
      <c r="W18" t="s">
        <v>29</v>
      </c>
      <c r="X18">
        <v>746.47442999999998</v>
      </c>
      <c r="Y18" t="s">
        <v>29</v>
      </c>
      <c r="Z18">
        <v>1.64838</v>
      </c>
    </row>
    <row r="19" spans="2:26">
      <c r="B19" s="1"/>
      <c r="C19" s="5">
        <v>5</v>
      </c>
      <c r="D19" s="5">
        <v>4</v>
      </c>
      <c r="E19" s="1">
        <v>44</v>
      </c>
      <c r="F19" s="1"/>
      <c r="G19" s="3" t="s">
        <v>1</v>
      </c>
      <c r="H19" s="4"/>
      <c r="I19" s="3">
        <f>R16</f>
        <v>261.94101000000001</v>
      </c>
      <c r="J19" s="35"/>
      <c r="K19" s="4"/>
      <c r="L19" s="3">
        <f>U16</f>
        <v>1.9109</v>
      </c>
      <c r="M19" s="3">
        <f t="shared" ref="M19:M26" si="1">H19+I19-K19-L19</f>
        <v>260.03010999999998</v>
      </c>
      <c r="N19" s="3">
        <f t="shared" ref="N19:N26" si="2">1-((4*PI()*Refin*SIN(RADIANS(E19/2)/Lamnm)*Rgyration)^2/3)</f>
        <v>0.9994974666102372</v>
      </c>
      <c r="O19" s="26">
        <f t="shared" si="0"/>
        <v>3.8437758866088135E-3</v>
      </c>
      <c r="Q19" s="19" t="s">
        <v>30</v>
      </c>
      <c r="R19" s="20">
        <v>819.81164999999999</v>
      </c>
      <c r="T19" s="19" t="s">
        <v>30</v>
      </c>
      <c r="U19" s="20">
        <v>10.36139</v>
      </c>
      <c r="W19" t="s">
        <v>30</v>
      </c>
      <c r="X19">
        <v>666.21753000000001</v>
      </c>
      <c r="Y19" t="s">
        <v>30</v>
      </c>
      <c r="Z19">
        <v>13.620279999999999</v>
      </c>
    </row>
    <row r="20" spans="2:26">
      <c r="B20" s="1"/>
      <c r="C20" s="5">
        <v>6</v>
      </c>
      <c r="D20" s="5">
        <v>5</v>
      </c>
      <c r="E20" s="1">
        <v>50</v>
      </c>
      <c r="F20" s="1"/>
      <c r="G20" s="3" t="s">
        <v>1</v>
      </c>
      <c r="H20" s="4"/>
      <c r="I20" s="3">
        <f>R17</f>
        <v>872.99010999999996</v>
      </c>
      <c r="J20" s="35"/>
      <c r="K20" s="4"/>
      <c r="L20" s="3">
        <f>U17</f>
        <v>3.1774200000000001</v>
      </c>
      <c r="M20" s="3">
        <f t="shared" si="1"/>
        <v>869.81268999999998</v>
      </c>
      <c r="N20" s="3">
        <f t="shared" si="2"/>
        <v>0.99935106744004454</v>
      </c>
      <c r="O20" s="26">
        <f t="shared" si="0"/>
        <v>1.1489267504708911E-3</v>
      </c>
      <c r="Q20" s="19" t="s">
        <v>31</v>
      </c>
      <c r="R20" s="20">
        <v>352.52938999999998</v>
      </c>
      <c r="T20" s="19" t="s">
        <v>31</v>
      </c>
      <c r="U20" s="20">
        <v>1.2126600000000001</v>
      </c>
      <c r="W20" t="s">
        <v>31</v>
      </c>
      <c r="X20">
        <v>188.63036</v>
      </c>
      <c r="Y20" t="s">
        <v>31</v>
      </c>
      <c r="Z20">
        <v>1.24438</v>
      </c>
    </row>
    <row r="21" spans="2:26">
      <c r="B21" s="1"/>
      <c r="C21" s="5">
        <v>7</v>
      </c>
      <c r="D21" s="5">
        <v>6</v>
      </c>
      <c r="E21" s="1">
        <v>57</v>
      </c>
      <c r="F21" s="1"/>
      <c r="G21" s="2" t="s">
        <v>2</v>
      </c>
      <c r="H21" s="2">
        <v>1.161</v>
      </c>
      <c r="I21" s="4"/>
      <c r="J21" s="35"/>
      <c r="K21" s="2">
        <v>2.7E-2</v>
      </c>
      <c r="L21" s="4"/>
      <c r="M21" s="2">
        <f t="shared" si="1"/>
        <v>1.1340000000000001</v>
      </c>
      <c r="N21" s="2">
        <f t="shared" si="2"/>
        <v>0.99915664727925502</v>
      </c>
      <c r="O21" s="25">
        <f t="shared" si="0"/>
        <v>0.88109051788294079</v>
      </c>
      <c r="Q21" s="19" t="s">
        <v>32</v>
      </c>
      <c r="R21" s="20">
        <v>328.77881000000002</v>
      </c>
      <c r="T21" s="19" t="s">
        <v>32</v>
      </c>
      <c r="U21" s="20">
        <v>1.228</v>
      </c>
      <c r="W21" t="s">
        <v>32</v>
      </c>
      <c r="X21">
        <v>322.43961000000002</v>
      </c>
      <c r="Y21" t="s">
        <v>32</v>
      </c>
      <c r="Z21">
        <v>1.5229200000000001</v>
      </c>
    </row>
    <row r="22" spans="2:26">
      <c r="B22" s="1"/>
      <c r="C22" s="5">
        <v>8</v>
      </c>
      <c r="D22" s="5">
        <v>7</v>
      </c>
      <c r="E22" s="1">
        <v>64</v>
      </c>
      <c r="F22" s="1"/>
      <c r="G22" s="3" t="s">
        <v>1</v>
      </c>
      <c r="H22" s="4"/>
      <c r="I22" s="3">
        <f>R18</f>
        <v>796.78638000000001</v>
      </c>
      <c r="J22" s="35"/>
      <c r="K22" s="4"/>
      <c r="L22" s="3">
        <f>U18</f>
        <v>3.1847099999999999</v>
      </c>
      <c r="M22" s="3">
        <f t="shared" si="1"/>
        <v>793.60167000000001</v>
      </c>
      <c r="N22" s="3">
        <f t="shared" si="2"/>
        <v>0.99893678898556948</v>
      </c>
      <c r="O22" s="26">
        <f t="shared" si="0"/>
        <v>1.2587382647337038E-3</v>
      </c>
      <c r="Q22" s="19" t="s">
        <v>33</v>
      </c>
      <c r="R22" s="20">
        <v>311.91138000000001</v>
      </c>
      <c r="T22" s="19" t="s">
        <v>33</v>
      </c>
      <c r="U22" s="20">
        <v>1.7291399999999999</v>
      </c>
      <c r="W22" t="s">
        <v>33</v>
      </c>
      <c r="X22">
        <v>497.82062000000002</v>
      </c>
      <c r="Y22" t="s">
        <v>33</v>
      </c>
      <c r="Z22">
        <v>2.6058300000000001</v>
      </c>
    </row>
    <row r="23" spans="2:26" ht="14.65" thickBot="1">
      <c r="B23" s="1"/>
      <c r="C23" s="5">
        <v>9</v>
      </c>
      <c r="D23" s="5">
        <v>9</v>
      </c>
      <c r="E23" s="1">
        <v>72</v>
      </c>
      <c r="F23" s="1"/>
      <c r="G23" s="2" t="s">
        <v>2</v>
      </c>
      <c r="H23" s="2">
        <v>1.056</v>
      </c>
      <c r="I23" s="4"/>
      <c r="J23" s="35"/>
      <c r="K23" s="2">
        <v>8.9999999999999993E-3</v>
      </c>
      <c r="L23" s="4"/>
      <c r="M23" s="2">
        <f t="shared" si="1"/>
        <v>1.0470000000000002</v>
      </c>
      <c r="N23" s="2">
        <f t="shared" si="2"/>
        <v>0.99865437363906517</v>
      </c>
      <c r="O23" s="25">
        <f t="shared" si="0"/>
        <v>0.95382461665622253</v>
      </c>
      <c r="Q23" s="21" t="s">
        <v>34</v>
      </c>
      <c r="R23" s="22">
        <v>572.80609000000004</v>
      </c>
      <c r="T23" s="21" t="s">
        <v>34</v>
      </c>
      <c r="U23" s="22">
        <v>1.85985</v>
      </c>
      <c r="W23" t="s">
        <v>34</v>
      </c>
      <c r="X23">
        <v>557.64251999999999</v>
      </c>
      <c r="Y23" t="s">
        <v>34</v>
      </c>
      <c r="Z23">
        <v>2.7940999999999998</v>
      </c>
    </row>
    <row r="24" spans="2:26">
      <c r="B24" s="1"/>
      <c r="C24" s="5">
        <v>10</v>
      </c>
      <c r="D24" s="5">
        <v>9</v>
      </c>
      <c r="E24" s="1">
        <v>81</v>
      </c>
      <c r="F24" s="1"/>
      <c r="G24" s="3" t="s">
        <v>1</v>
      </c>
      <c r="H24" s="4"/>
      <c r="I24" s="3">
        <f>R19</f>
        <v>819.81164999999999</v>
      </c>
      <c r="J24" s="35"/>
      <c r="K24" s="4"/>
      <c r="L24" s="3">
        <f>U19</f>
        <v>10.36139</v>
      </c>
      <c r="M24" s="3">
        <f t="shared" si="1"/>
        <v>809.45025999999996</v>
      </c>
      <c r="N24" s="3">
        <f t="shared" si="2"/>
        <v>0.9982969417638109</v>
      </c>
      <c r="O24" s="26">
        <f t="shared" si="0"/>
        <v>1.2333023918774341E-3</v>
      </c>
    </row>
    <row r="25" spans="2:26">
      <c r="B25" s="1"/>
      <c r="C25" s="5">
        <v>11</v>
      </c>
      <c r="D25" s="5">
        <v>10</v>
      </c>
      <c r="E25" s="1">
        <v>90</v>
      </c>
      <c r="F25" s="1"/>
      <c r="G25" s="2" t="s">
        <v>2</v>
      </c>
      <c r="H25" s="2">
        <v>0.94799999999999995</v>
      </c>
      <c r="I25" s="4"/>
      <c r="J25" s="35"/>
      <c r="K25" s="2">
        <v>7.0000000000000001E-3</v>
      </c>
      <c r="L25" s="4"/>
      <c r="M25" s="2">
        <f t="shared" si="1"/>
        <v>0.94099999999999995</v>
      </c>
      <c r="N25" s="2">
        <f t="shared" si="2"/>
        <v>0.99789745914272321</v>
      </c>
      <c r="O25" s="25">
        <f t="shared" si="0"/>
        <v>1.0604648875055507</v>
      </c>
    </row>
    <row r="26" spans="2:26">
      <c r="B26" s="1"/>
      <c r="C26" s="5">
        <v>12</v>
      </c>
      <c r="D26" s="5">
        <v>11</v>
      </c>
      <c r="E26" s="1">
        <v>99</v>
      </c>
      <c r="F26" s="1"/>
      <c r="G26" s="3" t="s">
        <v>1</v>
      </c>
      <c r="H26" s="4"/>
      <c r="I26" s="3">
        <f>R20</f>
        <v>352.52938999999998</v>
      </c>
      <c r="J26" s="35"/>
      <c r="K26" s="4"/>
      <c r="L26" s="3">
        <f>U20</f>
        <v>1.2126600000000001</v>
      </c>
      <c r="M26" s="3">
        <f t="shared" si="1"/>
        <v>351.31672999999995</v>
      </c>
      <c r="N26" s="3">
        <f t="shared" si="2"/>
        <v>0.99745592579680853</v>
      </c>
      <c r="O26" s="26">
        <f t="shared" si="0"/>
        <v>2.8391927870807881E-3</v>
      </c>
    </row>
    <row r="27" spans="2:26">
      <c r="B27" s="1"/>
      <c r="C27" s="56">
        <v>13</v>
      </c>
      <c r="D27" s="56"/>
      <c r="E27" s="57">
        <v>108</v>
      </c>
      <c r="F27" s="57"/>
      <c r="G27" s="31" t="s">
        <v>53</v>
      </c>
      <c r="H27" s="61" t="s">
        <v>54</v>
      </c>
      <c r="I27" s="57"/>
      <c r="J27" s="57"/>
      <c r="K27" s="61" t="s">
        <v>54</v>
      </c>
      <c r="L27" s="57"/>
      <c r="M27" s="61" t="s">
        <v>54</v>
      </c>
      <c r="N27" s="32" t="s">
        <v>54</v>
      </c>
      <c r="O27" s="32" t="s">
        <v>54</v>
      </c>
    </row>
    <row r="28" spans="2:26">
      <c r="B28" s="1"/>
      <c r="C28" s="5">
        <v>14</v>
      </c>
      <c r="D28" s="5">
        <v>12</v>
      </c>
      <c r="E28" s="1">
        <v>117</v>
      </c>
      <c r="F28" s="1"/>
      <c r="G28" s="3" t="s">
        <v>1</v>
      </c>
      <c r="H28" s="4"/>
      <c r="I28" s="3">
        <f>R21</f>
        <v>328.77881000000002</v>
      </c>
      <c r="J28" s="35"/>
      <c r="K28" s="4"/>
      <c r="L28" s="3">
        <f>U21</f>
        <v>1.228</v>
      </c>
      <c r="M28" s="3">
        <f>H28+I28-K28-L28</f>
        <v>327.55081000000001</v>
      </c>
      <c r="N28" s="3">
        <f>1-((4*PI()*Refin*SIN(RADIANS(E28/2)/Lamnm)*Rgyration)^2/3)</f>
        <v>0.99644670702558136</v>
      </c>
      <c r="O28" s="26">
        <f t="shared" si="0"/>
        <v>3.0421133961646479E-3</v>
      </c>
    </row>
    <row r="29" spans="2:26">
      <c r="B29" s="1"/>
      <c r="C29" s="5">
        <v>15</v>
      </c>
      <c r="D29" s="5">
        <v>13</v>
      </c>
      <c r="E29" s="1">
        <v>126</v>
      </c>
      <c r="F29" s="1"/>
      <c r="G29" s="2" t="s">
        <v>2</v>
      </c>
      <c r="H29" s="2">
        <v>1.216</v>
      </c>
      <c r="I29" s="4"/>
      <c r="J29" s="35"/>
      <c r="K29" s="2">
        <v>1.7000000000000001E-2</v>
      </c>
      <c r="L29" s="4"/>
      <c r="M29" s="2">
        <f>H29+I29-K29-L29</f>
        <v>1.1990000000000001</v>
      </c>
      <c r="N29" s="2">
        <f>1-((4*PI()*Refin*SIN(RADIANS(E29/2)/Lamnm)*Rgyration)^2/3)</f>
        <v>0.99587902165333808</v>
      </c>
      <c r="O29" s="25">
        <f t="shared" si="0"/>
        <v>0.83059134416458547</v>
      </c>
    </row>
    <row r="30" spans="2:26">
      <c r="B30" s="1"/>
      <c r="C30" s="5">
        <v>16</v>
      </c>
      <c r="D30" s="5">
        <v>14</v>
      </c>
      <c r="E30" s="1">
        <v>134</v>
      </c>
      <c r="F30" s="1"/>
      <c r="G30" s="3" t="s">
        <v>1</v>
      </c>
      <c r="H30" s="4"/>
      <c r="I30" s="3">
        <f>R22</f>
        <v>311.91138000000001</v>
      </c>
      <c r="J30" s="35"/>
      <c r="K30" s="4"/>
      <c r="L30" s="3">
        <f>U22</f>
        <v>1.7291399999999999</v>
      </c>
      <c r="M30" s="3">
        <f>H30+I30-K30-L30</f>
        <v>310.18224000000004</v>
      </c>
      <c r="N30" s="3">
        <f>1-((4*PI()*Refin*SIN(RADIANS(E30/2)/Lamnm)*Rgyration)^2/3)</f>
        <v>0.99533911067862813</v>
      </c>
      <c r="O30" s="26">
        <f t="shared" si="0"/>
        <v>3.2088849144897144E-3</v>
      </c>
    </row>
    <row r="31" spans="2:26">
      <c r="B31" s="1"/>
      <c r="C31" s="5">
        <v>17</v>
      </c>
      <c r="D31" s="5">
        <v>15</v>
      </c>
      <c r="E31" s="1">
        <v>141</v>
      </c>
      <c r="F31" s="1"/>
      <c r="G31" s="2" t="s">
        <v>2</v>
      </c>
      <c r="H31" s="2">
        <v>0.66700000000000004</v>
      </c>
      <c r="I31" s="4"/>
      <c r="J31" s="35"/>
      <c r="K31" s="2">
        <v>1.2E-2</v>
      </c>
      <c r="L31" s="4"/>
      <c r="M31" s="2">
        <f>H31+I31-K31-L31</f>
        <v>0.65500000000000003</v>
      </c>
      <c r="N31" s="2">
        <f>1-((4*PI()*Refin*SIN(RADIANS(E31/2)/Lamnm)*Rgyration)^2/3)</f>
        <v>0.99483943356270155</v>
      </c>
      <c r="O31" s="25">
        <f>N31/M31</f>
        <v>1.5188388298667199</v>
      </c>
    </row>
    <row r="32" spans="2:26">
      <c r="B32" s="1"/>
      <c r="C32" s="5">
        <v>18</v>
      </c>
      <c r="D32" s="5">
        <v>16</v>
      </c>
      <c r="E32" s="1">
        <v>147</v>
      </c>
      <c r="F32" s="1"/>
      <c r="G32" s="3" t="s">
        <v>1</v>
      </c>
      <c r="H32" s="4"/>
      <c r="I32" s="3">
        <f>R23</f>
        <v>572.80609000000004</v>
      </c>
      <c r="J32" s="35"/>
      <c r="K32" s="4"/>
      <c r="L32" s="3">
        <f>U23</f>
        <v>1.85985</v>
      </c>
      <c r="M32" s="3">
        <f>H32+I32-K32-L32</f>
        <v>570.94623999999999</v>
      </c>
      <c r="N32" s="3">
        <f>1-((4*PI()*Refin*SIN(RADIANS(E32/2)/Lamnm)*Rgyration)^2/3)</f>
        <v>0.99439089232338562</v>
      </c>
      <c r="O32" s="26">
        <f t="shared" si="0"/>
        <v>1.7416541570067711E-3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2"/>
  <sheetViews>
    <sheetView topLeftCell="B7" zoomScale="67" zoomScaleNormal="10" workbookViewId="0">
      <selection activeCell="S31" sqref="S31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20.33203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208">
        <v>45387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60"/>
      <c r="H6" s="161" t="s">
        <v>267</v>
      </c>
      <c r="I6" s="162"/>
      <c r="J6" s="163"/>
      <c r="K6" s="164"/>
    </row>
    <row r="7" spans="2:19" ht="15.75">
      <c r="B7" s="1"/>
      <c r="C7" s="5" t="s">
        <v>10</v>
      </c>
      <c r="D7" s="1"/>
      <c r="E7" s="18"/>
      <c r="F7" s="45">
        <v>4.9800000000000004</v>
      </c>
      <c r="G7" s="160"/>
      <c r="H7" s="165" t="s">
        <v>316</v>
      </c>
      <c r="I7" s="166"/>
      <c r="J7" s="178">
        <v>1</v>
      </c>
      <c r="K7" s="167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60"/>
      <c r="H8" s="165" t="s">
        <v>264</v>
      </c>
      <c r="I8" s="168"/>
      <c r="J8" s="169">
        <f>J7*SQRT(3/5)</f>
        <v>0.7745966692414834</v>
      </c>
      <c r="K8" s="170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60"/>
      <c r="H9" s="165" t="s">
        <v>20</v>
      </c>
      <c r="I9" s="168"/>
      <c r="J9" s="171">
        <f>Lamnm/(Refin*J7)</f>
        <v>458.19397993311031</v>
      </c>
      <c r="K9" s="170"/>
      <c r="O9" s="177"/>
      <c r="P9" s="177"/>
    </row>
    <row r="10" spans="2:19" ht="15.75">
      <c r="B10" s="1"/>
      <c r="C10" s="5" t="s">
        <v>13</v>
      </c>
      <c r="D10" s="1"/>
      <c r="E10" s="13"/>
      <c r="F10" s="45">
        <v>79.2</v>
      </c>
      <c r="G10" s="160"/>
      <c r="H10" s="165" t="s">
        <v>265</v>
      </c>
      <c r="I10" s="168"/>
      <c r="J10" s="172">
        <f>J8*(4*PI()*Refin/Lamnm)*SIN(RADIANS(D32/2))</f>
        <v>2.036915789429861E-2</v>
      </c>
      <c r="K10" s="170"/>
      <c r="O10" s="177"/>
      <c r="P10" s="177"/>
    </row>
    <row r="11" spans="2:19" ht="16.899999999999999" thickBot="1">
      <c r="B11" s="1"/>
      <c r="C11" s="5" t="s">
        <v>14</v>
      </c>
      <c r="D11" s="33"/>
      <c r="E11" s="13"/>
      <c r="F11" s="45">
        <v>4.92</v>
      </c>
      <c r="G11" s="160"/>
      <c r="H11" s="173" t="s">
        <v>266</v>
      </c>
      <c r="I11" s="174"/>
      <c r="J11" s="175">
        <f>1-J10^2/3</f>
        <v>0.999861699135559</v>
      </c>
      <c r="K11" s="176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>
        <v>2</v>
      </c>
      <c r="H15" s="4"/>
      <c r="I15" s="35"/>
      <c r="J15" s="2">
        <v>8.5999999999999993E-2</v>
      </c>
      <c r="K15" s="4"/>
      <c r="L15" s="2">
        <f>G15+H15-J15-K15</f>
        <v>1.9139999999999999</v>
      </c>
      <c r="M15" s="25">
        <f>NormStandard!O15*L15</f>
        <v>1.887791352351784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>
        <v>2</v>
      </c>
      <c r="H16" s="4"/>
      <c r="I16" s="35"/>
      <c r="J16" s="2">
        <v>4.9000000000000002E-2</v>
      </c>
      <c r="K16" s="4"/>
      <c r="L16" s="2">
        <f>G16+H16-J16-K16</f>
        <v>1.9510000000000001</v>
      </c>
      <c r="M16" s="25">
        <f>NormStandard!O16*L16</f>
        <v>3.0537815439825073</v>
      </c>
      <c r="O16" s="19" t="s">
        <v>27</v>
      </c>
      <c r="P16" s="222">
        <v>30.435230000000001</v>
      </c>
      <c r="R16" s="19" t="s">
        <v>27</v>
      </c>
      <c r="S16" s="222">
        <v>14.14034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>
        <v>2</v>
      </c>
      <c r="H17" s="4"/>
      <c r="I17" s="35"/>
      <c r="J17" s="2">
        <v>0.03</v>
      </c>
      <c r="K17" s="4"/>
      <c r="L17" s="2">
        <f>G17+H17-J17-K17</f>
        <v>1.97</v>
      </c>
      <c r="M17" s="25">
        <f>NormStandard!O17*L17</f>
        <v>2.3586543335190044</v>
      </c>
      <c r="O17" s="19" t="s">
        <v>28</v>
      </c>
      <c r="P17" s="222">
        <v>93.743780000000001</v>
      </c>
      <c r="R17" s="19" t="s">
        <v>28</v>
      </c>
      <c r="S17" s="222">
        <v>20.997260000000001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22">
        <v>82.246570000000006</v>
      </c>
      <c r="R18" s="19" t="s">
        <v>29</v>
      </c>
      <c r="S18" s="222">
        <v>25.055669999999999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14.14034</v>
      </c>
      <c r="L19" s="3">
        <f t="shared" ref="L19:L26" si="0">G19+H19-J19-K19</f>
        <v>16.294890000000002</v>
      </c>
      <c r="M19" s="69">
        <f>NormStandard!O19*L19</f>
        <v>6.2633905256943095E-2</v>
      </c>
      <c r="O19" s="19" t="s">
        <v>30</v>
      </c>
      <c r="P19" s="222">
        <v>96.08278</v>
      </c>
      <c r="R19" s="19" t="s">
        <v>30</v>
      </c>
      <c r="S19" s="222">
        <v>43.310589999999998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20.997260000000001</v>
      </c>
      <c r="L20" s="3">
        <f t="shared" si="0"/>
        <v>72.746520000000004</v>
      </c>
      <c r="M20" s="69">
        <f>NormStandard!O20*L20</f>
        <v>8.3580422831665696E-2</v>
      </c>
      <c r="O20" s="19" t="s">
        <v>31</v>
      </c>
      <c r="P20" s="222">
        <v>36.891210000000001</v>
      </c>
      <c r="R20" s="19" t="s">
        <v>31</v>
      </c>
      <c r="S20" s="222">
        <v>3.1831499999999999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>
        <v>2</v>
      </c>
      <c r="H21" s="4"/>
      <c r="I21" s="35"/>
      <c r="J21" s="2">
        <v>5.0999999999999997E-2</v>
      </c>
      <c r="K21" s="4"/>
      <c r="L21" s="2">
        <f t="shared" si="0"/>
        <v>1.9490000000000001</v>
      </c>
      <c r="M21" s="25">
        <f>NormStandard!O21*L21</f>
        <v>1.7172454193538516</v>
      </c>
      <c r="O21" s="19" t="s">
        <v>32</v>
      </c>
      <c r="P21" s="222">
        <v>37.875830000000001</v>
      </c>
      <c r="R21" s="19" t="s">
        <v>32</v>
      </c>
      <c r="S21" s="222">
        <v>5.2176600000000004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25.055669999999999</v>
      </c>
      <c r="L22" s="3">
        <f t="shared" si="0"/>
        <v>57.190900000000006</v>
      </c>
      <c r="M22" s="69">
        <f>NormStandard!O22*L22</f>
        <v>7.1988374224558796E-2</v>
      </c>
      <c r="O22" s="19" t="s">
        <v>33</v>
      </c>
      <c r="P22" s="222">
        <v>32.152859999999997</v>
      </c>
      <c r="R22" s="19" t="s">
        <v>33</v>
      </c>
      <c r="S22" s="222">
        <v>9.1796500000000005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>
        <v>2</v>
      </c>
      <c r="H23" s="4"/>
      <c r="I23" s="35"/>
      <c r="J23" s="2">
        <v>3.4000000000000002E-2</v>
      </c>
      <c r="K23" s="4"/>
      <c r="L23" s="2">
        <f t="shared" si="0"/>
        <v>1.966</v>
      </c>
      <c r="M23" s="25">
        <f>NormStandard!O23*L23</f>
        <v>1.8752191963461335</v>
      </c>
      <c r="O23" s="21" t="s">
        <v>34</v>
      </c>
      <c r="P23" s="223">
        <v>67.028660000000002</v>
      </c>
      <c r="R23" s="21" t="s">
        <v>34</v>
      </c>
      <c r="S23" s="223">
        <v>13.594099999999999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43.310589999999998</v>
      </c>
      <c r="L24" s="3">
        <f t="shared" si="0"/>
        <v>52.772190000000002</v>
      </c>
      <c r="M24" s="69">
        <f>NormStandard!O24*L24</f>
        <v>6.5084068151610414E-2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>
        <v>2</v>
      </c>
      <c r="H25" s="4"/>
      <c r="I25" s="35"/>
      <c r="J25" s="2">
        <v>0.03</v>
      </c>
      <c r="K25" s="4"/>
      <c r="L25" s="2">
        <f t="shared" si="0"/>
        <v>1.97</v>
      </c>
      <c r="M25" s="25">
        <f>NormStandard!O25*L25</f>
        <v>2.089115828385935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3.1831499999999999</v>
      </c>
      <c r="L26" s="3">
        <f t="shared" si="0"/>
        <v>33.708060000000003</v>
      </c>
      <c r="M26" s="69">
        <f>NormStandard!O26*L26</f>
        <v>9.5703680818486445E-2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5.2176600000000004</v>
      </c>
      <c r="L28" s="3">
        <f>G28+H28-J28-K28</f>
        <v>32.658169999999998</v>
      </c>
      <c r="M28" s="69">
        <f>NormStandard!O28*L28</f>
        <v>9.9349856451222421E-2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>
        <v>2</v>
      </c>
      <c r="H29" s="4"/>
      <c r="I29" s="35"/>
      <c r="J29" s="2">
        <v>4.9000000000000002E-2</v>
      </c>
      <c r="K29" s="4"/>
      <c r="L29" s="2">
        <f>G29+H29-J29-K29</f>
        <v>1.9510000000000001</v>
      </c>
      <c r="M29" s="25">
        <f>NormStandard!O29*L29</f>
        <v>1.6204837124651064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9.1796500000000005</v>
      </c>
      <c r="L30" s="3">
        <f>G30+H30-J30-K30</f>
        <v>22.973209999999995</v>
      </c>
      <c r="M30" s="69">
        <f>NormStandard!O30*L30</f>
        <v>7.3718387006404235E-2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>
        <v>2</v>
      </c>
      <c r="H31" s="4"/>
      <c r="I31" s="35"/>
      <c r="J31" s="2">
        <v>2.5000000000000001E-2</v>
      </c>
      <c r="K31" s="4"/>
      <c r="L31" s="2">
        <f>G31+H31-J31-K31</f>
        <v>1.9750000000000001</v>
      </c>
      <c r="M31" s="25">
        <f>NormStandard!O31*L31</f>
        <v>2.9997066889867718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13.594099999999999</v>
      </c>
      <c r="L32" s="3">
        <f>G32+H32-J32-K32</f>
        <v>53.434560000000005</v>
      </c>
      <c r="M32" s="69">
        <f>NormStandard!O32*L32</f>
        <v>9.3064523551827746E-2</v>
      </c>
    </row>
  </sheetData>
  <mergeCells count="1">
    <mergeCell ref="M12:M13"/>
  </mergeCells>
  <phoneticPr fontId="11" type="noConversion"/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769B-E8D0-4B12-BC4F-B4796A537870}">
  <dimension ref="B1:S32"/>
  <sheetViews>
    <sheetView topLeftCell="F13" zoomScale="53" zoomScaleNormal="100" workbookViewId="0">
      <selection activeCell="S34" sqref="S3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211">
        <f>Conc1!D2</f>
        <v>45387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210" t="str">
        <f>Conc1!D4</f>
        <v>Russo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212" t="str">
        <f>Conc1!E6</f>
        <v>y</v>
      </c>
      <c r="F6" s="213">
        <f>Conc1!F6</f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213">
        <f>Conc1!F7</f>
        <v>4.9800000000000004</v>
      </c>
      <c r="G7" s="14"/>
      <c r="H7" s="1" t="s">
        <v>21</v>
      </c>
      <c r="I7" s="13"/>
      <c r="J7" s="214">
        <f>Conc1!J7</f>
        <v>1</v>
      </c>
      <c r="K7" s="14" t="s">
        <v>19</v>
      </c>
    </row>
    <row r="8" spans="2:19" ht="16.149999999999999" thickBot="1">
      <c r="B8" s="1"/>
      <c r="C8" s="5" t="s">
        <v>11</v>
      </c>
      <c r="D8" s="1"/>
      <c r="E8" s="13"/>
      <c r="F8" s="213">
        <f>Conc1!F8</f>
        <v>15.04</v>
      </c>
      <c r="G8" s="14"/>
      <c r="H8" s="1" t="s">
        <v>22</v>
      </c>
      <c r="I8" s="1"/>
      <c r="J8" s="215">
        <f>J7*SQRT(3/5)</f>
        <v>0.7745966692414834</v>
      </c>
      <c r="K8" s="1" t="s">
        <v>19</v>
      </c>
    </row>
    <row r="9" spans="2:19" ht="16.149999999999999" thickBot="1">
      <c r="B9" s="1"/>
      <c r="C9" s="5" t="s">
        <v>12</v>
      </c>
      <c r="D9" s="1"/>
      <c r="E9" s="13"/>
      <c r="F9" s="213">
        <f>Conc1!F9</f>
        <v>14.89</v>
      </c>
      <c r="G9" s="14"/>
      <c r="H9" s="1" t="s">
        <v>20</v>
      </c>
      <c r="I9" s="1"/>
      <c r="J9" s="216">
        <f>Lamnm/(Refin*J7)</f>
        <v>458.19397993311031</v>
      </c>
      <c r="K9" s="1"/>
    </row>
    <row r="10" spans="2:19" ht="16.149999999999999" thickBot="1">
      <c r="B10" s="1"/>
      <c r="C10" s="5" t="s">
        <v>13</v>
      </c>
      <c r="D10" s="1"/>
      <c r="E10" s="13"/>
      <c r="F10" s="213">
        <f>Conc1!F10</f>
        <v>79.2</v>
      </c>
      <c r="G10" s="14"/>
      <c r="H10" s="1" t="s">
        <v>45</v>
      </c>
      <c r="I10" s="1"/>
      <c r="J10" s="217">
        <f>J8*(4*PI()*Refin/Lamnm)*SIN(RADIANS(D32/2))</f>
        <v>2.036915789429861E-2</v>
      </c>
      <c r="K10" s="1"/>
    </row>
    <row r="11" spans="2:19" ht="16.5">
      <c r="B11" s="1"/>
      <c r="C11" s="5" t="s">
        <v>14</v>
      </c>
      <c r="D11" s="33"/>
      <c r="E11" s="13"/>
      <c r="F11" s="213">
        <f>Conc1!F11</f>
        <v>4.92</v>
      </c>
      <c r="G11" s="14"/>
      <c r="H11" s="1" t="s">
        <v>46</v>
      </c>
      <c r="I11" s="1"/>
      <c r="J11" s="218">
        <f>1-J10^2/3</f>
        <v>0.999861699135559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209" t="s">
        <v>315</v>
      </c>
      <c r="S14" s="205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19">
        <f>Conc1!J15</f>
        <v>8.5999999999999993E-2</v>
      </c>
      <c r="K15" s="4"/>
      <c r="L15" s="2">
        <f>G15+H15-J15-K15</f>
        <v>-8.5999999999999993E-2</v>
      </c>
      <c r="M15" s="25">
        <f>NormStandard!O15*L15</f>
        <v>-8.4822390962514843E-2</v>
      </c>
      <c r="O15" s="29" t="s">
        <v>35</v>
      </c>
      <c r="P15" s="30"/>
      <c r="Q15" s="11"/>
      <c r="R15" s="206"/>
      <c r="S15" s="207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19">
        <f>Conc1!J16</f>
        <v>4.9000000000000002E-2</v>
      </c>
      <c r="K16" s="4"/>
      <c r="L16" s="2">
        <f>G16+H16-J16-K16</f>
        <v>-4.9000000000000002E-2</v>
      </c>
      <c r="M16" s="25">
        <f>NormStandard!O16*L16</f>
        <v>-7.6696717403968662E-2</v>
      </c>
      <c r="O16" s="19" t="s">
        <v>27</v>
      </c>
      <c r="P16" s="222">
        <v>30.435230000000001</v>
      </c>
      <c r="R16" s="19" t="s">
        <v>27</v>
      </c>
      <c r="S16" s="220">
        <f>Conc1!S16</f>
        <v>14.14034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19">
        <f>Conc1!J17</f>
        <v>0.03</v>
      </c>
      <c r="K17" s="4"/>
      <c r="L17" s="2">
        <f>G17+H17-J17-K17</f>
        <v>-0.03</v>
      </c>
      <c r="M17" s="25">
        <f>NormStandard!O17*L17</f>
        <v>-3.5918593911456922E-2</v>
      </c>
      <c r="O17" s="19" t="s">
        <v>28</v>
      </c>
      <c r="P17" s="222">
        <v>93.743780000000001</v>
      </c>
      <c r="R17" s="19" t="s">
        <v>28</v>
      </c>
      <c r="S17" s="220">
        <f>Conc1!S17</f>
        <v>20.997260000000001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22">
        <v>82.246570000000006</v>
      </c>
      <c r="R18" s="19" t="s">
        <v>29</v>
      </c>
      <c r="S18" s="220">
        <f>Conc1!S18</f>
        <v>25.055669999999999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14.14034</v>
      </c>
      <c r="L19" s="3">
        <f t="shared" ref="L19:L26" si="0">G19+H19-J19-K19</f>
        <v>16.294890000000002</v>
      </c>
      <c r="M19" s="69">
        <f>NormStandard!O19*L19</f>
        <v>6.2633905256943095E-2</v>
      </c>
      <c r="O19" s="19" t="s">
        <v>30</v>
      </c>
      <c r="P19" s="222">
        <v>96.08278</v>
      </c>
      <c r="R19" s="19" t="s">
        <v>30</v>
      </c>
      <c r="S19" s="220">
        <f>Conc1!S19</f>
        <v>43.310589999999998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20.997260000000001</v>
      </c>
      <c r="L20" s="3">
        <f t="shared" si="0"/>
        <v>72.746520000000004</v>
      </c>
      <c r="M20" s="69">
        <f>NormStandard!O20*L20</f>
        <v>8.3580422831665696E-2</v>
      </c>
      <c r="O20" s="19" t="s">
        <v>31</v>
      </c>
      <c r="P20" s="222">
        <v>36.891210000000001</v>
      </c>
      <c r="R20" s="19" t="s">
        <v>31</v>
      </c>
      <c r="S20" s="220">
        <f>Conc1!S20</f>
        <v>3.1831499999999999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19">
        <f>Conc1!J21</f>
        <v>5.0999999999999997E-2</v>
      </c>
      <c r="K21" s="4"/>
      <c r="L21" s="2">
        <f t="shared" si="0"/>
        <v>-5.0999999999999997E-2</v>
      </c>
      <c r="M21" s="25">
        <f>NormStandard!O21*L21</f>
        <v>-4.4935616412029977E-2</v>
      </c>
      <c r="O21" s="19" t="s">
        <v>32</v>
      </c>
      <c r="P21" s="222">
        <v>37.875830000000001</v>
      </c>
      <c r="R21" s="19" t="s">
        <v>32</v>
      </c>
      <c r="S21" s="220">
        <f>Conc1!S21</f>
        <v>5.2176600000000004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25.055669999999999</v>
      </c>
      <c r="L22" s="3">
        <f t="shared" si="0"/>
        <v>57.190900000000006</v>
      </c>
      <c r="M22" s="69">
        <f>NormStandard!O22*L22</f>
        <v>7.1988374224558796E-2</v>
      </c>
      <c r="O22" s="19" t="s">
        <v>33</v>
      </c>
      <c r="P22" s="222">
        <v>32.152859999999997</v>
      </c>
      <c r="R22" s="19" t="s">
        <v>33</v>
      </c>
      <c r="S22" s="220">
        <f>Conc1!S22</f>
        <v>9.1796500000000005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19">
        <f>Conc1!J23</f>
        <v>3.4000000000000002E-2</v>
      </c>
      <c r="K23" s="4"/>
      <c r="L23" s="2">
        <f t="shared" si="0"/>
        <v>-3.4000000000000002E-2</v>
      </c>
      <c r="M23" s="25">
        <f>NormStandard!O23*L23</f>
        <v>-3.2430036966311568E-2</v>
      </c>
      <c r="O23" s="21" t="s">
        <v>34</v>
      </c>
      <c r="P23" s="223">
        <v>67.028660000000002</v>
      </c>
      <c r="R23" s="21" t="s">
        <v>34</v>
      </c>
      <c r="S23" s="221">
        <f>Conc1!S23</f>
        <v>13.594099999999999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43.310589999999998</v>
      </c>
      <c r="L24" s="3">
        <f t="shared" si="0"/>
        <v>52.772190000000002</v>
      </c>
      <c r="M24" s="69">
        <f>NormStandard!O24*L24</f>
        <v>6.5084068151610414E-2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19">
        <f>Conc1!J25</f>
        <v>0.03</v>
      </c>
      <c r="K25" s="4"/>
      <c r="L25" s="2">
        <f t="shared" si="0"/>
        <v>-0.03</v>
      </c>
      <c r="M25" s="25">
        <f>NormStandard!O25*L25</f>
        <v>-3.1813946625166518E-2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3.1831499999999999</v>
      </c>
      <c r="L26" s="3">
        <f t="shared" si="0"/>
        <v>33.708060000000003</v>
      </c>
      <c r="M26" s="69">
        <f>NormStandard!O26*L26</f>
        <v>9.5703680818486445E-2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5.2176600000000004</v>
      </c>
      <c r="L28" s="3">
        <f>G28+H28-J28-K28</f>
        <v>32.658169999999998</v>
      </c>
      <c r="M28" s="69">
        <f>NormStandard!O28*L28</f>
        <v>9.9349856451222421E-2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19">
        <f>Conc1!J29</f>
        <v>4.9000000000000002E-2</v>
      </c>
      <c r="K29" s="4"/>
      <c r="L29" s="2">
        <f>G29+H29-J29-K29</f>
        <v>-4.9000000000000002E-2</v>
      </c>
      <c r="M29" s="25">
        <f>NormStandard!O29*L29</f>
        <v>-4.0698975864064686E-2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9.1796500000000005</v>
      </c>
      <c r="L30" s="3">
        <f>G30+H30-J30-K30</f>
        <v>22.973209999999995</v>
      </c>
      <c r="M30" s="69">
        <f>NormStandard!O30*L30</f>
        <v>7.3718387006404235E-2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19">
        <f>Conc1!J31</f>
        <v>2.5000000000000001E-2</v>
      </c>
      <c r="K31" s="4"/>
      <c r="L31" s="2">
        <f>G31+H31-J31-K31</f>
        <v>-2.5000000000000001E-2</v>
      </c>
      <c r="M31" s="25">
        <f>NormStandard!O31*L31</f>
        <v>-3.7970970746667998E-2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13.594099999999999</v>
      </c>
      <c r="L32" s="3">
        <f>G32+H32-J32-K32</f>
        <v>53.434560000000005</v>
      </c>
      <c r="M32" s="69">
        <f>NormStandard!O32*L32</f>
        <v>9.3064523551827746E-2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F27-98B0-440C-8D66-184E7245E3F5}">
  <dimension ref="B1:S32"/>
  <sheetViews>
    <sheetView tabSelected="1" zoomScale="63" zoomScaleNormal="100" workbookViewId="0">
      <selection activeCell="M14" sqref="M1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1.464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385A-8BE6-4EEB-BADE-D2360C7EAAF8}">
  <dimension ref="B1:S32"/>
  <sheetViews>
    <sheetView zoomScale="54" zoomScaleNormal="100" workbookViewId="0">
      <selection activeCell="M14" sqref="M1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6117-77E6-4735-B569-0F06EE124AF8}">
  <dimension ref="B1:S32"/>
  <sheetViews>
    <sheetView topLeftCell="A7" zoomScale="81" zoomScaleNormal="100" workbookViewId="0">
      <selection activeCell="M14" sqref="M14"/>
    </sheetView>
  </sheetViews>
  <sheetFormatPr defaultRowHeight="14.25"/>
  <cols>
    <col min="2" max="2" width="11" customWidth="1"/>
    <col min="4" max="4" width="13.59765625" customWidth="1"/>
    <col min="5" max="5" width="2" customWidth="1"/>
    <col min="6" max="6" width="11.86328125" customWidth="1"/>
    <col min="7" max="7" width="12.59765625" customWidth="1"/>
    <col min="8" max="8" width="14.86328125" customWidth="1"/>
    <col min="9" max="9" width="4" customWidth="1"/>
    <col min="10" max="10" width="12.3984375" customWidth="1"/>
    <col min="11" max="11" width="11" customWidth="1"/>
    <col min="13" max="13" width="10.3984375" customWidth="1"/>
    <col min="14" max="14" width="2.73046875" customWidth="1"/>
    <col min="16" max="16" width="12.59765625" customWidth="1"/>
    <col min="17" max="17" width="2.3984375" customWidth="1"/>
    <col min="19" max="19" width="12.265625" customWidth="1"/>
  </cols>
  <sheetData>
    <row r="1" spans="2:19" ht="14.65" thickBot="1"/>
    <row r="2" spans="2:19" ht="14.65" thickBot="1">
      <c r="B2" s="6" t="s">
        <v>68</v>
      </c>
      <c r="C2" s="6"/>
      <c r="D2" s="41" t="s">
        <v>88</v>
      </c>
    </row>
    <row r="3" spans="2:19" ht="14.65" thickBot="1">
      <c r="B3" s="6" t="s">
        <v>69</v>
      </c>
      <c r="C3" s="6"/>
      <c r="D3" s="42" t="s">
        <v>89</v>
      </c>
      <c r="G3" s="11"/>
      <c r="H3" s="11"/>
    </row>
    <row r="4" spans="2:19" ht="14.65" thickBot="1">
      <c r="B4" s="6" t="s">
        <v>55</v>
      </c>
      <c r="C4" s="1"/>
      <c r="D4" s="43" t="s">
        <v>25</v>
      </c>
      <c r="E4" s="12"/>
      <c r="H4" s="11"/>
      <c r="I4" s="11"/>
    </row>
    <row r="5" spans="2:19" ht="15" thickBot="1">
      <c r="B5" s="6" t="s">
        <v>17</v>
      </c>
      <c r="C5" s="7" t="s">
        <v>16</v>
      </c>
      <c r="D5" s="1"/>
    </row>
    <row r="6" spans="2:19" ht="14.65" thickBot="1">
      <c r="B6" s="1"/>
      <c r="C6" s="5" t="s">
        <v>5</v>
      </c>
      <c r="D6" s="17" t="s">
        <v>6</v>
      </c>
      <c r="E6" s="46" t="s">
        <v>7</v>
      </c>
      <c r="F6" s="44">
        <v>6.0000000000000001E-3</v>
      </c>
      <c r="G6" s="14"/>
      <c r="H6" s="70" t="s">
        <v>56</v>
      </c>
      <c r="I6" s="1"/>
    </row>
    <row r="7" spans="2:19" ht="16.149999999999999" thickBot="1">
      <c r="B7" s="1"/>
      <c r="C7" s="5" t="s">
        <v>10</v>
      </c>
      <c r="D7" s="1"/>
      <c r="E7" s="18"/>
      <c r="F7" s="45">
        <v>4.9800000000000004</v>
      </c>
      <c r="G7" s="14"/>
      <c r="H7" s="1" t="s">
        <v>21</v>
      </c>
      <c r="I7" s="13"/>
      <c r="J7" s="132">
        <v>5.5</v>
      </c>
      <c r="K7" s="14" t="s">
        <v>19</v>
      </c>
    </row>
    <row r="8" spans="2:19" ht="15.75">
      <c r="B8" s="1"/>
      <c r="C8" s="5" t="s">
        <v>11</v>
      </c>
      <c r="D8" s="1"/>
      <c r="E8" s="13"/>
      <c r="F8" s="45">
        <v>15.04</v>
      </c>
      <c r="G8" s="14"/>
      <c r="H8" s="1" t="s">
        <v>22</v>
      </c>
      <c r="I8" s="1"/>
      <c r="J8" s="131">
        <f>J7*SQRT(3/5)</f>
        <v>4.2602816808281592</v>
      </c>
      <c r="K8" s="1" t="s">
        <v>19</v>
      </c>
    </row>
    <row r="9" spans="2:19" ht="15.75">
      <c r="B9" s="1"/>
      <c r="C9" s="5" t="s">
        <v>12</v>
      </c>
      <c r="D9" s="1"/>
      <c r="E9" s="13"/>
      <c r="F9" s="45">
        <v>14.89</v>
      </c>
      <c r="G9" s="14"/>
      <c r="H9" s="1" t="s">
        <v>20</v>
      </c>
      <c r="I9" s="1"/>
      <c r="J9" s="10">
        <f>Lamnm/(Refin*J7)</f>
        <v>83.307996351474614</v>
      </c>
      <c r="K9" s="1"/>
    </row>
    <row r="10" spans="2:19" ht="15.75">
      <c r="B10" s="1"/>
      <c r="C10" s="5" t="s">
        <v>13</v>
      </c>
      <c r="D10" s="1"/>
      <c r="E10" s="13"/>
      <c r="F10" s="45">
        <v>79.2</v>
      </c>
      <c r="G10" s="14"/>
      <c r="H10" s="1" t="s">
        <v>45</v>
      </c>
      <c r="I10" s="1"/>
      <c r="J10" s="9">
        <f>J8*(4*PI()*Refin/Lamnm)*SIN(RADIANS(D32/2))</f>
        <v>0.11203036841864238</v>
      </c>
      <c r="K10" s="1"/>
    </row>
    <row r="11" spans="2:19" ht="16.5">
      <c r="B11" s="1"/>
      <c r="C11" s="5" t="s">
        <v>14</v>
      </c>
      <c r="D11" s="33"/>
      <c r="E11" s="13"/>
      <c r="F11" s="45">
        <v>4.92</v>
      </c>
      <c r="G11" s="14"/>
      <c r="H11" s="1" t="s">
        <v>46</v>
      </c>
      <c r="I11" s="1"/>
      <c r="J11" s="8">
        <f>1-J10^2/3</f>
        <v>0.99581639885066109</v>
      </c>
      <c r="K11" s="1"/>
      <c r="M11" s="39"/>
      <c r="O11" s="39"/>
    </row>
    <row r="12" spans="2:19">
      <c r="M12" s="198" t="s">
        <v>110</v>
      </c>
    </row>
    <row r="13" spans="2:19" ht="15" thickBot="1">
      <c r="B13" s="6" t="s">
        <v>17</v>
      </c>
      <c r="C13" s="7" t="s">
        <v>15</v>
      </c>
      <c r="D13" s="7" t="s">
        <v>36</v>
      </c>
      <c r="E13" s="13"/>
      <c r="F13" s="24" t="s">
        <v>38</v>
      </c>
      <c r="G13" s="15" t="s">
        <v>108</v>
      </c>
      <c r="H13" s="6"/>
      <c r="I13" s="34"/>
      <c r="J13" s="6" t="s">
        <v>109</v>
      </c>
      <c r="K13" s="1"/>
      <c r="L13" s="7" t="s">
        <v>23</v>
      </c>
      <c r="M13" s="199"/>
    </row>
    <row r="14" spans="2:19">
      <c r="B14" s="1"/>
      <c r="C14" s="23" t="s">
        <v>37</v>
      </c>
      <c r="D14">
        <v>0</v>
      </c>
      <c r="E14" s="1"/>
      <c r="F14" s="16" t="s">
        <v>0</v>
      </c>
      <c r="G14" s="6" t="s">
        <v>111</v>
      </c>
      <c r="H14" s="6" t="s">
        <v>112</v>
      </c>
      <c r="I14" s="34"/>
      <c r="J14" s="6" t="s">
        <v>111</v>
      </c>
      <c r="K14" s="6" t="s">
        <v>113</v>
      </c>
      <c r="L14" s="1"/>
      <c r="M14" s="16"/>
      <c r="O14" s="27" t="s">
        <v>129</v>
      </c>
      <c r="P14" s="134"/>
      <c r="Q14" s="135"/>
      <c r="R14" s="134" t="s">
        <v>51</v>
      </c>
      <c r="S14" s="28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5"/>
      <c r="J15" s="2"/>
      <c r="K15" s="4"/>
      <c r="L15" s="2">
        <f>G15+H15-J15-K15</f>
        <v>0</v>
      </c>
      <c r="M15" s="25">
        <f>NormStandard!O15*L15</f>
        <v>0</v>
      </c>
      <c r="O15" s="29" t="s">
        <v>35</v>
      </c>
      <c r="P15" s="30"/>
      <c r="Q15" s="11"/>
      <c r="R15" s="29" t="s">
        <v>35</v>
      </c>
      <c r="S15" s="30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5"/>
      <c r="J16" s="2"/>
      <c r="K16" s="4"/>
      <c r="L16" s="2">
        <f>G16+H16-J16-K16</f>
        <v>0</v>
      </c>
      <c r="M16" s="25">
        <f>NormStandard!O16*L16</f>
        <v>0</v>
      </c>
      <c r="O16" s="19" t="s">
        <v>27</v>
      </c>
      <c r="P16" s="20">
        <v>30.435230000000001</v>
      </c>
      <c r="R16" s="19" t="s">
        <v>27</v>
      </c>
      <c r="S16" s="20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5"/>
      <c r="J17" s="2"/>
      <c r="K17" s="4"/>
      <c r="L17" s="2">
        <f>G17+H17-J17-K17</f>
        <v>0</v>
      </c>
      <c r="M17" s="25">
        <f>NormStandard!O17*L17</f>
        <v>0</v>
      </c>
      <c r="O17" s="19" t="s">
        <v>28</v>
      </c>
      <c r="P17" s="20">
        <v>93.743780000000001</v>
      </c>
      <c r="R17" s="19" t="s">
        <v>28</v>
      </c>
      <c r="S17" s="20">
        <v>19.80104</v>
      </c>
    </row>
    <row r="18" spans="2:19">
      <c r="B18" s="1"/>
      <c r="C18" s="5">
        <v>4</v>
      </c>
      <c r="D18" s="1">
        <v>38</v>
      </c>
      <c r="E18" s="1"/>
      <c r="F18" s="31" t="s">
        <v>53</v>
      </c>
      <c r="G18" s="32" t="s">
        <v>54</v>
      </c>
      <c r="H18" s="4"/>
      <c r="I18" s="35"/>
      <c r="J18" s="32" t="s">
        <v>54</v>
      </c>
      <c r="K18" s="4"/>
      <c r="L18" s="32" t="s">
        <v>54</v>
      </c>
      <c r="M18" s="32" t="str">
        <f>NormStandard!O18</f>
        <v>---</v>
      </c>
      <c r="O18" s="19" t="s">
        <v>29</v>
      </c>
      <c r="P18" s="20">
        <v>82.246570000000006</v>
      </c>
      <c r="R18" s="19" t="s">
        <v>29</v>
      </c>
      <c r="S18" s="20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5"/>
      <c r="J19" s="4"/>
      <c r="K19" s="3">
        <f>S16</f>
        <v>5.94442</v>
      </c>
      <c r="L19" s="3">
        <f t="shared" ref="L19:L26" si="0">G19+H19-J19-K19</f>
        <v>24.49081</v>
      </c>
      <c r="M19" s="69">
        <f>NormStandard!O19*L19</f>
        <v>9.4137184921518E-2</v>
      </c>
      <c r="O19" s="19" t="s">
        <v>30</v>
      </c>
      <c r="P19" s="20">
        <v>96.08278</v>
      </c>
      <c r="R19" s="19" t="s">
        <v>30</v>
      </c>
      <c r="S19" s="20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5"/>
      <c r="J20" s="4"/>
      <c r="K20" s="3">
        <f>S17</f>
        <v>19.80104</v>
      </c>
      <c r="L20" s="3">
        <f t="shared" si="0"/>
        <v>73.942740000000001</v>
      </c>
      <c r="M20" s="69">
        <f>NormStandard!O20*L20</f>
        <v>8.4954791989113987E-2</v>
      </c>
      <c r="O20" s="19" t="s">
        <v>31</v>
      </c>
      <c r="P20" s="20">
        <v>36.891210000000001</v>
      </c>
      <c r="R20" s="19" t="s">
        <v>31</v>
      </c>
      <c r="S20" s="20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5"/>
      <c r="J21" s="2"/>
      <c r="K21" s="4"/>
      <c r="L21" s="2">
        <f t="shared" si="0"/>
        <v>0</v>
      </c>
      <c r="M21" s="25">
        <f>NormStandard!O21*L21</f>
        <v>0</v>
      </c>
      <c r="O21" s="19" t="s">
        <v>32</v>
      </c>
      <c r="P21" s="20">
        <v>37.875830000000001</v>
      </c>
      <c r="R21" s="19" t="s">
        <v>32</v>
      </c>
      <c r="S21" s="20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5"/>
      <c r="J22" s="4"/>
      <c r="K22" s="3">
        <f>S18</f>
        <v>15.65363</v>
      </c>
      <c r="L22" s="3">
        <f t="shared" si="0"/>
        <v>66.592939999999999</v>
      </c>
      <c r="M22" s="69">
        <f>NormStandard!O22*L22</f>
        <v>8.3823081739115651E-2</v>
      </c>
      <c r="O22" s="19" t="s">
        <v>33</v>
      </c>
      <c r="P22" s="20">
        <v>32.152859999999997</v>
      </c>
      <c r="R22" s="19" t="s">
        <v>33</v>
      </c>
      <c r="S22" s="20">
        <v>6.6615500000000001</v>
      </c>
    </row>
    <row r="23" spans="2:19" ht="14.65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5"/>
      <c r="J23" s="2"/>
      <c r="K23" s="4"/>
      <c r="L23" s="2">
        <f t="shared" si="0"/>
        <v>0</v>
      </c>
      <c r="M23" s="25">
        <f>NormStandard!O23*L23</f>
        <v>0</v>
      </c>
      <c r="O23" s="21" t="s">
        <v>34</v>
      </c>
      <c r="P23" s="22">
        <v>67.028660000000002</v>
      </c>
      <c r="R23" s="21" t="s">
        <v>34</v>
      </c>
      <c r="S23" s="22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5"/>
      <c r="J24" s="4"/>
      <c r="K24" s="3">
        <f>S19</f>
        <v>23.026599999999998</v>
      </c>
      <c r="L24" s="3">
        <f t="shared" si="0"/>
        <v>73.056179999999998</v>
      </c>
      <c r="M24" s="69">
        <f>NormStandard!O24*L24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5"/>
      <c r="J25" s="2"/>
      <c r="K25" s="4"/>
      <c r="L25" s="2">
        <f t="shared" si="0"/>
        <v>0</v>
      </c>
      <c r="M25" s="25">
        <f>NormStandard!O25*L25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5"/>
      <c r="J26" s="4"/>
      <c r="K26" s="3">
        <f>S20</f>
        <v>7.3498000000000001</v>
      </c>
      <c r="L26" s="3">
        <f t="shared" si="0"/>
        <v>29.541409999999999</v>
      </c>
      <c r="M26" s="69">
        <f>NormStandard!O26*L26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1" t="s">
        <v>53</v>
      </c>
      <c r="G27" s="32" t="s">
        <v>54</v>
      </c>
      <c r="H27" s="4"/>
      <c r="I27" s="35"/>
      <c r="J27" s="32" t="s">
        <v>54</v>
      </c>
      <c r="K27" s="32" t="s">
        <v>54</v>
      </c>
      <c r="L27" s="32" t="s">
        <v>54</v>
      </c>
      <c r="M27" s="32" t="str">
        <f>NormStandard!O27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5"/>
      <c r="J28" s="4"/>
      <c r="K28" s="3">
        <f>S21</f>
        <v>6.9405200000000002</v>
      </c>
      <c r="L28" s="3">
        <f>G28+H28-J28-K28</f>
        <v>30.935310000000001</v>
      </c>
      <c r="M28" s="69">
        <f>NormStandard!O28*L28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5"/>
      <c r="J29" s="2"/>
      <c r="K29" s="4"/>
      <c r="L29" s="2">
        <f>G29+H29-J29-K29</f>
        <v>0</v>
      </c>
      <c r="M29" s="25">
        <f>NormStandard!O29*L29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5"/>
      <c r="J30" s="4"/>
      <c r="K30" s="3">
        <f>S22</f>
        <v>6.6615500000000001</v>
      </c>
      <c r="L30" s="3">
        <f>G30+H30-J30-K30</f>
        <v>25.491309999999999</v>
      </c>
      <c r="M30" s="69">
        <f>NormStandard!O30*L30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5"/>
      <c r="J31" s="2"/>
      <c r="K31" s="4"/>
      <c r="L31" s="2">
        <f>G31+H31-J31-K31</f>
        <v>0</v>
      </c>
      <c r="M31" s="25">
        <f>NormStandard!O31*L31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5"/>
      <c r="J32" s="4"/>
      <c r="K32" s="3">
        <f>S23</f>
        <v>16.04419</v>
      </c>
      <c r="L32" s="3">
        <f>G32+H32-J32-K32</f>
        <v>50.984470000000002</v>
      </c>
      <c r="M32" s="69">
        <f>NormStandard!O32*L32</f>
        <v>8.8797314118287021E-2</v>
      </c>
    </row>
  </sheetData>
  <mergeCells count="1">
    <mergeCell ref="M12:M13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25</vt:i4>
      </vt:variant>
    </vt:vector>
  </HeadingPairs>
  <TitlesOfParts>
    <vt:vector size="40" baseType="lpstr">
      <vt:lpstr>Development notes</vt:lpstr>
      <vt:lpstr>Instructions &amp; Notes</vt:lpstr>
      <vt:lpstr>Parameters</vt:lpstr>
      <vt:lpstr>NormStandard</vt:lpstr>
      <vt:lpstr>Conc1</vt:lpstr>
      <vt:lpstr>Conc2</vt:lpstr>
      <vt:lpstr>Conc3a</vt:lpstr>
      <vt:lpstr>Conc4</vt:lpstr>
      <vt:lpstr>Conc5</vt:lpstr>
      <vt:lpstr>Conc6</vt:lpstr>
      <vt:lpstr>Conc7</vt:lpstr>
      <vt:lpstr>Conc8</vt:lpstr>
      <vt:lpstr>Guinier+SphereFit1</vt:lpstr>
      <vt:lpstr>ZimmPrep</vt:lpstr>
      <vt:lpstr>ForNonZimm</vt:lpstr>
      <vt:lpstr>CalStd</vt:lpstr>
      <vt:lpstr>dndc</vt:lpstr>
      <vt:lpstr>Exponentm</vt:lpstr>
      <vt:lpstr>'Guinier+SphereFit1'!Guinslope</vt:lpstr>
      <vt:lpstr>'Guinier+SphereFit1'!Guintercept</vt:lpstr>
      <vt:lpstr>I90Std</vt:lpstr>
      <vt:lpstr>Izero</vt:lpstr>
      <vt:lpstr>Koptical</vt:lpstr>
      <vt:lpstr>kscale</vt:lpstr>
      <vt:lpstr>'Guinier+SphereFit1'!Lamcm</vt:lpstr>
      <vt:lpstr>Lamcm</vt:lpstr>
      <vt:lpstr>'Guinier+SphereFit1'!Lamnm</vt:lpstr>
      <vt:lpstr>Lamnm</vt:lpstr>
      <vt:lpstr>mExponent</vt:lpstr>
      <vt:lpstr>RayFacToluene</vt:lpstr>
      <vt:lpstr>RayFactorStd</vt:lpstr>
      <vt:lpstr>'Guinier+SphereFit1'!Refin</vt:lpstr>
      <vt:lpstr>Refin</vt:lpstr>
      <vt:lpstr>RefinRayleigh</vt:lpstr>
      <vt:lpstr>'Guinier+SphereFit1'!Rgyration</vt:lpstr>
      <vt:lpstr>Rgyration</vt:lpstr>
      <vt:lpstr>Rhydro</vt:lpstr>
      <vt:lpstr>Rsphere</vt:lpstr>
      <vt:lpstr>Solvent</vt:lpstr>
      <vt:lpstr>VolExponent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2024-04-20T21:38:16Z</dcterms:modified>
</cp:coreProperties>
</file>