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style1.xml" ContentType="application/vnd.ms-office.chartstyle+xml"/>
  <Override PartName="/xl/charts/colors1.xml" ContentType="application/vnd.ms-office.chartcolorstyle+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9"/>
  <workbookPr filterPrivacy="1"/>
  <xr:revisionPtr revIDLastSave="0" documentId="13_ncr:1_{CEB9C92A-4E5A-4B9A-B55B-D2651CBDB0D6}" xr6:coauthVersionLast="36" xr6:coauthVersionMax="36" xr10:uidLastSave="{00000000-0000-0000-0000-000000000000}"/>
  <bookViews>
    <workbookView xWindow="0" yWindow="0" windowWidth="22260" windowHeight="12645" tabRatio="808" firstSheet="5" activeTab="15" xr2:uid="{00000000-000D-0000-FFFF-FFFF00000000}"/>
  </bookViews>
  <sheets>
    <sheet name="Development notes" sheetId="6" r:id="rId1"/>
    <sheet name="Instructions &amp; Notes" sheetId="3" r:id="rId2"/>
    <sheet name="Parameters" sheetId="2" r:id="rId3"/>
    <sheet name="ConcData" sheetId="24" r:id="rId4"/>
    <sheet name="NormStandard" sheetId="1" r:id="rId5"/>
    <sheet name="Conc1" sheetId="4" r:id="rId6"/>
    <sheet name="Conc2" sheetId="10" r:id="rId7"/>
    <sheet name="Conc3" sheetId="19" r:id="rId8"/>
    <sheet name="Conc4" sheetId="18" r:id="rId9"/>
    <sheet name="Conc5" sheetId="20" r:id="rId10"/>
    <sheet name="Conc6" sheetId="21" r:id="rId11"/>
    <sheet name="Conc7" sheetId="22" r:id="rId12"/>
    <sheet name="Conc8" sheetId="23" r:id="rId13"/>
    <sheet name="Guinier+SphereFit1" sheetId="7" r:id="rId14"/>
    <sheet name="ZimmPrep" sheetId="8" r:id="rId15"/>
    <sheet name="ForNonZimm" sheetId="9" r:id="rId16"/>
    <sheet name="ExportForNonZimm" sheetId="25" r:id="rId17"/>
  </sheets>
  <definedNames>
    <definedName name="CalStd">Parameters!$G$2</definedName>
    <definedName name="Dens1">ConcData!$B$7</definedName>
    <definedName name="dndc">Parameters!$B$9</definedName>
    <definedName name="Exponentm">Parameters!$A$3</definedName>
    <definedName name="Guinslope">'Guinier+SphereFit1'!$N$24</definedName>
    <definedName name="Guintercept">'Guinier+SphereFit1'!$N$23</definedName>
    <definedName name="I90Std">Parameters!$G$4</definedName>
    <definedName name="Izero">'Guinier+SphereFit1'!$N$30</definedName>
    <definedName name="Koptical">Parameters!$B$10</definedName>
    <definedName name="kscale">ZimmPrep!$P$48</definedName>
    <definedName name="Lamcm" localSheetId="13">Parameters!$B$4</definedName>
    <definedName name="Lamcm">Parameters!$B$4</definedName>
    <definedName name="Lamnm" localSheetId="13">Parameters!$B$3</definedName>
    <definedName name="Lamnm">Parameters!$B$3</definedName>
    <definedName name="mExponent">Parameters!$B$7</definedName>
    <definedName name="RayFacToluene">Parameters!$B$8</definedName>
    <definedName name="RayFactorStd">Parameters!$G$3</definedName>
    <definedName name="Refin" localSheetId="13">Parameters!$B$5</definedName>
    <definedName name="Refin">Parameters!$B$5</definedName>
    <definedName name="RefinRayleigh">Parameters!$B$6</definedName>
    <definedName name="Rgyration" localSheetId="13">NormStandard!$K$8</definedName>
    <definedName name="Rgyration">NormStandard!$K$8</definedName>
    <definedName name="Rhydro">NormStandard!$K$7</definedName>
    <definedName name="Rsphere">'Guinier+SphereFit1'!$N$31</definedName>
    <definedName name="Solvent">Parameters!$B$2</definedName>
    <definedName name="solver_adj" localSheetId="13" hidden="1">'Guinier+SphereFit1'!$N$30:$N$31</definedName>
    <definedName name="solver_cvg" localSheetId="13" hidden="1">0.0001</definedName>
    <definedName name="solver_drv" localSheetId="13" hidden="1">1</definedName>
    <definedName name="solver_eng" localSheetId="13" hidden="1">1</definedName>
    <definedName name="solver_est" localSheetId="13" hidden="1">1</definedName>
    <definedName name="solver_itr" localSheetId="13" hidden="1">2147483647</definedName>
    <definedName name="solver_mip" localSheetId="13" hidden="1">2147483647</definedName>
    <definedName name="solver_mni" localSheetId="13" hidden="1">30</definedName>
    <definedName name="solver_mrt" localSheetId="13" hidden="1">0.075</definedName>
    <definedName name="solver_msl" localSheetId="13" hidden="1">2</definedName>
    <definedName name="solver_neg" localSheetId="13" hidden="1">1</definedName>
    <definedName name="solver_nod" localSheetId="13" hidden="1">2147483647</definedName>
    <definedName name="solver_num" localSheetId="13" hidden="1">0</definedName>
    <definedName name="solver_nwt" localSheetId="13" hidden="1">1</definedName>
    <definedName name="solver_opt" localSheetId="13" hidden="1">'Guinier+SphereFit1'!$K$46</definedName>
    <definedName name="solver_pre" localSheetId="13" hidden="1">0.000001</definedName>
    <definedName name="solver_rbv" localSheetId="13" hidden="1">1</definedName>
    <definedName name="solver_rlx" localSheetId="13" hidden="1">2</definedName>
    <definedName name="solver_rsd" localSheetId="13" hidden="1">0</definedName>
    <definedName name="solver_scl" localSheetId="13" hidden="1">1</definedName>
    <definedName name="solver_sho" localSheetId="13" hidden="1">2</definedName>
    <definedName name="solver_ssz" localSheetId="13" hidden="1">100</definedName>
    <definedName name="solver_tim" localSheetId="13" hidden="1">2147483647</definedName>
    <definedName name="solver_tol" localSheetId="13" hidden="1">0.01</definedName>
    <definedName name="solver_typ" localSheetId="13" hidden="1">2</definedName>
    <definedName name="solver_val" localSheetId="13" hidden="1">0</definedName>
    <definedName name="solver_ver" localSheetId="13" hidden="1">3</definedName>
    <definedName name="v2bar">ConcData!$B$5</definedName>
    <definedName name="VolExponent">Parameters!$G$5</definedName>
  </definedNames>
  <calcPr calcId="191029"/>
</workbook>
</file>

<file path=xl/calcChain.xml><?xml version="1.0" encoding="utf-8"?>
<calcChain xmlns="http://schemas.openxmlformats.org/spreadsheetml/2006/main">
  <c r="K29" i="25" l="1"/>
  <c r="K30" i="25"/>
  <c r="K31" i="25"/>
  <c r="K32" i="25"/>
  <c r="K33" i="25"/>
  <c r="K34" i="25"/>
  <c r="K35" i="25"/>
  <c r="K36" i="25"/>
  <c r="K37" i="25"/>
  <c r="K38" i="25"/>
  <c r="K39" i="25"/>
  <c r="K40" i="25"/>
  <c r="K41" i="25"/>
  <c r="K42" i="25"/>
  <c r="K43" i="25"/>
  <c r="K44" i="25"/>
  <c r="K45" i="25"/>
  <c r="K46" i="25"/>
  <c r="K47" i="25"/>
  <c r="K48" i="25"/>
  <c r="K49" i="25"/>
  <c r="K50" i="25"/>
  <c r="K51" i="25"/>
  <c r="K52" i="25"/>
  <c r="K53" i="25"/>
  <c r="K54" i="25"/>
  <c r="K55" i="25"/>
  <c r="K56" i="25"/>
  <c r="K57" i="25"/>
  <c r="K58" i="25"/>
  <c r="K59" i="25"/>
  <c r="K60" i="25"/>
  <c r="K61" i="25"/>
  <c r="K62" i="25"/>
  <c r="K63" i="25"/>
  <c r="K64" i="25"/>
  <c r="K65" i="25"/>
  <c r="K66" i="25"/>
  <c r="K67" i="25"/>
  <c r="K68" i="25"/>
  <c r="K69" i="25"/>
  <c r="K70" i="25"/>
  <c r="K71" i="25"/>
  <c r="K72" i="25"/>
  <c r="K73" i="25"/>
  <c r="K74" i="25"/>
  <c r="K28" i="25"/>
  <c r="A18" i="9" l="1"/>
  <c r="A31" i="9"/>
  <c r="A30" i="9"/>
  <c r="A29" i="9"/>
  <c r="A28" i="9"/>
  <c r="A27" i="9"/>
  <c r="A26" i="9"/>
  <c r="A25" i="9"/>
  <c r="A24" i="9"/>
  <c r="B33" i="9"/>
  <c r="G81" i="9"/>
  <c r="G82" i="9" s="1"/>
  <c r="I84" i="9"/>
  <c r="H84" i="9"/>
  <c r="H85" i="9" s="1"/>
  <c r="G84" i="9"/>
  <c r="F84" i="9"/>
  <c r="E84" i="9"/>
  <c r="D84" i="9"/>
  <c r="C84" i="9"/>
  <c r="C85" i="9" s="1"/>
  <c r="B84" i="9"/>
  <c r="B85" i="9" s="1"/>
  <c r="I81" i="9"/>
  <c r="H81" i="9"/>
  <c r="H82" i="9" s="1"/>
  <c r="F81" i="9"/>
  <c r="F82" i="9" s="1"/>
  <c r="E81" i="9"/>
  <c r="E82" i="9" s="1"/>
  <c r="D81" i="9"/>
  <c r="D82" i="9" s="1"/>
  <c r="C81" i="9"/>
  <c r="B81" i="9"/>
  <c r="B82" i="9"/>
  <c r="I78" i="9"/>
  <c r="I79" i="9" s="1"/>
  <c r="H78" i="9"/>
  <c r="G78" i="9"/>
  <c r="F78" i="9"/>
  <c r="E78" i="9"/>
  <c r="D78" i="9"/>
  <c r="C78" i="9"/>
  <c r="B78" i="9"/>
  <c r="H79" i="9"/>
  <c r="F79" i="9"/>
  <c r="E79" i="9"/>
  <c r="D79" i="9"/>
  <c r="B79" i="9"/>
  <c r="I75" i="9"/>
  <c r="H75" i="9"/>
  <c r="G75" i="9"/>
  <c r="G76" i="9" s="1"/>
  <c r="F75" i="9"/>
  <c r="E75" i="9"/>
  <c r="D75" i="9"/>
  <c r="C75" i="9"/>
  <c r="B75" i="9"/>
  <c r="B76" i="9" s="1"/>
  <c r="I76" i="9"/>
  <c r="H76" i="9"/>
  <c r="D76" i="9"/>
  <c r="I72" i="9"/>
  <c r="H72" i="9"/>
  <c r="G72" i="9"/>
  <c r="G73" i="9" s="1"/>
  <c r="F72" i="9"/>
  <c r="E72" i="9"/>
  <c r="D72" i="9"/>
  <c r="C72" i="9"/>
  <c r="C73" i="9" s="1"/>
  <c r="B72" i="9"/>
  <c r="H73" i="9"/>
  <c r="E73" i="9"/>
  <c r="D73" i="9"/>
  <c r="I66" i="9"/>
  <c r="I67" i="9" s="1"/>
  <c r="H66" i="9"/>
  <c r="G66" i="9"/>
  <c r="F66" i="9"/>
  <c r="F67" i="9" s="1"/>
  <c r="E66" i="9"/>
  <c r="E67" i="9" s="1"/>
  <c r="D66" i="9"/>
  <c r="C66" i="9"/>
  <c r="B66" i="9"/>
  <c r="B67" i="9" s="1"/>
  <c r="I63" i="9"/>
  <c r="H63" i="9"/>
  <c r="G63" i="9"/>
  <c r="G64" i="9" s="1"/>
  <c r="F63" i="9"/>
  <c r="E63" i="9"/>
  <c r="D63" i="9"/>
  <c r="D64" i="9" s="1"/>
  <c r="C63" i="9"/>
  <c r="C64" i="9" s="1"/>
  <c r="B63" i="9"/>
  <c r="F64" i="9"/>
  <c r="B64" i="9"/>
  <c r="I60" i="9"/>
  <c r="H60" i="9"/>
  <c r="H61" i="9" s="1"/>
  <c r="G60" i="9"/>
  <c r="F60" i="9"/>
  <c r="F61" i="9" s="1"/>
  <c r="E60" i="9"/>
  <c r="D60" i="9"/>
  <c r="C60" i="9"/>
  <c r="B60" i="9"/>
  <c r="G61" i="9"/>
  <c r="E61" i="9"/>
  <c r="D61" i="9"/>
  <c r="C61" i="9"/>
  <c r="B61" i="9"/>
  <c r="I57" i="9"/>
  <c r="H57" i="9"/>
  <c r="H58" i="9" s="1"/>
  <c r="G57" i="9"/>
  <c r="G58" i="9" s="1"/>
  <c r="F57" i="9"/>
  <c r="E57" i="9"/>
  <c r="D57" i="9"/>
  <c r="D58" i="9" s="1"/>
  <c r="C57" i="9"/>
  <c r="C58" i="9" s="1"/>
  <c r="B57" i="9"/>
  <c r="B58" i="9" s="1"/>
  <c r="I54" i="9"/>
  <c r="H54" i="9"/>
  <c r="G54" i="9"/>
  <c r="G55" i="9" s="1"/>
  <c r="F54" i="9"/>
  <c r="E54" i="9"/>
  <c r="E55" i="9" s="1"/>
  <c r="D54" i="9"/>
  <c r="D55" i="9" s="1"/>
  <c r="C54" i="9"/>
  <c r="C55" i="9" s="1"/>
  <c r="B54" i="9"/>
  <c r="I51" i="9"/>
  <c r="H51" i="9"/>
  <c r="H52" i="9" s="1"/>
  <c r="G51" i="9"/>
  <c r="G52" i="9" s="1"/>
  <c r="F51" i="9"/>
  <c r="E51" i="9"/>
  <c r="D51" i="9"/>
  <c r="D52" i="9" s="1"/>
  <c r="C51" i="9"/>
  <c r="B51" i="9"/>
  <c r="B52" i="9"/>
  <c r="I48" i="9"/>
  <c r="I49" i="9" s="1"/>
  <c r="H48" i="9"/>
  <c r="H49" i="9" s="1"/>
  <c r="G48" i="9"/>
  <c r="G49" i="9" s="1"/>
  <c r="F48" i="9"/>
  <c r="E48" i="9"/>
  <c r="D48" i="9"/>
  <c r="D49" i="9" s="1"/>
  <c r="C48" i="9"/>
  <c r="C49" i="9" s="1"/>
  <c r="B48" i="9"/>
  <c r="B49" i="9"/>
  <c r="I45" i="9"/>
  <c r="I46" i="9" s="1"/>
  <c r="H45" i="9"/>
  <c r="H46" i="9" s="1"/>
  <c r="G45" i="9"/>
  <c r="G46" i="9" s="1"/>
  <c r="F45" i="9"/>
  <c r="E45" i="9"/>
  <c r="E46" i="9" s="1"/>
  <c r="D45" i="9"/>
  <c r="C45" i="9"/>
  <c r="C46" i="9" s="1"/>
  <c r="B45" i="9"/>
  <c r="F46" i="9"/>
  <c r="B46" i="9"/>
  <c r="C43" i="9"/>
  <c r="I43" i="9"/>
  <c r="H43" i="9"/>
  <c r="D43" i="9"/>
  <c r="B43" i="9"/>
  <c r="B39" i="9"/>
  <c r="B40" i="9" s="1"/>
  <c r="F43" i="9"/>
  <c r="I39" i="9"/>
  <c r="I40" i="9" s="1"/>
  <c r="H39" i="9"/>
  <c r="G39" i="9"/>
  <c r="F39" i="9"/>
  <c r="F40" i="9" s="1"/>
  <c r="E39" i="9"/>
  <c r="E40" i="9" s="1"/>
  <c r="D39" i="9"/>
  <c r="D40" i="9" s="1"/>
  <c r="C39" i="9"/>
  <c r="C40" i="9" s="1"/>
  <c r="I36" i="9"/>
  <c r="H36" i="9"/>
  <c r="G36" i="9"/>
  <c r="G37" i="9" s="1"/>
  <c r="F36" i="9"/>
  <c r="E36" i="9"/>
  <c r="D36" i="9"/>
  <c r="D37" i="9" s="1"/>
  <c r="C36" i="9"/>
  <c r="F37" i="9"/>
  <c r="B36" i="9"/>
  <c r="B37" i="9" s="1"/>
  <c r="C37" i="9"/>
  <c r="H37" i="9"/>
  <c r="I37" i="9"/>
  <c r="E37" i="9"/>
  <c r="C33" i="9"/>
  <c r="I33" i="9"/>
  <c r="I34" i="9" s="1"/>
  <c r="H33" i="9"/>
  <c r="H34" i="9" s="1"/>
  <c r="G33" i="9"/>
  <c r="G34" i="9" s="1"/>
  <c r="F33" i="9"/>
  <c r="F34" i="9" s="1"/>
  <c r="E33" i="9"/>
  <c r="E34" i="9" s="1"/>
  <c r="D33" i="9"/>
  <c r="C34" i="9"/>
  <c r="D34" i="9"/>
  <c r="B34" i="9"/>
  <c r="I85" i="9"/>
  <c r="I82" i="9"/>
  <c r="I73" i="9"/>
  <c r="I70" i="9"/>
  <c r="I64" i="9"/>
  <c r="I61" i="9"/>
  <c r="I58" i="9"/>
  <c r="I55" i="9"/>
  <c r="I52" i="9"/>
  <c r="G85" i="9"/>
  <c r="F85" i="9"/>
  <c r="E85" i="9"/>
  <c r="D85" i="9"/>
  <c r="A85" i="9"/>
  <c r="C82" i="9"/>
  <c r="A82" i="9"/>
  <c r="G79" i="9"/>
  <c r="C79" i="9"/>
  <c r="A79" i="9"/>
  <c r="F76" i="9"/>
  <c r="E76" i="9"/>
  <c r="C76" i="9"/>
  <c r="A76" i="9"/>
  <c r="F73" i="9"/>
  <c r="B73" i="9"/>
  <c r="A73" i="9"/>
  <c r="H70" i="9"/>
  <c r="G70" i="9"/>
  <c r="F70" i="9"/>
  <c r="E70" i="9"/>
  <c r="D70" i="9"/>
  <c r="C70" i="9"/>
  <c r="B70" i="9"/>
  <c r="A70" i="9"/>
  <c r="H67" i="9"/>
  <c r="G67" i="9"/>
  <c r="D67" i="9"/>
  <c r="C67" i="9"/>
  <c r="A67" i="9"/>
  <c r="H64" i="9"/>
  <c r="E64" i="9"/>
  <c r="A64" i="9"/>
  <c r="A61" i="9"/>
  <c r="F58" i="9"/>
  <c r="E58" i="9"/>
  <c r="A58" i="9"/>
  <c r="H55" i="9"/>
  <c r="F55" i="9"/>
  <c r="B55" i="9"/>
  <c r="A55" i="9"/>
  <c r="F52" i="9"/>
  <c r="E52" i="9"/>
  <c r="C52" i="9"/>
  <c r="A52" i="9"/>
  <c r="F49" i="9"/>
  <c r="E49" i="9"/>
  <c r="A49" i="9"/>
  <c r="D46" i="9"/>
  <c r="A46" i="9"/>
  <c r="G43" i="9"/>
  <c r="E43" i="9"/>
  <c r="A43" i="9"/>
  <c r="H40" i="9"/>
  <c r="G40" i="9"/>
  <c r="A40" i="9"/>
  <c r="A37" i="9"/>
  <c r="A34" i="9"/>
  <c r="M87" i="8"/>
  <c r="I71" i="8"/>
  <c r="H70" i="8"/>
  <c r="G70" i="8"/>
  <c r="C87" i="8"/>
  <c r="B87" i="8"/>
  <c r="I70" i="8"/>
  <c r="J70" i="8"/>
  <c r="K70" i="8"/>
  <c r="L70" i="8"/>
  <c r="M70" i="8"/>
  <c r="G71" i="8"/>
  <c r="H71" i="8"/>
  <c r="J71" i="8"/>
  <c r="K71" i="8"/>
  <c r="L71" i="8"/>
  <c r="M71" i="8"/>
  <c r="G72" i="8"/>
  <c r="H72" i="8"/>
  <c r="I72" i="8"/>
  <c r="J72" i="8"/>
  <c r="K72" i="8"/>
  <c r="L72" i="8"/>
  <c r="M72" i="8"/>
  <c r="G74" i="8"/>
  <c r="H74" i="8"/>
  <c r="I74" i="8"/>
  <c r="J74" i="8"/>
  <c r="K74" i="8"/>
  <c r="L74" i="8"/>
  <c r="M74" i="8"/>
  <c r="G75" i="8"/>
  <c r="H75" i="8"/>
  <c r="I75" i="8"/>
  <c r="J75" i="8"/>
  <c r="K75" i="8"/>
  <c r="L75" i="8"/>
  <c r="M75" i="8"/>
  <c r="G76" i="8"/>
  <c r="H76" i="8"/>
  <c r="I76" i="8"/>
  <c r="J76" i="8"/>
  <c r="K76" i="8"/>
  <c r="L76" i="8"/>
  <c r="M76" i="8"/>
  <c r="G77" i="8"/>
  <c r="H77" i="8"/>
  <c r="I77" i="8"/>
  <c r="J77" i="8"/>
  <c r="K77" i="8"/>
  <c r="L77" i="8"/>
  <c r="M77" i="8"/>
  <c r="G78" i="8"/>
  <c r="H78" i="8"/>
  <c r="I78" i="8"/>
  <c r="J78" i="8"/>
  <c r="K78" i="8"/>
  <c r="L78" i="8"/>
  <c r="M78" i="8"/>
  <c r="G79" i="8"/>
  <c r="H79" i="8"/>
  <c r="I79" i="8"/>
  <c r="J79" i="8"/>
  <c r="K79" i="8"/>
  <c r="L79" i="8"/>
  <c r="M79" i="8"/>
  <c r="G80" i="8"/>
  <c r="H80" i="8"/>
  <c r="I80" i="8"/>
  <c r="J80" i="8"/>
  <c r="K80" i="8"/>
  <c r="L80" i="8"/>
  <c r="M80" i="8"/>
  <c r="G81" i="8"/>
  <c r="H81" i="8"/>
  <c r="I81" i="8"/>
  <c r="J81" i="8"/>
  <c r="K81" i="8"/>
  <c r="L81" i="8"/>
  <c r="M81" i="8"/>
  <c r="G83" i="8"/>
  <c r="H83" i="8"/>
  <c r="I83" i="8"/>
  <c r="J83" i="8"/>
  <c r="K83" i="8"/>
  <c r="L83" i="8"/>
  <c r="M83" i="8"/>
  <c r="G84" i="8"/>
  <c r="H84" i="8"/>
  <c r="I84" i="8"/>
  <c r="J84" i="8"/>
  <c r="K84" i="8"/>
  <c r="L84" i="8"/>
  <c r="M84" i="8"/>
  <c r="G85" i="8"/>
  <c r="H85" i="8"/>
  <c r="I85" i="8"/>
  <c r="J85" i="8"/>
  <c r="K85" i="8"/>
  <c r="L85" i="8"/>
  <c r="M85" i="8"/>
  <c r="G86" i="8"/>
  <c r="H86" i="8"/>
  <c r="I86" i="8"/>
  <c r="J86" i="8"/>
  <c r="K86" i="8"/>
  <c r="L86" i="8"/>
  <c r="M86" i="8"/>
  <c r="G87" i="8"/>
  <c r="H87" i="8"/>
  <c r="I87" i="8"/>
  <c r="J87" i="8"/>
  <c r="K87" i="8"/>
  <c r="L87" i="8"/>
  <c r="F87" i="8"/>
  <c r="F71" i="8"/>
  <c r="F72" i="8"/>
  <c r="F74" i="8"/>
  <c r="F75" i="8"/>
  <c r="F76" i="8"/>
  <c r="F77" i="8"/>
  <c r="F78" i="8"/>
  <c r="F79" i="8"/>
  <c r="F80" i="8"/>
  <c r="F81" i="8"/>
  <c r="F83" i="8"/>
  <c r="F84" i="8"/>
  <c r="F85" i="8"/>
  <c r="F86" i="8"/>
  <c r="F70" i="8"/>
  <c r="E71" i="8"/>
  <c r="E72" i="8"/>
  <c r="E74" i="8"/>
  <c r="E75" i="8"/>
  <c r="E76" i="8"/>
  <c r="E77" i="8"/>
  <c r="E78" i="8"/>
  <c r="E79" i="8"/>
  <c r="E80" i="8"/>
  <c r="E81" i="8"/>
  <c r="E83" i="8"/>
  <c r="E84" i="8"/>
  <c r="E85" i="8"/>
  <c r="E86" i="8"/>
  <c r="E87" i="8"/>
  <c r="E70" i="8"/>
  <c r="E28" i="24"/>
  <c r="F28" i="24"/>
  <c r="G28" i="24"/>
  <c r="H28" i="24"/>
  <c r="I28" i="24"/>
  <c r="J28" i="24"/>
  <c r="K28" i="24"/>
  <c r="D28" i="24"/>
  <c r="H19" i="24"/>
  <c r="I19" i="24"/>
  <c r="J19" i="24"/>
  <c r="K19" i="24"/>
  <c r="H18" i="24"/>
  <c r="I18" i="24"/>
  <c r="J18" i="24"/>
  <c r="K18" i="24"/>
  <c r="H17" i="24"/>
  <c r="I17" i="24"/>
  <c r="J17" i="24"/>
  <c r="K17" i="24"/>
  <c r="E19" i="24"/>
  <c r="F19" i="24"/>
  <c r="G19" i="24"/>
  <c r="D19" i="24"/>
  <c r="E18" i="24"/>
  <c r="F18" i="24"/>
  <c r="G18" i="24"/>
  <c r="D18" i="24"/>
  <c r="G17" i="24"/>
  <c r="F17" i="24"/>
  <c r="E17" i="24"/>
  <c r="D17" i="24"/>
  <c r="B74" i="8" l="1"/>
  <c r="C74" i="8"/>
  <c r="B75" i="8"/>
  <c r="C75" i="8"/>
  <c r="B76" i="8"/>
  <c r="C76" i="8"/>
  <c r="B77" i="8"/>
  <c r="C77" i="8"/>
  <c r="B78" i="8"/>
  <c r="C78" i="8"/>
  <c r="B79" i="8"/>
  <c r="C79" i="8"/>
  <c r="B80" i="8"/>
  <c r="C80" i="8"/>
  <c r="B81" i="8"/>
  <c r="C81" i="8"/>
  <c r="B71" i="8"/>
  <c r="C71" i="8"/>
  <c r="B72" i="8"/>
  <c r="C72" i="8"/>
  <c r="B73" i="8"/>
  <c r="C73" i="8"/>
  <c r="B82" i="8"/>
  <c r="C82" i="8"/>
  <c r="B83" i="8"/>
  <c r="C83" i="8"/>
  <c r="B84" i="8"/>
  <c r="C84" i="8"/>
  <c r="B85" i="8"/>
  <c r="C85" i="8"/>
  <c r="B86" i="8"/>
  <c r="C86" i="8"/>
  <c r="C6" i="8"/>
  <c r="A72" i="8"/>
  <c r="A73" i="8"/>
  <c r="A74" i="8"/>
  <c r="A75" i="8"/>
  <c r="A76" i="8"/>
  <c r="A77" i="8"/>
  <c r="A78" i="8"/>
  <c r="A79" i="8"/>
  <c r="A80" i="8"/>
  <c r="A81" i="8"/>
  <c r="A82" i="8"/>
  <c r="A83" i="8"/>
  <c r="A84" i="8"/>
  <c r="A85" i="8"/>
  <c r="A86" i="8"/>
  <c r="A71" i="8"/>
  <c r="A70" i="8"/>
  <c r="M7" i="8" l="1"/>
  <c r="M8" i="8"/>
  <c r="M9" i="8"/>
  <c r="M10" i="8"/>
  <c r="M11" i="8"/>
  <c r="M12" i="8"/>
  <c r="M13" i="8"/>
  <c r="M14" i="8"/>
  <c r="M15" i="8"/>
  <c r="M16" i="8"/>
  <c r="M17" i="8"/>
  <c r="M18" i="8"/>
  <c r="M19" i="8"/>
  <c r="M20" i="8"/>
  <c r="M21" i="8"/>
  <c r="M22" i="8"/>
  <c r="M23" i="8"/>
  <c r="M6" i="8"/>
  <c r="L7" i="8"/>
  <c r="L8" i="8"/>
  <c r="L9" i="8"/>
  <c r="L10" i="8"/>
  <c r="L11" i="8"/>
  <c r="L12" i="8"/>
  <c r="L13" i="8"/>
  <c r="L14" i="8"/>
  <c r="L15" i="8"/>
  <c r="L16" i="8"/>
  <c r="L17" i="8"/>
  <c r="L18" i="8"/>
  <c r="L19" i="8"/>
  <c r="L20" i="8"/>
  <c r="L21" i="8"/>
  <c r="L22" i="8"/>
  <c r="L23" i="8"/>
  <c r="L6" i="8"/>
  <c r="K7" i="8"/>
  <c r="K8" i="8"/>
  <c r="K9" i="8"/>
  <c r="K10" i="8"/>
  <c r="K11" i="8"/>
  <c r="K12" i="8"/>
  <c r="K13" i="8"/>
  <c r="K14" i="8"/>
  <c r="K15" i="8"/>
  <c r="K16" i="8"/>
  <c r="K17" i="8"/>
  <c r="K18" i="8"/>
  <c r="K19" i="8"/>
  <c r="K20" i="8"/>
  <c r="K21" i="8"/>
  <c r="K22" i="8"/>
  <c r="K23" i="8"/>
  <c r="K6" i="8"/>
  <c r="J7" i="8"/>
  <c r="J8" i="8"/>
  <c r="J9" i="8"/>
  <c r="J10" i="8"/>
  <c r="J11" i="8"/>
  <c r="J12" i="8"/>
  <c r="J13" i="8"/>
  <c r="J14" i="8"/>
  <c r="J15" i="8"/>
  <c r="J16" i="8"/>
  <c r="J17" i="8"/>
  <c r="J18" i="8"/>
  <c r="J19" i="8"/>
  <c r="J20" i="8"/>
  <c r="J21" i="8"/>
  <c r="J22" i="8"/>
  <c r="J23" i="8"/>
  <c r="J6" i="8"/>
  <c r="I9" i="8"/>
  <c r="I18" i="8"/>
  <c r="H9" i="8"/>
  <c r="H18" i="8"/>
  <c r="H32" i="23"/>
  <c r="J31" i="23"/>
  <c r="L31" i="23" s="1"/>
  <c r="H30" i="23"/>
  <c r="J29" i="23"/>
  <c r="L29" i="23" s="1"/>
  <c r="H28" i="23"/>
  <c r="M27" i="23"/>
  <c r="H26" i="23"/>
  <c r="J25" i="23"/>
  <c r="L25" i="23" s="1"/>
  <c r="H24" i="23"/>
  <c r="S23" i="23"/>
  <c r="K32" i="23" s="1"/>
  <c r="J23" i="23"/>
  <c r="L23" i="23" s="1"/>
  <c r="S22" i="23"/>
  <c r="K30" i="23" s="1"/>
  <c r="H22" i="23"/>
  <c r="S21" i="23"/>
  <c r="K28" i="23" s="1"/>
  <c r="L28" i="23" s="1"/>
  <c r="J21" i="23"/>
  <c r="L21" i="23" s="1"/>
  <c r="S20" i="23"/>
  <c r="K26" i="23" s="1"/>
  <c r="H20" i="23"/>
  <c r="S19" i="23"/>
  <c r="K24" i="23" s="1"/>
  <c r="L24" i="23" s="1"/>
  <c r="H19" i="23"/>
  <c r="S18" i="23"/>
  <c r="K22" i="23" s="1"/>
  <c r="M18" i="23"/>
  <c r="S17" i="23"/>
  <c r="K20" i="23" s="1"/>
  <c r="J17" i="23"/>
  <c r="L17" i="23" s="1"/>
  <c r="S16" i="23"/>
  <c r="K19" i="23" s="1"/>
  <c r="L19" i="23" s="1"/>
  <c r="J16" i="23"/>
  <c r="L16" i="23" s="1"/>
  <c r="J15" i="23"/>
  <c r="L15" i="23" s="1"/>
  <c r="F11" i="23"/>
  <c r="F10" i="23"/>
  <c r="F9" i="23"/>
  <c r="F8" i="23"/>
  <c r="J7" i="23"/>
  <c r="J8" i="23" s="1"/>
  <c r="J10" i="23" s="1"/>
  <c r="J11" i="23" s="1"/>
  <c r="F7" i="23"/>
  <c r="F6" i="23"/>
  <c r="E6" i="23"/>
  <c r="D4" i="23"/>
  <c r="D2" i="23"/>
  <c r="H32" i="22"/>
  <c r="J31" i="22"/>
  <c r="L31" i="22" s="1"/>
  <c r="H30" i="22"/>
  <c r="J29" i="22"/>
  <c r="L29" i="22" s="1"/>
  <c r="H28" i="22"/>
  <c r="M27" i="22"/>
  <c r="H26" i="22"/>
  <c r="J25" i="22"/>
  <c r="L25" i="22" s="1"/>
  <c r="H24" i="22"/>
  <c r="S23" i="22"/>
  <c r="K32" i="22" s="1"/>
  <c r="J23" i="22"/>
  <c r="L23" i="22" s="1"/>
  <c r="S22" i="22"/>
  <c r="K30" i="22" s="1"/>
  <c r="H22" i="22"/>
  <c r="S21" i="22"/>
  <c r="K28" i="22" s="1"/>
  <c r="L28" i="22" s="1"/>
  <c r="J21" i="22"/>
  <c r="L21" i="22" s="1"/>
  <c r="S20" i="22"/>
  <c r="K26" i="22" s="1"/>
  <c r="H20" i="22"/>
  <c r="S19" i="22"/>
  <c r="K24" i="22" s="1"/>
  <c r="L24" i="22" s="1"/>
  <c r="H19" i="22"/>
  <c r="S18" i="22"/>
  <c r="K22" i="22" s="1"/>
  <c r="M18" i="22"/>
  <c r="S17" i="22"/>
  <c r="K20" i="22" s="1"/>
  <c r="J17" i="22"/>
  <c r="L17" i="22" s="1"/>
  <c r="S16" i="22"/>
  <c r="K19" i="22" s="1"/>
  <c r="L19" i="22" s="1"/>
  <c r="J16" i="22"/>
  <c r="L16" i="22" s="1"/>
  <c r="L15" i="22"/>
  <c r="J15" i="22"/>
  <c r="F11" i="22"/>
  <c r="F10" i="22"/>
  <c r="F9" i="22"/>
  <c r="F8" i="22"/>
  <c r="J7" i="22"/>
  <c r="J8" i="22" s="1"/>
  <c r="J10" i="22" s="1"/>
  <c r="J11" i="22" s="1"/>
  <c r="F7" i="22"/>
  <c r="F6" i="22"/>
  <c r="E6" i="22"/>
  <c r="D4" i="22"/>
  <c r="D2" i="22"/>
  <c r="H32" i="21"/>
  <c r="J31" i="21"/>
  <c r="L31" i="21" s="1"/>
  <c r="H30" i="21"/>
  <c r="J29" i="21"/>
  <c r="L29" i="21" s="1"/>
  <c r="H28" i="21"/>
  <c r="M27" i="21"/>
  <c r="H26" i="21"/>
  <c r="J25" i="21"/>
  <c r="L25" i="21" s="1"/>
  <c r="H24" i="21"/>
  <c r="S23" i="21"/>
  <c r="K32" i="21" s="1"/>
  <c r="J23" i="21"/>
  <c r="L23" i="21" s="1"/>
  <c r="S22" i="21"/>
  <c r="K30" i="21" s="1"/>
  <c r="H22" i="21"/>
  <c r="S21" i="21"/>
  <c r="K28" i="21" s="1"/>
  <c r="L28" i="21" s="1"/>
  <c r="J21" i="21"/>
  <c r="L21" i="21" s="1"/>
  <c r="S20" i="21"/>
  <c r="K26" i="21" s="1"/>
  <c r="H20" i="21"/>
  <c r="S19" i="21"/>
  <c r="K24" i="21" s="1"/>
  <c r="L24" i="21" s="1"/>
  <c r="H19" i="21"/>
  <c r="S18" i="21"/>
  <c r="K22" i="21" s="1"/>
  <c r="M18" i="21"/>
  <c r="S17" i="21"/>
  <c r="K20" i="21" s="1"/>
  <c r="J17" i="21"/>
  <c r="L17" i="21" s="1"/>
  <c r="S16" i="21"/>
  <c r="K19" i="21" s="1"/>
  <c r="L19" i="21" s="1"/>
  <c r="J16" i="21"/>
  <c r="L16" i="21" s="1"/>
  <c r="J15" i="21"/>
  <c r="L15" i="21" s="1"/>
  <c r="F11" i="21"/>
  <c r="F10" i="21"/>
  <c r="F9" i="21"/>
  <c r="F8" i="21"/>
  <c r="J7" i="21"/>
  <c r="J8" i="21" s="1"/>
  <c r="J10" i="21" s="1"/>
  <c r="J11" i="21" s="1"/>
  <c r="F7" i="21"/>
  <c r="F6" i="21"/>
  <c r="E6" i="21"/>
  <c r="D4" i="21"/>
  <c r="D2" i="21"/>
  <c r="H32" i="20"/>
  <c r="J31" i="20"/>
  <c r="L31" i="20" s="1"/>
  <c r="H30" i="20"/>
  <c r="J29" i="20"/>
  <c r="L29" i="20" s="1"/>
  <c r="H28" i="20"/>
  <c r="M27" i="20"/>
  <c r="H26" i="20"/>
  <c r="J25" i="20"/>
  <c r="L25" i="20" s="1"/>
  <c r="H24" i="20"/>
  <c r="S23" i="20"/>
  <c r="K32" i="20" s="1"/>
  <c r="J23" i="20"/>
  <c r="L23" i="20" s="1"/>
  <c r="S22" i="20"/>
  <c r="K30" i="20" s="1"/>
  <c r="H22" i="20"/>
  <c r="S21" i="20"/>
  <c r="K28" i="20" s="1"/>
  <c r="L28" i="20" s="1"/>
  <c r="J21" i="20"/>
  <c r="L21" i="20" s="1"/>
  <c r="S20" i="20"/>
  <c r="K26" i="20" s="1"/>
  <c r="H20" i="20"/>
  <c r="S19" i="20"/>
  <c r="K24" i="20" s="1"/>
  <c r="L24" i="20" s="1"/>
  <c r="H19" i="20"/>
  <c r="S18" i="20"/>
  <c r="K22" i="20" s="1"/>
  <c r="M18" i="20"/>
  <c r="S17" i="20"/>
  <c r="K20" i="20" s="1"/>
  <c r="J17" i="20"/>
  <c r="L17" i="20" s="1"/>
  <c r="S16" i="20"/>
  <c r="K19" i="20" s="1"/>
  <c r="L19" i="20" s="1"/>
  <c r="J16" i="20"/>
  <c r="L16" i="20" s="1"/>
  <c r="L15" i="20"/>
  <c r="J15" i="20"/>
  <c r="F11" i="20"/>
  <c r="F10" i="20"/>
  <c r="F9" i="20"/>
  <c r="F8" i="20"/>
  <c r="J7" i="20"/>
  <c r="J8" i="20" s="1"/>
  <c r="J10" i="20" s="1"/>
  <c r="J11" i="20" s="1"/>
  <c r="F7" i="20"/>
  <c r="F6" i="20"/>
  <c r="E6" i="20"/>
  <c r="D4" i="20"/>
  <c r="D2" i="20"/>
  <c r="H32" i="19"/>
  <c r="J31" i="19"/>
  <c r="L31" i="19" s="1"/>
  <c r="H30" i="19"/>
  <c r="J29" i="19"/>
  <c r="L29" i="19" s="1"/>
  <c r="H28" i="19"/>
  <c r="M27" i="19"/>
  <c r="H26" i="19"/>
  <c r="J25" i="19"/>
  <c r="L25" i="19" s="1"/>
  <c r="H24" i="19"/>
  <c r="S23" i="19"/>
  <c r="K32" i="19" s="1"/>
  <c r="J23" i="19"/>
  <c r="L23" i="19" s="1"/>
  <c r="S22" i="19"/>
  <c r="K30" i="19" s="1"/>
  <c r="H22" i="19"/>
  <c r="L22" i="19" s="1"/>
  <c r="S21" i="19"/>
  <c r="K28" i="19" s="1"/>
  <c r="L28" i="19" s="1"/>
  <c r="J21" i="19"/>
  <c r="L21" i="19" s="1"/>
  <c r="S20" i="19"/>
  <c r="K26" i="19" s="1"/>
  <c r="H20" i="19"/>
  <c r="S19" i="19"/>
  <c r="K24" i="19" s="1"/>
  <c r="L24" i="19" s="1"/>
  <c r="H19" i="19"/>
  <c r="S18" i="19"/>
  <c r="K22" i="19" s="1"/>
  <c r="M18" i="19"/>
  <c r="S17" i="19"/>
  <c r="K20" i="19" s="1"/>
  <c r="J17" i="19"/>
  <c r="L17" i="19" s="1"/>
  <c r="S16" i="19"/>
  <c r="K19" i="19" s="1"/>
  <c r="J16" i="19"/>
  <c r="L16" i="19" s="1"/>
  <c r="L15" i="19"/>
  <c r="J15" i="19"/>
  <c r="F11" i="19"/>
  <c r="F10" i="19"/>
  <c r="F9" i="19"/>
  <c r="F8" i="19"/>
  <c r="J7" i="19"/>
  <c r="J8" i="19" s="1"/>
  <c r="J10" i="19" s="1"/>
  <c r="J11" i="19" s="1"/>
  <c r="F7" i="19"/>
  <c r="F6" i="19"/>
  <c r="E6" i="19"/>
  <c r="D4" i="19"/>
  <c r="D2" i="19"/>
  <c r="H32" i="18"/>
  <c r="J31" i="18"/>
  <c r="L31" i="18" s="1"/>
  <c r="H30" i="18"/>
  <c r="J29" i="18"/>
  <c r="L29" i="18" s="1"/>
  <c r="H28" i="18"/>
  <c r="M27" i="18"/>
  <c r="H26" i="18"/>
  <c r="J25" i="18"/>
  <c r="L25" i="18" s="1"/>
  <c r="H24" i="18"/>
  <c r="S23" i="18"/>
  <c r="K32" i="18" s="1"/>
  <c r="J23" i="18"/>
  <c r="L23" i="18" s="1"/>
  <c r="S22" i="18"/>
  <c r="K30" i="18" s="1"/>
  <c r="H22" i="18"/>
  <c r="L22" i="18" s="1"/>
  <c r="S21" i="18"/>
  <c r="K28" i="18" s="1"/>
  <c r="J21" i="18"/>
  <c r="L21" i="18" s="1"/>
  <c r="S20" i="18"/>
  <c r="K26" i="18" s="1"/>
  <c r="H20" i="18"/>
  <c r="S19" i="18"/>
  <c r="K24" i="18" s="1"/>
  <c r="H19" i="18"/>
  <c r="S18" i="18"/>
  <c r="K22" i="18" s="1"/>
  <c r="M18" i="18"/>
  <c r="S17" i="18"/>
  <c r="K20" i="18" s="1"/>
  <c r="J17" i="18"/>
  <c r="L17" i="18" s="1"/>
  <c r="S16" i="18"/>
  <c r="K19" i="18" s="1"/>
  <c r="L19" i="18" s="1"/>
  <c r="J16" i="18"/>
  <c r="L16" i="18" s="1"/>
  <c r="J15" i="18"/>
  <c r="L15" i="18" s="1"/>
  <c r="F11" i="18"/>
  <c r="F10" i="18"/>
  <c r="F9" i="18"/>
  <c r="F8" i="18"/>
  <c r="J7" i="18"/>
  <c r="J8" i="18" s="1"/>
  <c r="J10" i="18" s="1"/>
  <c r="J11" i="18" s="1"/>
  <c r="F7" i="18"/>
  <c r="F6" i="18"/>
  <c r="E6" i="18"/>
  <c r="D4" i="18"/>
  <c r="D2" i="18"/>
  <c r="J7" i="10"/>
  <c r="F7" i="10"/>
  <c r="F8" i="10"/>
  <c r="F9" i="10"/>
  <c r="F10" i="10"/>
  <c r="F11" i="10"/>
  <c r="F6" i="10"/>
  <c r="E6" i="10"/>
  <c r="D4" i="10"/>
  <c r="D2" i="10"/>
  <c r="S17" i="10"/>
  <c r="S18" i="10"/>
  <c r="S19" i="10"/>
  <c r="S20" i="10"/>
  <c r="S21" i="10"/>
  <c r="S22" i="10"/>
  <c r="S23" i="10"/>
  <c r="S16" i="10"/>
  <c r="J31" i="10"/>
  <c r="J29" i="10"/>
  <c r="J25" i="10"/>
  <c r="J23" i="10"/>
  <c r="J21" i="10"/>
  <c r="J15" i="10"/>
  <c r="J16" i="10"/>
  <c r="J17" i="10"/>
  <c r="L15" i="10"/>
  <c r="G3" i="2"/>
  <c r="N25" i="2"/>
  <c r="L24" i="18" l="1"/>
  <c r="L28" i="18"/>
  <c r="L19" i="19"/>
  <c r="L26" i="23"/>
  <c r="L30" i="23"/>
  <c r="L20" i="23"/>
  <c r="L22" i="23"/>
  <c r="L32" i="23"/>
  <c r="J9" i="23"/>
  <c r="L26" i="22"/>
  <c r="L30" i="22"/>
  <c r="L20" i="22"/>
  <c r="L22" i="22"/>
  <c r="L32" i="22"/>
  <c r="J9" i="22"/>
  <c r="L26" i="21"/>
  <c r="L30" i="21"/>
  <c r="L20" i="21"/>
  <c r="L22" i="21"/>
  <c r="L32" i="21"/>
  <c r="J9" i="21"/>
  <c r="L26" i="20"/>
  <c r="L30" i="20"/>
  <c r="L20" i="20"/>
  <c r="L22" i="20"/>
  <c r="L32" i="20"/>
  <c r="J9" i="20"/>
  <c r="L26" i="19"/>
  <c r="L30" i="19"/>
  <c r="L20" i="19"/>
  <c r="L32" i="19"/>
  <c r="J9" i="19"/>
  <c r="L20" i="18"/>
  <c r="L32" i="18"/>
  <c r="L26" i="18"/>
  <c r="L30" i="18"/>
  <c r="J9" i="18"/>
  <c r="G49" i="8"/>
  <c r="H49" i="8"/>
  <c r="I49" i="8"/>
  <c r="J49" i="8"/>
  <c r="K49" i="8"/>
  <c r="L49" i="8"/>
  <c r="M49" i="8"/>
  <c r="F49" i="8"/>
  <c r="B10" i="2" l="1"/>
  <c r="N24" i="2" l="1"/>
  <c r="N23" i="2"/>
  <c r="N14" i="2"/>
  <c r="N15" i="2"/>
  <c r="N16" i="2"/>
  <c r="N17" i="2"/>
  <c r="N13" i="2"/>
  <c r="K13" i="2" l="1"/>
  <c r="K15" i="2"/>
  <c r="K16" i="2"/>
  <c r="K17" i="2"/>
  <c r="K14" i="2"/>
  <c r="A44" i="8" l="1"/>
  <c r="A66" i="8" s="1"/>
  <c r="B44" i="8"/>
  <c r="B66" i="8" s="1"/>
  <c r="A45" i="8"/>
  <c r="A67" i="8" s="1"/>
  <c r="B45" i="8"/>
  <c r="B67" i="8" s="1"/>
  <c r="A41" i="8"/>
  <c r="A63" i="8" s="1"/>
  <c r="B41" i="8"/>
  <c r="B63" i="8" s="1"/>
  <c r="A42" i="8"/>
  <c r="A64" i="8" s="1"/>
  <c r="B42" i="8"/>
  <c r="B64" i="8" s="1"/>
  <c r="A43" i="8"/>
  <c r="A65" i="8" s="1"/>
  <c r="B43" i="8"/>
  <c r="B65" i="8" s="1"/>
  <c r="A29" i="8"/>
  <c r="A51" i="8" s="1"/>
  <c r="B29" i="8"/>
  <c r="B51" i="8" s="1"/>
  <c r="A30" i="8"/>
  <c r="A52" i="8" s="1"/>
  <c r="B30" i="8"/>
  <c r="B52" i="8" s="1"/>
  <c r="A31" i="8"/>
  <c r="A53" i="8" s="1"/>
  <c r="B31" i="8"/>
  <c r="B53" i="8" s="1"/>
  <c r="A32" i="8"/>
  <c r="A54" i="8" s="1"/>
  <c r="B32" i="8"/>
  <c r="B54" i="8" s="1"/>
  <c r="A33" i="8"/>
  <c r="A55" i="8" s="1"/>
  <c r="B33" i="8"/>
  <c r="B55" i="8" s="1"/>
  <c r="A34" i="8"/>
  <c r="A56" i="8" s="1"/>
  <c r="B34" i="8"/>
  <c r="B56" i="8" s="1"/>
  <c r="A35" i="8"/>
  <c r="A57" i="8" s="1"/>
  <c r="B35" i="8"/>
  <c r="B57" i="8" s="1"/>
  <c r="A36" i="8"/>
  <c r="A58" i="8" s="1"/>
  <c r="B36" i="8"/>
  <c r="B58" i="8" s="1"/>
  <c r="A37" i="8"/>
  <c r="A59" i="8" s="1"/>
  <c r="B37" i="8"/>
  <c r="B59" i="8" s="1"/>
  <c r="A38" i="8"/>
  <c r="A60" i="8" s="1"/>
  <c r="B38" i="8"/>
  <c r="B60" i="8" s="1"/>
  <c r="A39" i="8"/>
  <c r="A61" i="8" s="1"/>
  <c r="B39" i="8"/>
  <c r="B61" i="8" s="1"/>
  <c r="A40" i="8"/>
  <c r="A62" i="8" s="1"/>
  <c r="B40" i="8"/>
  <c r="B62" i="8" s="1"/>
  <c r="B28" i="8"/>
  <c r="A28" i="8"/>
  <c r="A50" i="8" s="1"/>
  <c r="G27" i="8"/>
  <c r="H27" i="8"/>
  <c r="I27" i="8"/>
  <c r="J27" i="8"/>
  <c r="K27" i="8"/>
  <c r="L27" i="8"/>
  <c r="M27" i="8"/>
  <c r="F27" i="8"/>
  <c r="B50" i="8" l="1"/>
  <c r="B70" i="8"/>
  <c r="G9" i="8"/>
  <c r="G18" i="8"/>
  <c r="K32" i="10"/>
  <c r="H32" i="10"/>
  <c r="L32" i="10" s="1"/>
  <c r="L31" i="10"/>
  <c r="K30" i="10"/>
  <c r="H30" i="10"/>
  <c r="L29" i="10"/>
  <c r="K28" i="10"/>
  <c r="H28" i="10"/>
  <c r="L28" i="10" s="1"/>
  <c r="M27" i="10"/>
  <c r="K26" i="10"/>
  <c r="H26" i="10"/>
  <c r="L25" i="10"/>
  <c r="K24" i="10"/>
  <c r="H24" i="10"/>
  <c r="L23" i="10"/>
  <c r="K22" i="10"/>
  <c r="H22" i="10"/>
  <c r="L21" i="10"/>
  <c r="K20" i="10"/>
  <c r="H20" i="10"/>
  <c r="L20" i="10" s="1"/>
  <c r="L19" i="10"/>
  <c r="K19" i="10"/>
  <c r="H19" i="10"/>
  <c r="M18" i="10"/>
  <c r="L17" i="10"/>
  <c r="L16" i="10"/>
  <c r="J9" i="10"/>
  <c r="J8" i="10"/>
  <c r="J10" i="10" s="1"/>
  <c r="J11" i="10" s="1"/>
  <c r="L30" i="10" l="1"/>
  <c r="L24" i="10"/>
  <c r="L26" i="10"/>
  <c r="L22" i="10"/>
  <c r="A83" i="9"/>
  <c r="A80" i="9"/>
  <c r="A77" i="9"/>
  <c r="A74" i="9"/>
  <c r="A71" i="9"/>
  <c r="A68" i="9"/>
  <c r="A65" i="9"/>
  <c r="A62" i="9"/>
  <c r="A59" i="9"/>
  <c r="A56" i="9"/>
  <c r="A53" i="9"/>
  <c r="A50" i="9"/>
  <c r="A47" i="9"/>
  <c r="A44" i="9"/>
  <c r="A41" i="9"/>
  <c r="A38" i="9"/>
  <c r="A35" i="9"/>
  <c r="A32" i="9"/>
  <c r="C15" i="8" l="1"/>
  <c r="C37" i="8" s="1"/>
  <c r="C59" i="8" s="1"/>
  <c r="F9" i="8"/>
  <c r="F18" i="8"/>
  <c r="C22" i="8"/>
  <c r="C44" i="8" s="1"/>
  <c r="C66" i="8" s="1"/>
  <c r="C23" i="8"/>
  <c r="C45" i="8" s="1"/>
  <c r="C67" i="8" s="1"/>
  <c r="C7" i="8"/>
  <c r="C29" i="8" s="1"/>
  <c r="C51" i="8" s="1"/>
  <c r="C8" i="8"/>
  <c r="C30" i="8" s="1"/>
  <c r="C52" i="8" s="1"/>
  <c r="C9" i="8"/>
  <c r="C31" i="8" s="1"/>
  <c r="C53" i="8" s="1"/>
  <c r="C10" i="8"/>
  <c r="C32" i="8" s="1"/>
  <c r="C54" i="8" s="1"/>
  <c r="C11" i="8"/>
  <c r="C33" i="8" s="1"/>
  <c r="C55" i="8" s="1"/>
  <c r="C12" i="8"/>
  <c r="C34" i="8" s="1"/>
  <c r="C56" i="8" s="1"/>
  <c r="C13" i="8"/>
  <c r="C35" i="8" s="1"/>
  <c r="C57" i="8" s="1"/>
  <c r="C14" i="8"/>
  <c r="C36" i="8" s="1"/>
  <c r="C58" i="8" s="1"/>
  <c r="C16" i="8"/>
  <c r="C38" i="8" s="1"/>
  <c r="C60" i="8" s="1"/>
  <c r="C17" i="8"/>
  <c r="C39" i="8" s="1"/>
  <c r="C61" i="8" s="1"/>
  <c r="C18" i="8"/>
  <c r="C40" i="8" s="1"/>
  <c r="C62" i="8" s="1"/>
  <c r="C19" i="8"/>
  <c r="C41" i="8" s="1"/>
  <c r="C63" i="8" s="1"/>
  <c r="C20" i="8"/>
  <c r="C42" i="8" s="1"/>
  <c r="C64" i="8" s="1"/>
  <c r="C21" i="8"/>
  <c r="C43" i="8" s="1"/>
  <c r="C65" i="8" s="1"/>
  <c r="C28" i="8"/>
  <c r="C50" i="8" l="1"/>
  <c r="C70" i="8"/>
  <c r="AY28" i="7"/>
  <c r="AH28" i="7"/>
  <c r="B7" i="7" l="1"/>
  <c r="AU12" i="7" s="1"/>
  <c r="C7" i="7"/>
  <c r="B8" i="7"/>
  <c r="AU13" i="7" s="1"/>
  <c r="C8" i="7"/>
  <c r="B9" i="7"/>
  <c r="AU14" i="7" s="1"/>
  <c r="C9" i="7"/>
  <c r="B10" i="7"/>
  <c r="AB12" i="7" s="1"/>
  <c r="C10" i="7"/>
  <c r="B11" i="7"/>
  <c r="AB13" i="7" s="1"/>
  <c r="C11" i="7"/>
  <c r="B12" i="7"/>
  <c r="AU15" i="7" s="1"/>
  <c r="C12" i="7"/>
  <c r="B13" i="7"/>
  <c r="AB14" i="7" s="1"/>
  <c r="C13" i="7"/>
  <c r="B14" i="7"/>
  <c r="AU16" i="7" s="1"/>
  <c r="C14" i="7"/>
  <c r="B15" i="7"/>
  <c r="AB15" i="7" s="1"/>
  <c r="C15" i="7"/>
  <c r="B16" i="7"/>
  <c r="AU17" i="7" s="1"/>
  <c r="C16" i="7"/>
  <c r="B17" i="7"/>
  <c r="AB16" i="7" s="1"/>
  <c r="C17" i="7"/>
  <c r="B18" i="7"/>
  <c r="AB17" i="7" s="1"/>
  <c r="C18" i="7"/>
  <c r="B19" i="7"/>
  <c r="AU18" i="7" s="1"/>
  <c r="C19" i="7"/>
  <c r="B20" i="7"/>
  <c r="AB18" i="7" s="1"/>
  <c r="C20" i="7"/>
  <c r="B21" i="7"/>
  <c r="AU19" i="7" s="1"/>
  <c r="C21" i="7"/>
  <c r="B22" i="7"/>
  <c r="AB19" i="7" s="1"/>
  <c r="C22" i="7"/>
  <c r="N27" i="7"/>
  <c r="B30" i="7"/>
  <c r="D30" i="7"/>
  <c r="E30" i="7" s="1"/>
  <c r="B31" i="7"/>
  <c r="D31" i="7"/>
  <c r="E31" i="7" s="1"/>
  <c r="F31" i="7" s="1"/>
  <c r="B32" i="7"/>
  <c r="D32" i="7"/>
  <c r="E32" i="7" s="1"/>
  <c r="B33" i="7"/>
  <c r="D33" i="7"/>
  <c r="E33" i="7" s="1"/>
  <c r="F33" i="7" s="1"/>
  <c r="B34" i="7"/>
  <c r="D34" i="7"/>
  <c r="E34" i="7" s="1"/>
  <c r="B35" i="7"/>
  <c r="D35" i="7"/>
  <c r="E35" i="7" s="1"/>
  <c r="F35" i="7" s="1"/>
  <c r="B36" i="7"/>
  <c r="D36" i="7"/>
  <c r="E36" i="7" s="1"/>
  <c r="B37" i="7"/>
  <c r="D37" i="7"/>
  <c r="E37" i="7" s="1"/>
  <c r="F37" i="7" s="1"/>
  <c r="B38" i="7"/>
  <c r="D38" i="7"/>
  <c r="E38" i="7" s="1"/>
  <c r="B39" i="7"/>
  <c r="D39" i="7"/>
  <c r="E39" i="7" s="1"/>
  <c r="F39" i="7" s="1"/>
  <c r="B40" i="7"/>
  <c r="D40" i="7"/>
  <c r="E40" i="7" s="1"/>
  <c r="B41" i="7"/>
  <c r="D41" i="7"/>
  <c r="E41" i="7" s="1"/>
  <c r="F41" i="7" s="1"/>
  <c r="B42" i="7"/>
  <c r="D42" i="7"/>
  <c r="E42" i="7" s="1"/>
  <c r="B43" i="7"/>
  <c r="D43" i="7"/>
  <c r="E43" i="7" s="1"/>
  <c r="F43" i="7" s="1"/>
  <c r="B44" i="7"/>
  <c r="D44" i="7"/>
  <c r="E44" i="7" s="1"/>
  <c r="B45" i="7"/>
  <c r="D45" i="7"/>
  <c r="E45" i="7" s="1"/>
  <c r="F45" i="7" s="1"/>
  <c r="B46" i="7"/>
  <c r="D46" i="7"/>
  <c r="E46" i="7" s="1"/>
  <c r="B47" i="7"/>
  <c r="D47" i="7"/>
  <c r="E47" i="7" s="1"/>
  <c r="F47" i="7" s="1"/>
  <c r="B48" i="7"/>
  <c r="D48" i="7"/>
  <c r="E48" i="7" s="1"/>
  <c r="B49" i="7"/>
  <c r="D49" i="7"/>
  <c r="E49" i="7" s="1"/>
  <c r="F49" i="7" s="1"/>
  <c r="B50" i="7"/>
  <c r="D50" i="7"/>
  <c r="E50" i="7" s="1"/>
  <c r="B51" i="7"/>
  <c r="D51" i="7"/>
  <c r="E51" i="7" s="1"/>
  <c r="F51" i="7" s="1"/>
  <c r="B52" i="7"/>
  <c r="D52" i="7"/>
  <c r="E52" i="7" s="1"/>
  <c r="B53" i="7"/>
  <c r="D53" i="7"/>
  <c r="E53" i="7" s="1"/>
  <c r="F53" i="7" s="1"/>
  <c r="B54" i="7"/>
  <c r="D54" i="7"/>
  <c r="E54" i="7" s="1"/>
  <c r="B55" i="7"/>
  <c r="D55" i="7"/>
  <c r="E55" i="7" s="1"/>
  <c r="F55" i="7" s="1"/>
  <c r="B56" i="7"/>
  <c r="D56" i="7"/>
  <c r="E56" i="7" s="1"/>
  <c r="B57" i="7"/>
  <c r="D57" i="7"/>
  <c r="E57" i="7" s="1"/>
  <c r="F57" i="7" s="1"/>
  <c r="B58" i="7"/>
  <c r="D58" i="7"/>
  <c r="E58" i="7" s="1"/>
  <c r="B59" i="7"/>
  <c r="D59" i="7"/>
  <c r="E59" i="7" s="1"/>
  <c r="F59" i="7" s="1"/>
  <c r="B60" i="7"/>
  <c r="D60" i="7"/>
  <c r="E60" i="7" s="1"/>
  <c r="B61" i="7"/>
  <c r="D61" i="7"/>
  <c r="E61" i="7" s="1"/>
  <c r="F61" i="7" s="1"/>
  <c r="B62" i="7"/>
  <c r="D62" i="7"/>
  <c r="E62" i="7" s="1"/>
  <c r="B63" i="7"/>
  <c r="D63" i="7"/>
  <c r="E63" i="7" s="1"/>
  <c r="F63" i="7" s="1"/>
  <c r="B64" i="7"/>
  <c r="D64" i="7"/>
  <c r="E64" i="7" s="1"/>
  <c r="B65" i="7"/>
  <c r="D65" i="7"/>
  <c r="E65" i="7" s="1"/>
  <c r="F65" i="7" s="1"/>
  <c r="B66" i="7"/>
  <c r="D66" i="7"/>
  <c r="E66" i="7" s="1"/>
  <c r="B67" i="7"/>
  <c r="D67" i="7"/>
  <c r="E67" i="7" s="1"/>
  <c r="F67" i="7" s="1"/>
  <c r="B68" i="7"/>
  <c r="D68" i="7"/>
  <c r="E68" i="7" s="1"/>
  <c r="B69" i="7"/>
  <c r="D69" i="7"/>
  <c r="E69" i="7" s="1"/>
  <c r="F69" i="7" s="1"/>
  <c r="B70" i="7"/>
  <c r="D70" i="7"/>
  <c r="E70" i="7" s="1"/>
  <c r="B71" i="7"/>
  <c r="D71" i="7"/>
  <c r="E71" i="7" s="1"/>
  <c r="F71" i="7" s="1"/>
  <c r="B72" i="7"/>
  <c r="D72" i="7"/>
  <c r="E72" i="7" s="1"/>
  <c r="B73" i="7"/>
  <c r="D73" i="7"/>
  <c r="E73" i="7" s="1"/>
  <c r="F73" i="7" s="1"/>
  <c r="B74" i="7"/>
  <c r="D74" i="7"/>
  <c r="E74" i="7" s="1"/>
  <c r="B75" i="7"/>
  <c r="D75" i="7"/>
  <c r="E75" i="7" s="1"/>
  <c r="F75" i="7" s="1"/>
  <c r="B76" i="7"/>
  <c r="D76" i="7"/>
  <c r="E76" i="7" s="1"/>
  <c r="B77" i="7"/>
  <c r="D77" i="7"/>
  <c r="E77" i="7" s="1"/>
  <c r="F77" i="7" s="1"/>
  <c r="B78" i="7"/>
  <c r="D78" i="7"/>
  <c r="E78" i="7" s="1"/>
  <c r="B79" i="7"/>
  <c r="D79" i="7"/>
  <c r="E79" i="7" s="1"/>
  <c r="F79" i="7" s="1"/>
  <c r="AV18" i="7" l="1"/>
  <c r="AV14" i="7"/>
  <c r="AV12" i="7"/>
  <c r="AV17" i="7"/>
  <c r="AV16" i="7"/>
  <c r="AV15" i="7"/>
  <c r="AV13" i="7"/>
  <c r="AV19" i="7"/>
  <c r="AC12" i="7"/>
  <c r="AC16" i="7"/>
  <c r="AC15" i="7"/>
  <c r="AC14" i="7"/>
  <c r="AC13" i="7"/>
  <c r="AC19" i="7"/>
  <c r="AC18" i="7"/>
  <c r="AC17" i="7"/>
  <c r="F78" i="7"/>
  <c r="F76" i="7"/>
  <c r="F74" i="7"/>
  <c r="F72" i="7"/>
  <c r="F70" i="7"/>
  <c r="F68" i="7"/>
  <c r="F66" i="7"/>
  <c r="F64" i="7"/>
  <c r="F62" i="7"/>
  <c r="F60" i="7"/>
  <c r="F58" i="7"/>
  <c r="F56" i="7"/>
  <c r="F54" i="7"/>
  <c r="F52" i="7"/>
  <c r="F50" i="7"/>
  <c r="F48" i="7"/>
  <c r="F46" i="7"/>
  <c r="F44" i="7"/>
  <c r="F42" i="7"/>
  <c r="F40" i="7"/>
  <c r="F38" i="7"/>
  <c r="F36" i="7"/>
  <c r="F34" i="7"/>
  <c r="F32" i="7"/>
  <c r="F30" i="7"/>
  <c r="M31" i="1" l="1"/>
  <c r="M29" i="1"/>
  <c r="J9" i="4"/>
  <c r="H17" i="1"/>
  <c r="M17" i="1" s="1"/>
  <c r="H16" i="1"/>
  <c r="H15" i="1"/>
  <c r="M15" i="1" s="1"/>
  <c r="K32" i="4"/>
  <c r="K30" i="4"/>
  <c r="K28" i="4"/>
  <c r="K26" i="4"/>
  <c r="K24" i="4"/>
  <c r="K22" i="4"/>
  <c r="K20" i="4"/>
  <c r="K19" i="4"/>
  <c r="L15" i="4"/>
  <c r="L32" i="1"/>
  <c r="L30" i="1"/>
  <c r="L28" i="1"/>
  <c r="L26" i="1"/>
  <c r="L24" i="1"/>
  <c r="L22" i="1"/>
  <c r="L20" i="1"/>
  <c r="L19" i="1"/>
  <c r="B4" i="2"/>
  <c r="M18" i="4"/>
  <c r="M27" i="4"/>
  <c r="H32" i="4"/>
  <c r="L31" i="4"/>
  <c r="H30" i="4"/>
  <c r="L29" i="4"/>
  <c r="H28" i="4"/>
  <c r="L28" i="4"/>
  <c r="H26" i="4"/>
  <c r="L26" i="4" s="1"/>
  <c r="L25" i="4"/>
  <c r="H24" i="4"/>
  <c r="L23" i="4"/>
  <c r="H22" i="4"/>
  <c r="L21" i="4"/>
  <c r="H20" i="4"/>
  <c r="H19" i="4"/>
  <c r="L17" i="4"/>
  <c r="L16" i="4"/>
  <c r="J8" i="4"/>
  <c r="J10" i="4" s="1"/>
  <c r="I22" i="1"/>
  <c r="I20" i="1"/>
  <c r="M20" i="1" s="1"/>
  <c r="I19" i="1"/>
  <c r="I32" i="1"/>
  <c r="I30" i="1"/>
  <c r="I28" i="1"/>
  <c r="M28" i="1" s="1"/>
  <c r="I26" i="1"/>
  <c r="I24" i="1"/>
  <c r="M19" i="1"/>
  <c r="M16" i="1"/>
  <c r="M21" i="1"/>
  <c r="M23" i="1"/>
  <c r="M25" i="1"/>
  <c r="K8" i="1"/>
  <c r="N30" i="1" s="1"/>
  <c r="K9" i="1"/>
  <c r="N26" i="1"/>
  <c r="N21" i="1"/>
  <c r="K10" i="1"/>
  <c r="K11" i="1" s="1"/>
  <c r="N31" i="1"/>
  <c r="O31" i="1" s="1"/>
  <c r="M31" i="23" s="1"/>
  <c r="M31" i="21" l="1"/>
  <c r="M31" i="22"/>
  <c r="M31" i="19"/>
  <c r="H22" i="8" s="1"/>
  <c r="M31" i="20"/>
  <c r="M31" i="18"/>
  <c r="I22" i="8" s="1"/>
  <c r="L22" i="4"/>
  <c r="L30" i="4"/>
  <c r="L44" i="8"/>
  <c r="L66" i="8" s="1"/>
  <c r="M44" i="8"/>
  <c r="M66" i="8" s="1"/>
  <c r="J44" i="8"/>
  <c r="J66" i="8" s="1"/>
  <c r="K44" i="8"/>
  <c r="K66" i="8" s="1"/>
  <c r="H44" i="8"/>
  <c r="H66" i="8" s="1"/>
  <c r="I44" i="8"/>
  <c r="I66" i="8" s="1"/>
  <c r="M31" i="4"/>
  <c r="F22" i="8" s="1"/>
  <c r="F44" i="8" s="1"/>
  <c r="F66" i="8" s="1"/>
  <c r="M31" i="10"/>
  <c r="G22" i="8" s="1"/>
  <c r="G44" i="8" s="1"/>
  <c r="G66" i="8" s="1"/>
  <c r="D13" i="8"/>
  <c r="D14" i="8"/>
  <c r="D18" i="8"/>
  <c r="D9" i="8"/>
  <c r="D22" i="8"/>
  <c r="D10" i="8"/>
  <c r="D6" i="8"/>
  <c r="D21" i="8"/>
  <c r="D19" i="8"/>
  <c r="D11" i="8"/>
  <c r="D12" i="8"/>
  <c r="D17" i="8"/>
  <c r="D15" i="8"/>
  <c r="D16" i="8"/>
  <c r="D8" i="8"/>
  <c r="D23" i="8"/>
  <c r="D7" i="8"/>
  <c r="D20" i="8"/>
  <c r="D19" i="7"/>
  <c r="D7" i="7"/>
  <c r="D14" i="7"/>
  <c r="D8" i="7"/>
  <c r="D10" i="7"/>
  <c r="D15" i="7"/>
  <c r="D11" i="7"/>
  <c r="D20" i="7"/>
  <c r="D18" i="7"/>
  <c r="D9" i="7"/>
  <c r="D16" i="7"/>
  <c r="D12" i="7"/>
  <c r="D21" i="7"/>
  <c r="D17" i="7"/>
  <c r="D13" i="7"/>
  <c r="D22" i="7"/>
  <c r="M30" i="1"/>
  <c r="O30" i="1" s="1"/>
  <c r="M30" i="23" s="1"/>
  <c r="M22" i="1"/>
  <c r="M26" i="1"/>
  <c r="O26" i="1" s="1"/>
  <c r="M26" i="23" s="1"/>
  <c r="L24" i="4"/>
  <c r="J11" i="4"/>
  <c r="L19" i="4"/>
  <c r="L20" i="4"/>
  <c r="L32" i="4"/>
  <c r="M24" i="1"/>
  <c r="M32" i="1"/>
  <c r="O21" i="1"/>
  <c r="M21" i="23" s="1"/>
  <c r="N16" i="1"/>
  <c r="O16" i="1" s="1"/>
  <c r="M16" i="23" s="1"/>
  <c r="N23" i="1"/>
  <c r="O23" i="1" s="1"/>
  <c r="M23" i="23" s="1"/>
  <c r="N15" i="1"/>
  <c r="N19" i="1"/>
  <c r="O19" i="1" s="1"/>
  <c r="M19" i="23" s="1"/>
  <c r="N24" i="1"/>
  <c r="N32" i="1"/>
  <c r="N17" i="1"/>
  <c r="O17" i="1" s="1"/>
  <c r="M17" i="23" s="1"/>
  <c r="N29" i="1"/>
  <c r="O29" i="1" s="1"/>
  <c r="M29" i="23" s="1"/>
  <c r="N22" i="1"/>
  <c r="N20" i="1"/>
  <c r="O20" i="1" s="1"/>
  <c r="N28" i="1"/>
  <c r="O28" i="1" s="1"/>
  <c r="M28" i="23" s="1"/>
  <c r="N14" i="1"/>
  <c r="N25" i="1"/>
  <c r="O25" i="1" s="1"/>
  <c r="M25" i="23" s="1"/>
  <c r="M20" i="22" l="1"/>
  <c r="M20" i="23"/>
  <c r="M28" i="21"/>
  <c r="M28" i="22"/>
  <c r="M23" i="21"/>
  <c r="M23" i="22"/>
  <c r="M30" i="21"/>
  <c r="M30" i="22"/>
  <c r="M25" i="21"/>
  <c r="M25" i="22"/>
  <c r="M16" i="21"/>
  <c r="M16" i="22"/>
  <c r="M17" i="21"/>
  <c r="M17" i="22"/>
  <c r="M29" i="21"/>
  <c r="M29" i="22"/>
  <c r="M19" i="21"/>
  <c r="M19" i="22"/>
  <c r="M21" i="21"/>
  <c r="M21" i="22"/>
  <c r="M26" i="21"/>
  <c r="M26" i="22"/>
  <c r="M20" i="20"/>
  <c r="M20" i="21"/>
  <c r="M25" i="19"/>
  <c r="H16" i="8" s="1"/>
  <c r="M25" i="20"/>
  <c r="M16" i="19"/>
  <c r="H7" i="8" s="1"/>
  <c r="M16" i="20"/>
  <c r="M29" i="19"/>
  <c r="H20" i="8" s="1"/>
  <c r="M29" i="20"/>
  <c r="M19" i="19"/>
  <c r="H10" i="8" s="1"/>
  <c r="M19" i="20"/>
  <c r="M21" i="19"/>
  <c r="H12" i="8" s="1"/>
  <c r="M21" i="20"/>
  <c r="M26" i="19"/>
  <c r="H17" i="8" s="1"/>
  <c r="M26" i="20"/>
  <c r="M28" i="19"/>
  <c r="H19" i="8" s="1"/>
  <c r="M28" i="20"/>
  <c r="M17" i="19"/>
  <c r="H8" i="8" s="1"/>
  <c r="M17" i="20"/>
  <c r="M23" i="19"/>
  <c r="H14" i="8" s="1"/>
  <c r="M23" i="20"/>
  <c r="M30" i="19"/>
  <c r="H21" i="8" s="1"/>
  <c r="M30" i="20"/>
  <c r="M20" i="18"/>
  <c r="I11" i="8" s="1"/>
  <c r="M20" i="19"/>
  <c r="H11" i="8" s="1"/>
  <c r="H41" i="8"/>
  <c r="H63" i="8" s="1"/>
  <c r="M28" i="18"/>
  <c r="I19" i="8" s="1"/>
  <c r="I41" i="8" s="1"/>
  <c r="I63" i="8" s="1"/>
  <c r="H38" i="8"/>
  <c r="H60" i="8" s="1"/>
  <c r="M25" i="18"/>
  <c r="I16" i="8" s="1"/>
  <c r="H29" i="8"/>
  <c r="H51" i="8" s="1"/>
  <c r="M16" i="18"/>
  <c r="I7" i="8" s="1"/>
  <c r="H30" i="8"/>
  <c r="H52" i="8" s="1"/>
  <c r="M17" i="18"/>
  <c r="I8" i="8" s="1"/>
  <c r="H36" i="8"/>
  <c r="H58" i="8" s="1"/>
  <c r="M23" i="18"/>
  <c r="I14" i="8" s="1"/>
  <c r="I36" i="8" s="1"/>
  <c r="I58" i="8" s="1"/>
  <c r="H43" i="8"/>
  <c r="H65" i="8" s="1"/>
  <c r="M30" i="18"/>
  <c r="I21" i="8" s="1"/>
  <c r="H42" i="8"/>
  <c r="H64" i="8" s="1"/>
  <c r="M29" i="18"/>
  <c r="I20" i="8" s="1"/>
  <c r="I42" i="8" s="1"/>
  <c r="I64" i="8" s="1"/>
  <c r="H32" i="8"/>
  <c r="H54" i="8" s="1"/>
  <c r="M19" i="18"/>
  <c r="I10" i="8" s="1"/>
  <c r="H34" i="8"/>
  <c r="H56" i="8" s="1"/>
  <c r="M21" i="18"/>
  <c r="I12" i="8" s="1"/>
  <c r="I34" i="8" s="1"/>
  <c r="I56" i="8" s="1"/>
  <c r="H39" i="8"/>
  <c r="H61" i="8" s="1"/>
  <c r="M26" i="18"/>
  <c r="I17" i="8" s="1"/>
  <c r="M33" i="8"/>
  <c r="M55" i="8" s="1"/>
  <c r="H33" i="8"/>
  <c r="H55" i="8" s="1"/>
  <c r="O32" i="1"/>
  <c r="O24" i="1"/>
  <c r="M24" i="23" s="1"/>
  <c r="H44" i="7"/>
  <c r="G21" i="7"/>
  <c r="AZ19" i="7" s="1"/>
  <c r="E9" i="8"/>
  <c r="E31" i="8" s="1"/>
  <c r="E53" i="8" s="1"/>
  <c r="D31" i="8"/>
  <c r="D53" i="8" s="1"/>
  <c r="E8" i="8"/>
  <c r="E30" i="8" s="1"/>
  <c r="E52" i="8" s="1"/>
  <c r="D30" i="8"/>
  <c r="D52" i="8" s="1"/>
  <c r="E12" i="8"/>
  <c r="E34" i="8" s="1"/>
  <c r="E56" i="8" s="1"/>
  <c r="D34" i="8"/>
  <c r="D56" i="8" s="1"/>
  <c r="E6" i="8"/>
  <c r="E28" i="8" s="1"/>
  <c r="E50" i="8" s="1"/>
  <c r="D28" i="8"/>
  <c r="D50" i="8" s="1"/>
  <c r="E18" i="8"/>
  <c r="E40" i="8" s="1"/>
  <c r="E62" i="8" s="1"/>
  <c r="D40" i="8"/>
  <c r="D62" i="8" s="1"/>
  <c r="E17" i="8"/>
  <c r="E39" i="8" s="1"/>
  <c r="E61" i="8" s="1"/>
  <c r="D39" i="8"/>
  <c r="D61" i="8" s="1"/>
  <c r="E21" i="8"/>
  <c r="E43" i="8" s="1"/>
  <c r="E65" i="8" s="1"/>
  <c r="D43" i="8"/>
  <c r="D65" i="8" s="1"/>
  <c r="E20" i="8"/>
  <c r="E42" i="8" s="1"/>
  <c r="E64" i="8" s="1"/>
  <c r="D42" i="8"/>
  <c r="D64" i="8" s="1"/>
  <c r="E16" i="8"/>
  <c r="E38" i="8" s="1"/>
  <c r="E60" i="8" s="1"/>
  <c r="D38" i="8"/>
  <c r="D60" i="8" s="1"/>
  <c r="E11" i="8"/>
  <c r="E33" i="8" s="1"/>
  <c r="E55" i="8" s="1"/>
  <c r="D33" i="8"/>
  <c r="D55" i="8" s="1"/>
  <c r="E10" i="8"/>
  <c r="E32" i="8" s="1"/>
  <c r="E54" i="8" s="1"/>
  <c r="D32" i="8"/>
  <c r="D54" i="8" s="1"/>
  <c r="E14" i="8"/>
  <c r="E36" i="8" s="1"/>
  <c r="E58" i="8" s="1"/>
  <c r="D36" i="8"/>
  <c r="D58" i="8" s="1"/>
  <c r="E23" i="8"/>
  <c r="E45" i="8" s="1"/>
  <c r="E67" i="8" s="1"/>
  <c r="D45" i="8"/>
  <c r="D67" i="8" s="1"/>
  <c r="E7" i="8"/>
  <c r="E29" i="8" s="1"/>
  <c r="E51" i="8" s="1"/>
  <c r="D29" i="8"/>
  <c r="D51" i="8" s="1"/>
  <c r="E15" i="8"/>
  <c r="E37" i="8" s="1"/>
  <c r="E59" i="8" s="1"/>
  <c r="D37" i="8"/>
  <c r="D59" i="8" s="1"/>
  <c r="E19" i="8"/>
  <c r="E41" i="8" s="1"/>
  <c r="E63" i="8" s="1"/>
  <c r="D41" i="8"/>
  <c r="D63" i="8" s="1"/>
  <c r="E22" i="8"/>
  <c r="E44" i="8" s="1"/>
  <c r="E66" i="8" s="1"/>
  <c r="D44" i="8"/>
  <c r="D66" i="8" s="1"/>
  <c r="E13" i="8"/>
  <c r="E35" i="8" s="1"/>
  <c r="E57" i="8" s="1"/>
  <c r="D35" i="8"/>
  <c r="D57" i="8" s="1"/>
  <c r="L32" i="8"/>
  <c r="L54" i="8" s="1"/>
  <c r="M32" i="8"/>
  <c r="M54" i="8" s="1"/>
  <c r="L41" i="8"/>
  <c r="L63" i="8" s="1"/>
  <c r="M41" i="8"/>
  <c r="M63" i="8" s="1"/>
  <c r="L36" i="8"/>
  <c r="L58" i="8" s="1"/>
  <c r="M36" i="8"/>
  <c r="M58" i="8" s="1"/>
  <c r="L42" i="8"/>
  <c r="L64" i="8" s="1"/>
  <c r="M42" i="8"/>
  <c r="M64" i="8" s="1"/>
  <c r="L34" i="8"/>
  <c r="L56" i="8" s="1"/>
  <c r="M34" i="8"/>
  <c r="M56" i="8" s="1"/>
  <c r="L30" i="8"/>
  <c r="L52" i="8" s="1"/>
  <c r="M30" i="8"/>
  <c r="M52" i="8" s="1"/>
  <c r="L38" i="8"/>
  <c r="L60" i="8" s="1"/>
  <c r="M38" i="8"/>
  <c r="M60" i="8" s="1"/>
  <c r="L29" i="8"/>
  <c r="L51" i="8" s="1"/>
  <c r="M29" i="8"/>
  <c r="M51" i="8" s="1"/>
  <c r="L43" i="8"/>
  <c r="L65" i="8" s="1"/>
  <c r="M43" i="8"/>
  <c r="M65" i="8" s="1"/>
  <c r="L39" i="8"/>
  <c r="L61" i="8" s="1"/>
  <c r="M39" i="8"/>
  <c r="M61" i="8" s="1"/>
  <c r="K33" i="8"/>
  <c r="K55" i="8" s="1"/>
  <c r="L33" i="8"/>
  <c r="L55" i="8" s="1"/>
  <c r="J36" i="8"/>
  <c r="J58" i="8" s="1"/>
  <c r="K36" i="8"/>
  <c r="K58" i="8" s="1"/>
  <c r="J38" i="8"/>
  <c r="J60" i="8" s="1"/>
  <c r="K38" i="8"/>
  <c r="K60" i="8" s="1"/>
  <c r="J29" i="8"/>
  <c r="J51" i="8" s="1"/>
  <c r="K29" i="8"/>
  <c r="K51" i="8" s="1"/>
  <c r="J43" i="8"/>
  <c r="J65" i="8" s="1"/>
  <c r="K43" i="8"/>
  <c r="K65" i="8" s="1"/>
  <c r="J39" i="8"/>
  <c r="J61" i="8" s="1"/>
  <c r="K39" i="8"/>
  <c r="K61" i="8" s="1"/>
  <c r="J42" i="8"/>
  <c r="J64" i="8" s="1"/>
  <c r="K42" i="8"/>
  <c r="K64" i="8" s="1"/>
  <c r="J32" i="8"/>
  <c r="J54" i="8" s="1"/>
  <c r="K32" i="8"/>
  <c r="K54" i="8" s="1"/>
  <c r="J34" i="8"/>
  <c r="J56" i="8" s="1"/>
  <c r="K34" i="8"/>
  <c r="K56" i="8" s="1"/>
  <c r="J41" i="8"/>
  <c r="J63" i="8" s="1"/>
  <c r="K41" i="8"/>
  <c r="K63" i="8" s="1"/>
  <c r="J30" i="8"/>
  <c r="J52" i="8" s="1"/>
  <c r="K30" i="8"/>
  <c r="K52" i="8" s="1"/>
  <c r="I33" i="8"/>
  <c r="I55" i="8" s="1"/>
  <c r="J33" i="8"/>
  <c r="J55" i="8" s="1"/>
  <c r="I30" i="8"/>
  <c r="I52" i="8" s="1"/>
  <c r="I32" i="8"/>
  <c r="I54" i="8" s="1"/>
  <c r="I38" i="8"/>
  <c r="I60" i="8" s="1"/>
  <c r="I29" i="8"/>
  <c r="I51" i="8" s="1"/>
  <c r="I43" i="8"/>
  <c r="I65" i="8" s="1"/>
  <c r="I39" i="8"/>
  <c r="I61" i="8" s="1"/>
  <c r="M20" i="10"/>
  <c r="G11" i="8" s="1"/>
  <c r="G33" i="8" s="1"/>
  <c r="G55" i="8" s="1"/>
  <c r="G45" i="7"/>
  <c r="I45" i="7" s="1"/>
  <c r="J45" i="7" s="1"/>
  <c r="E22" i="7"/>
  <c r="AE19" i="7" s="1"/>
  <c r="F22" i="7"/>
  <c r="AF19" i="7" s="1"/>
  <c r="AD19" i="7"/>
  <c r="AD18" i="7"/>
  <c r="G43" i="7"/>
  <c r="I43" i="7" s="1"/>
  <c r="J43" i="7" s="1"/>
  <c r="E20" i="7"/>
  <c r="AE18" i="7" s="1"/>
  <c r="F20" i="7"/>
  <c r="AF18" i="7" s="1"/>
  <c r="M25" i="4"/>
  <c r="F16" i="8" s="1"/>
  <c r="F38" i="8" s="1"/>
  <c r="F60" i="8" s="1"/>
  <c r="M25" i="10"/>
  <c r="G16" i="8" s="1"/>
  <c r="G38" i="8" s="1"/>
  <c r="G60" i="8" s="1"/>
  <c r="M16" i="4"/>
  <c r="F7" i="8" s="1"/>
  <c r="F29" i="8" s="1"/>
  <c r="F51" i="8" s="1"/>
  <c r="M16" i="10"/>
  <c r="G7" i="8" s="1"/>
  <c r="G29" i="8" s="1"/>
  <c r="G51" i="8" s="1"/>
  <c r="M26" i="4"/>
  <c r="F17" i="8" s="1"/>
  <c r="F39" i="8" s="1"/>
  <c r="F61" i="8" s="1"/>
  <c r="M26" i="10"/>
  <c r="G17" i="8" s="1"/>
  <c r="G39" i="8" s="1"/>
  <c r="G61" i="8" s="1"/>
  <c r="AD13" i="7"/>
  <c r="G34" i="7"/>
  <c r="I34" i="7" s="1"/>
  <c r="J34" i="7" s="1"/>
  <c r="E11" i="7"/>
  <c r="AE13" i="7" s="1"/>
  <c r="F11" i="7"/>
  <c r="AF13" i="7" s="1"/>
  <c r="M29" i="4"/>
  <c r="F20" i="8" s="1"/>
  <c r="F42" i="8" s="1"/>
  <c r="F64" i="8" s="1"/>
  <c r="M29" i="10"/>
  <c r="G20" i="8" s="1"/>
  <c r="G42" i="8" s="1"/>
  <c r="G64" i="8" s="1"/>
  <c r="M19" i="10"/>
  <c r="G10" i="8" s="1"/>
  <c r="G32" i="8" s="1"/>
  <c r="G54" i="8" s="1"/>
  <c r="M19" i="4"/>
  <c r="F10" i="8" s="1"/>
  <c r="F32" i="8" s="1"/>
  <c r="F54" i="8" s="1"/>
  <c r="M21" i="4"/>
  <c r="F12" i="8" s="1"/>
  <c r="F34" i="8" s="1"/>
  <c r="F56" i="8" s="1"/>
  <c r="M21" i="10"/>
  <c r="G12" i="8" s="1"/>
  <c r="G34" i="8" s="1"/>
  <c r="G56" i="8" s="1"/>
  <c r="AD16" i="7"/>
  <c r="E17" i="7"/>
  <c r="AE16" i="7" s="1"/>
  <c r="G40" i="7"/>
  <c r="I40" i="7" s="1"/>
  <c r="J40" i="7" s="1"/>
  <c r="F17" i="7"/>
  <c r="AF16" i="7" s="1"/>
  <c r="AW14" i="7"/>
  <c r="F9" i="7"/>
  <c r="AY14" i="7" s="1"/>
  <c r="G32" i="7"/>
  <c r="I32" i="7" s="1"/>
  <c r="J32" i="7" s="1"/>
  <c r="E9" i="7"/>
  <c r="AX14" i="7" s="1"/>
  <c r="E15" i="7"/>
  <c r="AE15" i="7" s="1"/>
  <c r="G38" i="7"/>
  <c r="I38" i="7" s="1"/>
  <c r="J38" i="7" s="1"/>
  <c r="F15" i="7"/>
  <c r="AF15" i="7" s="1"/>
  <c r="AD15" i="7"/>
  <c r="E7" i="7"/>
  <c r="AX12" i="7" s="1"/>
  <c r="G30" i="7"/>
  <c r="I30" i="7" s="1"/>
  <c r="J30" i="7" s="1"/>
  <c r="AW12" i="7"/>
  <c r="F7" i="7"/>
  <c r="AY12" i="7" s="1"/>
  <c r="M23" i="4"/>
  <c r="F14" i="8" s="1"/>
  <c r="F36" i="8" s="1"/>
  <c r="F58" i="8" s="1"/>
  <c r="M23" i="10"/>
  <c r="G14" i="8" s="1"/>
  <c r="G36" i="8" s="1"/>
  <c r="G58" i="8" s="1"/>
  <c r="E12" i="7"/>
  <c r="AX15" i="7" s="1"/>
  <c r="F12" i="7"/>
  <c r="AY15" i="7" s="1"/>
  <c r="AW15" i="7"/>
  <c r="G35" i="7"/>
  <c r="I35" i="7" s="1"/>
  <c r="J35" i="7" s="1"/>
  <c r="F8" i="7"/>
  <c r="AY13" i="7" s="1"/>
  <c r="E8" i="7"/>
  <c r="AX13" i="7" s="1"/>
  <c r="G31" i="7"/>
  <c r="I31" i="7" s="1"/>
  <c r="J31" i="7" s="1"/>
  <c r="AW13" i="7"/>
  <c r="M30" i="4"/>
  <c r="F21" i="8" s="1"/>
  <c r="F43" i="8" s="1"/>
  <c r="F65" i="8" s="1"/>
  <c r="M30" i="10"/>
  <c r="G21" i="8" s="1"/>
  <c r="G43" i="8" s="1"/>
  <c r="G65" i="8" s="1"/>
  <c r="AD14" i="7"/>
  <c r="E13" i="7"/>
  <c r="AE14" i="7" s="1"/>
  <c r="F13" i="7"/>
  <c r="AF14" i="7" s="1"/>
  <c r="G36" i="7"/>
  <c r="I36" i="7" s="1"/>
  <c r="J36" i="7" s="1"/>
  <c r="F16" i="7"/>
  <c r="AY17" i="7" s="1"/>
  <c r="E16" i="7"/>
  <c r="AX17" i="7" s="1"/>
  <c r="G39" i="7"/>
  <c r="I39" i="7" s="1"/>
  <c r="J39" i="7" s="1"/>
  <c r="AW17" i="7"/>
  <c r="E14" i="7"/>
  <c r="AX16" i="7" s="1"/>
  <c r="F14" i="7"/>
  <c r="AY16" i="7" s="1"/>
  <c r="AW16" i="7"/>
  <c r="G37" i="7"/>
  <c r="I37" i="7" s="1"/>
  <c r="J37" i="7" s="1"/>
  <c r="M28" i="4"/>
  <c r="F19" i="8" s="1"/>
  <c r="F41" i="8" s="1"/>
  <c r="F63" i="8" s="1"/>
  <c r="M28" i="10"/>
  <c r="G19" i="8" s="1"/>
  <c r="G41" i="8" s="1"/>
  <c r="G63" i="8" s="1"/>
  <c r="M17" i="4"/>
  <c r="F8" i="8" s="1"/>
  <c r="F30" i="8" s="1"/>
  <c r="F52" i="8" s="1"/>
  <c r="M17" i="10"/>
  <c r="G8" i="8" s="1"/>
  <c r="G30" i="8" s="1"/>
  <c r="G52" i="8" s="1"/>
  <c r="O15" i="1"/>
  <c r="AW19" i="7"/>
  <c r="E21" i="7"/>
  <c r="AX19" i="7" s="1"/>
  <c r="F21" i="7"/>
  <c r="AY19" i="7" s="1"/>
  <c r="G44" i="7"/>
  <c r="I44" i="7" s="1"/>
  <c r="J44" i="7" s="1"/>
  <c r="G41" i="7"/>
  <c r="I41" i="7" s="1"/>
  <c r="J41" i="7" s="1"/>
  <c r="F18" i="7"/>
  <c r="AF17" i="7" s="1"/>
  <c r="E18" i="7"/>
  <c r="AE17" i="7" s="1"/>
  <c r="AD17" i="7"/>
  <c r="E10" i="7"/>
  <c r="AE12" i="7" s="1"/>
  <c r="G33" i="7"/>
  <c r="I33" i="7" s="1"/>
  <c r="J33" i="7" s="1"/>
  <c r="F10" i="7"/>
  <c r="AF12" i="7" s="1"/>
  <c r="AD12" i="7"/>
  <c r="AW18" i="7"/>
  <c r="E19" i="7"/>
  <c r="AX18" i="7" s="1"/>
  <c r="F19" i="7"/>
  <c r="AY18" i="7" s="1"/>
  <c r="G42" i="7"/>
  <c r="I42" i="7" s="1"/>
  <c r="J42" i="7" s="1"/>
  <c r="O22" i="1"/>
  <c r="M22" i="23" s="1"/>
  <c r="M20" i="4"/>
  <c r="M15" i="22" l="1"/>
  <c r="M15" i="23"/>
  <c r="M32" i="22"/>
  <c r="M32" i="23"/>
  <c r="M24" i="21"/>
  <c r="M24" i="22"/>
  <c r="M22" i="21"/>
  <c r="M22" i="22"/>
  <c r="M32" i="20"/>
  <c r="M32" i="21"/>
  <c r="M15" i="20"/>
  <c r="M15" i="21"/>
  <c r="M24" i="19"/>
  <c r="H15" i="8" s="1"/>
  <c r="M24" i="20"/>
  <c r="M22" i="19"/>
  <c r="H13" i="8" s="1"/>
  <c r="M22" i="20"/>
  <c r="M15" i="18"/>
  <c r="I6" i="8" s="1"/>
  <c r="M15" i="19"/>
  <c r="H6" i="8" s="1"/>
  <c r="M32" i="18"/>
  <c r="I23" i="8" s="1"/>
  <c r="M32" i="19"/>
  <c r="H23" i="8" s="1"/>
  <c r="H45" i="8" s="1"/>
  <c r="H67" i="8" s="1"/>
  <c r="H37" i="8"/>
  <c r="H59" i="8" s="1"/>
  <c r="M24" i="18"/>
  <c r="I15" i="8" s="1"/>
  <c r="H35" i="8"/>
  <c r="H57" i="8" s="1"/>
  <c r="M22" i="18"/>
  <c r="I13" i="8" s="1"/>
  <c r="I35" i="8" s="1"/>
  <c r="I57" i="8" s="1"/>
  <c r="M24" i="10"/>
  <c r="G15" i="8" s="1"/>
  <c r="G37" i="8" s="1"/>
  <c r="G59" i="8" s="1"/>
  <c r="M45" i="8"/>
  <c r="M67" i="8" s="1"/>
  <c r="M32" i="4"/>
  <c r="F23" i="8" s="1"/>
  <c r="F45" i="8" s="1"/>
  <c r="F67" i="8" s="1"/>
  <c r="I37" i="8"/>
  <c r="I59" i="8" s="1"/>
  <c r="J45" i="8"/>
  <c r="J67" i="8" s="1"/>
  <c r="K37" i="8"/>
  <c r="K59" i="8" s="1"/>
  <c r="L45" i="8"/>
  <c r="L67" i="8" s="1"/>
  <c r="M37" i="8"/>
  <c r="M59" i="8" s="1"/>
  <c r="M15" i="10"/>
  <c r="M24" i="4"/>
  <c r="F15" i="8" s="1"/>
  <c r="F37" i="8" s="1"/>
  <c r="F59" i="8" s="1"/>
  <c r="M32" i="10"/>
  <c r="G23" i="8" s="1"/>
  <c r="G45" i="8" s="1"/>
  <c r="G67" i="8" s="1"/>
  <c r="I45" i="8"/>
  <c r="I67" i="8" s="1"/>
  <c r="J37" i="8"/>
  <c r="J59" i="8" s="1"/>
  <c r="K45" i="8"/>
  <c r="K67" i="8" s="1"/>
  <c r="L37" i="8"/>
  <c r="L59" i="8" s="1"/>
  <c r="H21" i="7"/>
  <c r="BA19" i="7" s="1"/>
  <c r="K44" i="7"/>
  <c r="M28" i="8"/>
  <c r="M50" i="8" s="1"/>
  <c r="G20" i="7"/>
  <c r="AG18" i="7" s="1"/>
  <c r="H31" i="7"/>
  <c r="K31" i="7" s="1"/>
  <c r="G9" i="7"/>
  <c r="AZ14" i="7" s="1"/>
  <c r="G14" i="7"/>
  <c r="AZ16" i="7" s="1"/>
  <c r="L35" i="8"/>
  <c r="L57" i="8" s="1"/>
  <c r="M35" i="8"/>
  <c r="M57" i="8" s="1"/>
  <c r="H35" i="7"/>
  <c r="K35" i="7" s="1"/>
  <c r="J35" i="8"/>
  <c r="J57" i="8" s="1"/>
  <c r="K35" i="8"/>
  <c r="K57" i="8" s="1"/>
  <c r="H39" i="7"/>
  <c r="K39" i="7" s="1"/>
  <c r="G17" i="7"/>
  <c r="AG16" i="7" s="1"/>
  <c r="H37" i="7"/>
  <c r="K37" i="7" s="1"/>
  <c r="H40" i="7"/>
  <c r="K40" i="7" s="1"/>
  <c r="G10" i="7"/>
  <c r="AG12" i="7" s="1"/>
  <c r="H33" i="7"/>
  <c r="K33" i="7" s="1"/>
  <c r="H32" i="7"/>
  <c r="K32" i="7" s="1"/>
  <c r="G16" i="7"/>
  <c r="AZ17" i="7" s="1"/>
  <c r="H43" i="7"/>
  <c r="K43" i="7" s="1"/>
  <c r="G12" i="7"/>
  <c r="AZ15" i="7" s="1"/>
  <c r="G8" i="7"/>
  <c r="AZ13" i="7" s="1"/>
  <c r="G11" i="7"/>
  <c r="AG13" i="7" s="1"/>
  <c r="F11" i="8"/>
  <c r="F33" i="8" s="1"/>
  <c r="F55" i="8" s="1"/>
  <c r="M22" i="4"/>
  <c r="M22" i="10"/>
  <c r="G13" i="8" s="1"/>
  <c r="G35" i="8" s="1"/>
  <c r="G57" i="8" s="1"/>
  <c r="M15" i="4"/>
  <c r="F6" i="8" s="1"/>
  <c r="G18" i="7"/>
  <c r="AG17" i="7" s="1"/>
  <c r="H42" i="7"/>
  <c r="K42" i="7" s="1"/>
  <c r="H41" i="7"/>
  <c r="K41" i="7" s="1"/>
  <c r="G19" i="7"/>
  <c r="AZ18" i="7" s="1"/>
  <c r="H34" i="7"/>
  <c r="K34" i="7" s="1"/>
  <c r="H45" i="7" l="1"/>
  <c r="K45" i="7" s="1"/>
  <c r="H38" i="7"/>
  <c r="K38" i="7" s="1"/>
  <c r="G22" i="7"/>
  <c r="AG19" i="7" s="1"/>
  <c r="G15" i="7"/>
  <c r="AG15" i="7" s="1"/>
  <c r="H20" i="7"/>
  <c r="AH18" i="7" s="1"/>
  <c r="L28" i="8"/>
  <c r="L50" i="8" s="1"/>
  <c r="H28" i="8"/>
  <c r="H50" i="8" s="1"/>
  <c r="J28" i="8"/>
  <c r="J50" i="8" s="1"/>
  <c r="K28" i="8"/>
  <c r="K50" i="8" s="1"/>
  <c r="G6" i="8"/>
  <c r="G28" i="8" s="1"/>
  <c r="G50" i="8" s="1"/>
  <c r="I28" i="8"/>
  <c r="I50" i="8" s="1"/>
  <c r="H12" i="7"/>
  <c r="BA15" i="7" s="1"/>
  <c r="H9" i="7"/>
  <c r="BA14" i="7" s="1"/>
  <c r="H14" i="7"/>
  <c r="BA16" i="7" s="1"/>
  <c r="H17" i="7"/>
  <c r="AH16" i="7" s="1"/>
  <c r="H19" i="7"/>
  <c r="BA18" i="7" s="1"/>
  <c r="H8" i="7"/>
  <c r="BA13" i="7" s="1"/>
  <c r="H10" i="7"/>
  <c r="AH12" i="7" s="1"/>
  <c r="H16" i="7"/>
  <c r="BA17" i="7" s="1"/>
  <c r="H18" i="7"/>
  <c r="AH17" i="7" s="1"/>
  <c r="F28" i="8"/>
  <c r="F50" i="8" s="1"/>
  <c r="H30" i="7"/>
  <c r="K30" i="7" s="1"/>
  <c r="G7" i="7"/>
  <c r="H36" i="7"/>
  <c r="K36" i="7" s="1"/>
  <c r="K46" i="7" s="1"/>
  <c r="F13" i="8"/>
  <c r="F35" i="8" s="1"/>
  <c r="F57" i="8" s="1"/>
  <c r="G13" i="7"/>
  <c r="H11" i="7"/>
  <c r="AH13" i="7" s="1"/>
  <c r="H15" i="7" l="1"/>
  <c r="AH15" i="7" s="1"/>
  <c r="H22" i="7"/>
  <c r="AH19" i="7" s="1"/>
  <c r="AG14" i="7"/>
  <c r="H13" i="7"/>
  <c r="AH14" i="7" s="1"/>
  <c r="AZ12" i="7"/>
  <c r="H7" i="7"/>
  <c r="AH25" i="7" l="1"/>
  <c r="AH26" i="7" s="1"/>
  <c r="AH27" i="7" s="1"/>
  <c r="AH24" i="7"/>
  <c r="BA12" i="7"/>
  <c r="N23" i="7"/>
  <c r="N24" i="7"/>
  <c r="N25" i="7" s="1"/>
  <c r="N26" i="7" s="1"/>
  <c r="AY24" i="7" l="1"/>
  <c r="AY25" i="7"/>
  <c r="AY26" i="7" s="1"/>
  <c r="AY27"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7" authorId="0" shapeId="0" xr:uid="{DB5E551F-42AB-472E-A0C7-EB81925DC892}">
      <text>
        <r>
          <rPr>
            <b/>
            <sz val="9"/>
            <color indexed="81"/>
            <rFont val="Tahoma"/>
            <family val="2"/>
          </rPr>
          <t>Author:</t>
        </r>
        <r>
          <rPr>
            <sz val="9"/>
            <color indexed="81"/>
            <rFont val="Tahoma"/>
            <family val="2"/>
          </rPr>
          <t xml:space="preserve">
Not really sure whether the exponent should be 1 or 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7" authorId="0" shapeId="0" xr:uid="{52C6A7F3-16F8-410F-BE9A-3C0CBB74FF7E}">
      <text>
        <r>
          <rPr>
            <b/>
            <sz val="9"/>
            <color indexed="81"/>
            <rFont val="Tahoma"/>
            <family val="2"/>
          </rPr>
          <t>Author:</t>
        </r>
        <r>
          <rPr>
            <sz val="9"/>
            <color indexed="81"/>
            <rFont val="Tahoma"/>
            <family val="2"/>
          </rPr>
          <t xml:space="preserve">
From DLS results; enter 1
 if not yet known</t>
        </r>
      </text>
    </comment>
    <comment ref="J9" authorId="0" shapeId="0" xr:uid="{6CB500F6-8976-4707-BEED-93FBBDA51BDC}">
      <text>
        <r>
          <rPr>
            <b/>
            <sz val="9"/>
            <color indexed="81"/>
            <rFont val="Tahoma"/>
            <family val="2"/>
          </rPr>
          <t>Author:</t>
        </r>
        <r>
          <rPr>
            <sz val="9"/>
            <color indexed="81"/>
            <rFont val="Tahoma"/>
            <family val="2"/>
          </rPr>
          <t xml:space="preserve">
Light wavelength relative to scatterer size</t>
        </r>
      </text>
    </comment>
    <comment ref="J10" authorId="0" shapeId="0" xr:uid="{4E628910-0ABE-48F1-AAF6-4CBFEDB33751}">
      <text>
        <r>
          <rPr>
            <b/>
            <sz val="9"/>
            <color indexed="81"/>
            <rFont val="Tahoma"/>
            <family val="2"/>
          </rPr>
          <t>Author:</t>
        </r>
        <r>
          <rPr>
            <sz val="9"/>
            <color indexed="81"/>
            <rFont val="Tahoma"/>
            <family val="2"/>
          </rPr>
          <t xml:space="preserve">
&lt;1 implies you are in Guinier region</t>
        </r>
      </text>
    </comment>
    <comment ref="J11" authorId="0" shapeId="0" xr:uid="{F86E7D03-0384-4E1A-825A-A5A968412FFB}">
      <text>
        <r>
          <rPr>
            <b/>
            <sz val="9"/>
            <color indexed="81"/>
            <rFont val="Tahoma"/>
            <family val="2"/>
          </rPr>
          <t>Author:</t>
        </r>
        <r>
          <rPr>
            <sz val="9"/>
            <color indexed="81"/>
            <rFont val="Tahoma"/>
            <family val="2"/>
          </rPr>
          <t xml:space="preserve">
The deviation from 1 shows how much there is to measure. Roughly speaking, anything lower than 0.9 is a good sign.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7" authorId="0" shapeId="0" xr:uid="{AC013FFB-C857-49AF-B268-D8B4416653E2}">
      <text>
        <r>
          <rPr>
            <b/>
            <sz val="9"/>
            <color indexed="81"/>
            <rFont val="Tahoma"/>
            <family val="2"/>
          </rPr>
          <t>Author:</t>
        </r>
        <r>
          <rPr>
            <sz val="9"/>
            <color indexed="81"/>
            <rFont val="Tahoma"/>
            <family val="2"/>
          </rPr>
          <t xml:space="preserve">
From DLS results; enter 1 if not yet known</t>
        </r>
      </text>
    </comment>
    <comment ref="J9" authorId="0" shapeId="0" xr:uid="{27E82AEF-0873-4D39-BA40-16F14D43B919}">
      <text>
        <r>
          <rPr>
            <b/>
            <sz val="9"/>
            <color indexed="81"/>
            <rFont val="Tahoma"/>
            <family val="2"/>
          </rPr>
          <t>Author:</t>
        </r>
        <r>
          <rPr>
            <sz val="9"/>
            <color indexed="81"/>
            <rFont val="Tahoma"/>
            <family val="2"/>
          </rPr>
          <t xml:space="preserve">
Light wavelength relative to scatterer size</t>
        </r>
      </text>
    </comment>
    <comment ref="J10" authorId="0" shapeId="0" xr:uid="{2BA3EE16-7420-42F2-A871-E037AC790BA0}">
      <text>
        <r>
          <rPr>
            <b/>
            <sz val="9"/>
            <color indexed="81"/>
            <rFont val="Tahoma"/>
            <family val="2"/>
          </rPr>
          <t>Author:</t>
        </r>
        <r>
          <rPr>
            <sz val="9"/>
            <color indexed="81"/>
            <rFont val="Tahoma"/>
            <family val="2"/>
          </rPr>
          <t xml:space="preserve">
&lt;1 implies you are in Guinier region</t>
        </r>
      </text>
    </comment>
    <comment ref="J11" authorId="0" shapeId="0" xr:uid="{22E11214-79D3-4007-8906-12CD83FC3741}">
      <text>
        <r>
          <rPr>
            <b/>
            <sz val="9"/>
            <color indexed="81"/>
            <rFont val="Tahoma"/>
            <family val="2"/>
          </rPr>
          <t>Author:</t>
        </r>
        <r>
          <rPr>
            <sz val="9"/>
            <color indexed="81"/>
            <rFont val="Tahoma"/>
            <family val="2"/>
          </rPr>
          <t xml:space="preserve">
The deviation from 1 shows how much there is to measure.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7" authorId="0" shapeId="0" xr:uid="{FFEF3FE8-5FF2-4964-BEEB-2298EA1A9B23}">
      <text>
        <r>
          <rPr>
            <b/>
            <sz val="9"/>
            <color indexed="81"/>
            <rFont val="Tahoma"/>
            <family val="2"/>
          </rPr>
          <t>Author:</t>
        </r>
        <r>
          <rPr>
            <sz val="9"/>
            <color indexed="81"/>
            <rFont val="Tahoma"/>
            <family val="2"/>
          </rPr>
          <t xml:space="preserve">
From DLS results; enter 1 if not yet known</t>
        </r>
      </text>
    </comment>
    <comment ref="J9" authorId="0" shapeId="0" xr:uid="{DF6CC008-BA82-47BA-9495-08BFDD9ED743}">
      <text>
        <r>
          <rPr>
            <b/>
            <sz val="9"/>
            <color indexed="81"/>
            <rFont val="Tahoma"/>
            <family val="2"/>
          </rPr>
          <t>Author:</t>
        </r>
        <r>
          <rPr>
            <sz val="9"/>
            <color indexed="81"/>
            <rFont val="Tahoma"/>
            <family val="2"/>
          </rPr>
          <t xml:space="preserve">
Light wavelength relative to scatterer size</t>
        </r>
      </text>
    </comment>
    <comment ref="J10" authorId="0" shapeId="0" xr:uid="{0CF1933C-F3AF-4433-A275-E55A3A29C152}">
      <text>
        <r>
          <rPr>
            <b/>
            <sz val="9"/>
            <color indexed="81"/>
            <rFont val="Tahoma"/>
            <family val="2"/>
          </rPr>
          <t>Author:</t>
        </r>
        <r>
          <rPr>
            <sz val="9"/>
            <color indexed="81"/>
            <rFont val="Tahoma"/>
            <family val="2"/>
          </rPr>
          <t xml:space="preserve">
&lt;1 implies you are in Guinier region</t>
        </r>
      </text>
    </comment>
    <comment ref="J11" authorId="0" shapeId="0" xr:uid="{206C643E-A4E6-4D7C-ABC8-F89E875AE09F}">
      <text>
        <r>
          <rPr>
            <b/>
            <sz val="9"/>
            <color indexed="81"/>
            <rFont val="Tahoma"/>
            <family val="2"/>
          </rPr>
          <t>Author:</t>
        </r>
        <r>
          <rPr>
            <sz val="9"/>
            <color indexed="81"/>
            <rFont val="Tahoma"/>
            <family val="2"/>
          </rPr>
          <t xml:space="preserve">
The deviation from 1 shows how much there is to measure.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7" authorId="0" shapeId="0" xr:uid="{CB07922B-0270-4F42-ADAD-DDEF1FB8B49D}">
      <text>
        <r>
          <rPr>
            <b/>
            <sz val="9"/>
            <color indexed="81"/>
            <rFont val="Tahoma"/>
            <family val="2"/>
          </rPr>
          <t>Author:</t>
        </r>
        <r>
          <rPr>
            <sz val="9"/>
            <color indexed="81"/>
            <rFont val="Tahoma"/>
            <family val="2"/>
          </rPr>
          <t xml:space="preserve">
From DLS results; enter 1 if not yet known</t>
        </r>
      </text>
    </comment>
    <comment ref="J9" authorId="0" shapeId="0" xr:uid="{EE713D56-173B-419B-B63A-79FCF141B425}">
      <text>
        <r>
          <rPr>
            <b/>
            <sz val="9"/>
            <color indexed="81"/>
            <rFont val="Tahoma"/>
            <family val="2"/>
          </rPr>
          <t>Author:</t>
        </r>
        <r>
          <rPr>
            <sz val="9"/>
            <color indexed="81"/>
            <rFont val="Tahoma"/>
            <family val="2"/>
          </rPr>
          <t xml:space="preserve">
Light wavelength relative to scatterer size</t>
        </r>
      </text>
    </comment>
    <comment ref="J10" authorId="0" shapeId="0" xr:uid="{42FEFFFF-0D23-41AB-9AF6-A2A2DC4ADFBE}">
      <text>
        <r>
          <rPr>
            <b/>
            <sz val="9"/>
            <color indexed="81"/>
            <rFont val="Tahoma"/>
            <family val="2"/>
          </rPr>
          <t>Author:</t>
        </r>
        <r>
          <rPr>
            <sz val="9"/>
            <color indexed="81"/>
            <rFont val="Tahoma"/>
            <family val="2"/>
          </rPr>
          <t xml:space="preserve">
&lt;1 implies you are in Guinier region</t>
        </r>
      </text>
    </comment>
    <comment ref="J11" authorId="0" shapeId="0" xr:uid="{5E017205-CED5-4964-9701-CBE1B0ADD489}">
      <text>
        <r>
          <rPr>
            <b/>
            <sz val="9"/>
            <color indexed="81"/>
            <rFont val="Tahoma"/>
            <family val="2"/>
          </rPr>
          <t>Author:</t>
        </r>
        <r>
          <rPr>
            <sz val="9"/>
            <color indexed="81"/>
            <rFont val="Tahoma"/>
            <family val="2"/>
          </rPr>
          <t xml:space="preserve">
The deviation from 1 shows how much there is to measure.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7" authorId="0" shapeId="0" xr:uid="{ED61AC7F-E0D6-45A2-AB66-94887749BFE9}">
      <text>
        <r>
          <rPr>
            <b/>
            <sz val="9"/>
            <color indexed="81"/>
            <rFont val="Tahoma"/>
            <family val="2"/>
          </rPr>
          <t>Author:</t>
        </r>
        <r>
          <rPr>
            <sz val="9"/>
            <color indexed="81"/>
            <rFont val="Tahoma"/>
            <family val="2"/>
          </rPr>
          <t xml:space="preserve">
From DLS results; enter 1 if not yet known</t>
        </r>
      </text>
    </comment>
    <comment ref="J9" authorId="0" shapeId="0" xr:uid="{E249C7DA-55B2-459E-890B-600812FF0408}">
      <text>
        <r>
          <rPr>
            <b/>
            <sz val="9"/>
            <color indexed="81"/>
            <rFont val="Tahoma"/>
            <family val="2"/>
          </rPr>
          <t>Author:</t>
        </r>
        <r>
          <rPr>
            <sz val="9"/>
            <color indexed="81"/>
            <rFont val="Tahoma"/>
            <family val="2"/>
          </rPr>
          <t xml:space="preserve">
Light wavelength relative to scatterer size</t>
        </r>
      </text>
    </comment>
    <comment ref="J10" authorId="0" shapeId="0" xr:uid="{0DCE664A-67DB-4BC0-B72F-A72DC3466A66}">
      <text>
        <r>
          <rPr>
            <b/>
            <sz val="9"/>
            <color indexed="81"/>
            <rFont val="Tahoma"/>
            <family val="2"/>
          </rPr>
          <t>Author:</t>
        </r>
        <r>
          <rPr>
            <sz val="9"/>
            <color indexed="81"/>
            <rFont val="Tahoma"/>
            <family val="2"/>
          </rPr>
          <t xml:space="preserve">
&lt;1 implies you are in Guinier region</t>
        </r>
      </text>
    </comment>
    <comment ref="J11" authorId="0" shapeId="0" xr:uid="{DB7C3216-B9EE-4A5F-BA7E-68E500CA3A56}">
      <text>
        <r>
          <rPr>
            <b/>
            <sz val="9"/>
            <color indexed="81"/>
            <rFont val="Tahoma"/>
            <family val="2"/>
          </rPr>
          <t>Author:</t>
        </r>
        <r>
          <rPr>
            <sz val="9"/>
            <color indexed="81"/>
            <rFont val="Tahoma"/>
            <family val="2"/>
          </rPr>
          <t xml:space="preserve">
The deviation from 1 shows how much there is to measure.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7" authorId="0" shapeId="0" xr:uid="{3D0080A2-E693-4C28-9329-82A7D8D68ABF}">
      <text>
        <r>
          <rPr>
            <b/>
            <sz val="9"/>
            <color indexed="81"/>
            <rFont val="Tahoma"/>
            <family val="2"/>
          </rPr>
          <t>Author:</t>
        </r>
        <r>
          <rPr>
            <sz val="9"/>
            <color indexed="81"/>
            <rFont val="Tahoma"/>
            <family val="2"/>
          </rPr>
          <t xml:space="preserve">
From DLS results; enter 1 if not yet known</t>
        </r>
      </text>
    </comment>
    <comment ref="J9" authorId="0" shapeId="0" xr:uid="{7F0572F0-FC64-48F9-868B-388622F2A92A}">
      <text>
        <r>
          <rPr>
            <b/>
            <sz val="9"/>
            <color indexed="81"/>
            <rFont val="Tahoma"/>
            <family val="2"/>
          </rPr>
          <t>Author:</t>
        </r>
        <r>
          <rPr>
            <sz val="9"/>
            <color indexed="81"/>
            <rFont val="Tahoma"/>
            <family val="2"/>
          </rPr>
          <t xml:space="preserve">
Light wavelength relative to scatterer size</t>
        </r>
      </text>
    </comment>
    <comment ref="J10" authorId="0" shapeId="0" xr:uid="{FF0E4438-4828-4967-A821-756A8D3428E2}">
      <text>
        <r>
          <rPr>
            <b/>
            <sz val="9"/>
            <color indexed="81"/>
            <rFont val="Tahoma"/>
            <family val="2"/>
          </rPr>
          <t>Author:</t>
        </r>
        <r>
          <rPr>
            <sz val="9"/>
            <color indexed="81"/>
            <rFont val="Tahoma"/>
            <family val="2"/>
          </rPr>
          <t xml:space="preserve">
&lt;1 implies you are in Guinier region</t>
        </r>
      </text>
    </comment>
    <comment ref="J11" authorId="0" shapeId="0" xr:uid="{DC276FAC-6F70-49EE-BD9E-03A83BDB3C21}">
      <text>
        <r>
          <rPr>
            <b/>
            <sz val="9"/>
            <color indexed="81"/>
            <rFont val="Tahoma"/>
            <family val="2"/>
          </rPr>
          <t>Author:</t>
        </r>
        <r>
          <rPr>
            <sz val="9"/>
            <color indexed="81"/>
            <rFont val="Tahoma"/>
            <family val="2"/>
          </rPr>
          <t xml:space="preserve">
The deviation from 1 shows how much there is to measure.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7" authorId="0" shapeId="0" xr:uid="{359367C6-A35E-4F15-94CD-4CABA61E555C}">
      <text>
        <r>
          <rPr>
            <b/>
            <sz val="9"/>
            <color indexed="81"/>
            <rFont val="Tahoma"/>
            <family val="2"/>
          </rPr>
          <t>Author:</t>
        </r>
        <r>
          <rPr>
            <sz val="9"/>
            <color indexed="81"/>
            <rFont val="Tahoma"/>
            <family val="2"/>
          </rPr>
          <t xml:space="preserve">
From DLS results; enter 1 if not yet known</t>
        </r>
      </text>
    </comment>
    <comment ref="J9" authorId="0" shapeId="0" xr:uid="{C5ADF246-8A0A-46CD-93D8-4CEC6BF20D6A}">
      <text>
        <r>
          <rPr>
            <b/>
            <sz val="9"/>
            <color indexed="81"/>
            <rFont val="Tahoma"/>
            <family val="2"/>
          </rPr>
          <t>Author:</t>
        </r>
        <r>
          <rPr>
            <sz val="9"/>
            <color indexed="81"/>
            <rFont val="Tahoma"/>
            <family val="2"/>
          </rPr>
          <t xml:space="preserve">
Light wavelength relative to scatterer size</t>
        </r>
      </text>
    </comment>
    <comment ref="J10" authorId="0" shapeId="0" xr:uid="{07DFC81B-3B25-4440-BC27-7B32A24B71F6}">
      <text>
        <r>
          <rPr>
            <b/>
            <sz val="9"/>
            <color indexed="81"/>
            <rFont val="Tahoma"/>
            <family val="2"/>
          </rPr>
          <t>Author:</t>
        </r>
        <r>
          <rPr>
            <sz val="9"/>
            <color indexed="81"/>
            <rFont val="Tahoma"/>
            <family val="2"/>
          </rPr>
          <t xml:space="preserve">
&lt;1 implies you are in Guinier region</t>
        </r>
      </text>
    </comment>
    <comment ref="J11" authorId="0" shapeId="0" xr:uid="{024CEE7B-790D-411A-8C34-983CBA82F588}">
      <text>
        <r>
          <rPr>
            <b/>
            <sz val="9"/>
            <color indexed="81"/>
            <rFont val="Tahoma"/>
            <family val="2"/>
          </rPr>
          <t>Author:</t>
        </r>
        <r>
          <rPr>
            <sz val="9"/>
            <color indexed="81"/>
            <rFont val="Tahoma"/>
            <family val="2"/>
          </rPr>
          <t xml:space="preserve">
The deviation from 1 shows how much there is to measure.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7" authorId="0" shapeId="0" xr:uid="{254CBB1C-DA9C-4414-B337-E7578AA2F7A2}">
      <text>
        <r>
          <rPr>
            <b/>
            <sz val="9"/>
            <color indexed="81"/>
            <rFont val="Tahoma"/>
            <family val="2"/>
          </rPr>
          <t>Author:</t>
        </r>
        <r>
          <rPr>
            <sz val="9"/>
            <color indexed="81"/>
            <rFont val="Tahoma"/>
            <family val="2"/>
          </rPr>
          <t xml:space="preserve">
From DLS results; enter 1 if not yet known</t>
        </r>
      </text>
    </comment>
    <comment ref="J9" authorId="0" shapeId="0" xr:uid="{80910316-DFC0-4098-AF5D-3CF034073EAD}">
      <text>
        <r>
          <rPr>
            <b/>
            <sz val="9"/>
            <color indexed="81"/>
            <rFont val="Tahoma"/>
            <family val="2"/>
          </rPr>
          <t>Author:</t>
        </r>
        <r>
          <rPr>
            <sz val="9"/>
            <color indexed="81"/>
            <rFont val="Tahoma"/>
            <family val="2"/>
          </rPr>
          <t xml:space="preserve">
Light wavelength relative to scatterer size</t>
        </r>
      </text>
    </comment>
    <comment ref="J10" authorId="0" shapeId="0" xr:uid="{CCFCA915-AFCB-4A3E-A51A-A08BC5C76912}">
      <text>
        <r>
          <rPr>
            <b/>
            <sz val="9"/>
            <color indexed="81"/>
            <rFont val="Tahoma"/>
            <family val="2"/>
          </rPr>
          <t>Author:</t>
        </r>
        <r>
          <rPr>
            <sz val="9"/>
            <color indexed="81"/>
            <rFont val="Tahoma"/>
            <family val="2"/>
          </rPr>
          <t xml:space="preserve">
&lt;1 implies you are in Guinier region</t>
        </r>
      </text>
    </comment>
    <comment ref="J11" authorId="0" shapeId="0" xr:uid="{070EB66F-0FD8-4078-8DD9-192FC6E647E3}">
      <text>
        <r>
          <rPr>
            <b/>
            <sz val="9"/>
            <color indexed="81"/>
            <rFont val="Tahoma"/>
            <family val="2"/>
          </rPr>
          <t>Author:</t>
        </r>
        <r>
          <rPr>
            <sz val="9"/>
            <color indexed="81"/>
            <rFont val="Tahoma"/>
            <family val="2"/>
          </rPr>
          <t xml:space="preserve">
The deviation from 1 shows how much there is to measure. </t>
        </r>
      </text>
    </comment>
  </commentList>
</comments>
</file>

<file path=xl/sharedStrings.xml><?xml version="1.0" encoding="utf-8"?>
<sst xmlns="http://schemas.openxmlformats.org/spreadsheetml/2006/main" count="1152" uniqueCount="351">
  <si>
    <t>Detector type</t>
  </si>
  <si>
    <t>Fiber/APD</t>
  </si>
  <si>
    <t>Wyatt diode</t>
  </si>
  <si>
    <t>Wyatt Reading</t>
  </si>
  <si>
    <t>ALV Reading</t>
  </si>
  <si>
    <t>Front</t>
  </si>
  <si>
    <t>beam stop (y/n)</t>
  </si>
  <si>
    <t>y</t>
  </si>
  <si>
    <t>Wavelength/nm</t>
  </si>
  <si>
    <t>Wavelength/cm</t>
  </si>
  <si>
    <t>p1</t>
  </si>
  <si>
    <t>p2</t>
  </si>
  <si>
    <t>p3</t>
  </si>
  <si>
    <t>LC</t>
  </si>
  <si>
    <t>L</t>
  </si>
  <si>
    <t>Port #</t>
  </si>
  <si>
    <t>Monitors</t>
  </si>
  <si>
    <r>
      <t>Comment</t>
    </r>
    <r>
      <rPr>
        <b/>
        <sz val="11"/>
        <color indexed="8"/>
        <rFont val="Symbol"/>
        <family val="1"/>
        <charset val="2"/>
      </rPr>
      <t>¯</t>
    </r>
  </si>
  <si>
    <t>Normalizing standard</t>
  </si>
  <si>
    <t>nm</t>
  </si>
  <si>
    <r>
      <rPr>
        <sz val="11"/>
        <color indexed="8"/>
        <rFont val="Symbol"/>
        <family val="1"/>
        <charset val="2"/>
      </rPr>
      <t>l</t>
    </r>
    <r>
      <rPr>
        <vertAlign val="subscript"/>
        <sz val="11"/>
        <color indexed="8"/>
        <rFont val="Symbol"/>
        <family val="1"/>
        <charset val="2"/>
      </rPr>
      <t>o</t>
    </r>
    <r>
      <rPr>
        <sz val="11"/>
        <color theme="1"/>
        <rFont val="Calibri"/>
        <family val="2"/>
        <scheme val="minor"/>
      </rPr>
      <t>/(n*DLS radius)</t>
    </r>
  </si>
  <si>
    <r>
      <t>R</t>
    </r>
    <r>
      <rPr>
        <vertAlign val="subscript"/>
        <sz val="11"/>
        <color indexed="8"/>
        <rFont val="Calibri"/>
        <family val="2"/>
      </rPr>
      <t>h</t>
    </r>
  </si>
  <si>
    <r>
      <t>R</t>
    </r>
    <r>
      <rPr>
        <vertAlign val="subscript"/>
        <sz val="11"/>
        <color indexed="8"/>
        <rFont val="Calibri"/>
        <family val="2"/>
      </rPr>
      <t>g</t>
    </r>
    <r>
      <rPr>
        <sz val="11"/>
        <color theme="1"/>
        <rFont val="Calibri"/>
        <family val="2"/>
        <scheme val="minor"/>
      </rPr>
      <t xml:space="preserve"> (sphere)</t>
    </r>
  </si>
  <si>
    <t>Signal</t>
  </si>
  <si>
    <t>Date of normalization</t>
  </si>
  <si>
    <t>Russo</t>
  </si>
  <si>
    <t>ALV Reading/kHz</t>
  </si>
  <si>
    <t>MeanCR1 [kHz]   :</t>
  </si>
  <si>
    <t>MeanCR2 [kHz]   :</t>
  </si>
  <si>
    <t>MeanCR3 [kHz]   :</t>
  </si>
  <si>
    <t>MeanCR4 [kHz]   :</t>
  </si>
  <si>
    <t>MeanCR5 [kHz]   :</t>
  </si>
  <si>
    <t>MeanCR6 [kHz]   :</t>
  </si>
  <si>
    <t>MeanCR7 [kHz]   :</t>
  </si>
  <si>
    <t>MeanCR8 [kHz]   :</t>
  </si>
  <si>
    <t>here from .ASC file</t>
  </si>
  <si>
    <t>Angle/degrees</t>
  </si>
  <si>
    <t>Zero-ref</t>
  </si>
  <si>
    <t>----</t>
  </si>
  <si>
    <t>a small latex particle, bovine serum albumen, or Brij-97 microemulsion.</t>
  </si>
  <si>
    <t>The Wyatt detectors can most easily be read from the front panel display.</t>
  </si>
  <si>
    <t xml:space="preserve">The unit of measurement is probably in volts, but it does not matter. </t>
  </si>
  <si>
    <t>That will be good enough for any sensible normalization standard, but the equation</t>
  </si>
  <si>
    <t xml:space="preserve">could be replaced with a detailed expression for, say, a larger latex sphere. </t>
  </si>
  <si>
    <t xml:space="preserve">stray light. </t>
  </si>
  <si>
    <r>
      <t>q</t>
    </r>
    <r>
      <rPr>
        <vertAlign val="subscript"/>
        <sz val="11"/>
        <color indexed="8"/>
        <rFont val="Calibri"/>
        <family val="2"/>
      </rPr>
      <t>max</t>
    </r>
    <r>
      <rPr>
        <sz val="11"/>
        <color theme="1"/>
        <rFont val="Calibri"/>
        <family val="2"/>
        <scheme val="minor"/>
      </rPr>
      <t>R</t>
    </r>
    <r>
      <rPr>
        <vertAlign val="subscript"/>
        <sz val="11"/>
        <color indexed="8"/>
        <rFont val="Calibri"/>
        <family val="2"/>
      </rPr>
      <t>g</t>
    </r>
    <r>
      <rPr>
        <sz val="11"/>
        <color theme="1"/>
        <rFont val="Calibri"/>
        <family val="2"/>
        <scheme val="minor"/>
      </rPr>
      <t xml:space="preserve"> </t>
    </r>
  </si>
  <si>
    <r>
      <t>1-(q</t>
    </r>
    <r>
      <rPr>
        <vertAlign val="subscript"/>
        <sz val="11"/>
        <color indexed="8"/>
        <rFont val="Calibri"/>
        <family val="2"/>
      </rPr>
      <t>max</t>
    </r>
    <r>
      <rPr>
        <sz val="11"/>
        <color theme="1"/>
        <rFont val="Calibri"/>
        <family val="2"/>
        <scheme val="minor"/>
      </rPr>
      <t>R</t>
    </r>
    <r>
      <rPr>
        <vertAlign val="subscript"/>
        <sz val="11"/>
        <color indexed="8"/>
        <rFont val="Calibri"/>
        <family val="2"/>
      </rPr>
      <t>g</t>
    </r>
    <r>
      <rPr>
        <sz val="11"/>
        <color theme="1"/>
        <rFont val="Calibri"/>
        <family val="2"/>
        <scheme val="minor"/>
      </rPr>
      <t>)</t>
    </r>
    <r>
      <rPr>
        <vertAlign val="superscript"/>
        <sz val="11"/>
        <color indexed="8"/>
        <rFont val="Calibri"/>
        <family val="2"/>
      </rPr>
      <t>2</t>
    </r>
    <r>
      <rPr>
        <sz val="11"/>
        <color theme="1"/>
        <rFont val="Calibri"/>
        <family val="2"/>
        <scheme val="minor"/>
      </rPr>
      <t>/3</t>
    </r>
  </si>
  <si>
    <t>Normalization</t>
  </si>
  <si>
    <t>Factor</t>
  </si>
  <si>
    <t xml:space="preserve">          Normalizing solution</t>
  </si>
  <si>
    <r>
      <t>P(</t>
    </r>
    <r>
      <rPr>
        <b/>
        <sz val="11"/>
        <color indexed="8"/>
        <rFont val="Symbol"/>
        <family val="1"/>
        <charset val="2"/>
      </rPr>
      <t>q</t>
    </r>
    <r>
      <rPr>
        <b/>
        <sz val="11"/>
        <color indexed="8"/>
        <rFont val="Calibri"/>
        <family val="2"/>
      </rPr>
      <t>)</t>
    </r>
  </si>
  <si>
    <r>
      <t xml:space="preserve">Drop </t>
    </r>
    <r>
      <rPr>
        <b/>
        <u/>
        <sz val="11"/>
        <color indexed="43"/>
        <rFont val="Calibri"/>
        <family val="2"/>
      </rPr>
      <t>solvent</t>
    </r>
    <r>
      <rPr>
        <b/>
        <sz val="11"/>
        <color indexed="22"/>
        <rFont val="Calibri"/>
        <family val="2"/>
      </rPr>
      <t xml:space="preserve"> count rates </t>
    </r>
  </si>
  <si>
    <t>At this point, your normalization constants should be ready.</t>
  </si>
  <si>
    <t>Empty</t>
  </si>
  <si>
    <t>---</t>
  </si>
  <si>
    <t xml:space="preserve">Operator                           </t>
  </si>
  <si>
    <t>Parameter</t>
  </si>
  <si>
    <t>Purpose:</t>
  </si>
  <si>
    <t>This workbook permits us to normalize detectors to a standard of finite size.</t>
  </si>
  <si>
    <t>Principle:</t>
  </si>
  <si>
    <t>Port</t>
  </si>
  <si>
    <t>Normalized</t>
  </si>
  <si>
    <t>intensity, I</t>
  </si>
  <si>
    <t>Intercept</t>
  </si>
  <si>
    <r>
      <t>R</t>
    </r>
    <r>
      <rPr>
        <vertAlign val="subscript"/>
        <sz val="11"/>
        <color indexed="8"/>
        <rFont val="Calibri"/>
        <family val="2"/>
      </rPr>
      <t>g,Guinier</t>
    </r>
  </si>
  <si>
    <t>R if sphere</t>
  </si>
  <si>
    <r>
      <t>R</t>
    </r>
    <r>
      <rPr>
        <vertAlign val="subscript"/>
        <sz val="11"/>
        <color indexed="8"/>
        <rFont val="Calibri"/>
        <family val="2"/>
      </rPr>
      <t>h</t>
    </r>
    <r>
      <rPr>
        <sz val="11"/>
        <color theme="1"/>
        <rFont val="Calibri"/>
        <family val="2"/>
        <scheme val="minor"/>
      </rPr>
      <t xml:space="preserve"> from DLS</t>
    </r>
  </si>
  <si>
    <t>Developed May-June 2022 by Paul Russo</t>
  </si>
  <si>
    <t>Date of measurement</t>
  </si>
  <si>
    <t>Sample</t>
  </si>
  <si>
    <t xml:space="preserve">There is no such thing as a perfect Rayleigh scatterer. Typically, we might use </t>
  </si>
  <si>
    <t xml:space="preserve">The idea is to use something small that scatters a lot, well above solvent level and any </t>
  </si>
  <si>
    <t>SSE--&gt;</t>
  </si>
  <si>
    <r>
      <t>R</t>
    </r>
    <r>
      <rPr>
        <vertAlign val="subscript"/>
        <sz val="11"/>
        <color theme="1"/>
        <rFont val="Calibri"/>
        <family val="2"/>
        <scheme val="minor"/>
      </rPr>
      <t>sphere</t>
    </r>
    <r>
      <rPr>
        <sz val="11"/>
        <color theme="1"/>
        <rFont val="Calibri"/>
        <family val="2"/>
        <scheme val="minor"/>
      </rPr>
      <t>/nm</t>
    </r>
  </si>
  <si>
    <r>
      <t>I</t>
    </r>
    <r>
      <rPr>
        <vertAlign val="subscript"/>
        <sz val="11"/>
        <color theme="1"/>
        <rFont val="Calibri"/>
        <family val="2"/>
        <scheme val="minor"/>
      </rPr>
      <t>zero</t>
    </r>
    <r>
      <rPr>
        <sz val="11"/>
        <color theme="1"/>
        <rFont val="Calibri"/>
        <family val="2"/>
        <scheme val="minor"/>
      </rPr>
      <t>/Arbitrary</t>
    </r>
  </si>
  <si>
    <t>Sq.Err.</t>
  </si>
  <si>
    <t>Izero*Icalc,pt by pt</t>
  </si>
  <si>
    <t>x=qR</t>
  </si>
  <si>
    <r>
      <t>q/nm</t>
    </r>
    <r>
      <rPr>
        <vertAlign val="superscript"/>
        <sz val="11"/>
        <color theme="1"/>
        <rFont val="Calibri"/>
        <family val="2"/>
        <scheme val="minor"/>
      </rPr>
      <t>-1</t>
    </r>
  </si>
  <si>
    <t>Icalc</t>
  </si>
  <si>
    <t>PthetaCalc</t>
  </si>
  <si>
    <r>
      <t>q/cm</t>
    </r>
    <r>
      <rPr>
        <vertAlign val="superscript"/>
        <sz val="11"/>
        <color theme="1"/>
        <rFont val="Calibri"/>
        <family val="2"/>
        <scheme val="minor"/>
      </rPr>
      <t>-1</t>
    </r>
  </si>
  <si>
    <t>CalcInten</t>
  </si>
  <si>
    <t>Measured</t>
  </si>
  <si>
    <t>-Slope</t>
  </si>
  <si>
    <t>SMALS Det #</t>
  </si>
  <si>
    <t xml:space="preserve">The APD detectors measure photocounts in kHz, a totally different thing. </t>
  </si>
  <si>
    <t>measurement (unlike a blank template). Be sure to cover these tracks with your new data.</t>
  </si>
  <si>
    <t>March 2 2023</t>
  </si>
  <si>
    <t>PS Cmax 100</t>
  </si>
  <si>
    <t>Wyatt Diode</t>
  </si>
  <si>
    <t>ALV APD</t>
  </si>
  <si>
    <t>Color key</t>
  </si>
  <si>
    <t>Row #</t>
  </si>
  <si>
    <t>Made separate Guinier plots for ALV and Wyatt detectors at ORNL</t>
  </si>
  <si>
    <t>Changed log(I) to ln(I)</t>
  </si>
  <si>
    <r>
      <t>q/cm</t>
    </r>
    <r>
      <rPr>
        <b/>
        <vertAlign val="superscript"/>
        <sz val="11"/>
        <color indexed="8"/>
        <rFont val="Calibri"/>
        <family val="2"/>
      </rPr>
      <t>-1</t>
    </r>
  </si>
  <si>
    <r>
      <t>q</t>
    </r>
    <r>
      <rPr>
        <b/>
        <vertAlign val="superscript"/>
        <sz val="11"/>
        <color indexed="8"/>
        <rFont val="Calibri"/>
        <family val="2"/>
      </rPr>
      <t>2</t>
    </r>
    <r>
      <rPr>
        <b/>
        <sz val="11"/>
        <color theme="1"/>
        <rFont val="Calibri"/>
        <family val="2"/>
        <scheme val="minor"/>
      </rPr>
      <t>/10</t>
    </r>
    <r>
      <rPr>
        <b/>
        <vertAlign val="superscript"/>
        <sz val="11"/>
        <color indexed="8"/>
        <rFont val="Calibri"/>
        <family val="2"/>
      </rPr>
      <t>10</t>
    </r>
    <r>
      <rPr>
        <b/>
        <sz val="11"/>
        <color theme="1"/>
        <rFont val="Calibri"/>
        <family val="2"/>
        <scheme val="minor"/>
      </rPr>
      <t>cm</t>
    </r>
    <r>
      <rPr>
        <b/>
        <vertAlign val="superscript"/>
        <sz val="11"/>
        <color indexed="8"/>
        <rFont val="Calibri"/>
        <family val="2"/>
      </rPr>
      <t>-2</t>
    </r>
  </si>
  <si>
    <r>
      <t>q</t>
    </r>
    <r>
      <rPr>
        <b/>
        <vertAlign val="superscript"/>
        <sz val="11"/>
        <color indexed="8"/>
        <rFont val="Calibri"/>
        <family val="2"/>
      </rPr>
      <t>2</t>
    </r>
    <r>
      <rPr>
        <b/>
        <sz val="11"/>
        <color theme="1"/>
        <rFont val="Calibri"/>
        <family val="2"/>
        <scheme val="minor"/>
      </rPr>
      <t>/10</t>
    </r>
    <r>
      <rPr>
        <b/>
        <vertAlign val="superscript"/>
        <sz val="11"/>
        <color indexed="8"/>
        <rFont val="Calibri"/>
        <family val="2"/>
      </rPr>
      <t>-4</t>
    </r>
    <r>
      <rPr>
        <b/>
        <sz val="11"/>
        <color theme="1"/>
        <rFont val="Calibri"/>
        <family val="2"/>
        <scheme val="minor"/>
      </rPr>
      <t>nm</t>
    </r>
    <r>
      <rPr>
        <b/>
        <vertAlign val="superscript"/>
        <sz val="11"/>
        <color indexed="8"/>
        <rFont val="Calibri"/>
        <family val="2"/>
      </rPr>
      <t>-2</t>
    </r>
  </si>
  <si>
    <r>
      <t xml:space="preserve"> </t>
    </r>
    <r>
      <rPr>
        <b/>
        <sz val="11"/>
        <color indexed="8"/>
        <rFont val="Script MT Bold"/>
        <family val="4"/>
      </rPr>
      <t xml:space="preserve"> ln</t>
    </r>
    <r>
      <rPr>
        <b/>
        <sz val="11"/>
        <color indexed="8"/>
        <rFont val="script"/>
      </rPr>
      <t xml:space="preserve"> </t>
    </r>
    <r>
      <rPr>
        <b/>
        <sz val="11"/>
        <color theme="1"/>
        <rFont val="Calibri"/>
        <family val="2"/>
        <scheme val="minor"/>
      </rPr>
      <t>(I)</t>
    </r>
  </si>
  <si>
    <t>arb.</t>
  </si>
  <si>
    <r>
      <t>nm</t>
    </r>
    <r>
      <rPr>
        <vertAlign val="superscript"/>
        <sz val="11"/>
        <color theme="1"/>
        <rFont val="Calibri"/>
        <family val="2"/>
        <scheme val="minor"/>
      </rPr>
      <t>2</t>
    </r>
  </si>
  <si>
    <r>
      <rPr>
        <b/>
        <sz val="11"/>
        <color theme="1"/>
        <rFont val="Symbol"/>
        <family val="1"/>
        <charset val="2"/>
      </rPr>
      <t>q</t>
    </r>
    <r>
      <rPr>
        <b/>
        <sz val="11"/>
        <color theme="1"/>
        <rFont val="Calibri"/>
        <family val="2"/>
        <scheme val="minor"/>
      </rPr>
      <t>/degrees</t>
    </r>
  </si>
  <si>
    <t>ALV APD Results</t>
  </si>
  <si>
    <t>Wyatt diode results</t>
  </si>
  <si>
    <t>All Detectors Results</t>
  </si>
  <si>
    <t>Normalized Intensity, I</t>
  </si>
  <si>
    <t xml:space="preserve">                                    Normalizing solvent background</t>
  </si>
  <si>
    <t xml:space="preserve">          Solution reading</t>
  </si>
  <si>
    <t xml:space="preserve">         Solvent background</t>
  </si>
  <si>
    <t>Normalized intensity</t>
  </si>
  <si>
    <t>Wyatt reading</t>
  </si>
  <si>
    <t>ALV reading/kHz</t>
  </si>
  <si>
    <t>ALV reading</t>
  </si>
  <si>
    <t>Sep5_2023</t>
  </si>
  <si>
    <t>Modified Guinier page; cosmetic changes</t>
  </si>
  <si>
    <t>Refractive index of solutions &amp; solvent</t>
  </si>
  <si>
    <t>Refactive index of Rayleigh standard</t>
  </si>
  <si>
    <t>Volume expansion exponent, m</t>
  </si>
  <si>
    <t>Toluene</t>
  </si>
  <si>
    <t>Solvent for solutions</t>
  </si>
  <si>
    <t>Rayleigh factor of toluene</t>
  </si>
  <si>
    <t>dn/dc in mL/gram</t>
  </si>
  <si>
    <t>More accurate readings can be obtained by collecting data using the Astra software (requires Win98).</t>
  </si>
  <si>
    <r>
      <t>normalization standard on the correct P(</t>
    </r>
    <r>
      <rPr>
        <sz val="11"/>
        <color indexed="8"/>
        <rFont val="Symbol"/>
        <family val="1"/>
        <charset val="2"/>
      </rPr>
      <t>q</t>
    </r>
    <r>
      <rPr>
        <sz val="11"/>
        <color theme="1"/>
        <rFont val="Calibri"/>
        <family val="2"/>
        <scheme val="minor"/>
      </rPr>
      <t>) curve. We calculate the curve from the low-order P(</t>
    </r>
    <r>
      <rPr>
        <sz val="11"/>
        <color indexed="8"/>
        <rFont val="Symbol"/>
        <family val="1"/>
        <charset val="2"/>
      </rPr>
      <t>q</t>
    </r>
    <r>
      <rPr>
        <sz val="11"/>
        <color theme="1"/>
        <rFont val="Calibri"/>
        <family val="2"/>
        <scheme val="minor"/>
      </rPr>
      <t>) expansion, 1-q</t>
    </r>
    <r>
      <rPr>
        <vertAlign val="superscript"/>
        <sz val="11"/>
        <color indexed="8"/>
        <rFont val="Calibri"/>
        <family val="2"/>
      </rPr>
      <t>2</t>
    </r>
    <r>
      <rPr>
        <sz val="11"/>
        <color theme="1"/>
        <rFont val="Calibri"/>
        <family val="2"/>
        <scheme val="minor"/>
      </rPr>
      <t>R</t>
    </r>
    <r>
      <rPr>
        <vertAlign val="subscript"/>
        <sz val="11"/>
        <color indexed="8"/>
        <rFont val="Calibri"/>
        <family val="2"/>
      </rPr>
      <t>g</t>
    </r>
    <r>
      <rPr>
        <vertAlign val="superscript"/>
        <sz val="11"/>
        <color indexed="8"/>
        <rFont val="Calibri"/>
        <family val="2"/>
      </rPr>
      <t>2</t>
    </r>
    <r>
      <rPr>
        <sz val="11"/>
        <color theme="1"/>
        <rFont val="Calibri"/>
        <family val="2"/>
        <scheme val="minor"/>
      </rPr>
      <t>/3.</t>
    </r>
  </si>
  <si>
    <t>Caveat:</t>
  </si>
  <si>
    <t xml:space="preserve">Similar to a GUI program, it is incumbent on the user to remember to enter data, update labels, etc. </t>
  </si>
  <si>
    <t xml:space="preserve">In a good GUI program (e.g., Visual C) it is easy to flag users when data is not updated or omitted.  </t>
  </si>
  <si>
    <t>That's a little trickier in VB for Excel, but probably doable. It's just not done here, that's all.</t>
  </si>
  <si>
    <r>
      <t>Drop</t>
    </r>
    <r>
      <rPr>
        <b/>
        <sz val="11"/>
        <color rgb="FFFFFF99"/>
        <rFont val="Calibri"/>
        <family val="2"/>
      </rPr>
      <t xml:space="preserve"> </t>
    </r>
    <r>
      <rPr>
        <b/>
        <u/>
        <sz val="11"/>
        <color rgb="FFFFFF99"/>
        <rFont val="Calibri"/>
        <family val="2"/>
      </rPr>
      <t>solution</t>
    </r>
    <r>
      <rPr>
        <b/>
        <sz val="11"/>
        <color indexed="22"/>
        <rFont val="Calibri"/>
        <family val="2"/>
      </rPr>
      <t xml:space="preserve"> count rates </t>
    </r>
  </si>
  <si>
    <t xml:space="preserve">Brij </t>
  </si>
  <si>
    <r>
      <t>The master version contains data from a normalization and R</t>
    </r>
    <r>
      <rPr>
        <vertAlign val="subscript"/>
        <sz val="11"/>
        <color theme="1"/>
        <rFont val="Calibri"/>
        <family val="2"/>
        <scheme val="minor"/>
      </rPr>
      <t>g</t>
    </r>
    <r>
      <rPr>
        <sz val="11"/>
        <color theme="1"/>
        <rFont val="Calibri"/>
        <family val="2"/>
        <scheme val="minor"/>
      </rPr>
      <t xml:space="preserve"> </t>
    </r>
  </si>
  <si>
    <t>Limitation:</t>
  </si>
  <si>
    <t xml:space="preserve">In this Master document, the data are populated only for the Excelitas APD detectors. </t>
  </si>
  <si>
    <t>Rayleigh factors:</t>
  </si>
  <si>
    <t>This assertion is developed in our J. Chem. Ed. Article: (see: https://pubs.acs.org/doi/abs/10.1021/ed076p1534 ).</t>
  </si>
  <si>
    <t xml:space="preserve">Data from NormaSize can be extracted for Zimm plot creation as follows. </t>
  </si>
  <si>
    <t>1. Perform normalization as usual (or inherit a previous result by making a new copy of NormaSize)</t>
  </si>
  <si>
    <t>it's still a great way to present a snapshot of a polymer's molecular weight, size and virial coefficient.</t>
  </si>
  <si>
    <t xml:space="preserve">3. Data from the Excelitas APDs can be copy/pasted from the .ASC file into the marked boxes --&gt;   </t>
  </si>
  <si>
    <t xml:space="preserve">4. Data from the Wyatt pin photodiodes can be entered manually. At low angles, </t>
  </si>
  <si>
    <t xml:space="preserve">     it may help to average several readings (in teaching situations, several people </t>
  </si>
  <si>
    <t xml:space="preserve">    That will automatically populate the appropriate cells for those detectors</t>
  </si>
  <si>
    <t xml:space="preserve">     It is also possible to use Wyatt Astra software to record these values. Refer to the Astra manual. </t>
  </si>
  <si>
    <t>5.  The angle/intensity data are in columns D and M, respectively.</t>
  </si>
  <si>
    <t>Zimm plots:</t>
  </si>
  <si>
    <t>Angle/deg</t>
  </si>
  <si>
    <t>Detector</t>
  </si>
  <si>
    <t>Type</t>
  </si>
  <si>
    <t>Wyatt</t>
  </si>
  <si>
    <t>Blank</t>
  </si>
  <si>
    <t xml:space="preserve">The equations and figure below come from the Macro HowTo: https://macro.lsu.edu/HowTo/guide/guide.doc </t>
  </si>
  <si>
    <t xml:space="preserve">These equations are intended for rotating detectors. </t>
  </si>
  <si>
    <t>We will modify them the last one for SMALS.</t>
  </si>
  <si>
    <t xml:space="preserve">An important caveat here about using the SMALS apparatus: we have only </t>
  </si>
  <si>
    <t xml:space="preserve">listed the Rayleigh factors at 90 degrees scattering angle. There are no </t>
  </si>
  <si>
    <t xml:space="preserve">for SLS, one must still make a measurement at 90 degrees with the </t>
  </si>
  <si>
    <t xml:space="preserve">Wyatt's diode detector at that angle. </t>
  </si>
  <si>
    <t xml:space="preserve">A:RUN4157.GAL </t>
  </si>
  <si>
    <t>The name of the file</t>
  </si>
  <si>
    <t>start time</t>
  </si>
  <si>
    <t>start date</t>
  </si>
  <si>
    <t>end time</t>
  </si>
  <si>
    <t>end date</t>
  </si>
  <si>
    <r>
      <t xml:space="preserve">DOW 1683 POLYSTYRENE IN TOLUENE. . . . . . . . . . . . . . . . . . . . . . . . . . . </t>
    </r>
    <r>
      <rPr>
        <i/>
        <sz val="12"/>
        <color rgb="FF0000FF"/>
        <rFont val="Times New Roman"/>
        <family val="1"/>
      </rPr>
      <t>first label</t>
    </r>
  </si>
  <si>
    <r>
      <t xml:space="preserve">WIESLAW WORST DAY. . . . . . . . . . . . . . . . . . . . . . . . . . . . . . . . . . . . . . . </t>
    </r>
    <r>
      <rPr>
        <i/>
        <sz val="12"/>
        <color rgb="FF0000FF"/>
        <rFont val="Times New Roman"/>
        <family val="1"/>
      </rPr>
      <t>second label</t>
    </r>
  </si>
  <si>
    <t xml:space="preserve">WS. . . . . . . . </t>
  </si>
  <si>
    <t>operator</t>
  </si>
  <si>
    <t>wavelength in Angstroms</t>
  </si>
  <si>
    <t xml:space="preserve">TOLUENE. . . . . . . </t>
  </si>
  <si>
    <t>Rayleigh standard material</t>
  </si>
  <si>
    <t>refractive index of Rayleigh standard</t>
  </si>
  <si>
    <t>refractive index of solvent for the polymer solutions</t>
  </si>
  <si>
    <t>m = volume exponent (see documentation)</t>
  </si>
  <si>
    <t>lowest temperature during measurement</t>
  </si>
  <si>
    <t>highest temperature during measurement</t>
  </si>
  <si>
    <t>dark count</t>
  </si>
  <si>
    <t xml:space="preserve">Rayleigh standard intensity = Istd </t>
  </si>
  <si>
    <t>uncertainty of Istd</t>
  </si>
  <si>
    <t>angle where Rayleigh standard was measured</t>
  </si>
  <si>
    <t>number of angles = Nang</t>
  </si>
  <si>
    <t>number of concentrations = Nconc; includes solvent as c=0</t>
  </si>
  <si>
    <t>c1</t>
  </si>
  <si>
    <t>c2</t>
  </si>
  <si>
    <t>c3</t>
  </si>
  <si>
    <t>c4</t>
  </si>
  <si>
    <t>c5</t>
  </si>
  <si>
    <t>c6</t>
  </si>
  <si>
    <t>c7</t>
  </si>
  <si>
    <t>c8</t>
  </si>
  <si>
    <t>c9</t>
  </si>
  <si>
    <t xml:space="preserve"> 81428.38  97591.7  122109.7  162909.5  197399.6  252660.4  301346.8  345541.3  373001.3</t>
  </si>
  <si>
    <t xml:space="preserve"> 189.3396  1144.371  75.31445  854.0734  235.379  396.2553  522.5136  2446.77  1101.427</t>
  </si>
  <si>
    <t xml:space="preserve"> 55574.58  66837.77  84346.55  112079.5  136769.3  177428.5  214188.9  232087  261054</t>
  </si>
  <si>
    <t xml:space="preserve"> 197.434  392.5005  324.2591  173.9281  403.8692  568.4637  619.549  392.1764  669.6632</t>
  </si>
  <si>
    <t xml:space="preserve"> 43341.26  51996.1  65401.65  87735.49  106350.9  138269.6  166658.1  179940.2  203643.3</t>
  </si>
  <si>
    <t xml:space="preserve"> 239.8559  261.1551  328.7555  248.4714  564.8671  214.7371  180.5043  537.835  635.0795</t>
  </si>
  <si>
    <t xml:space="preserve"> 36311.72  43244.43  55113.06  73145.96  89001.34  116999.8  137346.4  150733.3  170081.7</t>
  </si>
  <si>
    <t xml:space="preserve"> 32257.47  38655.18  48411.66  62924.06  78320.7  102318.9  119509.9  132199.1 148991</t>
  </si>
  <si>
    <t xml:space="preserve"> 106.8938  102.5643  131.3934  215.5929  239.1338  440.27  302.6808  93.53061  286.8959</t>
  </si>
  <si>
    <t xml:space="preserve"> 28955.09  33923.45  42198.49  55891.61  68934.62  90674.13  105791.5  116571.6  131802.6</t>
  </si>
  <si>
    <t xml:space="preserve"> 150.9799  122.7043  159.0369  253.9555  388.7278  110.6202  293.2361  286.2568  516.4243</t>
  </si>
  <si>
    <t xml:space="preserve"> 27126.31  32055.37  39665.98  51456.23  62408.91  84488.31  98041.87  105803.9  122512.3</t>
  </si>
  <si>
    <t xml:space="preserve"> 95.50737  194.1532  109.4389  230.5697  135.4062  152.2081  149.2928  281.5163  146.4149</t>
  </si>
  <si>
    <t xml:space="preserve"> 29638.82  34479.8  42685.7  54635.88  67755.86  89103.03  104593  114505.7  130324.7</t>
  </si>
  <si>
    <t xml:space="preserve"> 96.0753  157.568  165.4995  108.4058  114.0652  86.36407  222.5477  229.0522  273.5556</t>
  </si>
  <si>
    <t xml:space="preserve"> 32521.76  36138.69  46225.73  59356.04  73573.95  95478.31  110844.5  122913.1  140521</t>
  </si>
  <si>
    <t xml:space="preserve"> 170.4942  112.1322  216.0858  107.3936  102.3973  236.4535  258.8731  319.9878  372.4431</t>
  </si>
  <si>
    <t>EXAMPLE FROM ROTATING ARM INSTRUMENT</t>
  </si>
  <si>
    <t xml:space="preserve"> 78.70634  234.4586  90.72663  191.5141  199.758  266.8599  273.3365  371.6528  367.2414</t>
  </si>
  <si>
    <t>first label</t>
  </si>
  <si>
    <t>second label</t>
  </si>
  <si>
    <r>
      <t xml:space="preserve">first angle; next row is intensity (c=0 &amp; up) and then </t>
    </r>
    <r>
      <rPr>
        <i/>
        <sz val="12"/>
        <color rgb="FF0000FF"/>
        <rFont val="Symbol"/>
        <family val="1"/>
        <charset val="2"/>
      </rPr>
      <t>s</t>
    </r>
    <r>
      <rPr>
        <i/>
        <sz val="12"/>
        <color rgb="FF0000FF"/>
        <rFont val="Times New Roman"/>
        <family val="1"/>
      </rPr>
      <t>intensity</t>
    </r>
  </si>
  <si>
    <t>Excess, Normalized Intensities (arbitrary units)</t>
  </si>
  <si>
    <t>Rayleigh calibration standard</t>
  </si>
  <si>
    <t>Rayleigh factor for calib. Std.</t>
  </si>
  <si>
    <t>(from Wyatt front panel display)</t>
  </si>
  <si>
    <t>Volume exponent, m</t>
  </si>
  <si>
    <t>Measured intensity Rayleigh Std at 90 deg.</t>
  </si>
  <si>
    <t xml:space="preserve">APD detectors at this angle. So, even if the plan is to use just the APD detectors </t>
  </si>
  <si>
    <r>
      <t>cm</t>
    </r>
    <r>
      <rPr>
        <vertAlign val="superscript"/>
        <sz val="11"/>
        <color theme="1"/>
        <rFont val="Calibri"/>
        <family val="2"/>
        <scheme val="minor"/>
      </rPr>
      <t>-1</t>
    </r>
  </si>
  <si>
    <r>
      <rPr>
        <sz val="11"/>
        <color theme="1"/>
        <rFont val="Colonna MT"/>
        <family val="5"/>
      </rPr>
      <t>R</t>
    </r>
    <r>
      <rPr>
        <sz val="11"/>
        <color theme="1"/>
        <rFont val="Calibri"/>
        <family val="2"/>
        <scheme val="minor"/>
      </rPr>
      <t xml:space="preserve"> in cm</t>
    </r>
    <r>
      <rPr>
        <vertAlign val="superscript"/>
        <sz val="11"/>
        <color theme="1"/>
        <rFont val="Calibri"/>
        <family val="2"/>
        <scheme val="minor"/>
      </rPr>
      <t>-1</t>
    </r>
  </si>
  <si>
    <r>
      <t xml:space="preserve">  28.07 x 10</t>
    </r>
    <r>
      <rPr>
        <vertAlign val="superscript"/>
        <sz val="10"/>
        <color theme="1"/>
        <rFont val="Calibri"/>
        <family val="2"/>
        <scheme val="minor"/>
      </rPr>
      <t>-6</t>
    </r>
    <r>
      <rPr>
        <sz val="10"/>
        <color theme="1"/>
        <rFont val="Calibri"/>
        <family val="2"/>
        <scheme val="minor"/>
      </rPr>
      <t xml:space="preserve"> cm</t>
    </r>
    <r>
      <rPr>
        <vertAlign val="superscript"/>
        <sz val="10"/>
        <color theme="1"/>
        <rFont val="Calibri"/>
        <family val="2"/>
        <scheme val="minor"/>
      </rPr>
      <t>-1</t>
    </r>
    <r>
      <rPr>
        <sz val="10"/>
        <color theme="1"/>
        <rFont val="Calibri"/>
        <family val="2"/>
        <scheme val="minor"/>
      </rPr>
      <t xml:space="preserve"> @ 532 nm (Frequency doubled diode)</t>
    </r>
  </si>
  <si>
    <r>
      <t xml:space="preserve">  32.08 x 10</t>
    </r>
    <r>
      <rPr>
        <vertAlign val="superscript"/>
        <sz val="10"/>
        <color theme="1"/>
        <rFont val="Calibri"/>
        <family val="2"/>
        <scheme val="minor"/>
      </rPr>
      <t>-6</t>
    </r>
    <r>
      <rPr>
        <sz val="10"/>
        <color theme="1"/>
        <rFont val="Calibri"/>
        <family val="2"/>
        <scheme val="minor"/>
      </rPr>
      <t xml:space="preserve"> cm</t>
    </r>
    <r>
      <rPr>
        <vertAlign val="superscript"/>
        <sz val="10"/>
        <color theme="1"/>
        <rFont val="Calibri"/>
        <family val="2"/>
        <scheme val="minor"/>
      </rPr>
      <t>-1</t>
    </r>
    <r>
      <rPr>
        <sz val="10"/>
        <color theme="1"/>
        <rFont val="Calibri"/>
        <family val="2"/>
        <scheme val="minor"/>
      </rPr>
      <t xml:space="preserve"> @ 514.5 nm (Argon ion green)</t>
    </r>
  </si>
  <si>
    <r>
      <t xml:space="preserve">  39.64 x 10</t>
    </r>
    <r>
      <rPr>
        <vertAlign val="superscript"/>
        <sz val="10"/>
        <color theme="1"/>
        <rFont val="Calibri"/>
        <family val="2"/>
        <scheme val="minor"/>
      </rPr>
      <t>-6</t>
    </r>
    <r>
      <rPr>
        <sz val="10"/>
        <color theme="1"/>
        <rFont val="Calibri"/>
        <family val="2"/>
        <scheme val="minor"/>
      </rPr>
      <t xml:space="preserve"> cm</t>
    </r>
    <r>
      <rPr>
        <vertAlign val="superscript"/>
        <sz val="10"/>
        <color theme="1"/>
        <rFont val="Calibri"/>
        <family val="2"/>
        <scheme val="minor"/>
      </rPr>
      <t>-1</t>
    </r>
    <r>
      <rPr>
        <sz val="10"/>
        <color theme="1"/>
        <rFont val="Calibri"/>
        <family val="2"/>
        <scheme val="minor"/>
      </rPr>
      <t xml:space="preserve"> @ 488 nm (Argon ion blue)</t>
    </r>
  </si>
  <si>
    <r>
      <t>R</t>
    </r>
    <r>
      <rPr>
        <vertAlign val="subscript"/>
        <sz val="11"/>
        <color theme="1"/>
        <rFont val="Calibri  "/>
      </rPr>
      <t>tol,Uv</t>
    </r>
    <r>
      <rPr>
        <sz val="11"/>
        <color theme="1"/>
        <rFont val="Calibri  "/>
      </rPr>
      <t xml:space="preserve"> =     </t>
    </r>
  </si>
  <si>
    <r>
      <t xml:space="preserve">  14.02 x 10</t>
    </r>
    <r>
      <rPr>
        <vertAlign val="superscript"/>
        <sz val="10"/>
        <color theme="1"/>
        <rFont val="Calibri"/>
        <family val="2"/>
        <scheme val="minor"/>
      </rPr>
      <t>-6</t>
    </r>
    <r>
      <rPr>
        <sz val="10"/>
        <color theme="1"/>
        <rFont val="Calibri"/>
        <family val="2"/>
        <scheme val="minor"/>
      </rPr>
      <t xml:space="preserve"> cm</t>
    </r>
    <r>
      <rPr>
        <vertAlign val="superscript"/>
        <sz val="10"/>
        <color theme="1"/>
        <rFont val="Calibri"/>
        <family val="2"/>
        <scheme val="minor"/>
      </rPr>
      <t>-1</t>
    </r>
    <r>
      <rPr>
        <sz val="10"/>
        <color theme="1"/>
        <rFont val="Calibri"/>
        <family val="2"/>
        <scheme val="minor"/>
      </rPr>
      <t xml:space="preserve"> @ 632.8 nm (HeNe red)</t>
    </r>
  </si>
  <si>
    <t xml:space="preserve">These values were calculated using </t>
  </si>
  <si>
    <r>
      <t xml:space="preserve">assuming </t>
    </r>
    <r>
      <rPr>
        <sz val="11"/>
        <color theme="1"/>
        <rFont val="Symbol"/>
        <family val="1"/>
        <charset val="2"/>
      </rPr>
      <t>r</t>
    </r>
    <r>
      <rPr>
        <vertAlign val="subscript"/>
        <sz val="11"/>
        <color theme="1"/>
        <rFont val="Calibri"/>
        <family val="2"/>
        <scheme val="minor"/>
      </rPr>
      <t>u</t>
    </r>
    <r>
      <rPr>
        <sz val="11"/>
        <color theme="1"/>
        <rFont val="Calibri"/>
        <family val="2"/>
        <scheme val="minor"/>
      </rPr>
      <t xml:space="preserve"> = 0.495 from the data collected by Hu</t>
    </r>
  </si>
  <si>
    <t xml:space="preserve">The dispersion equation is from: </t>
  </si>
  <si>
    <r>
      <t>Moutzouris, K., Papamichael, M., Betsis, S.C. </t>
    </r>
    <r>
      <rPr>
        <i/>
        <sz val="9"/>
        <color rgb="FF222222"/>
        <rFont val="Arial"/>
        <family val="2"/>
      </rPr>
      <t>et al.</t>
    </r>
    <r>
      <rPr>
        <sz val="9"/>
        <color rgb="FF222222"/>
        <rFont val="Arial"/>
        <family val="2"/>
      </rPr>
      <t> Refractive, dispersive and thermo-optic properties of twelve organic solvents in the visible and near-infrared. </t>
    </r>
    <r>
      <rPr>
        <i/>
        <sz val="9"/>
        <color rgb="FF222222"/>
        <rFont val="Arial"/>
        <family val="2"/>
      </rPr>
      <t>Appl. Phys. B</t>
    </r>
    <r>
      <rPr>
        <sz val="9"/>
        <color rgb="FF222222"/>
        <rFont val="Arial"/>
        <family val="2"/>
      </rPr>
      <t> </t>
    </r>
    <r>
      <rPr>
        <b/>
        <sz val="9"/>
        <color rgb="FF222222"/>
        <rFont val="Arial"/>
        <family val="2"/>
      </rPr>
      <t>116</t>
    </r>
    <r>
      <rPr>
        <sz val="9"/>
        <color rgb="FF222222"/>
        <rFont val="Arial"/>
        <family val="2"/>
      </rPr>
      <t>, 617–622 (2014). https://doi.org/10.1007/s00340-013-5744-3</t>
    </r>
  </si>
  <si>
    <r>
      <t>A</t>
    </r>
    <r>
      <rPr>
        <vertAlign val="subscript"/>
        <sz val="11"/>
        <color theme="1"/>
        <rFont val="Calibri"/>
        <family val="2"/>
        <scheme val="minor"/>
      </rPr>
      <t>0</t>
    </r>
  </si>
  <si>
    <r>
      <t>A</t>
    </r>
    <r>
      <rPr>
        <vertAlign val="subscript"/>
        <sz val="11"/>
        <color theme="1"/>
        <rFont val="Calibri"/>
        <family val="2"/>
        <scheme val="minor"/>
      </rPr>
      <t>1</t>
    </r>
  </si>
  <si>
    <r>
      <t>A</t>
    </r>
    <r>
      <rPr>
        <vertAlign val="subscript"/>
        <sz val="11"/>
        <color theme="1"/>
        <rFont val="Calibri"/>
        <family val="2"/>
        <scheme val="minor"/>
      </rPr>
      <t>2</t>
    </r>
  </si>
  <si>
    <r>
      <t>A</t>
    </r>
    <r>
      <rPr>
        <vertAlign val="subscript"/>
        <sz val="11"/>
        <color theme="1"/>
        <rFont val="Calibri"/>
        <family val="2"/>
        <scheme val="minor"/>
      </rPr>
      <t>3</t>
    </r>
  </si>
  <si>
    <r>
      <t>A</t>
    </r>
    <r>
      <rPr>
        <vertAlign val="subscript"/>
        <sz val="11"/>
        <color theme="1"/>
        <rFont val="Calibri"/>
        <family val="2"/>
        <scheme val="minor"/>
      </rPr>
      <t>4</t>
    </r>
  </si>
  <si>
    <t xml:space="preserve">(633/488)^4 = </t>
  </si>
  <si>
    <t xml:space="preserve">(633/488)^4.17 = </t>
  </si>
  <si>
    <t>See values in N11 - N15 for common wavelengths</t>
  </si>
  <si>
    <t>* H. Wu, Chemical Physics 367 (1), 44-47 (2010), https://doi.org/10.1016/j.chemphys.2009.10.019</t>
  </si>
  <si>
    <r>
      <t xml:space="preserve">&lt;&lt; use </t>
    </r>
    <r>
      <rPr>
        <sz val="11"/>
        <color theme="1"/>
        <rFont val="Symbol"/>
        <family val="1"/>
        <charset val="2"/>
      </rPr>
      <t>l</t>
    </r>
    <r>
      <rPr>
        <vertAlign val="subscript"/>
        <sz val="11"/>
        <color theme="1"/>
        <rFont val="Calibri"/>
        <family val="2"/>
        <scheme val="minor"/>
      </rPr>
      <t>o</t>
    </r>
    <r>
      <rPr>
        <sz val="11"/>
        <color theme="1"/>
        <rFont val="Calibri"/>
        <family val="2"/>
        <scheme val="minor"/>
      </rPr>
      <t xml:space="preserve"> not </t>
    </r>
    <r>
      <rPr>
        <sz val="11"/>
        <color theme="1"/>
        <rFont val="Symbol"/>
        <family val="1"/>
        <charset val="2"/>
      </rPr>
      <t>l</t>
    </r>
    <r>
      <rPr>
        <sz val="11"/>
        <color theme="1"/>
        <rFont val="Calibri"/>
        <family val="2"/>
        <scheme val="minor"/>
      </rPr>
      <t xml:space="preserve"> in all these expressions</t>
    </r>
  </si>
  <si>
    <t>%</t>
  </si>
  <si>
    <t>The 4.17 exponent values in N11 - N15 compare reasonably well to the 4.0 exponent values in K2 - K5</t>
  </si>
  <si>
    <r>
      <t>Using the normalization, you can then push ahead to measure R</t>
    </r>
    <r>
      <rPr>
        <vertAlign val="subscript"/>
        <sz val="11"/>
        <color theme="1"/>
        <rFont val="Calibri"/>
        <family val="2"/>
        <scheme val="minor"/>
      </rPr>
      <t>g</t>
    </r>
    <r>
      <rPr>
        <sz val="11"/>
        <color theme="1"/>
        <rFont val="Calibri"/>
        <family val="2"/>
        <scheme val="minor"/>
      </rPr>
      <t xml:space="preserve"> using the law of Guinier </t>
    </r>
  </si>
  <si>
    <t xml:space="preserve">The SMALS instrument has two kinds of detectors: Wyatt pin photodiodes plus </t>
  </si>
  <si>
    <t>Excelitas avalanche photodiode light sensors selected for DLS performance by ALV.</t>
  </si>
  <si>
    <t xml:space="preserve">The objective of normalization is to figure out what factor puts the measured intensities for the  </t>
  </si>
  <si>
    <r>
      <t xml:space="preserve">Drop </t>
    </r>
    <r>
      <rPr>
        <b/>
        <u/>
        <sz val="11"/>
        <color rgb="FFFFFF99"/>
        <rFont val="Calibri"/>
        <family val="2"/>
      </rPr>
      <t>solution</t>
    </r>
    <r>
      <rPr>
        <b/>
        <sz val="11"/>
        <color indexed="22"/>
        <rFont val="Calibri"/>
        <family val="2"/>
      </rPr>
      <t xml:space="preserve"> count rates </t>
    </r>
  </si>
  <si>
    <t xml:space="preserve">Read the ALV's front panel display for the laser monitor and all angles by gently pressing the selection button; </t>
  </si>
  <si>
    <t xml:space="preserve">Enter your name and date in the appropriate green cells. </t>
  </si>
  <si>
    <t xml:space="preserve">Enter "Y' or "N" in F6 to indicate whether or not beamstop was used. </t>
  </si>
  <si>
    <t>Enter the name of normalization standard in F3.</t>
  </si>
  <si>
    <r>
      <rPr>
        <sz val="10"/>
        <color theme="1"/>
        <rFont val="Symbol"/>
        <family val="1"/>
        <charset val="2"/>
      </rPr>
      <t>l</t>
    </r>
    <r>
      <rPr>
        <vertAlign val="subscript"/>
        <sz val="10"/>
        <color theme="1"/>
        <rFont val="Symbol"/>
        <family val="1"/>
        <charset val="2"/>
      </rPr>
      <t>o</t>
    </r>
    <r>
      <rPr>
        <sz val="10"/>
        <color theme="1"/>
        <rFont val="Symbol"/>
        <family val="1"/>
        <charset val="2"/>
      </rPr>
      <t>/</t>
    </r>
    <r>
      <rPr>
        <sz val="10"/>
        <color theme="1"/>
        <rFont val="Calibri "/>
      </rPr>
      <t>nm</t>
    </r>
    <r>
      <rPr>
        <sz val="10"/>
        <color theme="1"/>
        <rFont val="Calibri"/>
        <family val="2"/>
        <scheme val="minor"/>
      </rPr>
      <t xml:space="preserve"> </t>
    </r>
  </si>
  <si>
    <t>Almost always toluene</t>
  </si>
  <si>
    <t xml:space="preserve"> </t>
  </si>
  <si>
    <t>TO USE:</t>
  </si>
  <si>
    <r>
      <t>Normally, this will give you the automatic cumulants Gamma value, a R</t>
    </r>
    <r>
      <rPr>
        <vertAlign val="subscript"/>
        <sz val="11"/>
        <color theme="1"/>
        <rFont val="Calibri"/>
        <family val="2"/>
        <scheme val="minor"/>
      </rPr>
      <t>h</t>
    </r>
    <r>
      <rPr>
        <sz val="11"/>
        <color theme="1"/>
        <rFont val="Calibri"/>
        <family val="2"/>
        <scheme val="minor"/>
      </rPr>
      <t xml:space="preserve"> value, and intensities for each APD detector. Copy the intensities.</t>
    </r>
  </si>
  <si>
    <t>SIZE MEASUREMENT OF A DISSOLVED SOLUTE</t>
  </si>
  <si>
    <t>NORMALIZATION USING A SOLUTION (E.G., BSA, BRIJ MICROEMULSION OR PS/TOL)</t>
  </si>
  <si>
    <t xml:space="preserve">Make a DLS run on your normalization solution, save as .ASC file. </t>
  </si>
  <si>
    <t>A Guinier plot or similar should give you the SLS size.</t>
  </si>
  <si>
    <r>
      <t>You can enter the solute's R</t>
    </r>
    <r>
      <rPr>
        <vertAlign val="subscript"/>
        <sz val="11"/>
        <color theme="1"/>
        <rFont val="Calibri"/>
        <family val="2"/>
        <scheme val="minor"/>
      </rPr>
      <t>h</t>
    </r>
    <r>
      <rPr>
        <sz val="11"/>
        <color theme="1"/>
        <rFont val="Calibri"/>
        <family val="2"/>
        <scheme val="minor"/>
      </rPr>
      <t xml:space="preserve"> value from DLS in cell J7; a DLS-based R</t>
    </r>
    <r>
      <rPr>
        <vertAlign val="subscript"/>
        <sz val="11"/>
        <color theme="1"/>
        <rFont val="Calibri"/>
        <family val="2"/>
        <scheme val="minor"/>
      </rPr>
      <t>g</t>
    </r>
    <r>
      <rPr>
        <sz val="11"/>
        <color theme="1"/>
        <rFont val="Calibri"/>
        <family val="2"/>
        <scheme val="minor"/>
      </rPr>
      <t xml:space="preserve"> estimate will be calculated automatically from a sphere model, </t>
    </r>
  </si>
  <si>
    <r>
      <t>along with comparisons to wavelength and the P(</t>
    </r>
    <r>
      <rPr>
        <sz val="11"/>
        <color theme="1"/>
        <rFont val="Symbol"/>
        <family val="1"/>
        <charset val="2"/>
      </rPr>
      <t>q</t>
    </r>
    <r>
      <rPr>
        <sz val="11"/>
        <color theme="1"/>
        <rFont val="Calibri"/>
        <family val="2"/>
        <scheme val="minor"/>
      </rPr>
      <t xml:space="preserve">) estimate at max angle; these will tell you whether there is hope of getting a useful size. </t>
    </r>
  </si>
  <si>
    <r>
      <t>R</t>
    </r>
    <r>
      <rPr>
        <vertAlign val="subscript"/>
        <sz val="11"/>
        <color indexed="8"/>
        <rFont val="Calibri"/>
        <family val="2"/>
      </rPr>
      <t>g</t>
    </r>
    <r>
      <rPr>
        <sz val="11"/>
        <color theme="1"/>
        <rFont val="Calibri"/>
        <family val="2"/>
        <scheme val="minor"/>
      </rPr>
      <t xml:space="preserve"> estimate (sphere)</t>
    </r>
  </si>
  <si>
    <r>
      <t>q</t>
    </r>
    <r>
      <rPr>
        <vertAlign val="subscript"/>
        <sz val="11"/>
        <color indexed="8"/>
        <rFont val="Calibri"/>
        <family val="2"/>
      </rPr>
      <t>max</t>
    </r>
    <r>
      <rPr>
        <sz val="11"/>
        <color rgb="FF000000"/>
        <rFont val="Calibri"/>
        <family val="2"/>
      </rPr>
      <t>*Estimated</t>
    </r>
    <r>
      <rPr>
        <vertAlign val="subscript"/>
        <sz val="11"/>
        <color indexed="8"/>
        <rFont val="Calibri"/>
        <family val="2"/>
      </rPr>
      <t xml:space="preserve"> </t>
    </r>
    <r>
      <rPr>
        <sz val="11"/>
        <color theme="1"/>
        <rFont val="Calibri"/>
        <family val="2"/>
        <scheme val="minor"/>
      </rPr>
      <t>R</t>
    </r>
    <r>
      <rPr>
        <vertAlign val="subscript"/>
        <sz val="11"/>
        <color indexed="8"/>
        <rFont val="Calibri"/>
        <family val="2"/>
      </rPr>
      <t>g</t>
    </r>
    <r>
      <rPr>
        <sz val="11"/>
        <color theme="1"/>
        <rFont val="Calibri"/>
        <family val="2"/>
        <scheme val="minor"/>
      </rPr>
      <t xml:space="preserve"> </t>
    </r>
  </si>
  <si>
    <r>
      <t>1-(q</t>
    </r>
    <r>
      <rPr>
        <vertAlign val="subscript"/>
        <sz val="11"/>
        <color indexed="8"/>
        <rFont val="Calibri"/>
        <family val="2"/>
      </rPr>
      <t>max</t>
    </r>
    <r>
      <rPr>
        <sz val="11"/>
        <color rgb="FF000000"/>
        <rFont val="Calibri"/>
        <family val="2"/>
      </rPr>
      <t>*estimated</t>
    </r>
    <r>
      <rPr>
        <vertAlign val="subscript"/>
        <sz val="11"/>
        <color indexed="8"/>
        <rFont val="Calibri"/>
        <family val="2"/>
      </rPr>
      <t xml:space="preserve"> </t>
    </r>
    <r>
      <rPr>
        <sz val="11"/>
        <color theme="1"/>
        <rFont val="Calibri"/>
        <family val="2"/>
        <scheme val="minor"/>
      </rPr>
      <t>R</t>
    </r>
    <r>
      <rPr>
        <vertAlign val="subscript"/>
        <sz val="11"/>
        <color indexed="8"/>
        <rFont val="Calibri"/>
        <family val="2"/>
      </rPr>
      <t>g</t>
    </r>
    <r>
      <rPr>
        <sz val="11"/>
        <color theme="1"/>
        <rFont val="Calibri"/>
        <family val="2"/>
        <scheme val="minor"/>
      </rPr>
      <t>)</t>
    </r>
    <r>
      <rPr>
        <vertAlign val="superscript"/>
        <sz val="11"/>
        <color indexed="8"/>
        <rFont val="Calibri"/>
        <family val="2"/>
      </rPr>
      <t>2</t>
    </r>
    <r>
      <rPr>
        <sz val="11"/>
        <color theme="1"/>
        <rFont val="Calibri"/>
        <family val="2"/>
        <scheme val="minor"/>
      </rPr>
      <t>/3</t>
    </r>
  </si>
  <si>
    <t>Will SLS work?</t>
  </si>
  <si>
    <t>Select the NormStandard sheet; paste the intensities from .ASC file into the yellow cells (cursor on Q16). The ALV results are automatically copied where they need to go.</t>
  </si>
  <si>
    <t xml:space="preserve">type the results into the blue cells in column H. </t>
  </si>
  <si>
    <r>
      <t>Enter the R</t>
    </r>
    <r>
      <rPr>
        <vertAlign val="subscript"/>
        <sz val="11"/>
        <color indexed="8"/>
        <rFont val="Calibri"/>
        <family val="2"/>
      </rPr>
      <t>h</t>
    </r>
    <r>
      <rPr>
        <sz val="11"/>
        <color theme="1"/>
        <rFont val="Calibri"/>
        <family val="2"/>
        <scheme val="minor"/>
      </rPr>
      <t xml:space="preserve"> value (from .ASC file's automatic cumulant zone or any other analysis) into the K7 cell.</t>
    </r>
  </si>
  <si>
    <t xml:space="preserve">Repeat the previous 2 steps for the normalization standard's solvent (usually a much weaker scatterer) blue cells of column K. </t>
  </si>
  <si>
    <t xml:space="preserve"> but paste intensites to cell T16 and type the panel readings into</t>
  </si>
  <si>
    <t>Select the Conc1 sheet &amp; measure your solution and solvent. For the ALV APD readings, enter intensities in cells O16 or R16, respectively.</t>
  </si>
  <si>
    <t>For the Wyatt diode detectors enter the front panel readings in the blue cells of columns G and J, respectively.</t>
  </si>
  <si>
    <r>
      <t>Then you can get R</t>
    </r>
    <r>
      <rPr>
        <vertAlign val="subscript"/>
        <sz val="11"/>
        <color theme="1"/>
        <rFont val="Calibri"/>
        <family val="2"/>
        <scheme val="minor"/>
      </rPr>
      <t>g</t>
    </r>
    <r>
      <rPr>
        <sz val="11"/>
        <color theme="1"/>
        <rFont val="Calibri"/>
        <family val="2"/>
        <scheme val="minor"/>
      </rPr>
      <t>/R</t>
    </r>
    <r>
      <rPr>
        <vertAlign val="subscript"/>
        <sz val="11"/>
        <color theme="1"/>
        <rFont val="Calibri"/>
        <family val="2"/>
        <scheme val="minor"/>
      </rPr>
      <t>h</t>
    </r>
    <r>
      <rPr>
        <sz val="11"/>
        <color theme="1"/>
        <rFont val="Calibri"/>
        <family val="2"/>
        <scheme val="minor"/>
      </rPr>
      <t xml:space="preserve"> for shape analysis (e.g., should be sqrt(3/5) for solid, uniform spheres).</t>
    </r>
  </si>
  <si>
    <t>REPEAT FOR EACH CONCENTRATION</t>
  </si>
  <si>
    <t>EXTRAPOLATE THE SIZE RESULTS TO c = 0</t>
  </si>
  <si>
    <t xml:space="preserve">It has been many years since the Zimm plot was an efficient way to process SLS data, but </t>
  </si>
  <si>
    <t>2. Measure the sample and solvent as described above and briefly repeated below.</t>
  </si>
  <si>
    <t xml:space="preserve">     can provide a reading). </t>
  </si>
  <si>
    <r>
      <t>q/cm</t>
    </r>
    <r>
      <rPr>
        <b/>
        <vertAlign val="superscript"/>
        <sz val="11"/>
        <color theme="1"/>
        <rFont val="Calibri"/>
        <family val="2"/>
        <scheme val="minor"/>
      </rPr>
      <t>-1</t>
    </r>
  </si>
  <si>
    <r>
      <t>q</t>
    </r>
    <r>
      <rPr>
        <b/>
        <vertAlign val="superscript"/>
        <sz val="11"/>
        <color theme="1"/>
        <rFont val="Calibri"/>
        <family val="2"/>
        <scheme val="minor"/>
      </rPr>
      <t>2</t>
    </r>
    <r>
      <rPr>
        <b/>
        <sz val="11"/>
        <color theme="1"/>
        <rFont val="Calibri"/>
        <family val="2"/>
        <scheme val="minor"/>
      </rPr>
      <t>/cm</t>
    </r>
    <r>
      <rPr>
        <b/>
        <vertAlign val="superscript"/>
        <sz val="11"/>
        <color theme="1"/>
        <rFont val="Calibri"/>
        <family val="2"/>
        <scheme val="minor"/>
      </rPr>
      <t>-2</t>
    </r>
  </si>
  <si>
    <r>
      <t>c1/g.mL</t>
    </r>
    <r>
      <rPr>
        <b/>
        <vertAlign val="superscript"/>
        <sz val="11"/>
        <color theme="1"/>
        <rFont val="Calibri"/>
        <family val="2"/>
        <scheme val="minor"/>
      </rPr>
      <t>-1</t>
    </r>
  </si>
  <si>
    <r>
      <t>c2/g.mL</t>
    </r>
    <r>
      <rPr>
        <b/>
        <vertAlign val="superscript"/>
        <sz val="11"/>
        <color theme="1"/>
        <rFont val="Calibri"/>
        <family val="2"/>
        <scheme val="minor"/>
      </rPr>
      <t>-1</t>
    </r>
  </si>
  <si>
    <r>
      <t>c3/g.mL</t>
    </r>
    <r>
      <rPr>
        <b/>
        <vertAlign val="superscript"/>
        <sz val="11"/>
        <color theme="1"/>
        <rFont val="Calibri"/>
        <family val="2"/>
        <scheme val="minor"/>
      </rPr>
      <t>-1</t>
    </r>
  </si>
  <si>
    <r>
      <t>c4/g.mL</t>
    </r>
    <r>
      <rPr>
        <b/>
        <vertAlign val="superscript"/>
        <sz val="11"/>
        <color theme="1"/>
        <rFont val="Calibri"/>
        <family val="2"/>
        <scheme val="minor"/>
      </rPr>
      <t>-1</t>
    </r>
  </si>
  <si>
    <r>
      <t>c5/g.mL</t>
    </r>
    <r>
      <rPr>
        <b/>
        <vertAlign val="superscript"/>
        <sz val="11"/>
        <color theme="1"/>
        <rFont val="Calibri"/>
        <family val="2"/>
        <scheme val="minor"/>
      </rPr>
      <t>-1</t>
    </r>
  </si>
  <si>
    <r>
      <t>c6/g.mL</t>
    </r>
    <r>
      <rPr>
        <b/>
        <vertAlign val="superscript"/>
        <sz val="11"/>
        <color theme="1"/>
        <rFont val="Calibri"/>
        <family val="2"/>
        <scheme val="minor"/>
      </rPr>
      <t>-1</t>
    </r>
  </si>
  <si>
    <r>
      <t>c7/g.mL</t>
    </r>
    <r>
      <rPr>
        <b/>
        <vertAlign val="superscript"/>
        <sz val="11"/>
        <color theme="1"/>
        <rFont val="Calibri"/>
        <family val="2"/>
        <scheme val="minor"/>
      </rPr>
      <t>-1</t>
    </r>
  </si>
  <si>
    <r>
      <t>c8/g.mL</t>
    </r>
    <r>
      <rPr>
        <b/>
        <vertAlign val="superscript"/>
        <sz val="11"/>
        <color theme="1"/>
        <rFont val="Calibri"/>
        <family val="2"/>
        <scheme val="minor"/>
      </rPr>
      <t>-1</t>
    </r>
  </si>
  <si>
    <t>&lt;&lt;</t>
  </si>
  <si>
    <r>
      <t>Excess Rayleigh factors in cm</t>
    </r>
    <r>
      <rPr>
        <b/>
        <vertAlign val="superscript"/>
        <sz val="11"/>
        <color theme="1"/>
        <rFont val="Calibri"/>
        <family val="2"/>
        <scheme val="minor"/>
      </rPr>
      <t>-1</t>
    </r>
  </si>
  <si>
    <r>
      <t>Kc/Excess Rayleigh factor in mol.g</t>
    </r>
    <r>
      <rPr>
        <b/>
        <vertAlign val="superscript"/>
        <sz val="11"/>
        <color theme="1"/>
        <rFont val="Calibri"/>
        <family val="2"/>
        <scheme val="minor"/>
      </rPr>
      <t>-1</t>
    </r>
  </si>
  <si>
    <t>mL/g</t>
  </si>
  <si>
    <r>
      <t>k</t>
    </r>
    <r>
      <rPr>
        <b/>
        <vertAlign val="subscript"/>
        <sz val="11"/>
        <color theme="1"/>
        <rFont val="Calibri"/>
        <family val="2"/>
        <scheme val="minor"/>
      </rPr>
      <t>scale</t>
    </r>
    <r>
      <rPr>
        <b/>
        <sz val="11"/>
        <color theme="1"/>
        <rFont val="Calibri"/>
        <family val="2"/>
        <scheme val="minor"/>
      </rPr>
      <t>:</t>
    </r>
  </si>
  <si>
    <t>April 5, 2024 Brij</t>
  </si>
  <si>
    <t>April 5, 2024 Dirty Water</t>
  </si>
  <si>
    <r>
      <t>cm</t>
    </r>
    <r>
      <rPr>
        <vertAlign val="superscript"/>
        <sz val="11"/>
        <color theme="1"/>
        <rFont val="Calibri"/>
        <family val="2"/>
        <scheme val="minor"/>
      </rPr>
      <t>-1</t>
    </r>
    <r>
      <rPr>
        <sz val="11"/>
        <color theme="1"/>
        <rFont val="Calibri"/>
        <family val="2"/>
        <scheme val="minor"/>
      </rPr>
      <t>; reminder:</t>
    </r>
  </si>
  <si>
    <t>refractive index dispersion by Wu* and the values claimed for toluene are:</t>
  </si>
  <si>
    <t>Uu geometry*</t>
  </si>
  <si>
    <t>Uv geometry (** our own calculation, based on Wu's collection of literature data, adjusted from Uu to Uv)</t>
  </si>
  <si>
    <r>
      <t>** R</t>
    </r>
    <r>
      <rPr>
        <vertAlign val="subscript"/>
        <sz val="11"/>
        <color theme="1"/>
        <rFont val="Calibri"/>
        <family val="2"/>
        <scheme val="minor"/>
      </rPr>
      <t xml:space="preserve">Uv  </t>
    </r>
    <r>
      <rPr>
        <sz val="11"/>
        <color theme="1"/>
        <rFont val="Calibri"/>
        <family val="2"/>
        <scheme val="minor"/>
      </rPr>
      <t>analysis from our own WavelengthDispersion spreadsheet &amp; associated Origin non-linear fit to data with error bars</t>
    </r>
  </si>
  <si>
    <t>Should they? Yes...here is how a 4.0 and 4.17 exponent differ.</t>
  </si>
  <si>
    <t>% Difference</t>
  </si>
  <si>
    <t>See our spreadsheet WavelengthDispersion.xlsx and associated Origin files RayleighVsWavelength.opj (2 files with different error assumptions)</t>
  </si>
  <si>
    <r>
      <rPr>
        <b/>
        <sz val="14"/>
        <color theme="1"/>
        <rFont val="Colonna MT"/>
        <family val="5"/>
      </rPr>
      <t>R</t>
    </r>
    <r>
      <rPr>
        <b/>
        <vertAlign val="subscript"/>
        <sz val="14"/>
        <color theme="1"/>
        <rFont val="Colonna MT"/>
        <family val="5"/>
      </rPr>
      <t>tol,Uu</t>
    </r>
    <r>
      <rPr>
        <b/>
        <sz val="11"/>
        <color theme="1"/>
        <rFont val="Calibri"/>
        <family val="2"/>
        <scheme val="minor"/>
      </rPr>
      <t xml:space="preserve"> = 4.9 x 10</t>
    </r>
    <r>
      <rPr>
        <b/>
        <vertAlign val="superscript"/>
        <sz val="11"/>
        <color theme="1"/>
        <rFont val="Calibri"/>
        <family val="2"/>
        <scheme val="minor"/>
      </rPr>
      <t>6</t>
    </r>
    <r>
      <rPr>
        <b/>
        <sz val="11"/>
        <color theme="1"/>
        <rFont val="Calibri"/>
        <family val="2"/>
        <scheme val="minor"/>
      </rPr>
      <t xml:space="preserve"> /</t>
    </r>
    <r>
      <rPr>
        <b/>
        <sz val="11"/>
        <color theme="1"/>
        <rFont val="Symbol"/>
        <family val="1"/>
        <charset val="2"/>
      </rPr>
      <t>l</t>
    </r>
    <r>
      <rPr>
        <b/>
        <vertAlign val="subscript"/>
        <sz val="11"/>
        <color theme="1"/>
        <rFont val="Symbol"/>
        <family val="1"/>
        <charset val="2"/>
      </rPr>
      <t>o</t>
    </r>
    <r>
      <rPr>
        <b/>
        <vertAlign val="superscript"/>
        <sz val="11"/>
        <color theme="1"/>
        <rFont val="Calibri"/>
        <family val="2"/>
        <scheme val="minor"/>
      </rPr>
      <t>4.17</t>
    </r>
    <r>
      <rPr>
        <b/>
        <sz val="11"/>
        <color theme="1"/>
        <rFont val="Calibri"/>
        <family val="5"/>
        <scheme val="minor"/>
      </rPr>
      <t xml:space="preserve">  *</t>
    </r>
  </si>
  <si>
    <r>
      <t>in cm</t>
    </r>
    <r>
      <rPr>
        <b/>
        <vertAlign val="superscript"/>
        <sz val="11"/>
        <color theme="1"/>
        <rFont val="Calibri"/>
        <family val="2"/>
        <scheme val="minor"/>
      </rPr>
      <t>-1</t>
    </r>
    <r>
      <rPr>
        <b/>
        <sz val="11"/>
        <color theme="1"/>
        <rFont val="Calibri"/>
        <family val="2"/>
        <scheme val="minor"/>
      </rPr>
      <t xml:space="preserve"> with </t>
    </r>
    <r>
      <rPr>
        <b/>
        <sz val="11"/>
        <color theme="1"/>
        <rFont val="Symbol"/>
        <family val="1"/>
        <charset val="2"/>
      </rPr>
      <t>l</t>
    </r>
    <r>
      <rPr>
        <b/>
        <vertAlign val="subscript"/>
        <sz val="11"/>
        <color theme="1"/>
        <rFont val="Symbol"/>
        <family val="1"/>
        <charset val="2"/>
      </rPr>
      <t>o</t>
    </r>
    <r>
      <rPr>
        <b/>
        <sz val="11"/>
        <color theme="1"/>
        <rFont val="Calibri"/>
        <family val="2"/>
        <scheme val="minor"/>
      </rPr>
      <t xml:space="preserve"> given in nm</t>
    </r>
  </si>
  <si>
    <r>
      <rPr>
        <b/>
        <sz val="14"/>
        <color theme="1"/>
        <rFont val="Colonna MT"/>
        <family val="5"/>
      </rPr>
      <t>R</t>
    </r>
    <r>
      <rPr>
        <b/>
        <vertAlign val="subscript"/>
        <sz val="14"/>
        <color theme="1"/>
        <rFont val="Colonna MT"/>
        <family val="5"/>
      </rPr>
      <t>tol,Uv</t>
    </r>
    <r>
      <rPr>
        <b/>
        <sz val="14"/>
        <color theme="1"/>
        <rFont val="Calibri"/>
        <family val="2"/>
        <scheme val="minor"/>
      </rPr>
      <t xml:space="preserve"> </t>
    </r>
    <r>
      <rPr>
        <b/>
        <sz val="11"/>
        <color theme="1"/>
        <rFont val="Calibri"/>
        <family val="2"/>
        <scheme val="minor"/>
      </rPr>
      <t>= 6.653 x 10</t>
    </r>
    <r>
      <rPr>
        <b/>
        <vertAlign val="superscript"/>
        <sz val="11"/>
        <color theme="1"/>
        <rFont val="Calibri"/>
        <family val="2"/>
        <scheme val="minor"/>
      </rPr>
      <t>6</t>
    </r>
    <r>
      <rPr>
        <b/>
        <sz val="11"/>
        <color theme="1"/>
        <rFont val="Calibri"/>
        <family val="2"/>
        <scheme val="minor"/>
      </rPr>
      <t xml:space="preserve"> /</t>
    </r>
    <r>
      <rPr>
        <b/>
        <sz val="11"/>
        <color theme="1"/>
        <rFont val="Symbol"/>
        <family val="1"/>
        <charset val="2"/>
      </rPr>
      <t>l</t>
    </r>
    <r>
      <rPr>
        <b/>
        <vertAlign val="subscript"/>
        <sz val="11"/>
        <color theme="1"/>
        <rFont val="Symbol"/>
        <family val="1"/>
        <charset val="2"/>
      </rPr>
      <t>o</t>
    </r>
    <r>
      <rPr>
        <b/>
        <vertAlign val="superscript"/>
        <sz val="11"/>
        <color theme="1"/>
        <rFont val="Calibri"/>
        <family val="2"/>
        <scheme val="minor"/>
      </rPr>
      <t>4.17</t>
    </r>
    <r>
      <rPr>
        <b/>
        <sz val="11"/>
        <color theme="1"/>
        <rFont val="Calibri"/>
        <family val="5"/>
        <scheme val="minor"/>
      </rPr>
      <t xml:space="preserve">  **</t>
    </r>
  </si>
  <si>
    <r>
      <t>in cm</t>
    </r>
    <r>
      <rPr>
        <b/>
        <vertAlign val="superscript"/>
        <sz val="11"/>
        <color theme="1"/>
        <rFont val="Calibri"/>
        <family val="2"/>
        <scheme val="minor"/>
      </rPr>
      <t>-1</t>
    </r>
    <r>
      <rPr>
        <b/>
        <sz val="11"/>
        <color theme="1"/>
        <rFont val="Calibri"/>
        <family val="2"/>
        <scheme val="minor"/>
      </rPr>
      <t xml:space="preserve"> with </t>
    </r>
    <r>
      <rPr>
        <b/>
        <sz val="11"/>
        <color theme="1"/>
        <rFont val="Symbol"/>
        <family val="1"/>
        <charset val="2"/>
      </rPr>
      <t>l</t>
    </r>
    <r>
      <rPr>
        <b/>
        <vertAlign val="subscript"/>
        <sz val="11"/>
        <color theme="1"/>
        <rFont val="Symbol"/>
        <family val="1"/>
        <charset val="2"/>
      </rPr>
      <t>o</t>
    </r>
    <r>
      <rPr>
        <b/>
        <sz val="11"/>
        <color theme="1"/>
        <rFont val="Calibri"/>
        <family val="2"/>
        <scheme val="minor"/>
      </rPr>
      <t xml:space="preserve">  in nm</t>
    </r>
  </si>
  <si>
    <r>
      <t xml:space="preserve">Traditional values we have always used (e.g., GuiDe documentation) are  scaled by </t>
    </r>
    <r>
      <rPr>
        <b/>
        <sz val="11"/>
        <color theme="1"/>
        <rFont val="Symbol"/>
        <family val="1"/>
        <charset val="2"/>
      </rPr>
      <t>l</t>
    </r>
    <r>
      <rPr>
        <b/>
        <vertAlign val="subscript"/>
        <sz val="11"/>
        <color theme="1"/>
        <rFont val="Calibri"/>
        <family val="2"/>
        <scheme val="minor"/>
      </rPr>
      <t>o</t>
    </r>
    <r>
      <rPr>
        <b/>
        <vertAlign val="superscript"/>
        <sz val="11"/>
        <color theme="1"/>
        <rFont val="Calibri"/>
        <family val="2"/>
        <scheme val="minor"/>
      </rPr>
      <t>-4</t>
    </r>
    <r>
      <rPr>
        <b/>
        <sz val="11"/>
        <color theme="1"/>
        <rFont val="Calibri"/>
        <family val="2"/>
        <scheme val="minor"/>
      </rPr>
      <t xml:space="preserve"> from a 632.8 nm result, probably Kaye &amp; McDaniel. </t>
    </r>
  </si>
  <si>
    <r>
      <t xml:space="preserve">These traditional values assume a </t>
    </r>
    <r>
      <rPr>
        <b/>
        <sz val="11"/>
        <color theme="1"/>
        <rFont val="Symbol"/>
        <family val="1"/>
        <charset val="2"/>
      </rPr>
      <t>l</t>
    </r>
    <r>
      <rPr>
        <b/>
        <vertAlign val="subscript"/>
        <sz val="11"/>
        <color theme="1"/>
        <rFont val="Symbol"/>
        <family val="1"/>
        <charset val="2"/>
      </rPr>
      <t>o</t>
    </r>
    <r>
      <rPr>
        <b/>
        <vertAlign val="superscript"/>
        <sz val="11"/>
        <color theme="1"/>
        <rFont val="Calibri"/>
        <family val="2"/>
        <scheme val="minor"/>
      </rPr>
      <t>-4</t>
    </r>
    <r>
      <rPr>
        <b/>
        <sz val="11"/>
        <color theme="1"/>
        <rFont val="Calibri"/>
        <family val="2"/>
        <scheme val="minor"/>
      </rPr>
      <t xml:space="preserve"> dependence. The wavelength dependence was re-examined to account for </t>
    </r>
  </si>
  <si>
    <r>
      <t>Optical constant K/cm</t>
    </r>
    <r>
      <rPr>
        <b/>
        <vertAlign val="superscript"/>
        <sz val="11"/>
        <color theme="1"/>
        <rFont val="Calibri"/>
        <family val="2"/>
        <scheme val="minor"/>
      </rPr>
      <t>2</t>
    </r>
    <r>
      <rPr>
        <b/>
        <sz val="11"/>
        <color theme="1"/>
        <rFont val="Calibri"/>
        <family val="2"/>
        <scheme val="minor"/>
      </rPr>
      <t>.mol.g</t>
    </r>
    <r>
      <rPr>
        <b/>
        <vertAlign val="superscript"/>
        <sz val="11"/>
        <color theme="1"/>
        <rFont val="Calibri"/>
        <family val="2"/>
        <scheme val="minor"/>
      </rPr>
      <t>-2</t>
    </r>
  </si>
  <si>
    <t>Taken from Conc1 Sheet</t>
  </si>
  <si>
    <r>
      <t>R</t>
    </r>
    <r>
      <rPr>
        <vertAlign val="subscript"/>
        <sz val="11"/>
        <color indexed="8"/>
        <rFont val="Calibri"/>
        <family val="2"/>
      </rPr>
      <t>h</t>
    </r>
    <r>
      <rPr>
        <sz val="11"/>
        <color theme="1"/>
        <rFont val="Calibri"/>
        <family val="2"/>
        <scheme val="minor"/>
      </rPr>
      <t xml:space="preserve"> (if avail from DLS)</t>
    </r>
  </si>
  <si>
    <t>Y</t>
  </si>
  <si>
    <t xml:space="preserve">Replace with true concentrations, adjusted for loss to </t>
  </si>
  <si>
    <t>filter and/or centrifugation</t>
  </si>
  <si>
    <t>&lt;&lt;Dummy values stored here toprevent computational overflows</t>
  </si>
  <si>
    <t>Metadata and solvent intensity values are inherited from the Conc1 worksheet</t>
  </si>
  <si>
    <t xml:space="preserve">c1 </t>
  </si>
  <si>
    <t>scint vial</t>
  </si>
  <si>
    <t>plus pellet</t>
  </si>
  <si>
    <t>plus toluene</t>
  </si>
  <si>
    <t>For c2 and c3, probably the filter was broken....catch the dust later</t>
  </si>
  <si>
    <t>PS 170 pellets</t>
  </si>
  <si>
    <t>PALL 0.2 um nylon filters</t>
  </si>
  <si>
    <t xml:space="preserve">Solute:  </t>
  </si>
  <si>
    <t xml:space="preserve">Solvent:  </t>
  </si>
  <si>
    <t xml:space="preserve">Solvent filter size and type:  </t>
  </si>
  <si>
    <t>Partial specific volume v2bar</t>
  </si>
  <si>
    <t>pellets, if applicable</t>
  </si>
  <si>
    <t>est. tol, mL</t>
  </si>
  <si>
    <t>https://nvlpubs.nist.gov/nistpubs/jres/52/jresv52n4p217_a1b.pdf</t>
  </si>
  <si>
    <t>sample label</t>
  </si>
  <si>
    <t>solute</t>
  </si>
  <si>
    <t>solvent</t>
  </si>
  <si>
    <t>solvent density</t>
  </si>
  <si>
    <t>partial specific vol reference</t>
  </si>
  <si>
    <t>solvent reference</t>
  </si>
  <si>
    <t>measurement temperature</t>
  </si>
  <si>
    <r>
      <rPr>
        <vertAlign val="superscript"/>
        <sz val="11"/>
        <color theme="1"/>
        <rFont val="Calibri"/>
        <family val="2"/>
        <scheme val="minor"/>
      </rPr>
      <t>o</t>
    </r>
    <r>
      <rPr>
        <sz val="11"/>
        <color theme="1"/>
        <rFont val="Calibri"/>
        <family val="2"/>
        <scheme val="minor"/>
      </rPr>
      <t>C</t>
    </r>
  </si>
  <si>
    <r>
      <t>c/g·mL</t>
    </r>
    <r>
      <rPr>
        <b/>
        <vertAlign val="superscript"/>
        <sz val="11"/>
        <color theme="1"/>
        <rFont val="Calibri"/>
        <family val="2"/>
        <scheme val="minor"/>
      </rPr>
      <t>-1</t>
    </r>
  </si>
  <si>
    <t>notes &amp; observations</t>
  </si>
  <si>
    <t>I measured at 25C, but the v2bar and rho1 data are at ~27C</t>
  </si>
  <si>
    <t>SAMPLE PREPARATION BY WEIGHT (PARTIAL SPECIFIC VOLUME OF SOLUTE &amp; SOLVENT DENSITY)</t>
  </si>
  <si>
    <t>adjustments (solvent evaporation, centrifugation or filtration to remove dust/aggregates)</t>
  </si>
  <si>
    <r>
      <t>c</t>
    </r>
    <r>
      <rPr>
        <b/>
        <vertAlign val="subscript"/>
        <sz val="11"/>
        <color theme="1"/>
        <rFont val="Calibri"/>
        <family val="2"/>
        <scheme val="minor"/>
      </rPr>
      <t>final</t>
    </r>
    <r>
      <rPr>
        <b/>
        <sz val="11"/>
        <color theme="1"/>
        <rFont val="Calibri"/>
        <family val="2"/>
        <scheme val="minor"/>
      </rPr>
      <t>/g·mL</t>
    </r>
    <r>
      <rPr>
        <b/>
        <vertAlign val="superscript"/>
        <sz val="11"/>
        <color theme="1"/>
        <rFont val="Calibri"/>
        <family val="2"/>
        <scheme val="minor"/>
      </rPr>
      <t>-1</t>
    </r>
  </si>
  <si>
    <t>None</t>
  </si>
  <si>
    <r>
      <t>q</t>
    </r>
    <r>
      <rPr>
        <b/>
        <vertAlign val="superscript"/>
        <sz val="11"/>
        <color theme="1"/>
        <rFont val="Calibri"/>
        <family val="2"/>
        <scheme val="minor"/>
      </rPr>
      <t>2</t>
    </r>
    <r>
      <rPr>
        <b/>
        <sz val="11"/>
        <color theme="1"/>
        <rFont val="Calibri"/>
        <family val="2"/>
        <scheme val="minor"/>
      </rPr>
      <t>/10</t>
    </r>
    <r>
      <rPr>
        <b/>
        <vertAlign val="superscript"/>
        <sz val="11"/>
        <color theme="1"/>
        <rFont val="Calibri"/>
        <family val="2"/>
        <scheme val="minor"/>
      </rPr>
      <t>10</t>
    </r>
    <r>
      <rPr>
        <b/>
        <sz val="11"/>
        <color theme="1"/>
        <rFont val="Calibri"/>
        <family val="2"/>
        <scheme val="minor"/>
      </rPr>
      <t>cm</t>
    </r>
    <r>
      <rPr>
        <b/>
        <vertAlign val="superscript"/>
        <sz val="11"/>
        <color theme="1"/>
        <rFont val="Calibri"/>
        <family val="2"/>
        <scheme val="minor"/>
      </rPr>
      <t>-2</t>
    </r>
  </si>
  <si>
    <r>
      <t>q</t>
    </r>
    <r>
      <rPr>
        <b/>
        <vertAlign val="superscript"/>
        <sz val="11"/>
        <color theme="1"/>
        <rFont val="Calibri"/>
        <family val="2"/>
        <scheme val="minor"/>
      </rPr>
      <t>2</t>
    </r>
    <r>
      <rPr>
        <b/>
        <sz val="11"/>
        <color theme="1"/>
        <rFont val="Calibri"/>
        <family val="2"/>
        <scheme val="minor"/>
      </rPr>
      <t>/10</t>
    </r>
    <r>
      <rPr>
        <b/>
        <vertAlign val="superscript"/>
        <sz val="11"/>
        <color theme="1"/>
        <rFont val="Calibri"/>
        <family val="2"/>
        <scheme val="minor"/>
      </rPr>
      <t>10</t>
    </r>
    <r>
      <rPr>
        <b/>
        <sz val="11"/>
        <color theme="1"/>
        <rFont val="Calibri"/>
        <family val="2"/>
        <scheme val="minor"/>
      </rPr>
      <t>cm</t>
    </r>
    <r>
      <rPr>
        <b/>
        <vertAlign val="superscript"/>
        <sz val="11"/>
        <color theme="1"/>
        <rFont val="Calibri"/>
        <family val="2"/>
        <scheme val="minor"/>
      </rPr>
      <t xml:space="preserve">-2  </t>
    </r>
    <r>
      <rPr>
        <b/>
        <sz val="11"/>
        <color theme="1"/>
        <rFont val="Calibri"/>
        <family val="2"/>
        <scheme val="minor"/>
      </rPr>
      <t>+ k</t>
    </r>
    <r>
      <rPr>
        <b/>
        <vertAlign val="subscript"/>
        <sz val="11"/>
        <color theme="1"/>
        <rFont val="Calibri"/>
        <family val="2"/>
        <scheme val="minor"/>
      </rPr>
      <t>scale</t>
    </r>
    <r>
      <rPr>
        <b/>
        <sz val="11"/>
        <color theme="1"/>
        <rFont val="Calibri"/>
        <family val="2"/>
        <scheme val="minor"/>
      </rPr>
      <t>·c  &gt;&gt;</t>
    </r>
  </si>
  <si>
    <t>OVERWRITE WITH YOUR DATA USING FORMAT SHOWN IN THE EXAMPLE AT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</si>
</sst>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0"/>
    <numFmt numFmtId="165" formatCode="0.000"/>
    <numFmt numFmtId="166" formatCode="0.0"/>
    <numFmt numFmtId="167" formatCode="0.000E+00"/>
    <numFmt numFmtId="168" formatCode="0.0000"/>
    <numFmt numFmtId="169" formatCode="[$-409]mmmm\ d\,\ yyyy;@"/>
  </numFmts>
  <fonts count="54">
    <font>
      <sz val="11"/>
      <color theme="1"/>
      <name val="Calibri"/>
      <family val="2"/>
      <scheme val="minor"/>
    </font>
    <font>
      <b/>
      <sz val="11"/>
      <color indexed="8"/>
      <name val="Calibri"/>
      <family val="2"/>
    </font>
    <font>
      <sz val="11"/>
      <color indexed="8"/>
      <name val="Symbol"/>
      <family val="1"/>
      <charset val="2"/>
    </font>
    <font>
      <b/>
      <sz val="11"/>
      <color indexed="8"/>
      <name val="Symbol"/>
      <family val="1"/>
      <charset val="2"/>
    </font>
    <font>
      <vertAlign val="subscript"/>
      <sz val="11"/>
      <color indexed="8"/>
      <name val="Symbol"/>
      <family val="1"/>
      <charset val="2"/>
    </font>
    <font>
      <vertAlign val="subscript"/>
      <sz val="11"/>
      <color indexed="8"/>
      <name val="Calibri"/>
      <family val="2"/>
    </font>
    <font>
      <vertAlign val="superscript"/>
      <sz val="11"/>
      <color indexed="8"/>
      <name val="Calibri"/>
      <family val="2"/>
    </font>
    <font>
      <b/>
      <sz val="11"/>
      <color indexed="22"/>
      <name val="Calibri"/>
      <family val="2"/>
    </font>
    <font>
      <b/>
      <u/>
      <sz val="11"/>
      <color indexed="43"/>
      <name val="Calibri"/>
      <family val="2"/>
    </font>
    <font>
      <b/>
      <sz val="11"/>
      <color indexed="8"/>
      <name val="script"/>
    </font>
    <font>
      <b/>
      <sz val="11"/>
      <color indexed="8"/>
      <name val="Script MT Bold"/>
      <family val="4"/>
    </font>
    <font>
      <sz val="8"/>
      <name val="Calibri"/>
      <family val="2"/>
    </font>
    <font>
      <vertAlign val="subscript"/>
      <sz val="11"/>
      <color theme="1"/>
      <name val="Calibri"/>
      <family val="2"/>
      <scheme val="minor"/>
    </font>
    <font>
      <vertAlign val="superscript"/>
      <sz val="11"/>
      <color theme="1"/>
      <name val="Calibri"/>
      <family val="2"/>
      <scheme val="minor"/>
    </font>
    <font>
      <b/>
      <sz val="11"/>
      <color theme="1"/>
      <name val="Calibri"/>
      <family val="2"/>
      <scheme val="minor"/>
    </font>
    <font>
      <b/>
      <vertAlign val="superscript"/>
      <sz val="11"/>
      <color indexed="8"/>
      <name val="Calibri"/>
      <family val="2"/>
    </font>
    <font>
      <b/>
      <sz val="11"/>
      <color theme="1"/>
      <name val="Symbol"/>
      <family val="1"/>
      <charset val="2"/>
    </font>
    <font>
      <b/>
      <sz val="11"/>
      <color theme="1"/>
      <name val="Calibri"/>
      <family val="1"/>
      <charset val="2"/>
      <scheme val="minor"/>
    </font>
    <font>
      <sz val="9"/>
      <color indexed="81"/>
      <name val="Tahoma"/>
      <family val="2"/>
    </font>
    <font>
      <b/>
      <sz val="9"/>
      <color indexed="81"/>
      <name val="Tahoma"/>
      <family val="2"/>
    </font>
    <font>
      <b/>
      <sz val="11"/>
      <color rgb="FFFFFF99"/>
      <name val="Calibri"/>
      <family val="2"/>
    </font>
    <font>
      <b/>
      <u/>
      <sz val="11"/>
      <color rgb="FFFFFF99"/>
      <name val="Calibri"/>
      <family val="2"/>
    </font>
    <font>
      <sz val="12"/>
      <color theme="1"/>
      <name val="Times New Roman"/>
      <family val="1"/>
    </font>
    <font>
      <i/>
      <sz val="12"/>
      <color rgb="FF0000FF"/>
      <name val="Times New Roman"/>
      <family val="1"/>
    </font>
    <font>
      <b/>
      <sz val="12"/>
      <color theme="1"/>
      <name val="Calibri"/>
      <family val="2"/>
      <scheme val="minor"/>
    </font>
    <font>
      <i/>
      <sz val="12"/>
      <color rgb="FF0000FF"/>
      <name val="Symbol"/>
      <family val="1"/>
      <charset val="2"/>
    </font>
    <font>
      <sz val="10"/>
      <color theme="1"/>
      <name val="Calibri"/>
      <family val="2"/>
      <scheme val="minor"/>
    </font>
    <font>
      <sz val="11"/>
      <color theme="1"/>
      <name val="Symbol"/>
      <family val="1"/>
      <charset val="2"/>
    </font>
    <font>
      <sz val="10"/>
      <color theme="1"/>
      <name val="Calibri "/>
    </font>
    <font>
      <sz val="10"/>
      <color theme="1"/>
      <name val="Symbol"/>
      <family val="1"/>
      <charset val="2"/>
    </font>
    <font>
      <sz val="11"/>
      <color theme="1"/>
      <name val="Colonna MT"/>
      <family val="5"/>
    </font>
    <font>
      <sz val="11"/>
      <color theme="1"/>
      <name val="Calibri"/>
      <family val="5"/>
      <scheme val="minor"/>
    </font>
    <font>
      <vertAlign val="superscript"/>
      <sz val="10"/>
      <color theme="1"/>
      <name val="Calibri"/>
      <family val="2"/>
      <scheme val="minor"/>
    </font>
    <font>
      <vertAlign val="subscript"/>
      <sz val="11"/>
      <color theme="1"/>
      <name val="Calibri  "/>
    </font>
    <font>
      <sz val="11"/>
      <color theme="1"/>
      <name val="Calibri  "/>
    </font>
    <font>
      <sz val="9"/>
      <color rgb="FF222222"/>
      <name val="Arial"/>
      <family val="2"/>
    </font>
    <font>
      <i/>
      <sz val="9"/>
      <color rgb="FF222222"/>
      <name val="Arial"/>
      <family val="2"/>
    </font>
    <font>
      <b/>
      <sz val="9"/>
      <color rgb="FF222222"/>
      <name val="Arial"/>
      <family val="2"/>
    </font>
    <font>
      <sz val="10"/>
      <color theme="1"/>
      <name val="Calibri"/>
      <family val="1"/>
      <charset val="2"/>
      <scheme val="minor"/>
    </font>
    <font>
      <vertAlign val="subscript"/>
      <sz val="10"/>
      <color theme="1"/>
      <name val="Symbol"/>
      <family val="1"/>
      <charset val="2"/>
    </font>
    <font>
      <sz val="11"/>
      <color rgb="FF000000"/>
      <name val="Calibri"/>
      <family val="2"/>
    </font>
    <font>
      <sz val="11"/>
      <color rgb="FFFFFF99"/>
      <name val="Calibri"/>
      <family val="2"/>
      <scheme val="minor"/>
    </font>
    <font>
      <b/>
      <vertAlign val="superscript"/>
      <sz val="11"/>
      <color theme="1"/>
      <name val="Calibri"/>
      <family val="2"/>
      <scheme val="minor"/>
    </font>
    <font>
      <b/>
      <vertAlign val="subscript"/>
      <sz val="11"/>
      <color theme="1"/>
      <name val="Calibri"/>
      <family val="2"/>
      <scheme val="minor"/>
    </font>
    <font>
      <sz val="11"/>
      <color rgb="FFFF0000"/>
      <name val="Calibri"/>
      <family val="2"/>
      <scheme val="minor"/>
    </font>
    <font>
      <b/>
      <sz val="11"/>
      <color theme="1"/>
      <name val="Calibri"/>
      <family val="5"/>
      <scheme val="minor"/>
    </font>
    <font>
      <b/>
      <sz val="14"/>
      <color theme="1"/>
      <name val="Colonna MT"/>
      <family val="5"/>
    </font>
    <font>
      <b/>
      <vertAlign val="subscript"/>
      <sz val="14"/>
      <color theme="1"/>
      <name val="Colonna MT"/>
      <family val="5"/>
    </font>
    <font>
      <b/>
      <vertAlign val="subscript"/>
      <sz val="11"/>
      <color theme="1"/>
      <name val="Symbol"/>
      <family val="1"/>
      <charset val="2"/>
    </font>
    <font>
      <b/>
      <sz val="14"/>
      <color theme="1"/>
      <name val="Calibri"/>
      <family val="2"/>
      <scheme val="minor"/>
    </font>
    <font>
      <b/>
      <sz val="11"/>
      <name val="Calibri"/>
      <family val="2"/>
    </font>
    <font>
      <sz val="11"/>
      <color rgb="FF00B050"/>
      <name val="Calibri"/>
      <family val="2"/>
      <scheme val="minor"/>
    </font>
    <font>
      <sz val="11"/>
      <color theme="0" tint="-0.499984740745262"/>
      <name val="Calibri"/>
      <family val="2"/>
      <scheme val="minor"/>
    </font>
    <font>
      <sz val="12"/>
      <color rgb="FF00B050"/>
      <name val="Times New Roman"/>
      <family val="1"/>
    </font>
  </fonts>
  <fills count="25">
    <fill>
      <patternFill patternType="none"/>
    </fill>
    <fill>
      <patternFill patternType="gray125"/>
    </fill>
    <fill>
      <patternFill patternType="solid">
        <fgColor indexed="44"/>
        <bgColor indexed="64"/>
      </patternFill>
    </fill>
    <fill>
      <patternFill patternType="solid">
        <fgColor indexed="43"/>
        <bgColor indexed="64"/>
      </patternFill>
    </fill>
    <fill>
      <patternFill patternType="solid">
        <fgColor indexed="8"/>
        <bgColor indexed="64"/>
      </patternFill>
    </fill>
    <fill>
      <patternFill patternType="solid">
        <fgColor indexed="57"/>
        <bgColor indexed="64"/>
      </patternFill>
    </fill>
    <fill>
      <patternFill patternType="solid">
        <fgColor indexed="10"/>
        <bgColor indexed="64"/>
      </patternFill>
    </fill>
    <fill>
      <patternFill patternType="solid">
        <fgColor indexed="9"/>
        <bgColor indexed="64"/>
      </patternFill>
    </fill>
    <fill>
      <patternFill patternType="solid">
        <fgColor indexed="40"/>
        <bgColor indexed="64"/>
      </patternFill>
    </fill>
    <fill>
      <patternFill patternType="solid">
        <fgColor indexed="50"/>
        <bgColor indexed="64"/>
      </patternFill>
    </fill>
    <fill>
      <patternFill patternType="solid">
        <fgColor rgb="FF92D050"/>
        <bgColor indexed="64"/>
      </patternFill>
    </fill>
    <fill>
      <patternFill patternType="solid">
        <fgColor rgb="FFFF0000"/>
        <bgColor indexed="64"/>
      </patternFill>
    </fill>
    <fill>
      <patternFill patternType="solid">
        <fgColor rgb="FFFFFFCC"/>
        <bgColor indexed="64"/>
      </patternFill>
    </fill>
    <fill>
      <patternFill patternType="solid">
        <fgColor theme="4" tint="0.39997558519241921"/>
        <bgColor indexed="64"/>
      </patternFill>
    </fill>
    <fill>
      <patternFill patternType="solid">
        <fgColor rgb="FFFFFF99"/>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9"/>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1"/>
        <bgColor indexed="64"/>
      </patternFill>
    </fill>
    <fill>
      <patternFill patternType="solid">
        <fgColor rgb="FFFF99CC"/>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s>
  <cellStyleXfs count="1">
    <xf numFmtId="0" fontId="0" fillId="0" borderId="0"/>
  </cellStyleXfs>
  <cellXfs count="248">
    <xf numFmtId="0" fontId="0" fillId="0" borderId="0" xfId="0"/>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0" borderId="1" xfId="0" applyBorder="1" applyAlignment="1">
      <alignment horizontal="center"/>
    </xf>
    <xf numFmtId="0" fontId="1" fillId="0" borderId="1" xfId="0" applyFont="1" applyBorder="1"/>
    <xf numFmtId="0" fontId="1" fillId="0" borderId="1" xfId="0" applyFont="1" applyBorder="1" applyAlignment="1">
      <alignment horizontal="center"/>
    </xf>
    <xf numFmtId="165" fontId="0" fillId="0" borderId="1" xfId="0" applyNumberFormat="1"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0" fontId="1" fillId="0" borderId="0" xfId="0" applyFont="1"/>
    <xf numFmtId="0" fontId="0" fillId="0" borderId="0" xfId="0" applyFont="1"/>
    <xf numFmtId="0" fontId="0" fillId="0" borderId="2" xfId="0" applyBorder="1"/>
    <xf numFmtId="0" fontId="0" fillId="0" borderId="3" xfId="0" applyBorder="1"/>
    <xf numFmtId="0" fontId="1" fillId="0" borderId="3" xfId="0" applyFont="1" applyBorder="1"/>
    <xf numFmtId="0" fontId="1" fillId="0" borderId="4" xfId="0" applyFont="1" applyBorder="1"/>
    <xf numFmtId="0" fontId="1" fillId="0" borderId="2" xfId="0" applyFont="1" applyBorder="1"/>
    <xf numFmtId="0" fontId="0" fillId="0" borderId="5" xfId="0"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0" borderId="10" xfId="0" applyFill="1" applyBorder="1" applyAlignment="1">
      <alignment horizontal="center"/>
    </xf>
    <xf numFmtId="0" fontId="1" fillId="0" borderId="1" xfId="0" quotePrefix="1" applyFont="1" applyBorder="1" applyAlignment="1">
      <alignment horizontal="center"/>
    </xf>
    <xf numFmtId="164" fontId="0" fillId="2" borderId="1" xfId="0" applyNumberFormat="1" applyFill="1" applyBorder="1"/>
    <xf numFmtId="164" fontId="0" fillId="3" borderId="1" xfId="0" applyNumberFormat="1" applyFill="1" applyBorder="1"/>
    <xf numFmtId="0" fontId="7" fillId="5" borderId="11" xfId="0" applyFont="1" applyFill="1" applyBorder="1"/>
    <xf numFmtId="0" fontId="7" fillId="5" borderId="12" xfId="0" applyFont="1" applyFill="1" applyBorder="1"/>
    <xf numFmtId="0" fontId="7" fillId="5" borderId="6" xfId="0" applyFont="1" applyFill="1" applyBorder="1"/>
    <xf numFmtId="0" fontId="7" fillId="5" borderId="7" xfId="0" applyFont="1" applyFill="1" applyBorder="1"/>
    <xf numFmtId="0" fontId="0" fillId="6" borderId="1" xfId="0" applyFill="1" applyBorder="1"/>
    <xf numFmtId="0" fontId="0" fillId="6" borderId="1" xfId="0" quotePrefix="1" applyFill="1" applyBorder="1" applyAlignment="1">
      <alignment horizontal="center"/>
    </xf>
    <xf numFmtId="0" fontId="0" fillId="7" borderId="1" xfId="0" applyFill="1" applyBorder="1"/>
    <xf numFmtId="0" fontId="1" fillId="8" borderId="1" xfId="0" applyFont="1" applyFill="1" applyBorder="1"/>
    <xf numFmtId="0" fontId="0" fillId="8" borderId="1" xfId="0" applyFill="1" applyBorder="1"/>
    <xf numFmtId="0" fontId="1" fillId="0" borderId="2" xfId="0" applyFont="1" applyBorder="1" applyAlignment="1">
      <alignment horizontal="center"/>
    </xf>
    <xf numFmtId="0" fontId="1" fillId="0" borderId="13" xfId="0" applyFont="1" applyBorder="1" applyAlignment="1">
      <alignment horizontal="center"/>
    </xf>
    <xf numFmtId="0" fontId="1" fillId="0" borderId="4" xfId="0" applyFont="1" applyBorder="1" applyAlignment="1">
      <alignment horizontal="center"/>
    </xf>
    <xf numFmtId="0" fontId="0" fillId="0" borderId="0" xfId="0" applyBorder="1"/>
    <xf numFmtId="0" fontId="0" fillId="0" borderId="4" xfId="0" applyBorder="1" applyAlignment="1">
      <alignment horizontal="center"/>
    </xf>
    <xf numFmtId="15" fontId="0" fillId="9" borderId="14" xfId="0" applyNumberFormat="1" applyFill="1" applyBorder="1"/>
    <xf numFmtId="0" fontId="0" fillId="9" borderId="14" xfId="0" applyFill="1" applyBorder="1"/>
    <xf numFmtId="0" fontId="0" fillId="9" borderId="15" xfId="0" applyFill="1" applyBorder="1"/>
    <xf numFmtId="0" fontId="0" fillId="9" borderId="16" xfId="0" applyFill="1" applyBorder="1"/>
    <xf numFmtId="0" fontId="0" fillId="9" borderId="17" xfId="0" applyFill="1" applyBorder="1"/>
    <xf numFmtId="11" fontId="0" fillId="0" borderId="0" xfId="0" applyNumberFormat="1"/>
    <xf numFmtId="0" fontId="0" fillId="0" borderId="10" xfId="0" applyFill="1" applyBorder="1"/>
    <xf numFmtId="0" fontId="0" fillId="0" borderId="0" xfId="0" applyAlignment="1">
      <alignment horizontal="right" vertical="center"/>
    </xf>
    <xf numFmtId="0" fontId="0" fillId="10" borderId="1" xfId="0" applyFill="1" applyBorder="1"/>
    <xf numFmtId="0" fontId="0" fillId="0" borderId="0" xfId="0" applyFill="1" applyBorder="1"/>
    <xf numFmtId="0" fontId="0" fillId="0" borderId="1" xfId="0" applyFill="1" applyBorder="1"/>
    <xf numFmtId="0" fontId="0" fillId="0" borderId="0" xfId="0" applyBorder="1" applyAlignment="1">
      <alignment horizontal="center"/>
    </xf>
    <xf numFmtId="165" fontId="0" fillId="10" borderId="1" xfId="0" applyNumberFormat="1" applyFill="1" applyBorder="1"/>
    <xf numFmtId="166" fontId="0" fillId="10" borderId="1" xfId="0" applyNumberFormat="1" applyFill="1" applyBorder="1"/>
    <xf numFmtId="0" fontId="0" fillId="11" borderId="1" xfId="0" applyFill="1" applyBorder="1" applyAlignment="1">
      <alignment horizontal="center"/>
    </xf>
    <xf numFmtId="0" fontId="0" fillId="11" borderId="1" xfId="0" applyFill="1" applyBorder="1"/>
    <xf numFmtId="0" fontId="1" fillId="0" borderId="0" xfId="0" applyFont="1" applyBorder="1"/>
    <xf numFmtId="0" fontId="0" fillId="0" borderId="2" xfId="0" applyBorder="1" applyAlignment="1">
      <alignment horizontal="center"/>
    </xf>
    <xf numFmtId="0" fontId="0" fillId="0" borderId="0" xfId="0" applyFill="1" applyBorder="1" applyAlignment="1">
      <alignment horizontal="center"/>
    </xf>
    <xf numFmtId="0" fontId="0" fillId="11" borderId="1" xfId="0" quotePrefix="1" applyFill="1" applyBorder="1" applyAlignment="1">
      <alignment horizontal="center"/>
    </xf>
    <xf numFmtId="0" fontId="0" fillId="12" borderId="1" xfId="0" applyFill="1" applyBorder="1" applyAlignment="1">
      <alignment horizontal="center"/>
    </xf>
    <xf numFmtId="0" fontId="0" fillId="13" borderId="1" xfId="0" applyFill="1" applyBorder="1" applyAlignment="1">
      <alignment horizontal="center"/>
    </xf>
    <xf numFmtId="0" fontId="0" fillId="13" borderId="4" xfId="0" applyFill="1" applyBorder="1" applyAlignment="1">
      <alignment horizontal="center"/>
    </xf>
    <xf numFmtId="0" fontId="0" fillId="14" borderId="1" xfId="0" applyFill="1" applyBorder="1" applyAlignment="1">
      <alignment horizontal="center"/>
    </xf>
    <xf numFmtId="0" fontId="0" fillId="14" borderId="4" xfId="0" applyFill="1" applyBorder="1" applyAlignment="1">
      <alignment horizontal="center"/>
    </xf>
    <xf numFmtId="164" fontId="0" fillId="14" borderId="1" xfId="0" applyNumberFormat="1" applyFill="1" applyBorder="1"/>
    <xf numFmtId="0" fontId="14" fillId="0" borderId="1" xfId="0" applyFont="1" applyBorder="1"/>
    <xf numFmtId="0" fontId="14" fillId="12" borderId="1" xfId="0" applyFont="1" applyFill="1" applyBorder="1" applyAlignment="1">
      <alignment horizontal="center"/>
    </xf>
    <xf numFmtId="0" fontId="14" fillId="0" borderId="0" xfId="0" applyFont="1"/>
    <xf numFmtId="0" fontId="14" fillId="0" borderId="0" xfId="0" applyFont="1" applyAlignment="1">
      <alignment horizontal="right"/>
    </xf>
    <xf numFmtId="0" fontId="17" fillId="12" borderId="1" xfId="0" applyFont="1" applyFill="1" applyBorder="1" applyAlignment="1">
      <alignment horizontal="center"/>
    </xf>
    <xf numFmtId="0" fontId="0" fillId="0" borderId="18" xfId="0" applyBorder="1"/>
    <xf numFmtId="0" fontId="14" fillId="0" borderId="19" xfId="0" applyFont="1" applyBorder="1"/>
    <xf numFmtId="0" fontId="14" fillId="13" borderId="1" xfId="0" applyFont="1" applyFill="1" applyBorder="1" applyAlignment="1">
      <alignment horizontal="center"/>
    </xf>
    <xf numFmtId="0" fontId="14" fillId="13" borderId="1" xfId="0" applyFont="1" applyFill="1" applyBorder="1"/>
    <xf numFmtId="0" fontId="0" fillId="12" borderId="1" xfId="0" applyFill="1" applyBorder="1" applyAlignment="1">
      <alignment horizontal="left"/>
    </xf>
    <xf numFmtId="0" fontId="0" fillId="12" borderId="20" xfId="0" applyFill="1" applyBorder="1" applyAlignment="1">
      <alignment horizontal="left"/>
    </xf>
    <xf numFmtId="0" fontId="0" fillId="12" borderId="21" xfId="0" applyFill="1" applyBorder="1" applyAlignment="1">
      <alignment horizontal="left"/>
    </xf>
    <xf numFmtId="0" fontId="0" fillId="12" borderId="22" xfId="0" applyFill="1" applyBorder="1" applyAlignment="1">
      <alignment horizontal="left"/>
    </xf>
    <xf numFmtId="0" fontId="0" fillId="12" borderId="23" xfId="0" applyFill="1" applyBorder="1" applyAlignment="1">
      <alignment horizontal="left"/>
    </xf>
    <xf numFmtId="0" fontId="0" fillId="12" borderId="24" xfId="0" applyFill="1" applyBorder="1" applyAlignment="1">
      <alignment horizontal="left"/>
    </xf>
    <xf numFmtId="0" fontId="0" fillId="12" borderId="25" xfId="0" applyFill="1" applyBorder="1" applyAlignment="1">
      <alignment horizontal="left"/>
    </xf>
    <xf numFmtId="0" fontId="0" fillId="12" borderId="26" xfId="0" applyFill="1" applyBorder="1" applyAlignment="1">
      <alignment horizontal="left"/>
    </xf>
    <xf numFmtId="0" fontId="0" fillId="12" borderId="27" xfId="0" applyFill="1" applyBorder="1" applyAlignment="1">
      <alignment horizontal="left"/>
    </xf>
    <xf numFmtId="11" fontId="0" fillId="13" borderId="1" xfId="0" applyNumberFormat="1" applyFill="1" applyBorder="1"/>
    <xf numFmtId="2" fontId="0" fillId="13" borderId="1" xfId="0" applyNumberFormat="1" applyFill="1" applyBorder="1"/>
    <xf numFmtId="0" fontId="0" fillId="13" borderId="20" xfId="0" applyFill="1" applyBorder="1"/>
    <xf numFmtId="0" fontId="0" fillId="13" borderId="21" xfId="0" applyFill="1" applyBorder="1"/>
    <xf numFmtId="0" fontId="0" fillId="13" borderId="12" xfId="0" applyFill="1" applyBorder="1"/>
    <xf numFmtId="0" fontId="0" fillId="13" borderId="23" xfId="0" quotePrefix="1" applyFill="1" applyBorder="1"/>
    <xf numFmtId="0" fontId="0" fillId="13" borderId="7" xfId="0" applyFill="1" applyBorder="1"/>
    <xf numFmtId="0" fontId="0" fillId="13" borderId="23" xfId="0" applyFill="1" applyBorder="1"/>
    <xf numFmtId="0" fontId="0" fillId="13" borderId="24" xfId="0" applyFill="1" applyBorder="1"/>
    <xf numFmtId="0" fontId="0" fillId="13" borderId="25" xfId="0" applyFill="1" applyBorder="1"/>
    <xf numFmtId="0" fontId="0" fillId="13" borderId="26" xfId="0" applyFill="1" applyBorder="1"/>
    <xf numFmtId="0" fontId="0" fillId="13" borderId="27" xfId="0" applyFill="1" applyBorder="1"/>
    <xf numFmtId="0" fontId="0" fillId="13" borderId="28" xfId="0" applyFill="1" applyBorder="1"/>
    <xf numFmtId="0" fontId="0" fillId="12" borderId="12" xfId="0" applyFill="1" applyBorder="1" applyAlignment="1">
      <alignment horizontal="left"/>
    </xf>
    <xf numFmtId="0" fontId="0" fillId="12" borderId="31" xfId="0" applyFill="1" applyBorder="1" applyAlignment="1">
      <alignment horizontal="left"/>
    </xf>
    <xf numFmtId="0" fontId="14" fillId="12" borderId="30" xfId="0" applyFont="1" applyFill="1" applyBorder="1" applyAlignment="1">
      <alignment horizontal="left"/>
    </xf>
    <xf numFmtId="0" fontId="14" fillId="13" borderId="11" xfId="0" applyFont="1" applyFill="1" applyBorder="1"/>
    <xf numFmtId="0" fontId="0" fillId="15" borderId="28" xfId="0" applyFill="1" applyBorder="1"/>
    <xf numFmtId="0" fontId="0" fillId="15" borderId="12" xfId="0" applyFill="1" applyBorder="1"/>
    <xf numFmtId="0" fontId="0" fillId="15" borderId="23" xfId="0" applyFill="1" applyBorder="1"/>
    <xf numFmtId="0" fontId="0" fillId="15" borderId="23" xfId="0" quotePrefix="1" applyFill="1" applyBorder="1"/>
    <xf numFmtId="11" fontId="0" fillId="15" borderId="1" xfId="0" applyNumberFormat="1" applyFill="1" applyBorder="1"/>
    <xf numFmtId="2" fontId="0" fillId="15" borderId="1" xfId="0" applyNumberFormat="1" applyFill="1" applyBorder="1"/>
    <xf numFmtId="0" fontId="0" fillId="15" borderId="24" xfId="0" applyFill="1" applyBorder="1"/>
    <xf numFmtId="0" fontId="0" fillId="15" borderId="25" xfId="0" applyFill="1" applyBorder="1"/>
    <xf numFmtId="0" fontId="0" fillId="15" borderId="26" xfId="0" applyFill="1" applyBorder="1"/>
    <xf numFmtId="0" fontId="0" fillId="15" borderId="27" xfId="0" applyFill="1" applyBorder="1"/>
    <xf numFmtId="0" fontId="0" fillId="15" borderId="20" xfId="0" applyFill="1" applyBorder="1"/>
    <xf numFmtId="0" fontId="0" fillId="15" borderId="21" xfId="0" applyFill="1" applyBorder="1"/>
    <xf numFmtId="0" fontId="14" fillId="15" borderId="11" xfId="0" applyFont="1" applyFill="1" applyBorder="1"/>
    <xf numFmtId="0" fontId="0" fillId="15" borderId="22" xfId="0" applyFill="1" applyBorder="1"/>
    <xf numFmtId="0" fontId="14" fillId="0" borderId="21" xfId="0" applyFont="1" applyBorder="1" applyAlignment="1">
      <alignment horizontal="center"/>
    </xf>
    <xf numFmtId="0" fontId="14" fillId="0" borderId="22" xfId="0" applyFont="1" applyBorder="1" applyAlignment="1">
      <alignment horizontal="center"/>
    </xf>
    <xf numFmtId="0" fontId="0" fillId="13" borderId="23" xfId="0" applyFill="1" applyBorder="1" applyAlignment="1">
      <alignment horizontal="center"/>
    </xf>
    <xf numFmtId="0" fontId="0" fillId="13" borderId="29" xfId="0" applyFill="1" applyBorder="1" applyAlignment="1">
      <alignment horizontal="center"/>
    </xf>
    <xf numFmtId="0" fontId="0" fillId="14" borderId="23" xfId="0" applyFill="1" applyBorder="1" applyAlignment="1">
      <alignment horizontal="center"/>
    </xf>
    <xf numFmtId="0" fontId="0" fillId="14" borderId="29" xfId="0" applyFill="1" applyBorder="1" applyAlignment="1">
      <alignment horizontal="center"/>
    </xf>
    <xf numFmtId="0" fontId="0" fillId="14" borderId="25" xfId="0" applyFill="1" applyBorder="1" applyAlignment="1">
      <alignment horizontal="center"/>
    </xf>
    <xf numFmtId="0" fontId="0" fillId="14" borderId="26" xfId="0" applyFill="1" applyBorder="1" applyAlignment="1">
      <alignment horizontal="center"/>
    </xf>
    <xf numFmtId="0" fontId="0" fillId="14" borderId="32" xfId="0" applyFill="1" applyBorder="1" applyAlignment="1">
      <alignment horizontal="center"/>
    </xf>
    <xf numFmtId="0" fontId="0" fillId="14" borderId="33" xfId="0" applyFill="1" applyBorder="1" applyAlignment="1">
      <alignment horizontal="center"/>
    </xf>
    <xf numFmtId="0" fontId="14" fillId="0" borderId="0" xfId="0" applyFont="1" applyBorder="1" applyAlignment="1">
      <alignment horizontal="center"/>
    </xf>
    <xf numFmtId="15" fontId="0" fillId="9" borderId="17" xfId="0" applyNumberFormat="1" applyFont="1" applyFill="1" applyBorder="1"/>
    <xf numFmtId="166" fontId="0" fillId="0" borderId="4" xfId="0" applyNumberFormat="1" applyBorder="1" applyAlignment="1">
      <alignment horizontal="center"/>
    </xf>
    <xf numFmtId="0" fontId="0" fillId="9" borderId="17" xfId="0" applyFill="1" applyBorder="1" applyAlignment="1">
      <alignment horizontal="center"/>
    </xf>
    <xf numFmtId="0" fontId="14" fillId="0" borderId="20" xfId="0" applyFont="1" applyBorder="1" applyAlignment="1">
      <alignment horizontal="center"/>
    </xf>
    <xf numFmtId="0" fontId="7" fillId="5" borderId="28" xfId="0" applyFont="1" applyFill="1" applyBorder="1"/>
    <xf numFmtId="0" fontId="1" fillId="0" borderId="0" xfId="0" applyFont="1" applyFill="1" applyBorder="1"/>
    <xf numFmtId="0" fontId="0" fillId="0" borderId="0" xfId="0" applyAlignment="1">
      <alignment horizontal="left"/>
    </xf>
    <xf numFmtId="0" fontId="0" fillId="11" borderId="0" xfId="0" applyFill="1"/>
    <xf numFmtId="0" fontId="24" fillId="0" borderId="0" xfId="0" applyFont="1"/>
    <xf numFmtId="0" fontId="14" fillId="0" borderId="0" xfId="0" applyFont="1" applyBorder="1"/>
    <xf numFmtId="0" fontId="0" fillId="17" borderId="0" xfId="0" applyFill="1"/>
    <xf numFmtId="0" fontId="0" fillId="18" borderId="0" xfId="0" applyFill="1"/>
    <xf numFmtId="0" fontId="26" fillId="0" borderId="0" xfId="0" applyFont="1"/>
    <xf numFmtId="0" fontId="0" fillId="0" borderId="0" xfId="0" applyFill="1"/>
    <xf numFmtId="0" fontId="0" fillId="0" borderId="0" xfId="0" applyAlignment="1">
      <alignment vertical="center"/>
    </xf>
    <xf numFmtId="167" fontId="0" fillId="0" borderId="0" xfId="0" applyNumberFormat="1"/>
    <xf numFmtId="0" fontId="0" fillId="0" borderId="0" xfId="0" applyAlignment="1">
      <alignment horizontal="right"/>
    </xf>
    <xf numFmtId="0" fontId="31" fillId="0" borderId="0" xfId="0" applyFont="1"/>
    <xf numFmtId="0" fontId="26" fillId="0" borderId="0" xfId="0" applyFont="1" applyAlignment="1">
      <alignment vertical="center"/>
    </xf>
    <xf numFmtId="0" fontId="30" fillId="0" borderId="0" xfId="0" applyFont="1" applyAlignment="1">
      <alignment vertical="center"/>
    </xf>
    <xf numFmtId="0" fontId="0" fillId="0" borderId="0" xfId="0" quotePrefix="1"/>
    <xf numFmtId="0" fontId="35" fillId="0" borderId="0" xfId="0" applyFont="1"/>
    <xf numFmtId="2" fontId="0" fillId="0" borderId="0" xfId="0" applyNumberFormat="1"/>
    <xf numFmtId="0" fontId="38" fillId="0" borderId="0" xfId="0" applyFont="1" applyAlignment="1">
      <alignment horizontal="right"/>
    </xf>
    <xf numFmtId="0" fontId="0" fillId="0" borderId="34" xfId="0" applyBorder="1"/>
    <xf numFmtId="0" fontId="14" fillId="21" borderId="20" xfId="0" applyFont="1" applyFill="1" applyBorder="1"/>
    <xf numFmtId="0" fontId="0" fillId="21" borderId="21" xfId="0" applyFill="1" applyBorder="1"/>
    <xf numFmtId="0" fontId="0" fillId="21" borderId="28" xfId="0" applyFill="1" applyBorder="1"/>
    <xf numFmtId="0" fontId="0" fillId="21" borderId="12" xfId="0" applyFill="1" applyBorder="1"/>
    <xf numFmtId="0" fontId="0" fillId="21" borderId="23" xfId="0" applyFill="1" applyBorder="1"/>
    <xf numFmtId="0" fontId="0" fillId="21" borderId="2" xfId="0" applyFill="1" applyBorder="1"/>
    <xf numFmtId="0" fontId="0" fillId="21" borderId="35" xfId="0" applyFill="1" applyBorder="1"/>
    <xf numFmtId="0" fontId="0" fillId="21" borderId="1" xfId="0" applyFill="1" applyBorder="1"/>
    <xf numFmtId="166" fontId="0" fillId="21" borderId="4" xfId="0" applyNumberFormat="1" applyFill="1" applyBorder="1" applyAlignment="1">
      <alignment horizontal="center"/>
    </xf>
    <xf numFmtId="0" fontId="0" fillId="21" borderId="24" xfId="0" applyFill="1" applyBorder="1"/>
    <xf numFmtId="1" fontId="0" fillId="21" borderId="1" xfId="0" applyNumberFormat="1" applyFill="1" applyBorder="1" applyAlignment="1">
      <alignment horizontal="center"/>
    </xf>
    <xf numFmtId="2" fontId="0" fillId="21" borderId="1" xfId="0" applyNumberFormat="1" applyFill="1" applyBorder="1" applyAlignment="1">
      <alignment horizontal="center"/>
    </xf>
    <xf numFmtId="0" fontId="0" fillId="21" borderId="25" xfId="0" applyFill="1" applyBorder="1"/>
    <xf numFmtId="0" fontId="0" fillId="21" borderId="26" xfId="0" applyFill="1" applyBorder="1"/>
    <xf numFmtId="165" fontId="0" fillId="21" borderId="26" xfId="0" applyNumberFormat="1" applyFill="1" applyBorder="1" applyAlignment="1">
      <alignment horizontal="center"/>
    </xf>
    <xf numFmtId="0" fontId="0" fillId="21" borderId="27" xfId="0" applyFill="1" applyBorder="1"/>
    <xf numFmtId="0" fontId="0" fillId="0" borderId="0" xfId="0" applyAlignment="1">
      <alignment horizontal="center"/>
    </xf>
    <xf numFmtId="0" fontId="0" fillId="9" borderId="16" xfId="0" applyFill="1" applyBorder="1" applyAlignment="1">
      <alignment horizontal="center"/>
    </xf>
    <xf numFmtId="0" fontId="1" fillId="20" borderId="36" xfId="0" applyFont="1" applyFill="1" applyBorder="1"/>
    <xf numFmtId="0" fontId="14" fillId="0" borderId="37" xfId="0" applyFont="1" applyBorder="1"/>
    <xf numFmtId="0" fontId="0" fillId="0" borderId="37" xfId="0" applyBorder="1"/>
    <xf numFmtId="0" fontId="0" fillId="0" borderId="14" xfId="0" applyBorder="1"/>
    <xf numFmtId="0" fontId="0" fillId="20" borderId="36" xfId="0" applyFill="1" applyBorder="1"/>
    <xf numFmtId="0" fontId="14" fillId="0" borderId="36" xfId="0" applyFont="1" applyBorder="1"/>
    <xf numFmtId="0" fontId="41" fillId="0" borderId="0" xfId="0" applyFont="1" applyFill="1" applyBorder="1"/>
    <xf numFmtId="0" fontId="41" fillId="0" borderId="36" xfId="0" applyFont="1" applyFill="1" applyBorder="1"/>
    <xf numFmtId="0" fontId="14" fillId="0" borderId="13" xfId="0" applyFont="1" applyBorder="1"/>
    <xf numFmtId="0" fontId="0" fillId="13" borderId="1" xfId="0" applyFill="1" applyBorder="1"/>
    <xf numFmtId="0" fontId="0" fillId="16" borderId="1" xfId="0" applyFill="1" applyBorder="1"/>
    <xf numFmtId="0" fontId="0" fillId="19" borderId="1" xfId="0" applyFont="1" applyFill="1" applyBorder="1"/>
    <xf numFmtId="0" fontId="0" fillId="9" borderId="1" xfId="0" applyFill="1" applyBorder="1"/>
    <xf numFmtId="11" fontId="0" fillId="10" borderId="1" xfId="0" applyNumberFormat="1" applyFill="1" applyBorder="1"/>
    <xf numFmtId="0" fontId="0" fillId="22" borderId="1" xfId="0" applyFill="1" applyBorder="1"/>
    <xf numFmtId="0" fontId="0" fillId="22" borderId="1" xfId="0" applyFill="1" applyBorder="1" applyAlignment="1">
      <alignment horizontal="left"/>
    </xf>
    <xf numFmtId="0" fontId="14" fillId="0" borderId="0" xfId="0" applyFont="1" applyFill="1" applyBorder="1"/>
    <xf numFmtId="0" fontId="14" fillId="0" borderId="0" xfId="0" applyFont="1" applyFill="1" applyBorder="1" applyAlignment="1">
      <alignment horizontal="right"/>
    </xf>
    <xf numFmtId="0" fontId="0" fillId="11" borderId="13" xfId="0" applyFill="1" applyBorder="1"/>
    <xf numFmtId="168" fontId="0" fillId="0" borderId="0" xfId="0" applyNumberFormat="1"/>
    <xf numFmtId="0" fontId="45" fillId="0" borderId="0" xfId="0" applyFont="1"/>
    <xf numFmtId="0" fontId="14" fillId="0" borderId="10" xfId="0" applyFont="1" applyFill="1" applyBorder="1"/>
    <xf numFmtId="0" fontId="14" fillId="0" borderId="1" xfId="0" applyFont="1" applyBorder="1" applyAlignment="1">
      <alignment horizontal="left"/>
    </xf>
    <xf numFmtId="167" fontId="0" fillId="10" borderId="1" xfId="0" applyNumberFormat="1" applyFill="1" applyBorder="1"/>
    <xf numFmtId="0" fontId="7" fillId="11" borderId="12" xfId="0" applyFont="1" applyFill="1" applyBorder="1"/>
    <xf numFmtId="0" fontId="7" fillId="11" borderId="6" xfId="0" applyFont="1" applyFill="1" applyBorder="1"/>
    <xf numFmtId="0" fontId="7" fillId="11" borderId="7" xfId="0" applyFont="1" applyFill="1" applyBorder="1"/>
    <xf numFmtId="169" fontId="0" fillId="9" borderId="14" xfId="0" applyNumberFormat="1" applyFill="1" applyBorder="1"/>
    <xf numFmtId="0" fontId="50" fillId="11" borderId="11" xfId="0" applyFont="1" applyFill="1" applyBorder="1"/>
    <xf numFmtId="0" fontId="0" fillId="11" borderId="14" xfId="0" applyFill="1" applyBorder="1"/>
    <xf numFmtId="169" fontId="0" fillId="11" borderId="14" xfId="0" applyNumberFormat="1" applyFill="1" applyBorder="1" applyAlignment="1">
      <alignment horizontal="left"/>
    </xf>
    <xf numFmtId="0" fontId="0" fillId="11" borderId="17" xfId="0" applyFill="1" applyBorder="1"/>
    <xf numFmtId="0" fontId="0" fillId="11" borderId="15" xfId="0" applyFill="1" applyBorder="1"/>
    <xf numFmtId="0" fontId="0" fillId="11" borderId="17" xfId="0" applyFill="1" applyBorder="1" applyAlignment="1">
      <alignment horizontal="center"/>
    </xf>
    <xf numFmtId="166" fontId="0" fillId="11" borderId="4" xfId="0" applyNumberFormat="1" applyFill="1" applyBorder="1" applyAlignment="1">
      <alignment horizontal="center"/>
    </xf>
    <xf numFmtId="1" fontId="0" fillId="11" borderId="1" xfId="0" applyNumberFormat="1" applyFill="1" applyBorder="1" applyAlignment="1">
      <alignment horizontal="center"/>
    </xf>
    <xf numFmtId="2" fontId="0" fillId="11" borderId="1" xfId="0" applyNumberFormat="1" applyFill="1" applyBorder="1" applyAlignment="1">
      <alignment horizontal="center"/>
    </xf>
    <xf numFmtId="165" fontId="0" fillId="11" borderId="1" xfId="0" applyNumberFormat="1" applyFill="1" applyBorder="1" applyAlignment="1">
      <alignment horizontal="center"/>
    </xf>
    <xf numFmtId="0" fontId="44" fillId="2" borderId="1" xfId="0" applyFont="1" applyFill="1" applyBorder="1"/>
    <xf numFmtId="0" fontId="44" fillId="3" borderId="7" xfId="0" applyFont="1" applyFill="1" applyBorder="1"/>
    <xf numFmtId="0" fontId="44" fillId="3" borderId="9" xfId="0" applyFont="1" applyFill="1" applyBorder="1"/>
    <xf numFmtId="0" fontId="51" fillId="3" borderId="7" xfId="0" applyFont="1" applyFill="1" applyBorder="1"/>
    <xf numFmtId="0" fontId="51" fillId="3" borderId="9" xfId="0" applyFont="1" applyFill="1" applyBorder="1"/>
    <xf numFmtId="0" fontId="0" fillId="22" borderId="0" xfId="0" applyFill="1"/>
    <xf numFmtId="0" fontId="0" fillId="22" borderId="11" xfId="0" applyFill="1" applyBorder="1"/>
    <xf numFmtId="0" fontId="0" fillId="0" borderId="8" xfId="0" applyBorder="1"/>
    <xf numFmtId="0" fontId="0" fillId="14" borderId="9" xfId="0" applyFill="1" applyBorder="1"/>
    <xf numFmtId="0" fontId="0" fillId="10" borderId="0" xfId="0" applyFill="1"/>
    <xf numFmtId="0" fontId="14" fillId="11" borderId="0" xfId="0" applyFont="1" applyFill="1"/>
    <xf numFmtId="0" fontId="14" fillId="11" borderId="0" xfId="0" applyFont="1" applyFill="1" applyAlignment="1">
      <alignment horizontal="right"/>
    </xf>
    <xf numFmtId="0" fontId="14" fillId="0" borderId="0" xfId="0" quotePrefix="1" applyFont="1"/>
    <xf numFmtId="0" fontId="14" fillId="11" borderId="0" xfId="0" applyFont="1" applyFill="1" applyAlignment="1">
      <alignment horizontal="left"/>
    </xf>
    <xf numFmtId="11" fontId="0" fillId="19" borderId="1" xfId="0" applyNumberFormat="1" applyFont="1" applyFill="1" applyBorder="1"/>
    <xf numFmtId="0" fontId="24" fillId="0" borderId="11" xfId="0" applyFont="1" applyBorder="1"/>
    <xf numFmtId="0" fontId="0" fillId="0" borderId="28" xfId="0" applyBorder="1"/>
    <xf numFmtId="0" fontId="0" fillId="0" borderId="12" xfId="0" applyBorder="1"/>
    <xf numFmtId="0" fontId="22" fillId="0" borderId="6" xfId="0" applyFont="1" applyBorder="1" applyAlignment="1">
      <alignment vertical="center"/>
    </xf>
    <xf numFmtId="0" fontId="23" fillId="0" borderId="0" xfId="0" applyFont="1" applyBorder="1" applyAlignment="1">
      <alignment vertical="center"/>
    </xf>
    <xf numFmtId="0" fontId="0" fillId="0" borderId="7" xfId="0" applyBorder="1"/>
    <xf numFmtId="21" fontId="22" fillId="0" borderId="6" xfId="0" applyNumberFormat="1" applyFont="1" applyBorder="1" applyAlignment="1">
      <alignment vertical="center"/>
    </xf>
    <xf numFmtId="14" fontId="22" fillId="0" borderId="6" xfId="0" applyNumberFormat="1" applyFont="1" applyBorder="1" applyAlignment="1">
      <alignment vertical="center"/>
    </xf>
    <xf numFmtId="0" fontId="22" fillId="17" borderId="6" xfId="0" applyFont="1" applyFill="1" applyBorder="1" applyAlignment="1">
      <alignment vertical="center"/>
    </xf>
    <xf numFmtId="0" fontId="23" fillId="0" borderId="0" xfId="0" applyFont="1" applyBorder="1"/>
    <xf numFmtId="0" fontId="0" fillId="0" borderId="6" xfId="0" applyBorder="1"/>
    <xf numFmtId="0" fontId="0" fillId="17" borderId="6" xfId="0" applyFill="1" applyBorder="1"/>
    <xf numFmtId="0" fontId="0" fillId="0" borderId="38" xfId="0" applyBorder="1"/>
    <xf numFmtId="0" fontId="0" fillId="0" borderId="9" xfId="0" applyBorder="1"/>
    <xf numFmtId="0" fontId="0" fillId="23" borderId="0" xfId="0" applyFill="1"/>
    <xf numFmtId="0" fontId="52" fillId="23" borderId="0" xfId="0" applyFont="1" applyFill="1"/>
    <xf numFmtId="0" fontId="53" fillId="0" borderId="0" xfId="0" applyFont="1" applyAlignment="1">
      <alignment horizontal="left" vertical="center"/>
    </xf>
    <xf numFmtId="14" fontId="53" fillId="0" borderId="0" xfId="0" applyNumberFormat="1" applyFont="1" applyAlignment="1">
      <alignment vertical="center"/>
    </xf>
    <xf numFmtId="0" fontId="53" fillId="0" borderId="0" xfId="0" applyFont="1" applyAlignment="1">
      <alignment vertical="center"/>
    </xf>
    <xf numFmtId="0" fontId="22" fillId="11" borderId="0" xfId="0" applyFont="1" applyFill="1" applyAlignment="1">
      <alignment vertical="center"/>
    </xf>
    <xf numFmtId="0" fontId="22" fillId="11" borderId="6" xfId="0" applyFont="1" applyFill="1" applyBorder="1" applyAlignment="1">
      <alignment vertical="center"/>
    </xf>
    <xf numFmtId="0" fontId="22" fillId="24" borderId="6" xfId="0" applyFont="1" applyFill="1" applyBorder="1" applyAlignment="1">
      <alignment vertical="center"/>
    </xf>
    <xf numFmtId="0" fontId="23" fillId="24" borderId="0" xfId="0" applyFont="1" applyFill="1" applyAlignment="1">
      <alignment vertical="center"/>
    </xf>
    <xf numFmtId="0" fontId="1" fillId="0" borderId="13" xfId="0" applyFont="1" applyBorder="1" applyAlignment="1">
      <alignment vertical="top" wrapText="1"/>
    </xf>
    <xf numFmtId="0" fontId="1" fillId="0" borderId="4"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FF99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7.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Guinier plot, Diode &amp; APD detectors</a:t>
            </a:r>
          </a:p>
        </c:rich>
      </c:tx>
      <c:layout>
        <c:manualLayout>
          <c:xMode val="edge"/>
          <c:yMode val="edge"/>
          <c:x val="1.684133257898213E-2"/>
          <c:y val="1.0009529319037484E-2"/>
        </c:manualLayout>
      </c:layout>
      <c:overlay val="0"/>
      <c:spPr>
        <a:noFill/>
        <a:ln w="25400">
          <a:noFill/>
        </a:ln>
      </c:spPr>
    </c:title>
    <c:autoTitleDeleted val="0"/>
    <c:plotArea>
      <c:layout>
        <c:manualLayout>
          <c:layoutTarget val="inner"/>
          <c:xMode val="edge"/>
          <c:yMode val="edge"/>
          <c:x val="8.0174927113702707E-2"/>
          <c:y val="7.4652904345880136E-2"/>
          <c:w val="0.88192419825072887"/>
          <c:h val="0.84548754456845532"/>
        </c:manualLayout>
      </c:layout>
      <c:scatterChart>
        <c:scatterStyle val="lineMarker"/>
        <c:varyColors val="0"/>
        <c:ser>
          <c:idx val="0"/>
          <c:order val="0"/>
          <c:spPr>
            <a:ln w="19050">
              <a:noFill/>
            </a:ln>
          </c:spPr>
          <c:marker>
            <c:symbol val="circle"/>
            <c:size val="10"/>
            <c:spPr>
              <a:noFill/>
              <a:ln>
                <a:solidFill>
                  <a:srgbClr val="0000FF"/>
                </a:solidFill>
                <a:prstDash val="solid"/>
              </a:ln>
            </c:spPr>
          </c:marker>
          <c:trendline>
            <c:spPr>
              <a:ln w="25400">
                <a:solidFill>
                  <a:srgbClr val="000000"/>
                </a:solidFill>
                <a:prstDash val="solid"/>
              </a:ln>
            </c:spPr>
            <c:trendlineType val="linear"/>
            <c:backward val="1"/>
            <c:dispRSqr val="1"/>
            <c:dispEq val="1"/>
            <c:trendlineLbl>
              <c:layout>
                <c:manualLayout>
                  <c:x val="-5.1032555056875893E-2"/>
                  <c:y val="1.0607325461425973E-2"/>
                </c:manualLayout>
              </c:layout>
              <c:numFmt formatCode="0.00E+00"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'Guinier+SphereFit1'!$F$7:$F$22</c:f>
              <c:numCache>
                <c:formatCode>General</c:formatCode>
                <c:ptCount val="16"/>
                <c:pt idx="0">
                  <c:v>0.28628093142053257</c:v>
                </c:pt>
                <c:pt idx="1">
                  <c:v>0.44022157570604104</c:v>
                </c:pt>
                <c:pt idx="2">
                  <c:v>0.57147484768024681</c:v>
                </c:pt>
                <c:pt idx="3">
                  <c:v>1.0555329732261189</c:v>
                </c:pt>
                <c:pt idx="4">
                  <c:v>1.3434375692589569</c:v>
                </c:pt>
                <c:pt idx="5">
                  <c:v>1.7125638542325015</c:v>
                </c:pt>
                <c:pt idx="6">
                  <c:v>2.1122260085135278</c:v>
                </c:pt>
                <c:pt idx="7">
                  <c:v>2.5987131315953915</c:v>
                </c:pt>
                <c:pt idx="8">
                  <c:v>3.1725596942550371</c:v>
                </c:pt>
                <c:pt idx="9">
                  <c:v>3.7608929748491216</c:v>
                </c:pt>
                <c:pt idx="10">
                  <c:v>4.349226255443206</c:v>
                </c:pt>
                <c:pt idx="11">
                  <c:v>5.4683026559678263</c:v>
                </c:pt>
                <c:pt idx="12">
                  <c:v>5.971490400915803</c:v>
                </c:pt>
                <c:pt idx="13">
                  <c:v>6.3734287602285056</c:v>
                </c:pt>
                <c:pt idx="14">
                  <c:v>6.6836557617250101</c:v>
                </c:pt>
                <c:pt idx="15">
                  <c:v>6.9150432220477915</c:v>
                </c:pt>
              </c:numCache>
            </c:numRef>
          </c:xVal>
          <c:yVal>
            <c:numRef>
              <c:f>'Guinier+SphereFit1'!$H$7:$H$22</c:f>
              <c:numCache>
                <c:formatCode>General</c:formatCode>
                <c:ptCount val="16"/>
                <c:pt idx="0">
                  <c:v>-2.8106691587487767</c:v>
                </c:pt>
                <c:pt idx="1">
                  <c:v>-2.82213050777123</c:v>
                </c:pt>
                <c:pt idx="2">
                  <c:v>-2.4236324697762925</c:v>
                </c:pt>
                <c:pt idx="3">
                  <c:v>-2.7704485299748627</c:v>
                </c:pt>
                <c:pt idx="4">
                  <c:v>-2.4819459629698319</c:v>
                </c:pt>
                <c:pt idx="5">
                  <c:v>-2.6649023403633962</c:v>
                </c:pt>
                <c:pt idx="6">
                  <c:v>-2.6312506421069708</c:v>
                </c:pt>
                <c:pt idx="7">
                  <c:v>-2.548311496135371</c:v>
                </c:pt>
                <c:pt idx="8">
                  <c:v>-2.7320754885725167</c:v>
                </c:pt>
                <c:pt idx="9">
                  <c:v>-2.5863680168434815</c:v>
                </c:pt>
                <c:pt idx="10">
                  <c:v>-2.3464985192097245</c:v>
                </c:pt>
                <c:pt idx="11">
                  <c:v>-2.3091077548648475</c:v>
                </c:pt>
                <c:pt idx="12">
                  <c:v>-2.736663821316311</c:v>
                </c:pt>
                <c:pt idx="13">
                  <c:v>-2.6075030264198276</c:v>
                </c:pt>
                <c:pt idx="14">
                  <c:v>-2.6831466740143664</c:v>
                </c:pt>
                <c:pt idx="15">
                  <c:v>-2.3744622247654124</c:v>
                </c:pt>
              </c:numCache>
            </c:numRef>
          </c:yVal>
          <c:smooth val="0"/>
          <c:extLst>
            <c:ext xmlns:c16="http://schemas.microsoft.com/office/drawing/2014/chart" uri="{C3380CC4-5D6E-409C-BE32-E72D297353CC}">
              <c16:uniqueId val="{00000001-9AD9-40C9-AE62-615D241A2B7D}"/>
            </c:ext>
          </c:extLst>
        </c:ser>
        <c:dLbls>
          <c:showLegendKey val="0"/>
          <c:showVal val="0"/>
          <c:showCatName val="0"/>
          <c:showSerName val="0"/>
          <c:showPercent val="0"/>
          <c:showBubbleSize val="0"/>
        </c:dLbls>
        <c:axId val="40995840"/>
        <c:axId val="40998016"/>
      </c:scatterChart>
      <c:valAx>
        <c:axId val="40995840"/>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000000"/>
                    </a:solidFill>
                    <a:latin typeface="Calibri"/>
                    <a:ea typeface="Calibri"/>
                    <a:cs typeface="Calibri"/>
                  </a:defRPr>
                </a:pPr>
                <a:r>
                  <a:rPr lang="en-US" sz="1400" b="0" i="0" u="none" strike="noStrike" baseline="0">
                    <a:solidFill>
                      <a:sysClr val="windowText" lastClr="000000"/>
                    </a:solidFill>
                    <a:latin typeface="Calibri"/>
                  </a:rPr>
                  <a:t>q</a:t>
                </a:r>
                <a:r>
                  <a:rPr lang="en-US" sz="1400" b="0" i="0" u="none" strike="noStrike" baseline="30000">
                    <a:solidFill>
                      <a:sysClr val="windowText" lastClr="000000"/>
                    </a:solidFill>
                    <a:latin typeface="Calibri"/>
                  </a:rPr>
                  <a:t>2</a:t>
                </a:r>
                <a:r>
                  <a:rPr lang="en-US" sz="1400" b="0" i="0" u="none" strike="noStrike" baseline="0">
                    <a:solidFill>
                      <a:sysClr val="windowText" lastClr="000000"/>
                    </a:solidFill>
                    <a:latin typeface="Calibri"/>
                  </a:rPr>
                  <a:t>/nm</a:t>
                </a:r>
                <a:r>
                  <a:rPr lang="en-US" sz="1400" b="0" i="0" u="none" strike="noStrike" baseline="30000">
                    <a:solidFill>
                      <a:sysClr val="windowText" lastClr="000000"/>
                    </a:solidFill>
                    <a:latin typeface="Calibri"/>
                  </a:rPr>
                  <a:t>-2</a:t>
                </a:r>
              </a:p>
            </c:rich>
          </c:tx>
          <c:layout>
            <c:manualLayout>
              <c:xMode val="edge"/>
              <c:yMode val="edge"/>
              <c:x val="0.53162913388271171"/>
              <c:y val="1.7720481667841112E-2"/>
            </c:manualLayout>
          </c:layout>
          <c:overlay val="0"/>
          <c:spPr>
            <a:noFill/>
            <a:ln w="25400">
              <a:noFill/>
            </a:ln>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0998016"/>
        <c:crosses val="autoZero"/>
        <c:crossBetween val="midCat"/>
      </c:valAx>
      <c:valAx>
        <c:axId val="4099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000000"/>
                    </a:solidFill>
                    <a:latin typeface="Calibri"/>
                    <a:ea typeface="Calibri"/>
                    <a:cs typeface="Calibri"/>
                  </a:defRPr>
                </a:pPr>
                <a:r>
                  <a:rPr lang="en-US" sz="1400" b="0" i="0" u="none" strike="noStrike" baseline="0">
                    <a:solidFill>
                      <a:srgbClr val="333333"/>
                    </a:solidFill>
                    <a:latin typeface="Script MT Bold"/>
                  </a:rPr>
                  <a:t>ln</a:t>
                </a:r>
                <a:r>
                  <a:rPr lang="en-US" sz="1400" b="0" i="0" u="none" strike="noStrike" baseline="0">
                    <a:solidFill>
                      <a:srgbClr val="333333"/>
                    </a:solidFill>
                    <a:latin typeface="Calibri"/>
                  </a:rPr>
                  <a:t>(Intensity)</a:t>
                </a:r>
              </a:p>
            </c:rich>
          </c:tx>
          <c:layout>
            <c:manualLayout>
              <c:xMode val="edge"/>
              <c:yMode val="edge"/>
              <c:x val="8.9726141093454236E-3"/>
              <c:y val="0.43158516113422724"/>
            </c:manualLayout>
          </c:layout>
          <c:overlay val="0"/>
          <c:spPr>
            <a:noFill/>
            <a:ln w="25400">
              <a:noFill/>
            </a:ln>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5840"/>
        <c:crosses val="autoZero"/>
        <c:crossBetween val="midCat"/>
      </c:valAx>
      <c:spPr>
        <a:noFill/>
        <a:ln w="25400">
          <a:noFill/>
        </a:ln>
      </c:spPr>
    </c:plotArea>
    <c:plotVisOnly val="1"/>
    <c:dispBlanksAs val="gap"/>
    <c:showDLblsOverMax val="0"/>
  </c:chart>
  <c:spPr>
    <a:solidFill>
      <a:schemeClr val="bg1"/>
    </a:solidFill>
    <a:ln w="38100" cap="flat" cmpd="sng" algn="ctr">
      <a:solidFill>
        <a:schemeClr val="tx1">
          <a:lumMod val="75000"/>
          <a:lumOff val="25000"/>
        </a:schemeClr>
      </a:solidFill>
      <a:round/>
    </a:ln>
    <a:effectLst/>
  </c:spPr>
  <c:txPr>
    <a:bodyPr/>
    <a:lstStyle/>
    <a:p>
      <a:pPr>
        <a:defRPr/>
      </a:pPr>
      <a:endParaRPr lang="en-US"/>
    </a:p>
  </c:txPr>
  <c:printSettings>
    <c:headerFooter/>
    <c:pageMargins b="0.750000000000001" l="0.70000000000000062" r="0.70000000000000062" t="0.75000000000000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Sphere plot</a:t>
            </a:r>
          </a:p>
        </c:rich>
      </c:tx>
      <c:layout>
        <c:manualLayout>
          <c:xMode val="edge"/>
          <c:yMode val="edge"/>
          <c:x val="2.0542228139849867E-2"/>
          <c:y val="2.1897783610382037E-2"/>
        </c:manualLayout>
      </c:layout>
      <c:overlay val="0"/>
      <c:spPr>
        <a:noFill/>
        <a:ln w="25400">
          <a:noFill/>
        </a:ln>
      </c:spPr>
    </c:title>
    <c:autoTitleDeleted val="0"/>
    <c:plotArea>
      <c:layout>
        <c:manualLayout>
          <c:layoutTarget val="inner"/>
          <c:xMode val="edge"/>
          <c:yMode val="edge"/>
          <c:x val="8.0174927113702707E-2"/>
          <c:y val="7.4652904345880136E-2"/>
          <c:w val="0.88192419825072887"/>
          <c:h val="0.84548754456845532"/>
        </c:manualLayout>
      </c:layout>
      <c:scatterChart>
        <c:scatterStyle val="lineMarker"/>
        <c:varyColors val="0"/>
        <c:ser>
          <c:idx val="0"/>
          <c:order val="0"/>
          <c:spPr>
            <a:ln w="19050">
              <a:noFill/>
            </a:ln>
          </c:spPr>
          <c:marker>
            <c:symbol val="circle"/>
            <c:size val="10"/>
            <c:spPr>
              <a:noFill/>
              <a:ln>
                <a:solidFill>
                  <a:srgbClr val="0000FF"/>
                </a:solidFill>
                <a:prstDash val="solid"/>
              </a:ln>
            </c:spPr>
          </c:marker>
          <c:xVal>
            <c:numRef>
              <c:f>'Guinier+SphereFit1'!$D$7:$D$22</c:f>
              <c:numCache>
                <c:formatCode>General</c:formatCode>
                <c:ptCount val="16"/>
                <c:pt idx="0">
                  <c:v>53505.226980224332</c:v>
                </c:pt>
                <c:pt idx="1">
                  <c:v>66349.195602210661</c:v>
                </c:pt>
                <c:pt idx="2">
                  <c:v>75595.955426216213</c:v>
                </c:pt>
                <c:pt idx="3">
                  <c:v>102739.13437566617</c:v>
                </c:pt>
                <c:pt idx="4">
                  <c:v>115906.75430098787</c:v>
                </c:pt>
                <c:pt idx="5">
                  <c:v>130864.96300509552</c:v>
                </c:pt>
                <c:pt idx="6">
                  <c:v>145334.99263816432</c:v>
                </c:pt>
                <c:pt idx="7">
                  <c:v>161205.2459318676</c:v>
                </c:pt>
                <c:pt idx="8">
                  <c:v>178116.80701873807</c:v>
                </c:pt>
                <c:pt idx="9">
                  <c:v>193930.21876048925</c:v>
                </c:pt>
                <c:pt idx="10">
                  <c:v>208547.98621524032</c:v>
                </c:pt>
                <c:pt idx="11">
                  <c:v>233844.02186003872</c:v>
                </c:pt>
                <c:pt idx="12">
                  <c:v>244366.33157855037</c:v>
                </c:pt>
                <c:pt idx="13">
                  <c:v>252456.50635760027</c:v>
                </c:pt>
                <c:pt idx="14">
                  <c:v>258527.67282681772</c:v>
                </c:pt>
                <c:pt idx="15">
                  <c:v>262964.69766962621</c:v>
                </c:pt>
              </c:numCache>
            </c:numRef>
          </c:xVal>
          <c:yVal>
            <c:numRef>
              <c:f>'Guinier+SphereFit1'!$G$7:$G$22</c:f>
              <c:numCache>
                <c:formatCode>General</c:formatCode>
                <c:ptCount val="16"/>
                <c:pt idx="0">
                  <c:v>6.0164719171086116E-2</c:v>
                </c:pt>
                <c:pt idx="1">
                  <c:v>5.9479086966343034E-2</c:v>
                </c:pt>
                <c:pt idx="2">
                  <c:v>8.8599198314927075E-2</c:v>
                </c:pt>
                <c:pt idx="3">
                  <c:v>6.2633905256943095E-2</c:v>
                </c:pt>
                <c:pt idx="4">
                  <c:v>8.3580422831665696E-2</c:v>
                </c:pt>
                <c:pt idx="5">
                  <c:v>6.9606150912752338E-2</c:v>
                </c:pt>
                <c:pt idx="6">
                  <c:v>7.1988374224558796E-2</c:v>
                </c:pt>
                <c:pt idx="7">
                  <c:v>7.8213618565810245E-2</c:v>
                </c:pt>
                <c:pt idx="8">
                  <c:v>6.5084068151610414E-2</c:v>
                </c:pt>
                <c:pt idx="9">
                  <c:v>7.5293007012894111E-2</c:v>
                </c:pt>
                <c:pt idx="10">
                  <c:v>9.5703680818486445E-2</c:v>
                </c:pt>
                <c:pt idx="11">
                  <c:v>9.9349856451222421E-2</c:v>
                </c:pt>
                <c:pt idx="12">
                  <c:v>6.4786124844837673E-2</c:v>
                </c:pt>
                <c:pt idx="13">
                  <c:v>7.3718387006404235E-2</c:v>
                </c:pt>
                <c:pt idx="14">
                  <c:v>6.834774734400241E-2</c:v>
                </c:pt>
                <c:pt idx="15">
                  <c:v>9.3064523551827746E-2</c:v>
                </c:pt>
              </c:numCache>
            </c:numRef>
          </c:yVal>
          <c:smooth val="0"/>
          <c:extLst>
            <c:ext xmlns:c16="http://schemas.microsoft.com/office/drawing/2014/chart" uri="{C3380CC4-5D6E-409C-BE32-E72D297353CC}">
              <c16:uniqueId val="{00000000-22A7-4C52-AFAC-2B744F03BFFA}"/>
            </c:ext>
          </c:extLst>
        </c:ser>
        <c:ser>
          <c:idx val="1"/>
          <c:order val="1"/>
          <c:tx>
            <c:v>SphereFit</c:v>
          </c:tx>
          <c:spPr>
            <a:ln w="19050">
              <a:solidFill>
                <a:srgbClr val="FF0000"/>
              </a:solidFill>
            </a:ln>
          </c:spPr>
          <c:marker>
            <c:symbol val="none"/>
          </c:marker>
          <c:xVal>
            <c:numRef>
              <c:f>'Guinier+SphereFit1'!$B$30:$B$79</c:f>
              <c:numCache>
                <c:formatCode>General</c:formatCode>
                <c:ptCount val="50"/>
                <c:pt idx="0">
                  <c:v>1</c:v>
                </c:pt>
                <c:pt idx="1">
                  <c:v>10000</c:v>
                </c:pt>
                <c:pt idx="2">
                  <c:v>15000</c:v>
                </c:pt>
                <c:pt idx="3">
                  <c:v>20000</c:v>
                </c:pt>
                <c:pt idx="4">
                  <c:v>25000</c:v>
                </c:pt>
                <c:pt idx="5">
                  <c:v>30000</c:v>
                </c:pt>
                <c:pt idx="6">
                  <c:v>35000</c:v>
                </c:pt>
                <c:pt idx="7">
                  <c:v>40000</c:v>
                </c:pt>
                <c:pt idx="8">
                  <c:v>45000</c:v>
                </c:pt>
                <c:pt idx="9">
                  <c:v>50000</c:v>
                </c:pt>
                <c:pt idx="10">
                  <c:v>55000</c:v>
                </c:pt>
                <c:pt idx="11">
                  <c:v>60000</c:v>
                </c:pt>
                <c:pt idx="12">
                  <c:v>65000</c:v>
                </c:pt>
                <c:pt idx="13">
                  <c:v>70000</c:v>
                </c:pt>
                <c:pt idx="14">
                  <c:v>75000</c:v>
                </c:pt>
                <c:pt idx="15">
                  <c:v>80000</c:v>
                </c:pt>
                <c:pt idx="16">
                  <c:v>85000</c:v>
                </c:pt>
                <c:pt idx="17">
                  <c:v>90000</c:v>
                </c:pt>
                <c:pt idx="18">
                  <c:v>95000</c:v>
                </c:pt>
                <c:pt idx="19">
                  <c:v>100000</c:v>
                </c:pt>
                <c:pt idx="20">
                  <c:v>105000</c:v>
                </c:pt>
                <c:pt idx="21">
                  <c:v>110000</c:v>
                </c:pt>
                <c:pt idx="22">
                  <c:v>115000</c:v>
                </c:pt>
                <c:pt idx="23">
                  <c:v>120000</c:v>
                </c:pt>
                <c:pt idx="24">
                  <c:v>125000</c:v>
                </c:pt>
                <c:pt idx="25">
                  <c:v>130000</c:v>
                </c:pt>
                <c:pt idx="26">
                  <c:v>135000</c:v>
                </c:pt>
                <c:pt idx="27">
                  <c:v>140000</c:v>
                </c:pt>
                <c:pt idx="28">
                  <c:v>145000</c:v>
                </c:pt>
                <c:pt idx="29">
                  <c:v>150000</c:v>
                </c:pt>
                <c:pt idx="30">
                  <c:v>155000</c:v>
                </c:pt>
                <c:pt idx="31">
                  <c:v>160000</c:v>
                </c:pt>
                <c:pt idx="32">
                  <c:v>165000</c:v>
                </c:pt>
                <c:pt idx="33">
                  <c:v>170000</c:v>
                </c:pt>
                <c:pt idx="34">
                  <c:v>175000.00000000003</c:v>
                </c:pt>
                <c:pt idx="35">
                  <c:v>180000</c:v>
                </c:pt>
                <c:pt idx="36">
                  <c:v>185000</c:v>
                </c:pt>
                <c:pt idx="37">
                  <c:v>190000</c:v>
                </c:pt>
                <c:pt idx="38">
                  <c:v>195000</c:v>
                </c:pt>
                <c:pt idx="39">
                  <c:v>200000</c:v>
                </c:pt>
                <c:pt idx="40">
                  <c:v>205000</c:v>
                </c:pt>
                <c:pt idx="41">
                  <c:v>210000</c:v>
                </c:pt>
                <c:pt idx="42">
                  <c:v>214999.99999999997</c:v>
                </c:pt>
                <c:pt idx="43">
                  <c:v>220000</c:v>
                </c:pt>
                <c:pt idx="44">
                  <c:v>225000</c:v>
                </c:pt>
                <c:pt idx="45">
                  <c:v>230000</c:v>
                </c:pt>
                <c:pt idx="46">
                  <c:v>235000</c:v>
                </c:pt>
                <c:pt idx="47">
                  <c:v>240000</c:v>
                </c:pt>
                <c:pt idx="48">
                  <c:v>245000</c:v>
                </c:pt>
                <c:pt idx="49">
                  <c:v>250000</c:v>
                </c:pt>
              </c:numCache>
            </c:numRef>
          </c:xVal>
          <c:yVal>
            <c:numRef>
              <c:f>'Guinier+SphereFit1'!$F$30:$F$79</c:f>
              <c:numCache>
                <c:formatCode>General</c:formatCode>
                <c:ptCount val="50"/>
                <c:pt idx="0">
                  <c:v>1.4456708102296651</c:v>
                </c:pt>
                <c:pt idx="1">
                  <c:v>1.4420069628981558</c:v>
                </c:pt>
                <c:pt idx="2">
                  <c:v>1.4374334765185786</c:v>
                </c:pt>
                <c:pt idx="3">
                  <c:v>1.4310514830196617</c:v>
                </c:pt>
                <c:pt idx="4">
                  <c:v>1.422881752064294</c:v>
                </c:pt>
                <c:pt idx="5">
                  <c:v>1.4129508200247456</c:v>
                </c:pt>
                <c:pt idx="6">
                  <c:v>1.401290865701295</c:v>
                </c:pt>
                <c:pt idx="7">
                  <c:v>1.3879395598878199</c:v>
                </c:pt>
                <c:pt idx="8">
                  <c:v>1.3729398896488623</c:v>
                </c:pt>
                <c:pt idx="9">
                  <c:v>1.3563399583155451</c:v>
                </c:pt>
                <c:pt idx="10">
                  <c:v>1.3381927623450272</c:v>
                </c:pt>
                <c:pt idx="11">
                  <c:v>1.3185559463174821</c:v>
                </c:pt>
                <c:pt idx="12">
                  <c:v>1.2974915374657905</c:v>
                </c:pt>
                <c:pt idx="13">
                  <c:v>1.2750656612451015</c:v>
                </c:pt>
                <c:pt idx="14">
                  <c:v>1.2513482395516169</c:v>
                </c:pt>
                <c:pt idx="15">
                  <c:v>1.2264126732918315</c:v>
                </c:pt>
                <c:pt idx="16">
                  <c:v>1.2003355110840861</c:v>
                </c:pt>
                <c:pt idx="17">
                  <c:v>1.1731961059436939</c:v>
                </c:pt>
                <c:pt idx="18">
                  <c:v>1.1450762618602175</c:v>
                </c:pt>
                <c:pt idx="19">
                  <c:v>1.1160598722206938</c:v>
                </c:pt>
                <c:pt idx="20">
                  <c:v>1.0862325520653473</c:v>
                </c:pt>
                <c:pt idx="21">
                  <c:v>1.0556812661824742</c:v>
                </c:pt>
                <c:pt idx="22">
                  <c:v>1.0244939550567211</c:v>
                </c:pt>
                <c:pt idx="23">
                  <c:v>0.99275916067989733</c:v>
                </c:pt>
                <c:pt idx="24">
                  <c:v>0.96056565421588791</c:v>
                </c:pt>
                <c:pt idx="25">
                  <c:v>0.92800206748137337</c:v>
                </c:pt>
                <c:pt idx="26">
                  <c:v>0.89515653016224606</c:v>
                </c:pt>
                <c:pt idx="27">
                  <c:v>0.86211631463212623</c:v>
                </c:pt>
                <c:pt idx="28">
                  <c:v>0.82896749017476634</c:v>
                </c:pt>
                <c:pt idx="29">
                  <c:v>0.79579458833685179</c:v>
                </c:pt>
                <c:pt idx="30">
                  <c:v>0.76268028105236918</c:v>
                </c:pt>
                <c:pt idx="31">
                  <c:v>0.7297050730850182</c:v>
                </c:pt>
                <c:pt idx="32">
                  <c:v>0.69694701023171413</c:v>
                </c:pt>
                <c:pt idx="33">
                  <c:v>0.66448140461897875</c:v>
                </c:pt>
                <c:pt idx="34">
                  <c:v>0.63238057830561767</c:v>
                </c:pt>
                <c:pt idx="35">
                  <c:v>0.60071362628052749</c:v>
                </c:pt>
                <c:pt idx="36">
                  <c:v>0.56954619981456966</c:v>
                </c:pt>
                <c:pt idx="37">
                  <c:v>0.53894031099118633</c:v>
                </c:pt>
                <c:pt idx="38">
                  <c:v>0.5089541591027138</c:v>
                </c:pt>
                <c:pt idx="39">
                  <c:v>0.47964197945916903</c:v>
                </c:pt>
                <c:pt idx="40">
                  <c:v>0.45105391501459818</c:v>
                </c:pt>
                <c:pt idx="41">
                  <c:v>0.42323591107385833</c:v>
                </c:pt>
                <c:pt idx="42">
                  <c:v>0.39622963320091498</c:v>
                </c:pt>
                <c:pt idx="43">
                  <c:v>0.37007240830932064</c:v>
                </c:pt>
                <c:pt idx="44">
                  <c:v>0.34479718877745208</c:v>
                </c:pt>
                <c:pt idx="45">
                  <c:v>0.3204325392961575</c:v>
                </c:pt>
                <c:pt idx="46">
                  <c:v>0.29700264602566023</c:v>
                </c:pt>
                <c:pt idx="47">
                  <c:v>0.27452734751261521</c:v>
                </c:pt>
                <c:pt idx="48">
                  <c:v>0.25302218669795967</c:v>
                </c:pt>
                <c:pt idx="49">
                  <c:v>0.23249848323234981</c:v>
                </c:pt>
              </c:numCache>
            </c:numRef>
          </c:yVal>
          <c:smooth val="0"/>
          <c:extLst>
            <c:ext xmlns:c16="http://schemas.microsoft.com/office/drawing/2014/chart" uri="{C3380CC4-5D6E-409C-BE32-E72D297353CC}">
              <c16:uniqueId val="{00000001-22A7-4C52-AFAC-2B744F03BFFA}"/>
            </c:ext>
          </c:extLst>
        </c:ser>
        <c:dLbls>
          <c:showLegendKey val="0"/>
          <c:showVal val="0"/>
          <c:showCatName val="0"/>
          <c:showSerName val="0"/>
          <c:showPercent val="0"/>
          <c:showBubbleSize val="0"/>
        </c:dLbls>
        <c:axId val="40995840"/>
        <c:axId val="40998016"/>
      </c:scatterChart>
      <c:valAx>
        <c:axId val="40995840"/>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000000"/>
                    </a:solidFill>
                    <a:latin typeface="Calibri"/>
                    <a:ea typeface="Calibri"/>
                    <a:cs typeface="Calibri"/>
                  </a:defRPr>
                </a:pPr>
                <a:r>
                  <a:rPr lang="en-US" sz="1400" b="0" i="0" u="none" strike="noStrike" baseline="0">
                    <a:solidFill>
                      <a:sysClr val="windowText" lastClr="000000"/>
                    </a:solidFill>
                    <a:latin typeface="Calibri"/>
                  </a:rPr>
                  <a:t>q/cm</a:t>
                </a:r>
                <a:r>
                  <a:rPr lang="en-US" sz="1400" b="0" i="0" u="none" strike="noStrike" baseline="30000">
                    <a:solidFill>
                      <a:sysClr val="windowText" lastClr="000000"/>
                    </a:solidFill>
                    <a:latin typeface="Calibri"/>
                  </a:rPr>
                  <a:t>-1</a:t>
                </a:r>
              </a:p>
            </c:rich>
          </c:tx>
          <c:layout>
            <c:manualLayout>
              <c:xMode val="edge"/>
              <c:yMode val="edge"/>
              <c:x val="0.55347381945702334"/>
              <c:y val="1.2598656954949067E-2"/>
            </c:manualLayout>
          </c:layout>
          <c:overlay val="0"/>
          <c:spPr>
            <a:noFill/>
            <a:ln w="25400">
              <a:noFill/>
            </a:ln>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0998016"/>
        <c:crosses val="autoZero"/>
        <c:crossBetween val="midCat"/>
      </c:valAx>
      <c:valAx>
        <c:axId val="4099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000000"/>
                    </a:solidFill>
                    <a:latin typeface="Calibri"/>
                    <a:ea typeface="Calibri"/>
                    <a:cs typeface="Calibri"/>
                  </a:defRPr>
                </a:pPr>
                <a:r>
                  <a:rPr lang="en-US" sz="1000" b="0" i="0" u="none" strike="noStrike" baseline="0">
                    <a:solidFill>
                      <a:srgbClr val="333333"/>
                    </a:solidFill>
                    <a:latin typeface="+mj-lt"/>
                  </a:rPr>
                  <a:t>Intensity</a:t>
                </a:r>
              </a:p>
            </c:rich>
          </c:tx>
          <c:overlay val="0"/>
          <c:spPr>
            <a:noFill/>
            <a:ln w="25400">
              <a:noFill/>
            </a:ln>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5840"/>
        <c:crossesAt val="0"/>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 l="0.70000000000000062" r="0.70000000000000062" t="0.75000000000000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Guinier plot, ALV APD detectors</a:t>
            </a:r>
          </a:p>
        </c:rich>
      </c:tx>
      <c:layout>
        <c:manualLayout>
          <c:xMode val="edge"/>
          <c:yMode val="edge"/>
          <c:x val="2.0542306940523183E-2"/>
          <c:y val="1.2517237584322901E-2"/>
        </c:manualLayout>
      </c:layout>
      <c:overlay val="0"/>
      <c:spPr>
        <a:noFill/>
        <a:ln w="25400">
          <a:noFill/>
        </a:ln>
      </c:spPr>
    </c:title>
    <c:autoTitleDeleted val="0"/>
    <c:plotArea>
      <c:layout>
        <c:manualLayout>
          <c:layoutTarget val="inner"/>
          <c:xMode val="edge"/>
          <c:yMode val="edge"/>
          <c:x val="0.11478368135920848"/>
          <c:y val="7.4652904345880136E-2"/>
          <c:w val="0.8473154106366203"/>
          <c:h val="0.82641234825973597"/>
        </c:manualLayout>
      </c:layout>
      <c:scatterChart>
        <c:scatterStyle val="lineMarker"/>
        <c:varyColors val="0"/>
        <c:ser>
          <c:idx val="0"/>
          <c:order val="0"/>
          <c:spPr>
            <a:ln w="19050">
              <a:noFill/>
            </a:ln>
          </c:spPr>
          <c:marker>
            <c:symbol val="circle"/>
            <c:size val="10"/>
            <c:spPr>
              <a:noFill/>
              <a:ln>
                <a:solidFill>
                  <a:srgbClr val="0000FF"/>
                </a:solidFill>
                <a:prstDash val="solid"/>
              </a:ln>
            </c:spPr>
          </c:marker>
          <c:trendline>
            <c:spPr>
              <a:ln w="25400">
                <a:solidFill>
                  <a:srgbClr val="000000"/>
                </a:solidFill>
                <a:prstDash val="solid"/>
              </a:ln>
            </c:spPr>
            <c:trendlineType val="linear"/>
            <c:backward val="1"/>
            <c:dispRSqr val="1"/>
            <c:dispEq val="1"/>
            <c:trendlineLbl>
              <c:layout>
                <c:manualLayout>
                  <c:x val="0.11678638458971426"/>
                  <c:y val="0.39256377813871757"/>
                </c:manualLayout>
              </c:layout>
              <c:numFmt formatCode="0.00E+00"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'Guinier+SphereFit1'!$AF$12:$AF$19</c:f>
              <c:numCache>
                <c:formatCode>General</c:formatCode>
                <c:ptCount val="8"/>
                <c:pt idx="0">
                  <c:v>1.0555329732261189</c:v>
                </c:pt>
                <c:pt idx="1">
                  <c:v>1.3434375692589569</c:v>
                </c:pt>
                <c:pt idx="2">
                  <c:v>2.1122260085135278</c:v>
                </c:pt>
                <c:pt idx="3">
                  <c:v>3.1725596942550371</c:v>
                </c:pt>
                <c:pt idx="4">
                  <c:v>4.349226255443206</c:v>
                </c:pt>
                <c:pt idx="5">
                  <c:v>5.4683026559678263</c:v>
                </c:pt>
                <c:pt idx="6">
                  <c:v>6.3734287602285056</c:v>
                </c:pt>
                <c:pt idx="7">
                  <c:v>6.9150432220477915</c:v>
                </c:pt>
              </c:numCache>
            </c:numRef>
          </c:xVal>
          <c:yVal>
            <c:numRef>
              <c:f>'Guinier+SphereFit1'!$AH$12:$AH$19</c:f>
              <c:numCache>
                <c:formatCode>General</c:formatCode>
                <c:ptCount val="8"/>
                <c:pt idx="0">
                  <c:v>-2.7704485299748627</c:v>
                </c:pt>
                <c:pt idx="1">
                  <c:v>-2.4819459629698319</c:v>
                </c:pt>
                <c:pt idx="2">
                  <c:v>-2.6312506421069708</c:v>
                </c:pt>
                <c:pt idx="3">
                  <c:v>-2.7320754885725167</c:v>
                </c:pt>
                <c:pt idx="4">
                  <c:v>-2.3464985192097245</c:v>
                </c:pt>
                <c:pt idx="5">
                  <c:v>-2.3091077548648475</c:v>
                </c:pt>
                <c:pt idx="6">
                  <c:v>-2.6075030264198276</c:v>
                </c:pt>
                <c:pt idx="7">
                  <c:v>-2.3744622247654124</c:v>
                </c:pt>
              </c:numCache>
            </c:numRef>
          </c:yVal>
          <c:smooth val="0"/>
          <c:extLst>
            <c:ext xmlns:c16="http://schemas.microsoft.com/office/drawing/2014/chart" uri="{C3380CC4-5D6E-409C-BE32-E72D297353CC}">
              <c16:uniqueId val="{00000001-1A9A-492B-90F9-B981F2CF8705}"/>
            </c:ext>
          </c:extLst>
        </c:ser>
        <c:dLbls>
          <c:showLegendKey val="0"/>
          <c:showVal val="0"/>
          <c:showCatName val="0"/>
          <c:showSerName val="0"/>
          <c:showPercent val="0"/>
          <c:showBubbleSize val="0"/>
        </c:dLbls>
        <c:axId val="40995840"/>
        <c:axId val="40998016"/>
      </c:scatterChart>
      <c:valAx>
        <c:axId val="40995840"/>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000000"/>
                    </a:solidFill>
                    <a:latin typeface="Calibri"/>
                    <a:ea typeface="Calibri"/>
                    <a:cs typeface="Calibri"/>
                  </a:defRPr>
                </a:pPr>
                <a:r>
                  <a:rPr lang="en-US" sz="1400" b="0" i="0" u="none" strike="noStrike" baseline="0">
                    <a:solidFill>
                      <a:sysClr val="windowText" lastClr="000000"/>
                    </a:solidFill>
                    <a:latin typeface="Calibri"/>
                  </a:rPr>
                  <a:t>q</a:t>
                </a:r>
                <a:r>
                  <a:rPr lang="en-US" sz="1400" b="0" i="0" u="none" strike="noStrike" baseline="30000">
                    <a:solidFill>
                      <a:sysClr val="windowText" lastClr="000000"/>
                    </a:solidFill>
                    <a:latin typeface="Calibri"/>
                  </a:rPr>
                  <a:t>2</a:t>
                </a:r>
                <a:r>
                  <a:rPr lang="en-US" sz="1400" b="0" i="0" u="none" strike="noStrike" baseline="0">
                    <a:solidFill>
                      <a:sysClr val="windowText" lastClr="000000"/>
                    </a:solidFill>
                    <a:latin typeface="Calibri"/>
                  </a:rPr>
                  <a:t>/nm</a:t>
                </a:r>
                <a:r>
                  <a:rPr lang="en-US" sz="1400" b="0" i="0" u="none" strike="noStrike" baseline="30000">
                    <a:solidFill>
                      <a:sysClr val="windowText" lastClr="000000"/>
                    </a:solidFill>
                    <a:latin typeface="Calibri"/>
                  </a:rPr>
                  <a:t>-2</a:t>
                </a:r>
              </a:p>
            </c:rich>
          </c:tx>
          <c:layout>
            <c:manualLayout>
              <c:xMode val="edge"/>
              <c:yMode val="edge"/>
              <c:x val="0.5324262481908667"/>
              <c:y val="2.0134176488044688E-2"/>
            </c:manualLayout>
          </c:layout>
          <c:overlay val="0"/>
          <c:spPr>
            <a:noFill/>
            <a:ln w="25400">
              <a:noFill/>
            </a:ln>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0998016"/>
        <c:crosses val="autoZero"/>
        <c:crossBetween val="midCat"/>
      </c:valAx>
      <c:valAx>
        <c:axId val="4099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000000"/>
                    </a:solidFill>
                    <a:latin typeface="Calibri"/>
                    <a:ea typeface="Calibri"/>
                    <a:cs typeface="Calibri"/>
                  </a:defRPr>
                </a:pPr>
                <a:r>
                  <a:rPr lang="en-US" sz="1400" b="0" i="0" u="none" strike="noStrike" baseline="0">
                    <a:solidFill>
                      <a:srgbClr val="333333"/>
                    </a:solidFill>
                    <a:latin typeface="Script MT Bold"/>
                  </a:rPr>
                  <a:t>ln</a:t>
                </a:r>
                <a:r>
                  <a:rPr lang="en-US" sz="1400" b="0" i="0" u="none" strike="noStrike" baseline="0">
                    <a:solidFill>
                      <a:srgbClr val="333333"/>
                    </a:solidFill>
                    <a:latin typeface="Calibri"/>
                  </a:rPr>
                  <a:t>(Intensity)</a:t>
                </a:r>
              </a:p>
            </c:rich>
          </c:tx>
          <c:overlay val="0"/>
          <c:spPr>
            <a:noFill/>
            <a:ln w="25400">
              <a:noFill/>
            </a:ln>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5840"/>
        <c:crosses val="autoZero"/>
        <c:crossBetween val="midCat"/>
      </c:valAx>
      <c:spPr>
        <a:noFill/>
        <a:ln w="25400">
          <a:noFill/>
        </a:ln>
      </c:spPr>
    </c:plotArea>
    <c:plotVisOnly val="1"/>
    <c:dispBlanksAs val="gap"/>
    <c:showDLblsOverMax val="0"/>
  </c:chart>
  <c:spPr>
    <a:solidFill>
      <a:srgbClr val="FFFF99"/>
    </a:solidFill>
    <a:ln w="38100" cap="flat" cmpd="sng" algn="ctr">
      <a:solidFill>
        <a:schemeClr val="tx1"/>
      </a:solidFill>
      <a:round/>
    </a:ln>
    <a:effectLst/>
  </c:spPr>
  <c:txPr>
    <a:bodyPr/>
    <a:lstStyle/>
    <a:p>
      <a:pPr>
        <a:defRPr/>
      </a:pPr>
      <a:endParaRPr lang="en-US"/>
    </a:p>
  </c:txPr>
  <c:printSettings>
    <c:headerFooter/>
    <c:pageMargins b="0.750000000000001" l="0.70000000000000062" r="0.70000000000000062" t="0.75000000000000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Guinier plot, Wyatt diode detectors</a:t>
            </a:r>
          </a:p>
        </c:rich>
      </c:tx>
      <c:layout>
        <c:manualLayout>
          <c:xMode val="edge"/>
          <c:yMode val="edge"/>
          <c:x val="2.2761462729386957E-2"/>
          <c:y val="1.018940996121674E-2"/>
        </c:manualLayout>
      </c:layout>
      <c:overlay val="0"/>
      <c:spPr>
        <a:noFill/>
        <a:ln w="25400">
          <a:noFill/>
        </a:ln>
      </c:spPr>
    </c:title>
    <c:autoTitleDeleted val="0"/>
    <c:plotArea>
      <c:layout>
        <c:manualLayout>
          <c:layoutTarget val="inner"/>
          <c:xMode val="edge"/>
          <c:yMode val="edge"/>
          <c:x val="0.13841774920739069"/>
          <c:y val="7.4652904345880136E-2"/>
          <c:w val="0.82368130070967549"/>
          <c:h val="0.80957113237937239"/>
        </c:manualLayout>
      </c:layout>
      <c:scatterChart>
        <c:scatterStyle val="lineMarker"/>
        <c:varyColors val="0"/>
        <c:ser>
          <c:idx val="0"/>
          <c:order val="0"/>
          <c:spPr>
            <a:ln w="19050">
              <a:noFill/>
            </a:ln>
          </c:spPr>
          <c:marker>
            <c:symbol val="circle"/>
            <c:size val="10"/>
            <c:spPr>
              <a:noFill/>
              <a:ln>
                <a:solidFill>
                  <a:srgbClr val="0000FF"/>
                </a:solidFill>
                <a:prstDash val="solid"/>
              </a:ln>
            </c:spPr>
          </c:marker>
          <c:trendline>
            <c:spPr>
              <a:ln w="25400">
                <a:solidFill>
                  <a:srgbClr val="000000"/>
                </a:solidFill>
                <a:prstDash val="solid"/>
              </a:ln>
            </c:spPr>
            <c:trendlineType val="linear"/>
            <c:backward val="1"/>
            <c:dispRSqr val="1"/>
            <c:dispEq val="1"/>
            <c:trendlineLbl>
              <c:layout>
                <c:manualLayout>
                  <c:x val="9.6111118197899276E-2"/>
                  <c:y val="9.7896846191205117E-2"/>
                </c:manualLayout>
              </c:layout>
              <c:numFmt formatCode="0.00E+00"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'Guinier+SphereFit1'!$AY$12:$AY$19</c:f>
              <c:numCache>
                <c:formatCode>General</c:formatCode>
                <c:ptCount val="8"/>
                <c:pt idx="0">
                  <c:v>0.28628093142053257</c:v>
                </c:pt>
                <c:pt idx="1">
                  <c:v>0.44022157570604104</c:v>
                </c:pt>
                <c:pt idx="2">
                  <c:v>0.57147484768024681</c:v>
                </c:pt>
                <c:pt idx="3">
                  <c:v>1.7125638542325015</c:v>
                </c:pt>
                <c:pt idx="4">
                  <c:v>2.5987131315953915</c:v>
                </c:pt>
                <c:pt idx="5">
                  <c:v>3.7608929748491216</c:v>
                </c:pt>
                <c:pt idx="6">
                  <c:v>5.971490400915803</c:v>
                </c:pt>
                <c:pt idx="7">
                  <c:v>6.6836557617250101</c:v>
                </c:pt>
              </c:numCache>
            </c:numRef>
          </c:xVal>
          <c:yVal>
            <c:numRef>
              <c:f>'Guinier+SphereFit1'!$BA$12:$BA$19</c:f>
              <c:numCache>
                <c:formatCode>General</c:formatCode>
                <c:ptCount val="8"/>
                <c:pt idx="0">
                  <c:v>-2.8106691587487767</c:v>
                </c:pt>
                <c:pt idx="1">
                  <c:v>-2.82213050777123</c:v>
                </c:pt>
                <c:pt idx="2">
                  <c:v>-2.4236324697762925</c:v>
                </c:pt>
                <c:pt idx="3">
                  <c:v>-2.6649023403633962</c:v>
                </c:pt>
                <c:pt idx="4">
                  <c:v>-2.548311496135371</c:v>
                </c:pt>
                <c:pt idx="5">
                  <c:v>-2.5863680168434815</c:v>
                </c:pt>
                <c:pt idx="6">
                  <c:v>-2.736663821316311</c:v>
                </c:pt>
                <c:pt idx="7">
                  <c:v>-2.6831466740143664</c:v>
                </c:pt>
              </c:numCache>
            </c:numRef>
          </c:yVal>
          <c:smooth val="0"/>
          <c:extLst>
            <c:ext xmlns:c16="http://schemas.microsoft.com/office/drawing/2014/chart" uri="{C3380CC4-5D6E-409C-BE32-E72D297353CC}">
              <c16:uniqueId val="{00000001-1AAD-47FB-8BD9-1CF992FD2C84}"/>
            </c:ext>
          </c:extLst>
        </c:ser>
        <c:dLbls>
          <c:showLegendKey val="0"/>
          <c:showVal val="0"/>
          <c:showCatName val="0"/>
          <c:showSerName val="0"/>
          <c:showPercent val="0"/>
          <c:showBubbleSize val="0"/>
        </c:dLbls>
        <c:axId val="40995840"/>
        <c:axId val="40998016"/>
      </c:scatterChart>
      <c:valAx>
        <c:axId val="40995840"/>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000000"/>
                    </a:solidFill>
                    <a:latin typeface="Calibri"/>
                    <a:ea typeface="Calibri"/>
                    <a:cs typeface="Calibri"/>
                  </a:defRPr>
                </a:pPr>
                <a:r>
                  <a:rPr lang="en-US" sz="1400" b="0" i="0" u="none" strike="noStrike" baseline="0">
                    <a:solidFill>
                      <a:schemeClr val="tx1"/>
                    </a:solidFill>
                    <a:latin typeface="Calibri"/>
                  </a:rPr>
                  <a:t>q</a:t>
                </a:r>
                <a:r>
                  <a:rPr lang="en-US" sz="1400" b="0" i="0" u="none" strike="noStrike" baseline="30000">
                    <a:solidFill>
                      <a:schemeClr val="tx1"/>
                    </a:solidFill>
                    <a:latin typeface="Calibri"/>
                  </a:rPr>
                  <a:t>2</a:t>
                </a:r>
                <a:r>
                  <a:rPr lang="en-US" sz="1400" b="0" i="0" u="none" strike="noStrike" baseline="0">
                    <a:solidFill>
                      <a:schemeClr val="tx1"/>
                    </a:solidFill>
                    <a:latin typeface="Calibri"/>
                  </a:rPr>
                  <a:t>/nm</a:t>
                </a:r>
                <a:r>
                  <a:rPr lang="en-US" sz="1400" b="0" i="0" u="none" strike="noStrike" baseline="30000">
                    <a:solidFill>
                      <a:schemeClr val="tx1"/>
                    </a:solidFill>
                    <a:latin typeface="Calibri"/>
                  </a:rPr>
                  <a:t>-2</a:t>
                </a:r>
              </a:p>
            </c:rich>
          </c:tx>
          <c:layout>
            <c:manualLayout>
              <c:xMode val="edge"/>
              <c:yMode val="edge"/>
              <c:x val="0.5441432664938296"/>
              <c:y val="1.511994830588774E-2"/>
            </c:manualLayout>
          </c:layout>
          <c:overlay val="0"/>
          <c:spPr>
            <a:noFill/>
            <a:ln w="25400">
              <a:noFill/>
            </a:ln>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0998016"/>
        <c:crosses val="autoZero"/>
        <c:crossBetween val="midCat"/>
      </c:valAx>
      <c:valAx>
        <c:axId val="4099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000000"/>
                    </a:solidFill>
                    <a:latin typeface="Calibri"/>
                    <a:ea typeface="Calibri"/>
                    <a:cs typeface="Calibri"/>
                  </a:defRPr>
                </a:pPr>
                <a:r>
                  <a:rPr lang="en-US" sz="1400" b="0" i="0" u="none" strike="noStrike" baseline="0">
                    <a:solidFill>
                      <a:sysClr val="windowText" lastClr="000000"/>
                    </a:solidFill>
                    <a:latin typeface="Script MT Bold"/>
                  </a:rPr>
                  <a:t>ln</a:t>
                </a:r>
                <a:r>
                  <a:rPr lang="en-US" sz="1400" b="0" i="0" u="none" strike="noStrike" baseline="0">
                    <a:solidFill>
                      <a:sysClr val="windowText" lastClr="000000"/>
                    </a:solidFill>
                    <a:latin typeface="Calibri"/>
                  </a:rPr>
                  <a:t>(Intensity)</a:t>
                </a:r>
              </a:p>
            </c:rich>
          </c:tx>
          <c:layout>
            <c:manualLayout>
              <c:xMode val="edge"/>
              <c:yMode val="edge"/>
              <c:x val="3.9728983876253857E-2"/>
              <c:y val="0.41297524826116788"/>
            </c:manualLayout>
          </c:layout>
          <c:overlay val="0"/>
          <c:spPr>
            <a:noFill/>
            <a:ln w="25400">
              <a:noFill/>
            </a:ln>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5840"/>
        <c:crosses val="autoZero"/>
        <c:crossBetween val="midCat"/>
      </c:valAx>
      <c:spPr>
        <a:noFill/>
        <a:ln w="25400">
          <a:noFill/>
        </a:ln>
      </c:spPr>
    </c:plotArea>
    <c:plotVisOnly val="1"/>
    <c:dispBlanksAs val="gap"/>
    <c:showDLblsOverMax val="0"/>
  </c:chart>
  <c:spPr>
    <a:solidFill>
      <a:schemeClr val="accent1">
        <a:lumMod val="60000"/>
        <a:lumOff val="40000"/>
      </a:schemeClr>
    </a:solidFill>
    <a:ln w="38100" cap="flat" cmpd="sng" algn="ctr">
      <a:solidFill>
        <a:schemeClr val="tx1"/>
      </a:solidFill>
      <a:round/>
    </a:ln>
    <a:effectLst/>
  </c:spPr>
  <c:txPr>
    <a:bodyPr/>
    <a:lstStyle/>
    <a:p>
      <a:pPr>
        <a:defRPr/>
      </a:pPr>
      <a:endParaRPr lang="en-US"/>
    </a:p>
  </c:txPr>
  <c:printSettings>
    <c:headerFooter/>
    <c:pageMargins b="0.750000000000001" l="0.70000000000000062" r="0.70000000000000062" t="0.75000000000000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Sphere plot, ALV APD detectors</a:t>
            </a:r>
          </a:p>
        </c:rich>
      </c:tx>
      <c:layout>
        <c:manualLayout>
          <c:xMode val="edge"/>
          <c:yMode val="edge"/>
          <c:x val="2.0542180176352426E-2"/>
          <c:y val="1.213535607204037E-2"/>
        </c:manualLayout>
      </c:layout>
      <c:overlay val="0"/>
      <c:spPr>
        <a:noFill/>
        <a:ln w="25400">
          <a:noFill/>
        </a:ln>
      </c:spPr>
    </c:title>
    <c:autoTitleDeleted val="0"/>
    <c:plotArea>
      <c:layout>
        <c:manualLayout>
          <c:layoutTarget val="inner"/>
          <c:xMode val="edge"/>
          <c:yMode val="edge"/>
          <c:x val="8.0174927113702707E-2"/>
          <c:y val="7.4652904345880136E-2"/>
          <c:w val="0.88192419825072887"/>
          <c:h val="0.84548754456845532"/>
        </c:manualLayout>
      </c:layout>
      <c:scatterChart>
        <c:scatterStyle val="lineMarker"/>
        <c:varyColors val="0"/>
        <c:ser>
          <c:idx val="0"/>
          <c:order val="0"/>
          <c:spPr>
            <a:ln w="19050">
              <a:noFill/>
            </a:ln>
          </c:spPr>
          <c:marker>
            <c:symbol val="circle"/>
            <c:size val="10"/>
            <c:spPr>
              <a:noFill/>
              <a:ln>
                <a:solidFill>
                  <a:srgbClr val="0000FF"/>
                </a:solidFill>
                <a:prstDash val="solid"/>
              </a:ln>
            </c:spPr>
          </c:marker>
          <c:xVal>
            <c:numRef>
              <c:f>'Guinier+SphereFit1'!$AD$12:$AD$19</c:f>
              <c:numCache>
                <c:formatCode>General</c:formatCode>
                <c:ptCount val="8"/>
                <c:pt idx="0">
                  <c:v>102739.13437566617</c:v>
                </c:pt>
                <c:pt idx="1">
                  <c:v>115906.75430098787</c:v>
                </c:pt>
                <c:pt idx="2">
                  <c:v>145334.99263816432</c:v>
                </c:pt>
                <c:pt idx="3">
                  <c:v>178116.80701873807</c:v>
                </c:pt>
                <c:pt idx="4">
                  <c:v>208547.98621524032</c:v>
                </c:pt>
                <c:pt idx="5">
                  <c:v>233844.02186003872</c:v>
                </c:pt>
                <c:pt idx="6">
                  <c:v>252456.50635760027</c:v>
                </c:pt>
                <c:pt idx="7">
                  <c:v>262964.69766962621</c:v>
                </c:pt>
              </c:numCache>
            </c:numRef>
          </c:xVal>
          <c:yVal>
            <c:numRef>
              <c:f>'Guinier+SphereFit1'!$AG$12:$AG$19</c:f>
              <c:numCache>
                <c:formatCode>General</c:formatCode>
                <c:ptCount val="8"/>
                <c:pt idx="0">
                  <c:v>6.2633905256943095E-2</c:v>
                </c:pt>
                <c:pt idx="1">
                  <c:v>8.3580422831665696E-2</c:v>
                </c:pt>
                <c:pt idx="2">
                  <c:v>7.1988374224558796E-2</c:v>
                </c:pt>
                <c:pt idx="3">
                  <c:v>6.5084068151610414E-2</c:v>
                </c:pt>
                <c:pt idx="4">
                  <c:v>9.5703680818486445E-2</c:v>
                </c:pt>
                <c:pt idx="5">
                  <c:v>9.9349856451222421E-2</c:v>
                </c:pt>
                <c:pt idx="6">
                  <c:v>7.3718387006404235E-2</c:v>
                </c:pt>
                <c:pt idx="7">
                  <c:v>9.3064523551827746E-2</c:v>
                </c:pt>
              </c:numCache>
            </c:numRef>
          </c:yVal>
          <c:smooth val="0"/>
          <c:extLst>
            <c:ext xmlns:c16="http://schemas.microsoft.com/office/drawing/2014/chart" uri="{C3380CC4-5D6E-409C-BE32-E72D297353CC}">
              <c16:uniqueId val="{00000000-FA22-4165-A8D1-8C7429F432AB}"/>
            </c:ext>
          </c:extLst>
        </c:ser>
        <c:ser>
          <c:idx val="1"/>
          <c:order val="1"/>
          <c:tx>
            <c:v>SphereFit</c:v>
          </c:tx>
          <c:spPr>
            <a:ln w="19050">
              <a:solidFill>
                <a:srgbClr val="FF0000"/>
              </a:solidFill>
            </a:ln>
          </c:spPr>
          <c:marker>
            <c:symbol val="none"/>
          </c:marker>
          <c:xVal>
            <c:numRef>
              <c:f>'Guinier+SphereFit1'!$B$30:$B$79</c:f>
              <c:numCache>
                <c:formatCode>General</c:formatCode>
                <c:ptCount val="50"/>
                <c:pt idx="0">
                  <c:v>1</c:v>
                </c:pt>
                <c:pt idx="1">
                  <c:v>10000</c:v>
                </c:pt>
                <c:pt idx="2">
                  <c:v>15000</c:v>
                </c:pt>
                <c:pt idx="3">
                  <c:v>20000</c:v>
                </c:pt>
                <c:pt idx="4">
                  <c:v>25000</c:v>
                </c:pt>
                <c:pt idx="5">
                  <c:v>30000</c:v>
                </c:pt>
                <c:pt idx="6">
                  <c:v>35000</c:v>
                </c:pt>
                <c:pt idx="7">
                  <c:v>40000</c:v>
                </c:pt>
                <c:pt idx="8">
                  <c:v>45000</c:v>
                </c:pt>
                <c:pt idx="9">
                  <c:v>50000</c:v>
                </c:pt>
                <c:pt idx="10">
                  <c:v>55000</c:v>
                </c:pt>
                <c:pt idx="11">
                  <c:v>60000</c:v>
                </c:pt>
                <c:pt idx="12">
                  <c:v>65000</c:v>
                </c:pt>
                <c:pt idx="13">
                  <c:v>70000</c:v>
                </c:pt>
                <c:pt idx="14">
                  <c:v>75000</c:v>
                </c:pt>
                <c:pt idx="15">
                  <c:v>80000</c:v>
                </c:pt>
                <c:pt idx="16">
                  <c:v>85000</c:v>
                </c:pt>
                <c:pt idx="17">
                  <c:v>90000</c:v>
                </c:pt>
                <c:pt idx="18">
                  <c:v>95000</c:v>
                </c:pt>
                <c:pt idx="19">
                  <c:v>100000</c:v>
                </c:pt>
                <c:pt idx="20">
                  <c:v>105000</c:v>
                </c:pt>
                <c:pt idx="21">
                  <c:v>110000</c:v>
                </c:pt>
                <c:pt idx="22">
                  <c:v>115000</c:v>
                </c:pt>
                <c:pt idx="23">
                  <c:v>120000</c:v>
                </c:pt>
                <c:pt idx="24">
                  <c:v>125000</c:v>
                </c:pt>
                <c:pt idx="25">
                  <c:v>130000</c:v>
                </c:pt>
                <c:pt idx="26">
                  <c:v>135000</c:v>
                </c:pt>
                <c:pt idx="27">
                  <c:v>140000</c:v>
                </c:pt>
                <c:pt idx="28">
                  <c:v>145000</c:v>
                </c:pt>
                <c:pt idx="29">
                  <c:v>150000</c:v>
                </c:pt>
                <c:pt idx="30">
                  <c:v>155000</c:v>
                </c:pt>
                <c:pt idx="31">
                  <c:v>160000</c:v>
                </c:pt>
                <c:pt idx="32">
                  <c:v>165000</c:v>
                </c:pt>
                <c:pt idx="33">
                  <c:v>170000</c:v>
                </c:pt>
                <c:pt idx="34">
                  <c:v>175000.00000000003</c:v>
                </c:pt>
                <c:pt idx="35">
                  <c:v>180000</c:v>
                </c:pt>
                <c:pt idx="36">
                  <c:v>185000</c:v>
                </c:pt>
                <c:pt idx="37">
                  <c:v>190000</c:v>
                </c:pt>
                <c:pt idx="38">
                  <c:v>195000</c:v>
                </c:pt>
                <c:pt idx="39">
                  <c:v>200000</c:v>
                </c:pt>
                <c:pt idx="40">
                  <c:v>205000</c:v>
                </c:pt>
                <c:pt idx="41">
                  <c:v>210000</c:v>
                </c:pt>
                <c:pt idx="42">
                  <c:v>214999.99999999997</c:v>
                </c:pt>
                <c:pt idx="43">
                  <c:v>220000</c:v>
                </c:pt>
                <c:pt idx="44">
                  <c:v>225000</c:v>
                </c:pt>
                <c:pt idx="45">
                  <c:v>230000</c:v>
                </c:pt>
                <c:pt idx="46">
                  <c:v>235000</c:v>
                </c:pt>
                <c:pt idx="47">
                  <c:v>240000</c:v>
                </c:pt>
                <c:pt idx="48">
                  <c:v>245000</c:v>
                </c:pt>
                <c:pt idx="49">
                  <c:v>250000</c:v>
                </c:pt>
              </c:numCache>
            </c:numRef>
          </c:xVal>
          <c:yVal>
            <c:numRef>
              <c:f>'Guinier+SphereFit1'!$F$30:$F$79</c:f>
              <c:numCache>
                <c:formatCode>General</c:formatCode>
                <c:ptCount val="50"/>
                <c:pt idx="0">
                  <c:v>1.4456708102296651</c:v>
                </c:pt>
                <c:pt idx="1">
                  <c:v>1.4420069628981558</c:v>
                </c:pt>
                <c:pt idx="2">
                  <c:v>1.4374334765185786</c:v>
                </c:pt>
                <c:pt idx="3">
                  <c:v>1.4310514830196617</c:v>
                </c:pt>
                <c:pt idx="4">
                  <c:v>1.422881752064294</c:v>
                </c:pt>
                <c:pt idx="5">
                  <c:v>1.4129508200247456</c:v>
                </c:pt>
                <c:pt idx="6">
                  <c:v>1.401290865701295</c:v>
                </c:pt>
                <c:pt idx="7">
                  <c:v>1.3879395598878199</c:v>
                </c:pt>
                <c:pt idx="8">
                  <c:v>1.3729398896488623</c:v>
                </c:pt>
                <c:pt idx="9">
                  <c:v>1.3563399583155451</c:v>
                </c:pt>
                <c:pt idx="10">
                  <c:v>1.3381927623450272</c:v>
                </c:pt>
                <c:pt idx="11">
                  <c:v>1.3185559463174821</c:v>
                </c:pt>
                <c:pt idx="12">
                  <c:v>1.2974915374657905</c:v>
                </c:pt>
                <c:pt idx="13">
                  <c:v>1.2750656612451015</c:v>
                </c:pt>
                <c:pt idx="14">
                  <c:v>1.2513482395516169</c:v>
                </c:pt>
                <c:pt idx="15">
                  <c:v>1.2264126732918315</c:v>
                </c:pt>
                <c:pt idx="16">
                  <c:v>1.2003355110840861</c:v>
                </c:pt>
                <c:pt idx="17">
                  <c:v>1.1731961059436939</c:v>
                </c:pt>
                <c:pt idx="18">
                  <c:v>1.1450762618602175</c:v>
                </c:pt>
                <c:pt idx="19">
                  <c:v>1.1160598722206938</c:v>
                </c:pt>
                <c:pt idx="20">
                  <c:v>1.0862325520653473</c:v>
                </c:pt>
                <c:pt idx="21">
                  <c:v>1.0556812661824742</c:v>
                </c:pt>
                <c:pt idx="22">
                  <c:v>1.0244939550567211</c:v>
                </c:pt>
                <c:pt idx="23">
                  <c:v>0.99275916067989733</c:v>
                </c:pt>
                <c:pt idx="24">
                  <c:v>0.96056565421588791</c:v>
                </c:pt>
                <c:pt idx="25">
                  <c:v>0.92800206748137337</c:v>
                </c:pt>
                <c:pt idx="26">
                  <c:v>0.89515653016224606</c:v>
                </c:pt>
                <c:pt idx="27">
                  <c:v>0.86211631463212623</c:v>
                </c:pt>
                <c:pt idx="28">
                  <c:v>0.82896749017476634</c:v>
                </c:pt>
                <c:pt idx="29">
                  <c:v>0.79579458833685179</c:v>
                </c:pt>
                <c:pt idx="30">
                  <c:v>0.76268028105236918</c:v>
                </c:pt>
                <c:pt idx="31">
                  <c:v>0.7297050730850182</c:v>
                </c:pt>
                <c:pt idx="32">
                  <c:v>0.69694701023171413</c:v>
                </c:pt>
                <c:pt idx="33">
                  <c:v>0.66448140461897875</c:v>
                </c:pt>
                <c:pt idx="34">
                  <c:v>0.63238057830561767</c:v>
                </c:pt>
                <c:pt idx="35">
                  <c:v>0.60071362628052749</c:v>
                </c:pt>
                <c:pt idx="36">
                  <c:v>0.56954619981456966</c:v>
                </c:pt>
                <c:pt idx="37">
                  <c:v>0.53894031099118633</c:v>
                </c:pt>
                <c:pt idx="38">
                  <c:v>0.5089541591027138</c:v>
                </c:pt>
                <c:pt idx="39">
                  <c:v>0.47964197945916903</c:v>
                </c:pt>
                <c:pt idx="40">
                  <c:v>0.45105391501459818</c:v>
                </c:pt>
                <c:pt idx="41">
                  <c:v>0.42323591107385833</c:v>
                </c:pt>
                <c:pt idx="42">
                  <c:v>0.39622963320091498</c:v>
                </c:pt>
                <c:pt idx="43">
                  <c:v>0.37007240830932064</c:v>
                </c:pt>
                <c:pt idx="44">
                  <c:v>0.34479718877745208</c:v>
                </c:pt>
                <c:pt idx="45">
                  <c:v>0.3204325392961575</c:v>
                </c:pt>
                <c:pt idx="46">
                  <c:v>0.29700264602566023</c:v>
                </c:pt>
                <c:pt idx="47">
                  <c:v>0.27452734751261521</c:v>
                </c:pt>
                <c:pt idx="48">
                  <c:v>0.25302218669795967</c:v>
                </c:pt>
                <c:pt idx="49">
                  <c:v>0.23249848323234981</c:v>
                </c:pt>
              </c:numCache>
            </c:numRef>
          </c:yVal>
          <c:smooth val="0"/>
          <c:extLst>
            <c:ext xmlns:c16="http://schemas.microsoft.com/office/drawing/2014/chart" uri="{C3380CC4-5D6E-409C-BE32-E72D297353CC}">
              <c16:uniqueId val="{00000001-FA22-4165-A8D1-8C7429F432AB}"/>
            </c:ext>
          </c:extLst>
        </c:ser>
        <c:dLbls>
          <c:showLegendKey val="0"/>
          <c:showVal val="0"/>
          <c:showCatName val="0"/>
          <c:showSerName val="0"/>
          <c:showPercent val="0"/>
          <c:showBubbleSize val="0"/>
        </c:dLbls>
        <c:axId val="40995840"/>
        <c:axId val="40998016"/>
      </c:scatterChart>
      <c:valAx>
        <c:axId val="40995840"/>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chemeClr val="tx1"/>
                    </a:solidFill>
                    <a:latin typeface="Calibri"/>
                    <a:ea typeface="Calibri"/>
                    <a:cs typeface="Calibri"/>
                  </a:defRPr>
                </a:pPr>
                <a:r>
                  <a:rPr lang="en-US" sz="1400" b="0" i="0" u="none" strike="noStrike" baseline="0">
                    <a:solidFill>
                      <a:schemeClr val="tx1"/>
                    </a:solidFill>
                    <a:latin typeface="Calibri"/>
                  </a:rPr>
                  <a:t>q/cm</a:t>
                </a:r>
                <a:r>
                  <a:rPr lang="en-US" sz="1400" b="0" i="0" u="none" strike="noStrike" baseline="30000">
                    <a:solidFill>
                      <a:schemeClr val="tx1"/>
                    </a:solidFill>
                    <a:latin typeface="Calibri"/>
                  </a:rPr>
                  <a:t>-1</a:t>
                </a:r>
              </a:p>
            </c:rich>
          </c:tx>
          <c:layout>
            <c:manualLayout>
              <c:xMode val="edge"/>
              <c:yMode val="edge"/>
              <c:x val="0.54309028556845951"/>
              <c:y val="2.4681633312886961E-2"/>
            </c:manualLayout>
          </c:layout>
          <c:overlay val="0"/>
          <c:spPr>
            <a:noFill/>
            <a:ln w="25400">
              <a:noFill/>
            </a:ln>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0998016"/>
        <c:crosses val="autoZero"/>
        <c:crossBetween val="midCat"/>
      </c:valAx>
      <c:valAx>
        <c:axId val="4099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000000"/>
                    </a:solidFill>
                    <a:latin typeface="Calibri"/>
                    <a:ea typeface="Calibri"/>
                    <a:cs typeface="Calibri"/>
                  </a:defRPr>
                </a:pPr>
                <a:r>
                  <a:rPr lang="en-US" sz="1000" b="0" i="0" u="none" strike="noStrike" baseline="0">
                    <a:solidFill>
                      <a:srgbClr val="333333"/>
                    </a:solidFill>
                    <a:latin typeface="+mj-lt"/>
                  </a:rPr>
                  <a:t>Intensity</a:t>
                </a:r>
              </a:p>
            </c:rich>
          </c:tx>
          <c:overlay val="0"/>
          <c:spPr>
            <a:noFill/>
            <a:ln w="25400">
              <a:noFill/>
            </a:ln>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5840"/>
        <c:crossesAt val="0"/>
        <c:crossBetween val="midCat"/>
      </c:valAx>
      <c:spPr>
        <a:noFill/>
        <a:ln w="25400">
          <a:noFill/>
        </a:ln>
      </c:spPr>
    </c:plotArea>
    <c:plotVisOnly val="1"/>
    <c:dispBlanksAs val="gap"/>
    <c:showDLblsOverMax val="0"/>
  </c:chart>
  <c:spPr>
    <a:solidFill>
      <a:srgbClr val="FFFF99"/>
    </a:solidFill>
    <a:ln w="38100" cap="flat" cmpd="sng" algn="ctr">
      <a:solidFill>
        <a:schemeClr val="tx1"/>
      </a:solidFill>
      <a:round/>
    </a:ln>
    <a:effectLst/>
  </c:spPr>
  <c:txPr>
    <a:bodyPr/>
    <a:lstStyle/>
    <a:p>
      <a:pPr>
        <a:defRPr/>
      </a:pPr>
      <a:endParaRPr lang="en-US"/>
    </a:p>
  </c:txPr>
  <c:printSettings>
    <c:headerFooter/>
    <c:pageMargins b="0.750000000000001" l="0.70000000000000062" r="0.70000000000000062" t="0.75000000000000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Sphere plot, Wyatt diode detectors</a:t>
            </a:r>
          </a:p>
        </c:rich>
      </c:tx>
      <c:layout>
        <c:manualLayout>
          <c:xMode val="edge"/>
          <c:yMode val="edge"/>
          <c:x val="2.054228477548499E-2"/>
          <c:y val="9.7075934927947482E-3"/>
        </c:manualLayout>
      </c:layout>
      <c:overlay val="0"/>
      <c:spPr>
        <a:noFill/>
        <a:ln w="25400">
          <a:noFill/>
        </a:ln>
      </c:spPr>
    </c:title>
    <c:autoTitleDeleted val="0"/>
    <c:plotArea>
      <c:layout>
        <c:manualLayout>
          <c:layoutTarget val="inner"/>
          <c:xMode val="edge"/>
          <c:yMode val="edge"/>
          <c:x val="8.0174927113702707E-2"/>
          <c:y val="7.4652904345880136E-2"/>
          <c:w val="0.88192419825072887"/>
          <c:h val="0.84548754456845532"/>
        </c:manualLayout>
      </c:layout>
      <c:scatterChart>
        <c:scatterStyle val="lineMarker"/>
        <c:varyColors val="0"/>
        <c:ser>
          <c:idx val="0"/>
          <c:order val="0"/>
          <c:spPr>
            <a:ln w="19050">
              <a:noFill/>
            </a:ln>
          </c:spPr>
          <c:marker>
            <c:symbol val="circle"/>
            <c:size val="10"/>
            <c:spPr>
              <a:noFill/>
              <a:ln>
                <a:solidFill>
                  <a:srgbClr val="0000FF"/>
                </a:solidFill>
                <a:prstDash val="solid"/>
              </a:ln>
            </c:spPr>
          </c:marker>
          <c:xVal>
            <c:numRef>
              <c:f>'Guinier+SphereFit1'!$AW$12:$AW$19</c:f>
              <c:numCache>
                <c:formatCode>General</c:formatCode>
                <c:ptCount val="8"/>
                <c:pt idx="0">
                  <c:v>53505.226980224332</c:v>
                </c:pt>
                <c:pt idx="1">
                  <c:v>66349.195602210661</c:v>
                </c:pt>
                <c:pt idx="2">
                  <c:v>75595.955426216213</c:v>
                </c:pt>
                <c:pt idx="3">
                  <c:v>130864.96300509552</c:v>
                </c:pt>
                <c:pt idx="4">
                  <c:v>161205.2459318676</c:v>
                </c:pt>
                <c:pt idx="5">
                  <c:v>193930.21876048925</c:v>
                </c:pt>
                <c:pt idx="6">
                  <c:v>244366.33157855037</c:v>
                </c:pt>
                <c:pt idx="7">
                  <c:v>258527.67282681772</c:v>
                </c:pt>
              </c:numCache>
            </c:numRef>
          </c:xVal>
          <c:yVal>
            <c:numRef>
              <c:f>'Guinier+SphereFit1'!$AZ$12:$AZ$19</c:f>
              <c:numCache>
                <c:formatCode>General</c:formatCode>
                <c:ptCount val="8"/>
                <c:pt idx="0">
                  <c:v>6.0164719171086116E-2</c:v>
                </c:pt>
                <c:pt idx="1">
                  <c:v>5.9479086966343034E-2</c:v>
                </c:pt>
                <c:pt idx="2">
                  <c:v>8.8599198314927075E-2</c:v>
                </c:pt>
                <c:pt idx="3">
                  <c:v>6.9606150912752338E-2</c:v>
                </c:pt>
                <c:pt idx="4">
                  <c:v>7.8213618565810245E-2</c:v>
                </c:pt>
                <c:pt idx="5">
                  <c:v>7.5293007012894111E-2</c:v>
                </c:pt>
                <c:pt idx="6">
                  <c:v>6.4786124844837673E-2</c:v>
                </c:pt>
                <c:pt idx="7">
                  <c:v>6.834774734400241E-2</c:v>
                </c:pt>
              </c:numCache>
            </c:numRef>
          </c:yVal>
          <c:smooth val="0"/>
          <c:extLst>
            <c:ext xmlns:c16="http://schemas.microsoft.com/office/drawing/2014/chart" uri="{C3380CC4-5D6E-409C-BE32-E72D297353CC}">
              <c16:uniqueId val="{00000000-E6C5-4797-A643-87EDC06F620B}"/>
            </c:ext>
          </c:extLst>
        </c:ser>
        <c:ser>
          <c:idx val="1"/>
          <c:order val="1"/>
          <c:tx>
            <c:v>SphereFit</c:v>
          </c:tx>
          <c:spPr>
            <a:ln w="19050">
              <a:solidFill>
                <a:srgbClr val="FF0000"/>
              </a:solidFill>
            </a:ln>
          </c:spPr>
          <c:marker>
            <c:symbol val="none"/>
          </c:marker>
          <c:xVal>
            <c:numRef>
              <c:f>'Guinier+SphereFit1'!$B$30:$B$79</c:f>
              <c:numCache>
                <c:formatCode>General</c:formatCode>
                <c:ptCount val="50"/>
                <c:pt idx="0">
                  <c:v>1</c:v>
                </c:pt>
                <c:pt idx="1">
                  <c:v>10000</c:v>
                </c:pt>
                <c:pt idx="2">
                  <c:v>15000</c:v>
                </c:pt>
                <c:pt idx="3">
                  <c:v>20000</c:v>
                </c:pt>
                <c:pt idx="4">
                  <c:v>25000</c:v>
                </c:pt>
                <c:pt idx="5">
                  <c:v>30000</c:v>
                </c:pt>
                <c:pt idx="6">
                  <c:v>35000</c:v>
                </c:pt>
                <c:pt idx="7">
                  <c:v>40000</c:v>
                </c:pt>
                <c:pt idx="8">
                  <c:v>45000</c:v>
                </c:pt>
                <c:pt idx="9">
                  <c:v>50000</c:v>
                </c:pt>
                <c:pt idx="10">
                  <c:v>55000</c:v>
                </c:pt>
                <c:pt idx="11">
                  <c:v>60000</c:v>
                </c:pt>
                <c:pt idx="12">
                  <c:v>65000</c:v>
                </c:pt>
                <c:pt idx="13">
                  <c:v>70000</c:v>
                </c:pt>
                <c:pt idx="14">
                  <c:v>75000</c:v>
                </c:pt>
                <c:pt idx="15">
                  <c:v>80000</c:v>
                </c:pt>
                <c:pt idx="16">
                  <c:v>85000</c:v>
                </c:pt>
                <c:pt idx="17">
                  <c:v>90000</c:v>
                </c:pt>
                <c:pt idx="18">
                  <c:v>95000</c:v>
                </c:pt>
                <c:pt idx="19">
                  <c:v>100000</c:v>
                </c:pt>
                <c:pt idx="20">
                  <c:v>105000</c:v>
                </c:pt>
                <c:pt idx="21">
                  <c:v>110000</c:v>
                </c:pt>
                <c:pt idx="22">
                  <c:v>115000</c:v>
                </c:pt>
                <c:pt idx="23">
                  <c:v>120000</c:v>
                </c:pt>
                <c:pt idx="24">
                  <c:v>125000</c:v>
                </c:pt>
                <c:pt idx="25">
                  <c:v>130000</c:v>
                </c:pt>
                <c:pt idx="26">
                  <c:v>135000</c:v>
                </c:pt>
                <c:pt idx="27">
                  <c:v>140000</c:v>
                </c:pt>
                <c:pt idx="28">
                  <c:v>145000</c:v>
                </c:pt>
                <c:pt idx="29">
                  <c:v>150000</c:v>
                </c:pt>
                <c:pt idx="30">
                  <c:v>155000</c:v>
                </c:pt>
                <c:pt idx="31">
                  <c:v>160000</c:v>
                </c:pt>
                <c:pt idx="32">
                  <c:v>165000</c:v>
                </c:pt>
                <c:pt idx="33">
                  <c:v>170000</c:v>
                </c:pt>
                <c:pt idx="34">
                  <c:v>175000.00000000003</c:v>
                </c:pt>
                <c:pt idx="35">
                  <c:v>180000</c:v>
                </c:pt>
                <c:pt idx="36">
                  <c:v>185000</c:v>
                </c:pt>
                <c:pt idx="37">
                  <c:v>190000</c:v>
                </c:pt>
                <c:pt idx="38">
                  <c:v>195000</c:v>
                </c:pt>
                <c:pt idx="39">
                  <c:v>200000</c:v>
                </c:pt>
                <c:pt idx="40">
                  <c:v>205000</c:v>
                </c:pt>
                <c:pt idx="41">
                  <c:v>210000</c:v>
                </c:pt>
                <c:pt idx="42">
                  <c:v>214999.99999999997</c:v>
                </c:pt>
                <c:pt idx="43">
                  <c:v>220000</c:v>
                </c:pt>
                <c:pt idx="44">
                  <c:v>225000</c:v>
                </c:pt>
                <c:pt idx="45">
                  <c:v>230000</c:v>
                </c:pt>
                <c:pt idx="46">
                  <c:v>235000</c:v>
                </c:pt>
                <c:pt idx="47">
                  <c:v>240000</c:v>
                </c:pt>
                <c:pt idx="48">
                  <c:v>245000</c:v>
                </c:pt>
                <c:pt idx="49">
                  <c:v>250000</c:v>
                </c:pt>
              </c:numCache>
            </c:numRef>
          </c:xVal>
          <c:yVal>
            <c:numRef>
              <c:f>'Guinier+SphereFit1'!$F$30:$F$79</c:f>
              <c:numCache>
                <c:formatCode>General</c:formatCode>
                <c:ptCount val="50"/>
                <c:pt idx="0">
                  <c:v>1.4456708102296651</c:v>
                </c:pt>
                <c:pt idx="1">
                  <c:v>1.4420069628981558</c:v>
                </c:pt>
                <c:pt idx="2">
                  <c:v>1.4374334765185786</c:v>
                </c:pt>
                <c:pt idx="3">
                  <c:v>1.4310514830196617</c:v>
                </c:pt>
                <c:pt idx="4">
                  <c:v>1.422881752064294</c:v>
                </c:pt>
                <c:pt idx="5">
                  <c:v>1.4129508200247456</c:v>
                </c:pt>
                <c:pt idx="6">
                  <c:v>1.401290865701295</c:v>
                </c:pt>
                <c:pt idx="7">
                  <c:v>1.3879395598878199</c:v>
                </c:pt>
                <c:pt idx="8">
                  <c:v>1.3729398896488623</c:v>
                </c:pt>
                <c:pt idx="9">
                  <c:v>1.3563399583155451</c:v>
                </c:pt>
                <c:pt idx="10">
                  <c:v>1.3381927623450272</c:v>
                </c:pt>
                <c:pt idx="11">
                  <c:v>1.3185559463174821</c:v>
                </c:pt>
                <c:pt idx="12">
                  <c:v>1.2974915374657905</c:v>
                </c:pt>
                <c:pt idx="13">
                  <c:v>1.2750656612451015</c:v>
                </c:pt>
                <c:pt idx="14">
                  <c:v>1.2513482395516169</c:v>
                </c:pt>
                <c:pt idx="15">
                  <c:v>1.2264126732918315</c:v>
                </c:pt>
                <c:pt idx="16">
                  <c:v>1.2003355110840861</c:v>
                </c:pt>
                <c:pt idx="17">
                  <c:v>1.1731961059436939</c:v>
                </c:pt>
                <c:pt idx="18">
                  <c:v>1.1450762618602175</c:v>
                </c:pt>
                <c:pt idx="19">
                  <c:v>1.1160598722206938</c:v>
                </c:pt>
                <c:pt idx="20">
                  <c:v>1.0862325520653473</c:v>
                </c:pt>
                <c:pt idx="21">
                  <c:v>1.0556812661824742</c:v>
                </c:pt>
                <c:pt idx="22">
                  <c:v>1.0244939550567211</c:v>
                </c:pt>
                <c:pt idx="23">
                  <c:v>0.99275916067989733</c:v>
                </c:pt>
                <c:pt idx="24">
                  <c:v>0.96056565421588791</c:v>
                </c:pt>
                <c:pt idx="25">
                  <c:v>0.92800206748137337</c:v>
                </c:pt>
                <c:pt idx="26">
                  <c:v>0.89515653016224606</c:v>
                </c:pt>
                <c:pt idx="27">
                  <c:v>0.86211631463212623</c:v>
                </c:pt>
                <c:pt idx="28">
                  <c:v>0.82896749017476634</c:v>
                </c:pt>
                <c:pt idx="29">
                  <c:v>0.79579458833685179</c:v>
                </c:pt>
                <c:pt idx="30">
                  <c:v>0.76268028105236918</c:v>
                </c:pt>
                <c:pt idx="31">
                  <c:v>0.7297050730850182</c:v>
                </c:pt>
                <c:pt idx="32">
                  <c:v>0.69694701023171413</c:v>
                </c:pt>
                <c:pt idx="33">
                  <c:v>0.66448140461897875</c:v>
                </c:pt>
                <c:pt idx="34">
                  <c:v>0.63238057830561767</c:v>
                </c:pt>
                <c:pt idx="35">
                  <c:v>0.60071362628052749</c:v>
                </c:pt>
                <c:pt idx="36">
                  <c:v>0.56954619981456966</c:v>
                </c:pt>
                <c:pt idx="37">
                  <c:v>0.53894031099118633</c:v>
                </c:pt>
                <c:pt idx="38">
                  <c:v>0.5089541591027138</c:v>
                </c:pt>
                <c:pt idx="39">
                  <c:v>0.47964197945916903</c:v>
                </c:pt>
                <c:pt idx="40">
                  <c:v>0.45105391501459818</c:v>
                </c:pt>
                <c:pt idx="41">
                  <c:v>0.42323591107385833</c:v>
                </c:pt>
                <c:pt idx="42">
                  <c:v>0.39622963320091498</c:v>
                </c:pt>
                <c:pt idx="43">
                  <c:v>0.37007240830932064</c:v>
                </c:pt>
                <c:pt idx="44">
                  <c:v>0.34479718877745208</c:v>
                </c:pt>
                <c:pt idx="45">
                  <c:v>0.3204325392961575</c:v>
                </c:pt>
                <c:pt idx="46">
                  <c:v>0.29700264602566023</c:v>
                </c:pt>
                <c:pt idx="47">
                  <c:v>0.27452734751261521</c:v>
                </c:pt>
                <c:pt idx="48">
                  <c:v>0.25302218669795967</c:v>
                </c:pt>
                <c:pt idx="49">
                  <c:v>0.23249848323234981</c:v>
                </c:pt>
              </c:numCache>
            </c:numRef>
          </c:yVal>
          <c:smooth val="0"/>
          <c:extLst>
            <c:ext xmlns:c16="http://schemas.microsoft.com/office/drawing/2014/chart" uri="{C3380CC4-5D6E-409C-BE32-E72D297353CC}">
              <c16:uniqueId val="{00000001-E6C5-4797-A643-87EDC06F620B}"/>
            </c:ext>
          </c:extLst>
        </c:ser>
        <c:dLbls>
          <c:showLegendKey val="0"/>
          <c:showVal val="0"/>
          <c:showCatName val="0"/>
          <c:showSerName val="0"/>
          <c:showPercent val="0"/>
          <c:showBubbleSize val="0"/>
        </c:dLbls>
        <c:axId val="40995840"/>
        <c:axId val="40998016"/>
      </c:scatterChart>
      <c:valAx>
        <c:axId val="40995840"/>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000000"/>
                    </a:solidFill>
                    <a:latin typeface="Calibri"/>
                    <a:ea typeface="Calibri"/>
                    <a:cs typeface="Calibri"/>
                  </a:defRPr>
                </a:pPr>
                <a:r>
                  <a:rPr lang="en-US" sz="1400" b="0" i="0" u="none" strike="noStrike" baseline="0">
                    <a:solidFill>
                      <a:schemeClr val="tx1"/>
                    </a:solidFill>
                    <a:latin typeface="Calibri"/>
                  </a:rPr>
                  <a:t>q/cm</a:t>
                </a:r>
                <a:r>
                  <a:rPr lang="en-US" sz="1400" b="0" i="0" u="none" strike="noStrike" baseline="30000">
                    <a:solidFill>
                      <a:schemeClr val="tx1"/>
                    </a:solidFill>
                    <a:latin typeface="Calibri"/>
                  </a:rPr>
                  <a:t>-1</a:t>
                </a:r>
              </a:p>
            </c:rich>
          </c:tx>
          <c:layout>
            <c:manualLayout>
              <c:xMode val="edge"/>
              <c:yMode val="edge"/>
              <c:x val="0.54804355655138448"/>
              <c:y val="1.7480099796681078E-2"/>
            </c:manualLayout>
          </c:layout>
          <c:overlay val="0"/>
          <c:spPr>
            <a:noFill/>
            <a:ln w="25400">
              <a:noFill/>
            </a:ln>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0998016"/>
        <c:crosses val="autoZero"/>
        <c:crossBetween val="midCat"/>
      </c:valAx>
      <c:valAx>
        <c:axId val="4099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100" b="0" i="0" u="none" strike="noStrike" baseline="0">
                    <a:solidFill>
                      <a:srgbClr val="000000"/>
                    </a:solidFill>
                    <a:latin typeface="Calibri"/>
                    <a:ea typeface="Calibri"/>
                    <a:cs typeface="Calibri"/>
                  </a:defRPr>
                </a:pPr>
                <a:r>
                  <a:rPr lang="en-US" sz="1000" b="0" i="0" u="none" strike="noStrike" baseline="0">
                    <a:solidFill>
                      <a:srgbClr val="333333"/>
                    </a:solidFill>
                    <a:latin typeface="+mj-lt"/>
                  </a:rPr>
                  <a:t>Intensity</a:t>
                </a:r>
              </a:p>
            </c:rich>
          </c:tx>
          <c:overlay val="0"/>
          <c:spPr>
            <a:noFill/>
            <a:ln w="25400">
              <a:noFill/>
            </a:ln>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5840"/>
        <c:crossesAt val="0"/>
        <c:crossBetween val="midCat"/>
      </c:valAx>
      <c:spPr>
        <a:noFill/>
        <a:ln w="25400">
          <a:noFill/>
        </a:ln>
      </c:spPr>
    </c:plotArea>
    <c:plotVisOnly val="1"/>
    <c:dispBlanksAs val="gap"/>
    <c:showDLblsOverMax val="0"/>
  </c:chart>
  <c:spPr>
    <a:solidFill>
      <a:schemeClr val="accent1">
        <a:lumMod val="60000"/>
        <a:lumOff val="40000"/>
      </a:schemeClr>
    </a:solidFill>
    <a:ln w="38100" cap="flat" cmpd="sng" algn="ctr">
      <a:solidFill>
        <a:schemeClr val="tx1"/>
      </a:solidFill>
      <a:round/>
    </a:ln>
    <a:effectLst/>
  </c:spPr>
  <c:txPr>
    <a:bodyPr/>
    <a:lstStyle/>
    <a:p>
      <a:pPr>
        <a:defRPr/>
      </a:pPr>
      <a:endParaRPr lang="en-US"/>
    </a:p>
  </c:txPr>
  <c:printSettings>
    <c:headerFooter/>
    <c:pageMargins b="0.750000000000001" l="0.70000000000000062" r="0.70000000000000062" t="0.75000000000000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Zimm plot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c1</c:v>
          </c:tx>
          <c:spPr>
            <a:ln w="25400" cap="rnd">
              <a:noFill/>
              <a:round/>
            </a:ln>
            <a:effectLst/>
          </c:spPr>
          <c:marker>
            <c:symbol val="circle"/>
            <c:size val="5"/>
            <c:spPr>
              <a:solidFill>
                <a:schemeClr val="accent1"/>
              </a:solidFill>
              <a:ln w="9525">
                <a:solidFill>
                  <a:schemeClr val="accent1"/>
                </a:solidFill>
              </a:ln>
              <a:effectLst/>
            </c:spPr>
          </c:marker>
          <c:xVal>
            <c:numRef>
              <c:f>ZimmPrep!$F$70:$F$87</c:f>
              <c:numCache>
                <c:formatCode>General</c:formatCode>
                <c:ptCount val="18"/>
                <c:pt idx="0">
                  <c:v>13.291280931420534</c:v>
                </c:pt>
                <c:pt idx="1">
                  <c:v>13.445221575706041</c:v>
                </c:pt>
                <c:pt idx="2">
                  <c:v>13.576474847680247</c:v>
                </c:pt>
                <c:pt idx="4">
                  <c:v>14.06053297322612</c:v>
                </c:pt>
                <c:pt idx="5">
                  <c:v>14.348437569258959</c:v>
                </c:pt>
                <c:pt idx="6">
                  <c:v>14.717563854232502</c:v>
                </c:pt>
                <c:pt idx="7">
                  <c:v>15.117226008513528</c:v>
                </c:pt>
                <c:pt idx="8">
                  <c:v>15.603713131595391</c:v>
                </c:pt>
                <c:pt idx="9">
                  <c:v>16.177559694255038</c:v>
                </c:pt>
                <c:pt idx="10">
                  <c:v>16.765892974849123</c:v>
                </c:pt>
                <c:pt idx="11">
                  <c:v>17.354226255443209</c:v>
                </c:pt>
                <c:pt idx="13">
                  <c:v>18.473302655967828</c:v>
                </c:pt>
                <c:pt idx="14">
                  <c:v>18.976490400915804</c:v>
                </c:pt>
                <c:pt idx="15">
                  <c:v>19.378428760228509</c:v>
                </c:pt>
                <c:pt idx="16">
                  <c:v>19.688655761725013</c:v>
                </c:pt>
                <c:pt idx="17">
                  <c:v>19.920043222047795</c:v>
                </c:pt>
              </c:numCache>
            </c:numRef>
          </c:xVal>
          <c:yVal>
            <c:numRef>
              <c:f>ZimmPrep!$F$50:$F$67</c:f>
              <c:numCache>
                <c:formatCode>General</c:formatCode>
                <c:ptCount val="18"/>
                <c:pt idx="0">
                  <c:v>1.0487122183080994E-6</c:v>
                </c:pt>
                <c:pt idx="1">
                  <c:v>1.0608010197180212E-6</c:v>
                </c:pt>
                <c:pt idx="2">
                  <c:v>7.1214500024616271E-7</c:v>
                </c:pt>
                <c:pt idx="4">
                  <c:v>1.0073693448772985E-6</c:v>
                </c:pt>
                <c:pt idx="5">
                  <c:v>7.5490735710766103E-7</c:v>
                </c:pt>
                <c:pt idx="6">
                  <c:v>9.0646408799245959E-7</c:v>
                </c:pt>
                <c:pt idx="7">
                  <c:v>8.7646757945908118E-7</c:v>
                </c:pt>
                <c:pt idx="8">
                  <c:v>8.0670703213538152E-7</c:v>
                </c:pt>
                <c:pt idx="9">
                  <c:v>9.6944579368971646E-7</c:v>
                </c:pt>
                <c:pt idx="10">
                  <c:v>8.3799915302875726E-7</c:v>
                </c:pt>
                <c:pt idx="11">
                  <c:v>6.5927951324528178E-7</c:v>
                </c:pt>
                <c:pt idx="13">
                  <c:v>6.3508371687251908E-7</c:v>
                </c:pt>
                <c:pt idx="14">
                  <c:v>9.7390415396671408E-7</c:v>
                </c:pt>
                <c:pt idx="15">
                  <c:v>8.5589876105553125E-7</c:v>
                </c:pt>
                <c:pt idx="16">
                  <c:v>9.2315370378231284E-7</c:v>
                </c:pt>
                <c:pt idx="17">
                  <c:v>6.7797559905473115E-7</c:v>
                </c:pt>
              </c:numCache>
            </c:numRef>
          </c:yVal>
          <c:smooth val="0"/>
          <c:extLst>
            <c:ext xmlns:c16="http://schemas.microsoft.com/office/drawing/2014/chart" uri="{C3380CC4-5D6E-409C-BE32-E72D297353CC}">
              <c16:uniqueId val="{00000000-FEF3-4409-864D-D8691767E01C}"/>
            </c:ext>
          </c:extLst>
        </c:ser>
        <c:ser>
          <c:idx val="1"/>
          <c:order val="1"/>
          <c:tx>
            <c:v>c2</c:v>
          </c:tx>
          <c:spPr>
            <a:ln w="25400" cap="rnd">
              <a:noFill/>
              <a:round/>
            </a:ln>
            <a:effectLst/>
          </c:spPr>
          <c:marker>
            <c:symbol val="circle"/>
            <c:size val="5"/>
            <c:spPr>
              <a:solidFill>
                <a:schemeClr val="accent2"/>
              </a:solidFill>
              <a:ln w="9525">
                <a:solidFill>
                  <a:schemeClr val="accent2"/>
                </a:solidFill>
              </a:ln>
              <a:effectLst/>
            </c:spPr>
          </c:marker>
          <c:xVal>
            <c:numRef>
              <c:f>ZimmPrep!$G$70:$G$87</c:f>
              <c:numCache>
                <c:formatCode>General</c:formatCode>
                <c:ptCount val="18"/>
                <c:pt idx="0">
                  <c:v>24.426280931420532</c:v>
                </c:pt>
                <c:pt idx="1">
                  <c:v>24.580221575706041</c:v>
                </c:pt>
                <c:pt idx="2">
                  <c:v>24.711474847680247</c:v>
                </c:pt>
                <c:pt idx="4">
                  <c:v>25.195532973226118</c:v>
                </c:pt>
                <c:pt idx="5">
                  <c:v>25.483437569258957</c:v>
                </c:pt>
                <c:pt idx="6">
                  <c:v>25.852563854232503</c:v>
                </c:pt>
                <c:pt idx="7">
                  <c:v>26.252226008513528</c:v>
                </c:pt>
                <c:pt idx="8">
                  <c:v>26.738713131595393</c:v>
                </c:pt>
                <c:pt idx="9">
                  <c:v>27.312559694255039</c:v>
                </c:pt>
                <c:pt idx="10">
                  <c:v>27.900892974849121</c:v>
                </c:pt>
                <c:pt idx="11">
                  <c:v>28.489226255443207</c:v>
                </c:pt>
                <c:pt idx="13">
                  <c:v>29.608302655967826</c:v>
                </c:pt>
                <c:pt idx="14">
                  <c:v>30.111490400915802</c:v>
                </c:pt>
                <c:pt idx="15">
                  <c:v>30.513428760228507</c:v>
                </c:pt>
                <c:pt idx="16">
                  <c:v>30.823655761725011</c:v>
                </c:pt>
                <c:pt idx="17">
                  <c:v>31.055043222047793</c:v>
                </c:pt>
              </c:numCache>
            </c:numRef>
          </c:xVal>
          <c:yVal>
            <c:numRef>
              <c:f>ZimmPrep!$G$50:$G$67</c:f>
              <c:numCache>
                <c:formatCode>General</c:formatCode>
                <c:ptCount val="18"/>
                <c:pt idx="0">
                  <c:v>6.7853932660950551E-7</c:v>
                </c:pt>
                <c:pt idx="1">
                  <c:v>1.133706140304702E-6</c:v>
                </c:pt>
                <c:pt idx="2">
                  <c:v>9.3161776067061012E-7</c:v>
                </c:pt>
                <c:pt idx="4">
                  <c:v>6.5327936500448436E-7</c:v>
                </c:pt>
                <c:pt idx="5">
                  <c:v>1.2583226476369954E-6</c:v>
                </c:pt>
                <c:pt idx="6">
                  <c:v>1.1975168273095932E-6</c:v>
                </c:pt>
                <c:pt idx="7">
                  <c:v>1.4845906395913994E-6</c:v>
                </c:pt>
                <c:pt idx="8">
                  <c:v>1.136927702999804E-6</c:v>
                </c:pt>
                <c:pt idx="9">
                  <c:v>2.0574298680161101E-6</c:v>
                </c:pt>
                <c:pt idx="10">
                  <c:v>1.1625328463482538E-6</c:v>
                </c:pt>
                <c:pt idx="11">
                  <c:v>2.2111809585574598E-6</c:v>
                </c:pt>
                <c:pt idx="13">
                  <c:v>1.1358081931753252E-6</c:v>
                </c:pt>
                <c:pt idx="14">
                  <c:v>1.2818731324224987E-6</c:v>
                </c:pt>
                <c:pt idx="15">
                  <c:v>7.7932871813475499E-7</c:v>
                </c:pt>
                <c:pt idx="16">
                  <c:v>1.2437175136346152E-6</c:v>
                </c:pt>
                <c:pt idx="17">
                  <c:v>1.3679405959316914E-6</c:v>
                </c:pt>
              </c:numCache>
            </c:numRef>
          </c:yVal>
          <c:smooth val="0"/>
          <c:extLst>
            <c:ext xmlns:c16="http://schemas.microsoft.com/office/drawing/2014/chart" uri="{C3380CC4-5D6E-409C-BE32-E72D297353CC}">
              <c16:uniqueId val="{00000001-FEF3-4409-864D-D8691767E01C}"/>
            </c:ext>
          </c:extLst>
        </c:ser>
        <c:ser>
          <c:idx val="2"/>
          <c:order val="2"/>
          <c:tx>
            <c:v>c3</c:v>
          </c:tx>
          <c:spPr>
            <a:ln w="25400" cap="rnd">
              <a:noFill/>
              <a:round/>
            </a:ln>
            <a:effectLst/>
          </c:spPr>
          <c:marker>
            <c:symbol val="circle"/>
            <c:size val="5"/>
            <c:spPr>
              <a:solidFill>
                <a:schemeClr val="accent3"/>
              </a:solidFill>
              <a:ln w="9525">
                <a:solidFill>
                  <a:schemeClr val="accent3"/>
                </a:solidFill>
              </a:ln>
              <a:effectLst/>
            </c:spPr>
          </c:marker>
          <c:xVal>
            <c:numRef>
              <c:f>ZimmPrep!$H$70:$H$87</c:f>
              <c:numCache>
                <c:formatCode>General</c:formatCode>
                <c:ptCount val="18"/>
                <c:pt idx="0">
                  <c:v>41.16628093142053</c:v>
                </c:pt>
                <c:pt idx="1">
                  <c:v>41.320221575706036</c:v>
                </c:pt>
                <c:pt idx="2">
                  <c:v>41.451474847680245</c:v>
                </c:pt>
                <c:pt idx="4">
                  <c:v>41.935532973226117</c:v>
                </c:pt>
                <c:pt idx="5">
                  <c:v>42.223437569258955</c:v>
                </c:pt>
                <c:pt idx="6">
                  <c:v>42.592563854232495</c:v>
                </c:pt>
                <c:pt idx="7">
                  <c:v>42.992226008513526</c:v>
                </c:pt>
                <c:pt idx="8">
                  <c:v>43.478713131595384</c:v>
                </c:pt>
                <c:pt idx="9">
                  <c:v>44.052559694255031</c:v>
                </c:pt>
                <c:pt idx="10">
                  <c:v>44.640892974849116</c:v>
                </c:pt>
                <c:pt idx="11">
                  <c:v>45.229226255443201</c:v>
                </c:pt>
                <c:pt idx="13">
                  <c:v>46.348302655967821</c:v>
                </c:pt>
                <c:pt idx="14">
                  <c:v>46.8514904009158</c:v>
                </c:pt>
                <c:pt idx="15">
                  <c:v>47.253428760228502</c:v>
                </c:pt>
                <c:pt idx="16">
                  <c:v>47.563655761725009</c:v>
                </c:pt>
                <c:pt idx="17">
                  <c:v>47.795043222047788</c:v>
                </c:pt>
              </c:numCache>
            </c:numRef>
          </c:xVal>
          <c:yVal>
            <c:numRef>
              <c:f>ZimmPrep!$H$50:$H$67</c:f>
              <c:numCache>
                <c:formatCode>General</c:formatCode>
                <c:ptCount val="18"/>
                <c:pt idx="0">
                  <c:v>5.2779068106261185E-7</c:v>
                </c:pt>
                <c:pt idx="1">
                  <c:v>9.6726786589465721E-7</c:v>
                </c:pt>
                <c:pt idx="2">
                  <c:v>9.5203174868404774E-7</c:v>
                </c:pt>
                <c:pt idx="4">
                  <c:v>8.0958407125170481E-7</c:v>
                </c:pt>
                <c:pt idx="5">
                  <c:v>1.6439987302200593E-6</c:v>
                </c:pt>
                <c:pt idx="6">
                  <c:v>1.5524235513945077E-6</c:v>
                </c:pt>
                <c:pt idx="7">
                  <c:v>2.0673490251375933E-6</c:v>
                </c:pt>
                <c:pt idx="8">
                  <c:v>1.5872996849966335E-6</c:v>
                </c:pt>
                <c:pt idx="9">
                  <c:v>3.1118514640680294E-6</c:v>
                </c:pt>
                <c:pt idx="10">
                  <c:v>1.5985145632238147E-6</c:v>
                </c:pt>
                <c:pt idx="11">
                  <c:v>3.5998685394357052E-6</c:v>
                </c:pt>
                <c:pt idx="13">
                  <c:v>1.7362116118884604E-6</c:v>
                </c:pt>
                <c:pt idx="14">
                  <c:v>1.7429735006493419E-6</c:v>
                </c:pt>
                <c:pt idx="15">
                  <c:v>1.1866774583964995E-6</c:v>
                </c:pt>
                <c:pt idx="16">
                  <c:v>1.6529509618773137E-6</c:v>
                </c:pt>
                <c:pt idx="17">
                  <c:v>1.9711311450078154E-6</c:v>
                </c:pt>
              </c:numCache>
            </c:numRef>
          </c:yVal>
          <c:smooth val="0"/>
          <c:extLst>
            <c:ext xmlns:c16="http://schemas.microsoft.com/office/drawing/2014/chart" uri="{C3380CC4-5D6E-409C-BE32-E72D297353CC}">
              <c16:uniqueId val="{00000002-FEF3-4409-864D-D8691767E01C}"/>
            </c:ext>
          </c:extLst>
        </c:ser>
        <c:ser>
          <c:idx val="3"/>
          <c:order val="3"/>
          <c:tx>
            <c:v>c4</c:v>
          </c:tx>
          <c:spPr>
            <a:ln w="25400" cap="rnd">
              <a:noFill/>
              <a:round/>
            </a:ln>
            <a:effectLst/>
          </c:spPr>
          <c:marker>
            <c:symbol val="circle"/>
            <c:size val="5"/>
            <c:spPr>
              <a:solidFill>
                <a:schemeClr val="accent4"/>
              </a:solidFill>
              <a:ln w="9525">
                <a:solidFill>
                  <a:schemeClr val="accent4"/>
                </a:solidFill>
              </a:ln>
              <a:effectLst/>
            </c:spPr>
          </c:marker>
          <c:xVal>
            <c:numRef>
              <c:f>ZimmPrep!$I$70:$I$87</c:f>
              <c:numCache>
                <c:formatCode>General</c:formatCode>
                <c:ptCount val="18"/>
                <c:pt idx="0">
                  <c:v>51.461280931420532</c:v>
                </c:pt>
                <c:pt idx="1">
                  <c:v>51.615221575706038</c:v>
                </c:pt>
                <c:pt idx="2">
                  <c:v>51.746474847680247</c:v>
                </c:pt>
                <c:pt idx="4">
                  <c:v>52.230532973226119</c:v>
                </c:pt>
                <c:pt idx="5">
                  <c:v>52.518437569258957</c:v>
                </c:pt>
                <c:pt idx="6">
                  <c:v>52.887563854232496</c:v>
                </c:pt>
                <c:pt idx="7">
                  <c:v>53.287226008513528</c:v>
                </c:pt>
                <c:pt idx="8">
                  <c:v>53.773713131595386</c:v>
                </c:pt>
                <c:pt idx="9">
                  <c:v>54.347559694255033</c:v>
                </c:pt>
                <c:pt idx="10">
                  <c:v>54.935892974849118</c:v>
                </c:pt>
                <c:pt idx="11">
                  <c:v>55.524226255443203</c:v>
                </c:pt>
                <c:pt idx="13">
                  <c:v>56.643302655967823</c:v>
                </c:pt>
                <c:pt idx="14">
                  <c:v>57.146490400915802</c:v>
                </c:pt>
                <c:pt idx="15">
                  <c:v>57.548428760228504</c:v>
                </c:pt>
                <c:pt idx="16">
                  <c:v>57.858655761725011</c:v>
                </c:pt>
                <c:pt idx="17">
                  <c:v>58.09004322204779</c:v>
                </c:pt>
              </c:numCache>
            </c:numRef>
          </c:xVal>
          <c:yVal>
            <c:numRef>
              <c:f>ZimmPrep!$I$50:$I$67</c:f>
              <c:numCache>
                <c:formatCode>General</c:formatCode>
                <c:ptCount val="18"/>
                <c:pt idx="0">
                  <c:v>4.9262081407601566E-7</c:v>
                </c:pt>
                <c:pt idx="1">
                  <c:v>7.1774924819888233E-7</c:v>
                </c:pt>
                <c:pt idx="2">
                  <c:v>9.8748009325431801E-7</c:v>
                </c:pt>
                <c:pt idx="4">
                  <c:v>9.9575062919074696E-7</c:v>
                </c:pt>
                <c:pt idx="5">
                  <c:v>2.1153514078562755E-6</c:v>
                </c:pt>
                <c:pt idx="6">
                  <c:v>1.6010781152957406E-6</c:v>
                </c:pt>
                <c:pt idx="7">
                  <c:v>2.2920289191476669E-6</c:v>
                </c:pt>
                <c:pt idx="8">
                  <c:v>1.795184904639493E-6</c:v>
                </c:pt>
                <c:pt idx="9">
                  <c:v>3.3617056526655457E-6</c:v>
                </c:pt>
                <c:pt idx="10">
                  <c:v>1.8291084394184406E-6</c:v>
                </c:pt>
                <c:pt idx="11">
                  <c:v>4.0925047699564214E-6</c:v>
                </c:pt>
                <c:pt idx="13">
                  <c:v>2.0197388731324503E-6</c:v>
                </c:pt>
                <c:pt idx="14">
                  <c:v>1.8800144676726827E-6</c:v>
                </c:pt>
                <c:pt idx="15">
                  <c:v>1.3335906243034321E-6</c:v>
                </c:pt>
                <c:pt idx="16">
                  <c:v>1.7577255940417407E-6</c:v>
                </c:pt>
                <c:pt idx="17">
                  <c:v>2.1281873869691094E-6</c:v>
                </c:pt>
              </c:numCache>
            </c:numRef>
          </c:yVal>
          <c:smooth val="0"/>
          <c:extLst>
            <c:ext xmlns:c16="http://schemas.microsoft.com/office/drawing/2014/chart" uri="{C3380CC4-5D6E-409C-BE32-E72D297353CC}">
              <c16:uniqueId val="{00000003-FEF3-4409-864D-D8691767E01C}"/>
            </c:ext>
          </c:extLst>
        </c:ser>
        <c:dLbls>
          <c:showLegendKey val="0"/>
          <c:showVal val="0"/>
          <c:showCatName val="0"/>
          <c:showSerName val="0"/>
          <c:showPercent val="0"/>
          <c:showBubbleSize val="0"/>
        </c:dLbls>
        <c:axId val="682350143"/>
        <c:axId val="626107919"/>
      </c:scatterChart>
      <c:valAx>
        <c:axId val="6823501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a:t>
                </a:r>
                <a:r>
                  <a:rPr lang="en-US" baseline="30000"/>
                  <a:t>2</a:t>
                </a:r>
                <a:r>
                  <a:rPr lang="en-US" baseline="0"/>
                  <a:t> /10</a:t>
                </a:r>
                <a:r>
                  <a:rPr lang="en-US" baseline="30000"/>
                  <a:t>10</a:t>
                </a:r>
                <a:r>
                  <a:rPr lang="en-US" baseline="0"/>
                  <a:t>+ kc  (cm</a:t>
                </a:r>
                <a:r>
                  <a:rPr lang="en-US" baseline="30000"/>
                  <a:t>-2</a:t>
                </a:r>
                <a:r>
                  <a:rPr lang="en-US" baseline="0"/>
                  <a: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107919"/>
        <c:crosses val="autoZero"/>
        <c:crossBetween val="midCat"/>
      </c:valAx>
      <c:valAx>
        <c:axId val="626107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Kc/R</a:t>
                </a:r>
                <a:r>
                  <a:rPr lang="en-US" baseline="-25000"/>
                  <a:t>Uv  </a:t>
                </a:r>
                <a:r>
                  <a:rPr lang="en-US" baseline="0"/>
                  <a:t>(g.mol</a:t>
                </a:r>
                <a:r>
                  <a:rPr lang="en-US" baseline="30000"/>
                  <a:t>-1</a:t>
                </a:r>
                <a:r>
                  <a:rPr lang="en-US" baseline="0"/>
                  <a:t>)</a:t>
                </a:r>
                <a:endParaRPr lang="en-US" baseline="-250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35014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Rayleigh</a:t>
            </a:r>
            <a:r>
              <a:rPr lang="en-US" baseline="0"/>
              <a:t> factor vs q</a:t>
            </a:r>
            <a:r>
              <a:rPr lang="en-US" baseline="30000"/>
              <a:t>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45603674540684"/>
          <c:y val="3.98705647920937E-2"/>
          <c:w val="0.7276922572178478"/>
          <c:h val="0.79918535046426231"/>
        </c:manualLayout>
      </c:layout>
      <c:scatterChart>
        <c:scatterStyle val="lineMarker"/>
        <c:varyColors val="0"/>
        <c:ser>
          <c:idx val="0"/>
          <c:order val="0"/>
          <c:tx>
            <c:v>c1</c:v>
          </c:tx>
          <c:spPr>
            <a:ln w="25400" cap="rnd">
              <a:noFill/>
              <a:round/>
            </a:ln>
            <a:effectLst/>
          </c:spPr>
          <c:marker>
            <c:symbol val="circle"/>
            <c:size val="5"/>
            <c:spPr>
              <a:solidFill>
                <a:schemeClr val="accent1"/>
              </a:solidFill>
              <a:ln w="9525">
                <a:solidFill>
                  <a:schemeClr val="accent1"/>
                </a:solidFill>
              </a:ln>
              <a:effectLst/>
            </c:spPr>
          </c:marker>
          <c:xVal>
            <c:numRef>
              <c:f>ZimmPrep!$E$28:$E$45</c:f>
              <c:numCache>
                <c:formatCode>General</c:formatCode>
                <c:ptCount val="18"/>
                <c:pt idx="0">
                  <c:v>2862809314.2053256</c:v>
                </c:pt>
                <c:pt idx="1">
                  <c:v>4402215757.0604105</c:v>
                </c:pt>
                <c:pt idx="2">
                  <c:v>5714748476.8024683</c:v>
                </c:pt>
                <c:pt idx="3">
                  <c:v>7972688675.0403929</c:v>
                </c:pt>
                <c:pt idx="4">
                  <c:v>10555329732.261189</c:v>
                </c:pt>
                <c:pt idx="5">
                  <c:v>13434375692.589571</c:v>
                </c:pt>
                <c:pt idx="6">
                  <c:v>17125638542.325018</c:v>
                </c:pt>
                <c:pt idx="7">
                  <c:v>21122260085.135277</c:v>
                </c:pt>
                <c:pt idx="8">
                  <c:v>25987131315.953915</c:v>
                </c:pt>
                <c:pt idx="9">
                  <c:v>31725596942.550377</c:v>
                </c:pt>
                <c:pt idx="10">
                  <c:v>37608929748.491219</c:v>
                </c:pt>
                <c:pt idx="11">
                  <c:v>43492262554.432068</c:v>
                </c:pt>
                <c:pt idx="12">
                  <c:v>49230728181.028534</c:v>
                </c:pt>
                <c:pt idx="13">
                  <c:v>54683026559.678268</c:v>
                </c:pt>
                <c:pt idx="14">
                  <c:v>59714904009.15802</c:v>
                </c:pt>
                <c:pt idx="15">
                  <c:v>63734287602.285065</c:v>
                </c:pt>
                <c:pt idx="16">
                  <c:v>66836557617.250107</c:v>
                </c:pt>
                <c:pt idx="17">
                  <c:v>69150432220.477921</c:v>
                </c:pt>
              </c:numCache>
            </c:numRef>
          </c:xVal>
          <c:yVal>
            <c:numRef>
              <c:f>ZimmPrep!$F$28:$F$45</c:f>
              <c:numCache>
                <c:formatCode>General</c:formatCode>
                <c:ptCount val="18"/>
                <c:pt idx="0">
                  <c:v>1.9971398593570438E-4</c:v>
                </c:pt>
                <c:pt idx="1">
                  <c:v>1.9743806173325366E-4</c:v>
                </c:pt>
                <c:pt idx="2">
                  <c:v>2.9410091645014488E-4</c:v>
                </c:pt>
                <c:pt idx="4">
                  <c:v>2.0791033426106089E-4</c:v>
                </c:pt>
                <c:pt idx="5">
                  <c:v>2.77441324747767E-4</c:v>
                </c:pt>
                <c:pt idx="6">
                  <c:v>2.3105437930986996E-4</c:v>
                </c:pt>
                <c:pt idx="7">
                  <c:v>2.3896205875298225E-4</c:v>
                </c:pt>
                <c:pt idx="8">
                  <c:v>2.5962646769470143E-4</c:v>
                </c:pt>
                <c:pt idx="9">
                  <c:v>2.1604353598837715E-4</c:v>
                </c:pt>
                <c:pt idx="10">
                  <c:v>2.499316335354312E-4</c:v>
                </c:pt>
                <c:pt idx="11">
                  <c:v>3.1768391556232542E-4</c:v>
                </c:pt>
                <c:pt idx="13">
                  <c:v>3.2978722592540767E-4</c:v>
                </c:pt>
                <c:pt idx="14">
                  <c:v>2.1505452704429409E-4</c:v>
                </c:pt>
                <c:pt idx="15">
                  <c:v>2.4470475568803439E-4</c:v>
                </c:pt>
                <c:pt idx="16">
                  <c:v>2.2687716721458699E-4</c:v>
                </c:pt>
                <c:pt idx="17">
                  <c:v>3.0892335581074112E-4</c:v>
                </c:pt>
              </c:numCache>
            </c:numRef>
          </c:yVal>
          <c:smooth val="0"/>
          <c:extLst>
            <c:ext xmlns:c16="http://schemas.microsoft.com/office/drawing/2014/chart" uri="{C3380CC4-5D6E-409C-BE32-E72D297353CC}">
              <c16:uniqueId val="{00000004-26DC-46E9-B314-2815509E9959}"/>
            </c:ext>
          </c:extLst>
        </c:ser>
        <c:ser>
          <c:idx val="1"/>
          <c:order val="1"/>
          <c:tx>
            <c:v>c2</c:v>
          </c:tx>
          <c:spPr>
            <a:ln w="25400" cap="rnd">
              <a:noFill/>
              <a:round/>
            </a:ln>
            <a:effectLst/>
          </c:spPr>
          <c:marker>
            <c:symbol val="circle"/>
            <c:size val="5"/>
            <c:spPr>
              <a:solidFill>
                <a:schemeClr val="accent2"/>
              </a:solidFill>
              <a:ln w="9525">
                <a:solidFill>
                  <a:schemeClr val="accent2"/>
                </a:solidFill>
              </a:ln>
              <a:effectLst/>
            </c:spPr>
          </c:marker>
          <c:xVal>
            <c:numRef>
              <c:f>ZimmPrep!$E$28:$E$45</c:f>
              <c:numCache>
                <c:formatCode>General</c:formatCode>
                <c:ptCount val="18"/>
                <c:pt idx="0">
                  <c:v>2862809314.2053256</c:v>
                </c:pt>
                <c:pt idx="1">
                  <c:v>4402215757.0604105</c:v>
                </c:pt>
                <c:pt idx="2">
                  <c:v>5714748476.8024683</c:v>
                </c:pt>
                <c:pt idx="3">
                  <c:v>7972688675.0403929</c:v>
                </c:pt>
                <c:pt idx="4">
                  <c:v>10555329732.261189</c:v>
                </c:pt>
                <c:pt idx="5">
                  <c:v>13434375692.589571</c:v>
                </c:pt>
                <c:pt idx="6">
                  <c:v>17125638542.325018</c:v>
                </c:pt>
                <c:pt idx="7">
                  <c:v>21122260085.135277</c:v>
                </c:pt>
                <c:pt idx="8">
                  <c:v>25987131315.953915</c:v>
                </c:pt>
                <c:pt idx="9">
                  <c:v>31725596942.550377</c:v>
                </c:pt>
                <c:pt idx="10">
                  <c:v>37608929748.491219</c:v>
                </c:pt>
                <c:pt idx="11">
                  <c:v>43492262554.432068</c:v>
                </c:pt>
                <c:pt idx="12">
                  <c:v>49230728181.028534</c:v>
                </c:pt>
                <c:pt idx="13">
                  <c:v>54683026559.678268</c:v>
                </c:pt>
                <c:pt idx="14">
                  <c:v>59714904009.15802</c:v>
                </c:pt>
                <c:pt idx="15">
                  <c:v>63734287602.285065</c:v>
                </c:pt>
                <c:pt idx="16">
                  <c:v>66836557617.250107</c:v>
                </c:pt>
                <c:pt idx="17">
                  <c:v>69150432220.477921</c:v>
                </c:pt>
              </c:numCache>
            </c:numRef>
          </c:xVal>
          <c:yVal>
            <c:numRef>
              <c:f>ZimmPrep!$G$28:$G$45</c:f>
              <c:numCache>
                <c:formatCode>General</c:formatCode>
                <c:ptCount val="18"/>
                <c:pt idx="0">
                  <c:v>5.72949959651611E-4</c:v>
                </c:pt>
                <c:pt idx="1">
                  <c:v>3.4291873879986167E-4</c:v>
                </c:pt>
                <c:pt idx="2">
                  <c:v>4.1730535442250293E-4</c:v>
                </c:pt>
                <c:pt idx="4">
                  <c:v>5.951038722924898E-4</c:v>
                </c:pt>
                <c:pt idx="5">
                  <c:v>3.0895818376393134E-4</c:v>
                </c:pt>
                <c:pt idx="6">
                  <c:v>3.2464602662526031E-4</c:v>
                </c:pt>
                <c:pt idx="7">
                  <c:v>2.6186954803241082E-4</c:v>
                </c:pt>
                <c:pt idx="8">
                  <c:v>3.4194705501253359E-4</c:v>
                </c:pt>
                <c:pt idx="9">
                  <c:v>1.8895860599993163E-4</c:v>
                </c:pt>
                <c:pt idx="10">
                  <c:v>3.34415565998112E-4</c:v>
                </c:pt>
                <c:pt idx="11">
                  <c:v>1.7581965795172838E-4</c:v>
                </c:pt>
                <c:pt idx="13">
                  <c:v>3.4228409527147728E-4</c:v>
                </c:pt>
                <c:pt idx="14">
                  <c:v>3.0328202531887627E-4</c:v>
                </c:pt>
                <c:pt idx="15">
                  <c:v>4.9885121740852459E-4</c:v>
                </c:pt>
                <c:pt idx="16">
                  <c:v>3.1258631927343089E-4</c:v>
                </c:pt>
                <c:pt idx="17">
                  <c:v>2.842002649524123E-4</c:v>
                </c:pt>
              </c:numCache>
            </c:numRef>
          </c:yVal>
          <c:smooth val="0"/>
          <c:extLst>
            <c:ext xmlns:c16="http://schemas.microsoft.com/office/drawing/2014/chart" uri="{C3380CC4-5D6E-409C-BE32-E72D297353CC}">
              <c16:uniqueId val="{00000005-26DC-46E9-B314-2815509E9959}"/>
            </c:ext>
          </c:extLst>
        </c:ser>
        <c:ser>
          <c:idx val="2"/>
          <c:order val="2"/>
          <c:tx>
            <c:v>c3</c:v>
          </c:tx>
          <c:spPr>
            <a:ln w="25400" cap="rnd">
              <a:noFill/>
              <a:round/>
            </a:ln>
            <a:effectLst/>
          </c:spPr>
          <c:marker>
            <c:symbol val="circle"/>
            <c:size val="5"/>
            <c:spPr>
              <a:solidFill>
                <a:schemeClr val="accent3"/>
              </a:solidFill>
              <a:ln w="9525">
                <a:solidFill>
                  <a:schemeClr val="accent3"/>
                </a:solidFill>
              </a:ln>
              <a:effectLst/>
            </c:spPr>
          </c:marker>
          <c:xVal>
            <c:numRef>
              <c:f>ZimmPrep!$E$28:$E$45</c:f>
              <c:numCache>
                <c:formatCode>General</c:formatCode>
                <c:ptCount val="18"/>
                <c:pt idx="0">
                  <c:v>2862809314.2053256</c:v>
                </c:pt>
                <c:pt idx="1">
                  <c:v>4402215757.0604105</c:v>
                </c:pt>
                <c:pt idx="2">
                  <c:v>5714748476.8024683</c:v>
                </c:pt>
                <c:pt idx="3">
                  <c:v>7972688675.0403929</c:v>
                </c:pt>
                <c:pt idx="4">
                  <c:v>10555329732.261189</c:v>
                </c:pt>
                <c:pt idx="5">
                  <c:v>13434375692.589571</c:v>
                </c:pt>
                <c:pt idx="6">
                  <c:v>17125638542.325018</c:v>
                </c:pt>
                <c:pt idx="7">
                  <c:v>21122260085.135277</c:v>
                </c:pt>
                <c:pt idx="8">
                  <c:v>25987131315.953915</c:v>
                </c:pt>
                <c:pt idx="9">
                  <c:v>31725596942.550377</c:v>
                </c:pt>
                <c:pt idx="10">
                  <c:v>37608929748.491219</c:v>
                </c:pt>
                <c:pt idx="11">
                  <c:v>43492262554.432068</c:v>
                </c:pt>
                <c:pt idx="12">
                  <c:v>49230728181.028534</c:v>
                </c:pt>
                <c:pt idx="13">
                  <c:v>54683026559.678268</c:v>
                </c:pt>
                <c:pt idx="14">
                  <c:v>59714904009.15802</c:v>
                </c:pt>
                <c:pt idx="15">
                  <c:v>63734287602.285065</c:v>
                </c:pt>
                <c:pt idx="16">
                  <c:v>66836557617.250107</c:v>
                </c:pt>
                <c:pt idx="17">
                  <c:v>69150432220.477921</c:v>
                </c:pt>
              </c:numCache>
            </c:numRef>
          </c:xVal>
          <c:yVal>
            <c:numRef>
              <c:f>ZimmPrep!$H$28:$H$45</c:f>
              <c:numCache>
                <c:formatCode>General</c:formatCode>
                <c:ptCount val="18"/>
                <c:pt idx="0">
                  <c:v>1.2473939121557928E-3</c:v>
                </c:pt>
                <c:pt idx="1">
                  <c:v>6.8064173913305874E-4</c:v>
                </c:pt>
                <c:pt idx="2">
                  <c:v>6.9153458732871902E-4</c:v>
                </c:pt>
                <c:pt idx="4">
                  <c:v>8.1321125974250115E-4</c:v>
                </c:pt>
                <c:pt idx="5">
                  <c:v>4.0046434972728707E-4</c:v>
                </c:pt>
                <c:pt idx="6">
                  <c:v>4.2408715189786253E-4</c:v>
                </c:pt>
                <c:pt idx="7">
                  <c:v>3.1845753883103704E-4</c:v>
                </c:pt>
                <c:pt idx="8">
                  <c:v>4.1476911302446208E-4</c:v>
                </c:pt>
                <c:pt idx="9">
                  <c:v>2.1156629423096045E-4</c:v>
                </c:pt>
                <c:pt idx="10">
                  <c:v>4.118591707555695E-4</c:v>
                </c:pt>
                <c:pt idx="11">
                  <c:v>1.8288525684698E-4</c:v>
                </c:pt>
                <c:pt idx="13">
                  <c:v>3.7919506927727942E-4</c:v>
                </c:pt>
                <c:pt idx="14">
                  <c:v>3.7772397698805502E-4</c:v>
                </c:pt>
                <c:pt idx="15">
                  <c:v>5.5479513644733419E-4</c:v>
                </c:pt>
                <c:pt idx="16">
                  <c:v>3.9829547133227481E-4</c:v>
                </c:pt>
                <c:pt idx="17">
                  <c:v>3.3400257720926597E-4</c:v>
                </c:pt>
              </c:numCache>
            </c:numRef>
          </c:yVal>
          <c:smooth val="0"/>
          <c:extLst>
            <c:ext xmlns:c16="http://schemas.microsoft.com/office/drawing/2014/chart" uri="{C3380CC4-5D6E-409C-BE32-E72D297353CC}">
              <c16:uniqueId val="{00000006-26DC-46E9-B314-2815509E9959}"/>
            </c:ext>
          </c:extLst>
        </c:ser>
        <c:ser>
          <c:idx val="3"/>
          <c:order val="3"/>
          <c:tx>
            <c:v>c4</c:v>
          </c:tx>
          <c:spPr>
            <a:ln w="25400" cap="rnd">
              <a:noFill/>
              <a:round/>
            </a:ln>
            <a:effectLst/>
          </c:spPr>
          <c:marker>
            <c:symbol val="circle"/>
            <c:size val="5"/>
            <c:spPr>
              <a:solidFill>
                <a:schemeClr val="accent4"/>
              </a:solidFill>
              <a:ln w="9525">
                <a:solidFill>
                  <a:schemeClr val="accent4"/>
                </a:solidFill>
              </a:ln>
              <a:effectLst/>
            </c:spPr>
          </c:marker>
          <c:xVal>
            <c:numRef>
              <c:f>ZimmPrep!$E$28:$E$45</c:f>
              <c:numCache>
                <c:formatCode>General</c:formatCode>
                <c:ptCount val="18"/>
                <c:pt idx="0">
                  <c:v>2862809314.2053256</c:v>
                </c:pt>
                <c:pt idx="1">
                  <c:v>4402215757.0604105</c:v>
                </c:pt>
                <c:pt idx="2">
                  <c:v>5714748476.8024683</c:v>
                </c:pt>
                <c:pt idx="3">
                  <c:v>7972688675.0403929</c:v>
                </c:pt>
                <c:pt idx="4">
                  <c:v>10555329732.261189</c:v>
                </c:pt>
                <c:pt idx="5">
                  <c:v>13434375692.589571</c:v>
                </c:pt>
                <c:pt idx="6">
                  <c:v>17125638542.325018</c:v>
                </c:pt>
                <c:pt idx="7">
                  <c:v>21122260085.135277</c:v>
                </c:pt>
                <c:pt idx="8">
                  <c:v>25987131315.953915</c:v>
                </c:pt>
                <c:pt idx="9">
                  <c:v>31725596942.550377</c:v>
                </c:pt>
                <c:pt idx="10">
                  <c:v>37608929748.491219</c:v>
                </c:pt>
                <c:pt idx="11">
                  <c:v>43492262554.432068</c:v>
                </c:pt>
                <c:pt idx="12">
                  <c:v>49230728181.028534</c:v>
                </c:pt>
                <c:pt idx="13">
                  <c:v>54683026559.678268</c:v>
                </c:pt>
                <c:pt idx="14">
                  <c:v>59714904009.15802</c:v>
                </c:pt>
                <c:pt idx="15">
                  <c:v>63734287602.285065</c:v>
                </c:pt>
                <c:pt idx="16">
                  <c:v>66836557617.250107</c:v>
                </c:pt>
                <c:pt idx="17">
                  <c:v>69150432220.477921</c:v>
                </c:pt>
              </c:numCache>
            </c:numRef>
          </c:xVal>
          <c:yVal>
            <c:numRef>
              <c:f>ZimmPrep!$I$28:$I$45</c:f>
              <c:numCache>
                <c:formatCode>General</c:formatCode>
                <c:ptCount val="18"/>
                <c:pt idx="0">
                  <c:v>1.6730138821827037E-3</c:v>
                </c:pt>
                <c:pt idx="1">
                  <c:v>1.1482582011328704E-3</c:v>
                </c:pt>
                <c:pt idx="2">
                  <c:v>8.3461070884500587E-4</c:v>
                </c:pt>
                <c:pt idx="4">
                  <c:v>8.2767857377215033E-4</c:v>
                </c:pt>
                <c:pt idx="5">
                  <c:v>3.8960971569094267E-4</c:v>
                </c:pt>
                <c:pt idx="6">
                  <c:v>5.1475406023464699E-4</c:v>
                </c:pt>
                <c:pt idx="7">
                  <c:v>3.5957725215255939E-4</c:v>
                </c:pt>
                <c:pt idx="8">
                  <c:v>4.5909558311867934E-4</c:v>
                </c:pt>
                <c:pt idx="9">
                  <c:v>2.4516169639891855E-4</c:v>
                </c:pt>
                <c:pt idx="10">
                  <c:v>4.5058097313429836E-4</c:v>
                </c:pt>
                <c:pt idx="11">
                  <c:v>2.0138313989310141E-4</c:v>
                </c:pt>
                <c:pt idx="13">
                  <c:v>4.0805347243879676E-4</c:v>
                </c:pt>
                <c:pt idx="14">
                  <c:v>4.3838038205183021E-4</c:v>
                </c:pt>
                <c:pt idx="15">
                  <c:v>6.1800184073114569E-4</c:v>
                </c:pt>
                <c:pt idx="16">
                  <c:v>4.6887947891014636E-4</c:v>
                </c:pt>
                <c:pt idx="17">
                  <c:v>3.8725981821321706E-4</c:v>
                </c:pt>
              </c:numCache>
            </c:numRef>
          </c:yVal>
          <c:smooth val="0"/>
          <c:extLst>
            <c:ext xmlns:c16="http://schemas.microsoft.com/office/drawing/2014/chart" uri="{C3380CC4-5D6E-409C-BE32-E72D297353CC}">
              <c16:uniqueId val="{00000007-26DC-46E9-B314-2815509E9959}"/>
            </c:ext>
          </c:extLst>
        </c:ser>
        <c:dLbls>
          <c:showLegendKey val="0"/>
          <c:showVal val="0"/>
          <c:showCatName val="0"/>
          <c:showSerName val="0"/>
          <c:showPercent val="0"/>
          <c:showBubbleSize val="0"/>
        </c:dLbls>
        <c:axId val="682350143"/>
        <c:axId val="626107919"/>
      </c:scatterChart>
      <c:valAx>
        <c:axId val="6823501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a:t>
                </a:r>
                <a:r>
                  <a:rPr lang="en-US" baseline="30000"/>
                  <a:t>2</a:t>
                </a:r>
                <a:r>
                  <a:rPr lang="en-US" baseline="0"/>
                  <a:t> (cm</a:t>
                </a:r>
                <a:r>
                  <a:rPr lang="en-US" baseline="30000"/>
                  <a:t>-2</a:t>
                </a:r>
                <a:r>
                  <a:rPr lang="en-US" baseline="0"/>
                  <a: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107919"/>
        <c:crosses val="autoZero"/>
        <c:crossBetween val="midCat"/>
      </c:valAx>
      <c:valAx>
        <c:axId val="626107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
                </a:r>
                <a:r>
                  <a:rPr lang="en-US" baseline="-25000"/>
                  <a:t>Uv  </a:t>
                </a:r>
                <a:r>
                  <a:rPr lang="en-US" baseline="0"/>
                  <a:t>(cm</a:t>
                </a:r>
                <a:r>
                  <a:rPr lang="en-US" baseline="30000"/>
                  <a:t>-1</a:t>
                </a:r>
                <a:r>
                  <a:rPr lang="en-US" baseline="0"/>
                  <a:t>)</a:t>
                </a:r>
                <a:endParaRPr lang="en-US" baseline="-250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35014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40218</xdr:colOff>
      <xdr:row>71</xdr:row>
      <xdr:rowOff>70998</xdr:rowOff>
    </xdr:from>
    <xdr:to>
      <xdr:col>8</xdr:col>
      <xdr:colOff>400051</xdr:colOff>
      <xdr:row>73</xdr:row>
      <xdr:rowOff>86937</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2088093" y="11453373"/>
          <a:ext cx="3598333" cy="377889"/>
        </a:xfrm>
        <a:prstGeom prst="rect">
          <a:avLst/>
        </a:prstGeom>
        <a:ln w="19050">
          <a:solidFill>
            <a:schemeClr val="tx1"/>
          </a:solidFill>
        </a:ln>
      </xdr:spPr>
    </xdr:pic>
    <xdr:clientData/>
  </xdr:twoCellAnchor>
  <xdr:twoCellAnchor editAs="oneCell">
    <xdr:from>
      <xdr:col>3</xdr:col>
      <xdr:colOff>35454</xdr:colOff>
      <xdr:row>73</xdr:row>
      <xdr:rowOff>179493</xdr:rowOff>
    </xdr:from>
    <xdr:to>
      <xdr:col>8</xdr:col>
      <xdr:colOff>390525</xdr:colOff>
      <xdr:row>78</xdr:row>
      <xdr:rowOff>104776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2"/>
        <a:srcRect r="249" b="28826"/>
        <a:stretch/>
      </xdr:blipFill>
      <xdr:spPr>
        <a:xfrm>
          <a:off x="2083329" y="11923818"/>
          <a:ext cx="3593571" cy="830158"/>
        </a:xfrm>
        <a:prstGeom prst="rect">
          <a:avLst/>
        </a:prstGeom>
        <a:ln w="19050">
          <a:solidFill>
            <a:schemeClr val="tx1"/>
          </a:solidFill>
        </a:ln>
      </xdr:spPr>
    </xdr:pic>
    <xdr:clientData/>
  </xdr:twoCellAnchor>
  <xdr:twoCellAnchor editAs="oneCell">
    <xdr:from>
      <xdr:col>10</xdr:col>
      <xdr:colOff>270009</xdr:colOff>
      <xdr:row>58</xdr:row>
      <xdr:rowOff>176213</xdr:rowOff>
    </xdr:from>
    <xdr:to>
      <xdr:col>12</xdr:col>
      <xdr:colOff>281604</xdr:colOff>
      <xdr:row>63</xdr:row>
      <xdr:rowOff>19402</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6851784" y="11558588"/>
          <a:ext cx="1306995" cy="748064"/>
        </a:xfrm>
        <a:prstGeom prst="rect">
          <a:avLst/>
        </a:prstGeom>
      </xdr:spPr>
    </xdr:pic>
    <xdr:clientData/>
  </xdr:twoCellAnchor>
  <xdr:twoCellAnchor>
    <xdr:from>
      <xdr:col>3</xdr:col>
      <xdr:colOff>33344</xdr:colOff>
      <xdr:row>79</xdr:row>
      <xdr:rowOff>0</xdr:rowOff>
    </xdr:from>
    <xdr:to>
      <xdr:col>6</xdr:col>
      <xdr:colOff>542932</xdr:colOff>
      <xdr:row>81</xdr:row>
      <xdr:rowOff>71422</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81219" y="13192109"/>
          <a:ext cx="2452688" cy="433388"/>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3</xdr:col>
          <xdr:colOff>14288</xdr:colOff>
          <xdr:row>84</xdr:row>
          <xdr:rowOff>80963</xdr:rowOff>
        </xdr:from>
        <xdr:to>
          <xdr:col>6</xdr:col>
          <xdr:colOff>623888</xdr:colOff>
          <xdr:row>87</xdr:row>
          <xdr:rowOff>138113</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19050">
              <a:solidFill>
                <a:srgbClr val="000000"/>
              </a:solidFill>
              <a:miter lim="800000"/>
              <a:headEnd/>
              <a:tailEnd/>
            </a:ln>
            <a:extLst>
              <a:ext uri="{909E8E84-426E-40DD-AFC4-6F175D3DCCD1}">
                <a14:hiddenFill>
                  <a:solidFill>
                    <a:srgbClr val="FFFFFF"/>
                  </a:solidFill>
                </a14:hiddenFill>
              </a:ext>
            </a:extLst>
          </xdr:spPr>
        </xdr:sp>
        <xdr:clientData/>
      </xdr:twoCellAnchor>
    </mc:Choice>
    <mc:Fallback/>
  </mc:AlternateContent>
  <xdr:twoCellAnchor editAs="oneCell">
    <xdr:from>
      <xdr:col>3</xdr:col>
      <xdr:colOff>1</xdr:colOff>
      <xdr:row>94</xdr:row>
      <xdr:rowOff>1</xdr:rowOff>
    </xdr:from>
    <xdr:to>
      <xdr:col>5</xdr:col>
      <xdr:colOff>309563</xdr:colOff>
      <xdr:row>95</xdr:row>
      <xdr:rowOff>126398</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stretch>
          <a:fillRect/>
        </a:stretch>
      </xdr:blipFill>
      <xdr:spPr>
        <a:xfrm>
          <a:off x="2047876" y="15544801"/>
          <a:ext cx="1604962" cy="307372"/>
        </a:xfrm>
        <a:prstGeom prst="rect">
          <a:avLst/>
        </a:prstGeom>
        <a:ln w="19050">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355511</xdr:colOff>
      <xdr:row>10</xdr:row>
      <xdr:rowOff>228062</xdr:rowOff>
    </xdr:from>
    <xdr:to>
      <xdr:col>17</xdr:col>
      <xdr:colOff>608453</xdr:colOff>
      <xdr:row>12</xdr:row>
      <xdr:rowOff>40117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5206462" y="1770844"/>
          <a:ext cx="1562904" cy="288307"/>
        </a:xfrm>
        <a:prstGeom prst="rect">
          <a:avLst/>
        </a:prstGeom>
      </xdr:spPr>
    </xdr:pic>
    <xdr:clientData/>
  </xdr:twoCellAnchor>
  <xdr:twoCellAnchor>
    <xdr:from>
      <xdr:col>7</xdr:col>
      <xdr:colOff>345849</xdr:colOff>
      <xdr:row>5</xdr:row>
      <xdr:rowOff>79376</xdr:rowOff>
    </xdr:from>
    <xdr:to>
      <xdr:col>8</xdr:col>
      <xdr:colOff>555625</xdr:colOff>
      <xdr:row>7</xdr:row>
      <xdr:rowOff>164420</xdr:rowOff>
    </xdr:to>
    <xdr:sp macro="" textlink="">
      <xdr:nvSpPr>
        <xdr:cNvPr id="3" name="Speech Bubble: Rectangle 2">
          <a:extLst>
            <a:ext uri="{FF2B5EF4-FFF2-40B4-BE49-F238E27FC236}">
              <a16:creationId xmlns:a16="http://schemas.microsoft.com/office/drawing/2014/main" id="{00000000-0008-0000-0200-000003000000}"/>
            </a:ext>
          </a:extLst>
        </xdr:cNvPr>
        <xdr:cNvSpPr/>
      </xdr:nvSpPr>
      <xdr:spPr>
        <a:xfrm>
          <a:off x="7149420" y="1043215"/>
          <a:ext cx="1672544" cy="453572"/>
        </a:xfrm>
        <a:prstGeom prst="wedgeRectCallout">
          <a:avLst>
            <a:gd name="adj1" fmla="val -71198"/>
            <a:gd name="adj2" fmla="val -1107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From JustWyatt xls spreadsheet April 6, 2024</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195966</xdr:colOff>
      <xdr:row>1</xdr:row>
      <xdr:rowOff>105104</xdr:rowOff>
    </xdr:from>
    <xdr:to>
      <xdr:col>10</xdr:col>
      <xdr:colOff>262758</xdr:colOff>
      <xdr:row>4</xdr:row>
      <xdr:rowOff>88683</xdr:rowOff>
    </xdr:to>
    <xdr:pic>
      <xdr:nvPicPr>
        <xdr:cNvPr id="50" name="Picture 49">
          <a:extLst>
            <a:ext uri="{FF2B5EF4-FFF2-40B4-BE49-F238E27FC236}">
              <a16:creationId xmlns:a16="http://schemas.microsoft.com/office/drawing/2014/main" id="{00000000-0008-0000-0300-000032000000}"/>
            </a:ext>
          </a:extLst>
        </xdr:cNvPr>
        <xdr:cNvPicPr>
          <a:picLocks noChangeAspect="1"/>
        </xdr:cNvPicPr>
      </xdr:nvPicPr>
      <xdr:blipFill>
        <a:blip xmlns:r="http://schemas.openxmlformats.org/officeDocument/2006/relationships" r:embed="rId1"/>
        <a:stretch>
          <a:fillRect/>
        </a:stretch>
      </xdr:blipFill>
      <xdr:spPr>
        <a:xfrm>
          <a:off x="6893027" y="285751"/>
          <a:ext cx="1360878" cy="525518"/>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4.xml><?xml version="1.0" encoding="utf-8"?>
<xdr:wsDr xmlns:xdr="http://schemas.openxmlformats.org/drawingml/2006/spreadsheetDrawing" xmlns:a="http://schemas.openxmlformats.org/drawingml/2006/main">
  <xdr:twoCellAnchor>
    <xdr:from>
      <xdr:col>19</xdr:col>
      <xdr:colOff>483691</xdr:colOff>
      <xdr:row>9</xdr:row>
      <xdr:rowOff>111621</xdr:rowOff>
    </xdr:from>
    <xdr:to>
      <xdr:col>22</xdr:col>
      <xdr:colOff>126504</xdr:colOff>
      <xdr:row>10</xdr:row>
      <xdr:rowOff>193477</xdr:rowOff>
    </xdr:to>
    <xdr:sp macro="" textlink="">
      <xdr:nvSpPr>
        <xdr:cNvPr id="2" name="Speech Bubble: Rectangle with Corners Rounded 1">
          <a:extLst>
            <a:ext uri="{FF2B5EF4-FFF2-40B4-BE49-F238E27FC236}">
              <a16:creationId xmlns:a16="http://schemas.microsoft.com/office/drawing/2014/main" id="{00000000-0008-0000-0400-000002000000}"/>
            </a:ext>
          </a:extLst>
        </xdr:cNvPr>
        <xdr:cNvSpPr/>
      </xdr:nvSpPr>
      <xdr:spPr>
        <a:xfrm>
          <a:off x="13602891" y="1845469"/>
          <a:ext cx="2046386" cy="282774"/>
        </a:xfrm>
        <a:prstGeom prst="wedgeRoundRectCallout">
          <a:avLst>
            <a:gd name="adj1" fmla="val -71378"/>
            <a:gd name="adj2" fmla="val 15815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Probably from an</a:t>
          </a:r>
        </a:p>
        <a:p>
          <a:pPr algn="l"/>
          <a:r>
            <a:rPr lang="en-US" sz="1100"/>
            <a:t> old run. </a:t>
          </a:r>
        </a:p>
      </xdr:txBody>
    </xdr:sp>
    <xdr:clientData/>
  </xdr:twoCellAnchor>
  <xdr:twoCellAnchor>
    <xdr:from>
      <xdr:col>12</xdr:col>
      <xdr:colOff>107751</xdr:colOff>
      <xdr:row>6</xdr:row>
      <xdr:rowOff>156268</xdr:rowOff>
    </xdr:from>
    <xdr:to>
      <xdr:col>14</xdr:col>
      <xdr:colOff>851892</xdr:colOff>
      <xdr:row>8</xdr:row>
      <xdr:rowOff>174722</xdr:rowOff>
    </xdr:to>
    <xdr:sp macro="" textlink="">
      <xdr:nvSpPr>
        <xdr:cNvPr id="3" name="Speech Bubble: Rectangle with Corners Rounded 2">
          <a:extLst>
            <a:ext uri="{FF2B5EF4-FFF2-40B4-BE49-F238E27FC236}">
              <a16:creationId xmlns:a16="http://schemas.microsoft.com/office/drawing/2014/main" id="{00000000-0008-0000-0400-000003000000}"/>
            </a:ext>
          </a:extLst>
        </xdr:cNvPr>
        <xdr:cNvSpPr/>
      </xdr:nvSpPr>
      <xdr:spPr>
        <a:xfrm>
          <a:off x="9416951" y="1279921"/>
          <a:ext cx="2046386" cy="427731"/>
        </a:xfrm>
        <a:prstGeom prst="wedgeRoundRectCallout">
          <a:avLst>
            <a:gd name="adj1" fmla="val -162651"/>
            <a:gd name="adj2" fmla="val 25288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Wyatt entries possibly from</a:t>
          </a:r>
          <a:r>
            <a:rPr lang="en-US" sz="1100" baseline="0"/>
            <a:t> an  old run.</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238125</xdr:colOff>
      <xdr:row>2</xdr:row>
      <xdr:rowOff>19050</xdr:rowOff>
    </xdr:from>
    <xdr:to>
      <xdr:col>26</xdr:col>
      <xdr:colOff>0</xdr:colOff>
      <xdr:row>30</xdr:row>
      <xdr:rowOff>47625</xdr:rowOff>
    </xdr:to>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199405</xdr:colOff>
      <xdr:row>31</xdr:row>
      <xdr:rowOff>98534</xdr:rowOff>
    </xdr:from>
    <xdr:to>
      <xdr:col>26</xdr:col>
      <xdr:colOff>0</xdr:colOff>
      <xdr:row>60</xdr:row>
      <xdr:rowOff>27517</xdr:rowOff>
    </xdr:to>
    <xdr:graphicFrame macro="">
      <xdr:nvGraphicFramePr>
        <xdr:cNvPr id="3" name="Chart 1">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23971</xdr:colOff>
      <xdr:row>2</xdr:row>
      <xdr:rowOff>18583</xdr:rowOff>
    </xdr:from>
    <xdr:to>
      <xdr:col>44</xdr:col>
      <xdr:colOff>399969</xdr:colOff>
      <xdr:row>30</xdr:row>
      <xdr:rowOff>47158</xdr:rowOff>
    </xdr:to>
    <xdr:graphicFrame macro="">
      <xdr:nvGraphicFramePr>
        <xdr:cNvPr id="4" name="Chart 3">
          <a:extLst>
            <a:ext uri="{FF2B5EF4-FFF2-40B4-BE49-F238E27FC236}">
              <a16:creationId xmlns:a16="http://schemas.microsoft.com/office/drawing/2014/main" id="{00000000-0008-0000-0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53</xdr:col>
      <xdr:colOff>76967</xdr:colOff>
      <xdr:row>2</xdr:row>
      <xdr:rowOff>5776</xdr:rowOff>
    </xdr:from>
    <xdr:to>
      <xdr:col>61</xdr:col>
      <xdr:colOff>634998</xdr:colOff>
      <xdr:row>30</xdr:row>
      <xdr:rowOff>42333</xdr:rowOff>
    </xdr:to>
    <xdr:graphicFrame macro="">
      <xdr:nvGraphicFramePr>
        <xdr:cNvPr id="6" name="Chart 5">
          <a:extLst>
            <a:ext uri="{FF2B5EF4-FFF2-40B4-BE49-F238E27FC236}">
              <a16:creationId xmlns:a16="http://schemas.microsoft.com/office/drawing/2014/main" id="{00000000-0008-0000-0D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14942</xdr:colOff>
      <xdr:row>31</xdr:row>
      <xdr:rowOff>149411</xdr:rowOff>
    </xdr:from>
    <xdr:to>
      <xdr:col>44</xdr:col>
      <xdr:colOff>428312</xdr:colOff>
      <xdr:row>60</xdr:row>
      <xdr:rowOff>135467</xdr:rowOff>
    </xdr:to>
    <xdr:graphicFrame macro="">
      <xdr:nvGraphicFramePr>
        <xdr:cNvPr id="7" name="Chart 1">
          <a:extLst>
            <a:ext uri="{FF2B5EF4-FFF2-40B4-BE49-F238E27FC236}">
              <a16:creationId xmlns:a16="http://schemas.microsoft.com/office/drawing/2014/main" id="{00000000-0008-0000-0D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53</xdr:col>
      <xdr:colOff>67734</xdr:colOff>
      <xdr:row>31</xdr:row>
      <xdr:rowOff>135464</xdr:rowOff>
    </xdr:from>
    <xdr:to>
      <xdr:col>61</xdr:col>
      <xdr:colOff>634999</xdr:colOff>
      <xdr:row>60</xdr:row>
      <xdr:rowOff>127000</xdr:rowOff>
    </xdr:to>
    <xdr:graphicFrame macro="">
      <xdr:nvGraphicFramePr>
        <xdr:cNvPr id="8" name="Chart 1">
          <a:extLst>
            <a:ext uri="{FF2B5EF4-FFF2-40B4-BE49-F238E27FC236}">
              <a16:creationId xmlns:a16="http://schemas.microsoft.com/office/drawing/2014/main" id="{00000000-0008-0000-0D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17</xdr:col>
      <xdr:colOff>3401</xdr:colOff>
      <xdr:row>47</xdr:row>
      <xdr:rowOff>203424</xdr:rowOff>
    </xdr:from>
    <xdr:to>
      <xdr:col>24</xdr:col>
      <xdr:colOff>51025</xdr:colOff>
      <xdr:row>66</xdr:row>
      <xdr:rowOff>170088</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238126</xdr:colOff>
      <xdr:row>7</xdr:row>
      <xdr:rowOff>68036</xdr:rowOff>
    </xdr:from>
    <xdr:to>
      <xdr:col>15</xdr:col>
      <xdr:colOff>483054</xdr:colOff>
      <xdr:row>24</xdr:row>
      <xdr:rowOff>95250</xdr:rowOff>
    </xdr:to>
    <xdr:sp macro="" textlink="">
      <xdr:nvSpPr>
        <xdr:cNvPr id="3" name="Arrow: Down 2">
          <a:extLst>
            <a:ext uri="{FF2B5EF4-FFF2-40B4-BE49-F238E27FC236}">
              <a16:creationId xmlns:a16="http://schemas.microsoft.com/office/drawing/2014/main" id="{00000000-0008-0000-0E00-000003000000}"/>
            </a:ext>
          </a:extLst>
        </xdr:cNvPr>
        <xdr:cNvSpPr/>
      </xdr:nvSpPr>
      <xdr:spPr>
        <a:xfrm>
          <a:off x="10252983" y="1381126"/>
          <a:ext cx="244928" cy="3150053"/>
        </a:xfrm>
        <a:prstGeom prst="down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15</xdr:col>
      <xdr:colOff>398211</xdr:colOff>
      <xdr:row>6</xdr:row>
      <xdr:rowOff>139272</xdr:rowOff>
    </xdr:from>
    <xdr:ext cx="436786" cy="3097386"/>
    <xdr:sp macro="" textlink="">
      <xdr:nvSpPr>
        <xdr:cNvPr id="4" name="TextBox 3">
          <a:extLst>
            <a:ext uri="{FF2B5EF4-FFF2-40B4-BE49-F238E27FC236}">
              <a16:creationId xmlns:a16="http://schemas.microsoft.com/office/drawing/2014/main" id="{00000000-0008-0000-0E00-000004000000}"/>
            </a:ext>
          </a:extLst>
        </xdr:cNvPr>
        <xdr:cNvSpPr txBox="1"/>
      </xdr:nvSpPr>
      <xdr:spPr>
        <a:xfrm rot="16200000">
          <a:off x="9082768" y="2598965"/>
          <a:ext cx="3097386"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00B050"/>
              </a:solidFill>
              <a:effectLst/>
              <a:latin typeface="+mn-lt"/>
              <a:ea typeface="+mn-ea"/>
              <a:cs typeface="+mn-cs"/>
            </a:rPr>
            <a:t>Scroll Down! </a:t>
          </a:r>
          <a:endParaRPr lang="en-US" b="1">
            <a:solidFill>
              <a:srgbClr val="00B050"/>
            </a:solidFill>
            <a:effectLst/>
          </a:endParaRPr>
        </a:p>
        <a:p>
          <a:r>
            <a:rPr lang="en-US" sz="1100" b="1">
              <a:solidFill>
                <a:srgbClr val="00B050"/>
              </a:solidFill>
            </a:rPr>
            <a:t>All this on the left is filled from other worksheets.</a:t>
          </a:r>
        </a:p>
      </xdr:txBody>
    </xdr:sp>
    <xdr:clientData/>
  </xdr:oneCellAnchor>
  <xdr:twoCellAnchor>
    <xdr:from>
      <xdr:col>15</xdr:col>
      <xdr:colOff>238126</xdr:colOff>
      <xdr:row>24</xdr:row>
      <xdr:rowOff>149679</xdr:rowOff>
    </xdr:from>
    <xdr:to>
      <xdr:col>15</xdr:col>
      <xdr:colOff>483054</xdr:colOff>
      <xdr:row>46</xdr:row>
      <xdr:rowOff>136072</xdr:rowOff>
    </xdr:to>
    <xdr:sp macro="" textlink="">
      <xdr:nvSpPr>
        <xdr:cNvPr id="5" name="Arrow: Down 4">
          <a:extLst>
            <a:ext uri="{FF2B5EF4-FFF2-40B4-BE49-F238E27FC236}">
              <a16:creationId xmlns:a16="http://schemas.microsoft.com/office/drawing/2014/main" id="{00000000-0008-0000-0E00-000005000000}"/>
            </a:ext>
          </a:extLst>
        </xdr:cNvPr>
        <xdr:cNvSpPr/>
      </xdr:nvSpPr>
      <xdr:spPr>
        <a:xfrm>
          <a:off x="10252983" y="4585608"/>
          <a:ext cx="244928" cy="4068535"/>
        </a:xfrm>
        <a:prstGeom prst="downArrow">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15</xdr:col>
      <xdr:colOff>374197</xdr:colOff>
      <xdr:row>25</xdr:row>
      <xdr:rowOff>142875</xdr:rowOff>
    </xdr:from>
    <xdr:ext cx="436786" cy="3097386"/>
    <xdr:sp macro="" textlink="">
      <xdr:nvSpPr>
        <xdr:cNvPr id="6" name="TextBox 5">
          <a:extLst>
            <a:ext uri="{FF2B5EF4-FFF2-40B4-BE49-F238E27FC236}">
              <a16:creationId xmlns:a16="http://schemas.microsoft.com/office/drawing/2014/main" id="{00000000-0008-0000-0E00-000006000000}"/>
            </a:ext>
          </a:extLst>
        </xdr:cNvPr>
        <xdr:cNvSpPr txBox="1"/>
      </xdr:nvSpPr>
      <xdr:spPr>
        <a:xfrm rot="16200000">
          <a:off x="9058754" y="6106408"/>
          <a:ext cx="3097386"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00B050"/>
              </a:solidFill>
              <a:effectLst/>
              <a:latin typeface="+mn-lt"/>
              <a:ea typeface="+mn-ea"/>
              <a:cs typeface="+mn-cs"/>
            </a:rPr>
            <a:t>Scroll Down! </a:t>
          </a:r>
          <a:endParaRPr lang="en-US" b="1">
            <a:solidFill>
              <a:srgbClr val="00B050"/>
            </a:solidFill>
            <a:effectLst/>
          </a:endParaRPr>
        </a:p>
        <a:p>
          <a:r>
            <a:rPr lang="en-US" sz="1100" b="1">
              <a:solidFill>
                <a:srgbClr val="00B050"/>
              </a:solidFill>
            </a:rPr>
            <a:t>All this on the left is filled from other worksheets.</a:t>
          </a:r>
        </a:p>
      </xdr:txBody>
    </xdr:sp>
    <xdr:clientData/>
  </xdr:oneCellAnchor>
  <xdr:twoCellAnchor>
    <xdr:from>
      <xdr:col>17</xdr:col>
      <xdr:colOff>0</xdr:colOff>
      <xdr:row>26</xdr:row>
      <xdr:rowOff>1</xdr:rowOff>
    </xdr:from>
    <xdr:to>
      <xdr:col>24</xdr:col>
      <xdr:colOff>47624</xdr:colOff>
      <xdr:row>45</xdr:row>
      <xdr:rowOff>-1</xdr:rowOff>
    </xdr:to>
    <xdr:graphicFrame macro="">
      <xdr:nvGraphicFramePr>
        <xdr:cNvPr id="8" name="Chart 7">
          <a:extLst>
            <a:ext uri="{FF2B5EF4-FFF2-40B4-BE49-F238E27FC236}">
              <a16:creationId xmlns:a16="http://schemas.microsoft.com/office/drawing/2014/main" id="{00000000-0008-0000-0E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16</xdr:col>
      <xdr:colOff>551089</xdr:colOff>
      <xdr:row>45</xdr:row>
      <xdr:rowOff>74838</xdr:rowOff>
    </xdr:from>
    <xdr:ext cx="4702891" cy="436786"/>
    <xdr:sp macro="" textlink="">
      <xdr:nvSpPr>
        <xdr:cNvPr id="7" name="TextBox 6">
          <a:extLst>
            <a:ext uri="{FF2B5EF4-FFF2-40B4-BE49-F238E27FC236}">
              <a16:creationId xmlns:a16="http://schemas.microsoft.com/office/drawing/2014/main" id="{00000000-0008-0000-0E00-000007000000}"/>
            </a:ext>
          </a:extLst>
        </xdr:cNvPr>
        <xdr:cNvSpPr txBox="1"/>
      </xdr:nvSpPr>
      <xdr:spPr>
        <a:xfrm>
          <a:off x="11334750" y="8409214"/>
          <a:ext cx="4702891" cy="436786"/>
        </a:xfrm>
        <a:prstGeom prst="rect">
          <a:avLst/>
        </a:prstGeom>
        <a:solidFill>
          <a:srgbClr val="92D05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Hint: for starters, try k</a:t>
          </a:r>
          <a:r>
            <a:rPr lang="en-US" sz="1100" baseline="-25000"/>
            <a:t>scale</a:t>
          </a:r>
          <a:r>
            <a:rPr lang="en-US" sz="1100" baseline="0"/>
            <a:t> values</a:t>
          </a:r>
          <a:r>
            <a:rPr lang="en-US" sz="1100"/>
            <a:t> that</a:t>
          </a:r>
          <a:r>
            <a:rPr lang="en-US" sz="1100" baseline="0"/>
            <a:t> make k</a:t>
          </a:r>
          <a:r>
            <a:rPr lang="en-US" sz="1100"/>
            <a:t>·</a:t>
          </a:r>
          <a:r>
            <a:rPr lang="en-US" sz="1100" baseline="0"/>
            <a:t>c</a:t>
          </a:r>
          <a:r>
            <a:rPr lang="en-US" sz="1100" baseline="-25000"/>
            <a:t>max</a:t>
          </a:r>
          <a:r>
            <a:rPr lang="en-US" sz="1100" baseline="0"/>
            <a:t> about the same as q</a:t>
          </a:r>
          <a:r>
            <a:rPr lang="en-US" sz="1100" baseline="30000"/>
            <a:t>2</a:t>
          </a:r>
          <a:r>
            <a:rPr lang="en-US" sz="1100" baseline="-25000"/>
            <a:t>max</a:t>
          </a:r>
          <a:r>
            <a:rPr lang="en-US" sz="1100" baseline="0"/>
            <a:t>/10</a:t>
          </a:r>
          <a:r>
            <a:rPr lang="en-US" sz="1100" baseline="30000"/>
            <a:t>10</a:t>
          </a:r>
        </a:p>
        <a:p>
          <a:r>
            <a:rPr lang="en-US" sz="1100" baseline="0"/>
            <a:t>Normally, that will be k</a:t>
          </a:r>
          <a:r>
            <a:rPr lang="en-US" sz="1100" baseline="-25000"/>
            <a:t>scale</a:t>
          </a:r>
          <a:r>
            <a:rPr lang="en-US" sz="1100" baseline="0"/>
            <a:t> = 1000 to 10000.</a:t>
          </a:r>
          <a:endParaRPr lang="en-US" sz="1100" baseline="300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76200</xdr:colOff>
      <xdr:row>22</xdr:row>
      <xdr:rowOff>137916</xdr:rowOff>
    </xdr:from>
    <xdr:ext cx="5091111" cy="1297919"/>
    <xdr:sp macro="" textlink="">
      <xdr:nvSpPr>
        <xdr:cNvPr id="2" name="TextBox 1">
          <a:extLst>
            <a:ext uri="{FF2B5EF4-FFF2-40B4-BE49-F238E27FC236}">
              <a16:creationId xmlns:a16="http://schemas.microsoft.com/office/drawing/2014/main" id="{00000000-0008-0000-0F00-000002000000}"/>
            </a:ext>
          </a:extLst>
        </xdr:cNvPr>
        <xdr:cNvSpPr txBox="1"/>
      </xdr:nvSpPr>
      <xdr:spPr>
        <a:xfrm>
          <a:off x="2100263" y="4438454"/>
          <a:ext cx="5091111" cy="1297919"/>
        </a:xfrm>
        <a:prstGeom prst="rect">
          <a:avLst/>
        </a:prstGeom>
        <a:solidFill>
          <a:schemeClr val="accent4">
            <a:lumMod val="40000"/>
            <a:lumOff val="60000"/>
          </a:schemeClr>
        </a:solidFill>
        <a:ln>
          <a:solidFill>
            <a:schemeClr val="accent1">
              <a:shade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Written for a rotating arm instrument,</a:t>
          </a:r>
          <a:r>
            <a:rPr lang="en-US" sz="1100" baseline="0"/>
            <a:t> the NonZimm.exe program subtracts solvent intensities and applies a sin(theta) correction for the scattering volume. We prepare SMALS data for use in NonZimm by undoing the sin(theta) correction and letting the solvent values all be zero. NonZimm is normally fed uncertainties, too. We take those as 2.5% of our normalized intensities. We take c1 = 0, as in NonZimm. Other concentrations are automatically entered as g/mL (see the ConcData worksheet) but you can override these (so they're colored pink instead of red). </a:t>
          </a:r>
          <a:endParaRPr lang="en-US" sz="1100"/>
        </a:p>
      </xdr:txBody>
    </xdr:sp>
    <xdr:clientData/>
  </xdr:oneCellAnchor>
  <xdr:oneCellAnchor>
    <xdr:from>
      <xdr:col>1</xdr:col>
      <xdr:colOff>242887</xdr:colOff>
      <xdr:row>16</xdr:row>
      <xdr:rowOff>190500</xdr:rowOff>
    </xdr:from>
    <xdr:ext cx="4776788" cy="264560"/>
    <xdr:sp macro="" textlink="">
      <xdr:nvSpPr>
        <xdr:cNvPr id="5" name="TextBox 4">
          <a:extLst>
            <a:ext uri="{FF2B5EF4-FFF2-40B4-BE49-F238E27FC236}">
              <a16:creationId xmlns:a16="http://schemas.microsoft.com/office/drawing/2014/main" id="{00000000-0008-0000-0F00-000005000000}"/>
            </a:ext>
          </a:extLst>
        </xdr:cNvPr>
        <xdr:cNvSpPr txBox="1"/>
      </xdr:nvSpPr>
      <xdr:spPr>
        <a:xfrm>
          <a:off x="2266950" y="3319463"/>
          <a:ext cx="4776788" cy="264560"/>
        </a:xfrm>
        <a:prstGeom prst="rect">
          <a:avLst/>
        </a:prstGeom>
        <a:solidFill>
          <a:schemeClr val="accent4">
            <a:lumMod val="40000"/>
            <a:lumOff val="60000"/>
          </a:schemeClr>
        </a:solidFill>
        <a:ln>
          <a:solidFill>
            <a:schemeClr val="accent1">
              <a:shade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&lt;&lt;&lt; Usually,</a:t>
          </a:r>
          <a:r>
            <a:rPr lang="en-US" sz="1100" baseline="0"/>
            <a:t> the intensity of toluene at 90</a:t>
          </a:r>
          <a:r>
            <a:rPr lang="en-US" sz="1100" baseline="30000"/>
            <a:t>o</a:t>
          </a:r>
          <a:r>
            <a:rPr lang="en-US" sz="1100" baseline="0"/>
            <a:t>; probably parameters worksheet, G4</a:t>
          </a:r>
          <a:endParaRPr lang="en-US" sz="1100"/>
        </a:p>
      </xdr:txBody>
    </xdr:sp>
    <xdr:clientData/>
  </xdr:oneCellAnchor>
  <xdr:oneCellAnchor>
    <xdr:from>
      <xdr:col>1</xdr:col>
      <xdr:colOff>242887</xdr:colOff>
      <xdr:row>18</xdr:row>
      <xdr:rowOff>161924</xdr:rowOff>
    </xdr:from>
    <xdr:ext cx="4776788" cy="264560"/>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2266950" y="3681412"/>
          <a:ext cx="4776788" cy="264560"/>
        </a:xfrm>
        <a:prstGeom prst="rect">
          <a:avLst/>
        </a:prstGeom>
        <a:solidFill>
          <a:schemeClr val="accent4">
            <a:lumMod val="40000"/>
            <a:lumOff val="60000"/>
          </a:schemeClr>
        </a:solidFill>
        <a:ln>
          <a:solidFill>
            <a:schemeClr val="accent1">
              <a:shade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&lt;&lt;&lt; Extremely</a:t>
          </a:r>
          <a:r>
            <a:rPr lang="en-US" sz="1100" baseline="0"/>
            <a:t> unlikely, but </a:t>
          </a:r>
          <a:r>
            <a:rPr lang="en-US" sz="1100"/>
            <a:t>you might</a:t>
          </a:r>
          <a:r>
            <a:rPr lang="en-US" sz="1100" baseline="0"/>
            <a:t> change it. So, cell colored pink. </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nvlpubs.nist.gov/nistpubs/jres/52/jresv52n4p217_a1b.pdf" TargetMode="External"/><Relationship Id="rId1" Type="http://schemas.openxmlformats.org/officeDocument/2006/relationships/hyperlink" Target="https://nvlpubs.nist.gov/nistpubs/jres/52/jresv52n4p217_a1b.pdf"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B6" sqref="B6"/>
    </sheetView>
  </sheetViews>
  <sheetFormatPr defaultRowHeight="14.25"/>
  <sheetData>
    <row r="2" spans="1:2">
      <c r="B2" t="s">
        <v>67</v>
      </c>
    </row>
    <row r="3" spans="1:2">
      <c r="B3" t="s">
        <v>94</v>
      </c>
    </row>
    <row r="4" spans="1:2">
      <c r="B4" t="s">
        <v>95</v>
      </c>
    </row>
    <row r="5" spans="1:2">
      <c r="A5" t="s">
        <v>114</v>
      </c>
      <c r="B5" t="s">
        <v>115</v>
      </c>
    </row>
  </sheetData>
  <phoneticPr fontId="1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15653-FDD2-4E26-938F-66D4BA6036A5}">
  <dimension ref="B1:S32"/>
  <sheetViews>
    <sheetView zoomScale="70" zoomScaleNormal="70" workbookViewId="0">
      <selection activeCell="O8" sqref="O8"/>
    </sheetView>
  </sheetViews>
  <sheetFormatPr defaultRowHeight="14.25"/>
  <cols>
    <col min="2" max="2" width="11" customWidth="1"/>
    <col min="4" max="4" width="13.59765625" customWidth="1"/>
    <col min="5" max="5" width="2" customWidth="1"/>
    <col min="6" max="6" width="11.86328125" customWidth="1"/>
    <col min="7" max="7" width="12.59765625" customWidth="1"/>
    <col min="8" max="8" width="14.86328125" customWidth="1"/>
    <col min="9" max="9" width="4" customWidth="1"/>
    <col min="10" max="10" width="12.3984375" customWidth="1"/>
    <col min="11" max="11" width="11" customWidth="1"/>
    <col min="13" max="13" width="10.3984375" customWidth="1"/>
    <col min="14" max="14" width="2.73046875" customWidth="1"/>
    <col min="16" max="16" width="12.59765625" customWidth="1"/>
    <col min="17" max="17" width="2.3984375" customWidth="1"/>
    <col min="19" max="19" width="12.265625" customWidth="1"/>
  </cols>
  <sheetData>
    <row r="1" spans="2:19" ht="14.65" thickBot="1"/>
    <row r="2" spans="2:19" ht="14.65" thickBot="1">
      <c r="B2" s="6" t="s">
        <v>68</v>
      </c>
      <c r="C2" s="6"/>
      <c r="D2" s="200">
        <f>Conc1!D2</f>
        <v>45387</v>
      </c>
      <c r="G2" s="184" t="s">
        <v>318</v>
      </c>
      <c r="H2" s="184"/>
      <c r="I2" s="184"/>
      <c r="J2" s="184"/>
      <c r="K2" s="184"/>
      <c r="L2" s="184"/>
    </row>
    <row r="3" spans="2:19" ht="14.65" thickBot="1">
      <c r="B3" s="6" t="s">
        <v>69</v>
      </c>
      <c r="C3" s="6"/>
      <c r="D3" s="41" t="s">
        <v>89</v>
      </c>
      <c r="G3" s="11"/>
      <c r="H3" s="11"/>
    </row>
    <row r="4" spans="2:19" ht="14.65" thickBot="1">
      <c r="B4" s="6" t="s">
        <v>55</v>
      </c>
      <c r="C4" s="1"/>
      <c r="D4" s="199" t="str">
        <f>Conc1!D4</f>
        <v>Russo</v>
      </c>
      <c r="E4" s="12"/>
      <c r="H4" s="11"/>
      <c r="I4" s="11"/>
    </row>
    <row r="5" spans="2:19" ht="15" thickBot="1">
      <c r="B5" s="6" t="s">
        <v>17</v>
      </c>
      <c r="C5" s="7" t="s">
        <v>16</v>
      </c>
      <c r="D5" s="1"/>
    </row>
    <row r="6" spans="2:19" ht="14.65" thickBot="1">
      <c r="B6" s="1"/>
      <c r="C6" s="5" t="s">
        <v>5</v>
      </c>
      <c r="D6" s="17" t="s">
        <v>6</v>
      </c>
      <c r="E6" s="201" t="str">
        <f>Conc1!E6</f>
        <v>Y</v>
      </c>
      <c r="F6" s="202">
        <f>Conc1!F6</f>
        <v>6.0000000000000001E-3</v>
      </c>
      <c r="G6" s="14"/>
      <c r="H6" s="67" t="s">
        <v>56</v>
      </c>
      <c r="I6" s="1"/>
    </row>
    <row r="7" spans="2:19" ht="16.149999999999999" thickBot="1">
      <c r="B7" s="1"/>
      <c r="C7" s="5" t="s">
        <v>10</v>
      </c>
      <c r="D7" s="1"/>
      <c r="E7" s="18"/>
      <c r="F7" s="202">
        <f>Conc1!F7</f>
        <v>4.9800000000000004</v>
      </c>
      <c r="G7" s="14"/>
      <c r="H7" s="1" t="s">
        <v>21</v>
      </c>
      <c r="I7" s="13"/>
      <c r="J7" s="203">
        <f>Conc1!J7</f>
        <v>1</v>
      </c>
      <c r="K7" s="14" t="s">
        <v>19</v>
      </c>
    </row>
    <row r="8" spans="2:19" ht="16.149999999999999" thickBot="1">
      <c r="B8" s="1"/>
      <c r="C8" s="5" t="s">
        <v>11</v>
      </c>
      <c r="D8" s="1"/>
      <c r="E8" s="13"/>
      <c r="F8" s="202">
        <f>Conc1!F8</f>
        <v>15.04</v>
      </c>
      <c r="G8" s="14"/>
      <c r="H8" s="1" t="s">
        <v>22</v>
      </c>
      <c r="I8" s="1"/>
      <c r="J8" s="204">
        <f>J7*SQRT(3/5)</f>
        <v>0.7745966692414834</v>
      </c>
      <c r="K8" s="1" t="s">
        <v>19</v>
      </c>
    </row>
    <row r="9" spans="2:19" ht="16.149999999999999" thickBot="1">
      <c r="B9" s="1"/>
      <c r="C9" s="5" t="s">
        <v>12</v>
      </c>
      <c r="D9" s="1"/>
      <c r="E9" s="13"/>
      <c r="F9" s="202">
        <f>Conc1!F9</f>
        <v>14.89</v>
      </c>
      <c r="G9" s="14"/>
      <c r="H9" s="1" t="s">
        <v>20</v>
      </c>
      <c r="I9" s="1"/>
      <c r="J9" s="205">
        <f>Lamnm/(Refin*J7)</f>
        <v>458.19397993311031</v>
      </c>
      <c r="K9" s="1"/>
    </row>
    <row r="10" spans="2:19" ht="16.149999999999999" thickBot="1">
      <c r="B10" s="1"/>
      <c r="C10" s="5" t="s">
        <v>13</v>
      </c>
      <c r="D10" s="1"/>
      <c r="E10" s="13"/>
      <c r="F10" s="202">
        <f>Conc1!F10</f>
        <v>79.2</v>
      </c>
      <c r="G10" s="14"/>
      <c r="H10" s="1" t="s">
        <v>45</v>
      </c>
      <c r="I10" s="1"/>
      <c r="J10" s="206">
        <f>J8*(4*PI()*Refin/Lamnm)*SIN(RADIANS(D32/2))</f>
        <v>2.036915789429861E-2</v>
      </c>
      <c r="K10" s="1"/>
    </row>
    <row r="11" spans="2:19" ht="16.5">
      <c r="B11" s="1"/>
      <c r="C11" s="5" t="s">
        <v>14</v>
      </c>
      <c r="D11" s="33"/>
      <c r="E11" s="13"/>
      <c r="F11" s="202">
        <f>Conc1!F11</f>
        <v>4.92</v>
      </c>
      <c r="G11" s="14"/>
      <c r="H11" s="1" t="s">
        <v>46</v>
      </c>
      <c r="I11" s="1"/>
      <c r="J11" s="207">
        <f>1-J10^2/3</f>
        <v>0.999861699135559</v>
      </c>
      <c r="K11" s="1"/>
      <c r="M11" s="39"/>
      <c r="O11" s="39"/>
    </row>
    <row r="12" spans="2:19">
      <c r="M12" s="246" t="s">
        <v>110</v>
      </c>
    </row>
    <row r="13" spans="2:19" ht="15" thickBot="1">
      <c r="B13" s="6" t="s">
        <v>17</v>
      </c>
      <c r="C13" s="7" t="s">
        <v>15</v>
      </c>
      <c r="D13" s="7" t="s">
        <v>36</v>
      </c>
      <c r="E13" s="13"/>
      <c r="F13" s="24" t="s">
        <v>38</v>
      </c>
      <c r="G13" s="15" t="s">
        <v>108</v>
      </c>
      <c r="H13" s="6"/>
      <c r="I13" s="34"/>
      <c r="J13" s="6" t="s">
        <v>109</v>
      </c>
      <c r="K13" s="1"/>
      <c r="L13" s="7" t="s">
        <v>23</v>
      </c>
      <c r="M13" s="247"/>
    </row>
    <row r="14" spans="2:19">
      <c r="B14" s="1"/>
      <c r="C14" s="23" t="s">
        <v>37</v>
      </c>
      <c r="D14">
        <v>0</v>
      </c>
      <c r="E14" s="1"/>
      <c r="F14" s="16" t="s">
        <v>0</v>
      </c>
      <c r="G14" s="6" t="s">
        <v>111</v>
      </c>
      <c r="H14" s="6" t="s">
        <v>112</v>
      </c>
      <c r="I14" s="34"/>
      <c r="J14" s="6" t="s">
        <v>111</v>
      </c>
      <c r="K14" s="6" t="s">
        <v>113</v>
      </c>
      <c r="L14" s="1"/>
      <c r="M14" s="16"/>
      <c r="O14" s="27" t="s">
        <v>129</v>
      </c>
      <c r="P14" s="131"/>
      <c r="Q14" s="132"/>
      <c r="R14" s="198" t="s">
        <v>312</v>
      </c>
      <c r="S14" s="194"/>
    </row>
    <row r="15" spans="2:19">
      <c r="B15" s="1"/>
      <c r="C15" s="5">
        <v>1</v>
      </c>
      <c r="D15" s="1">
        <v>22.5</v>
      </c>
      <c r="E15" s="1"/>
      <c r="F15" s="2" t="s">
        <v>2</v>
      </c>
      <c r="G15" s="2"/>
      <c r="H15" s="4"/>
      <c r="I15" s="35"/>
      <c r="J15" s="208">
        <f>Conc1!J15</f>
        <v>8.5999999999999993E-2</v>
      </c>
      <c r="K15" s="4"/>
      <c r="L15" s="2">
        <f>G15+H15-J15-K15</f>
        <v>-8.5999999999999993E-2</v>
      </c>
      <c r="M15" s="25">
        <f>NormStandard!O15*L15</f>
        <v>-8.4822390962514843E-2</v>
      </c>
      <c r="O15" s="29" t="s">
        <v>35</v>
      </c>
      <c r="P15" s="30"/>
      <c r="Q15" s="11"/>
      <c r="R15" s="195"/>
      <c r="S15" s="196"/>
    </row>
    <row r="16" spans="2:19">
      <c r="B16" s="1"/>
      <c r="C16" s="5">
        <v>2</v>
      </c>
      <c r="D16" s="1">
        <v>28</v>
      </c>
      <c r="E16" s="1"/>
      <c r="F16" s="2" t="s">
        <v>2</v>
      </c>
      <c r="G16" s="2"/>
      <c r="H16" s="4"/>
      <c r="I16" s="35"/>
      <c r="J16" s="208">
        <f>Conc1!J16</f>
        <v>4.9000000000000002E-2</v>
      </c>
      <c r="K16" s="4"/>
      <c r="L16" s="2">
        <f>G16+H16-J16-K16</f>
        <v>-4.9000000000000002E-2</v>
      </c>
      <c r="M16" s="25">
        <f>NormStandard!O16*L16</f>
        <v>-7.6696717403968662E-2</v>
      </c>
      <c r="O16" s="19" t="s">
        <v>27</v>
      </c>
      <c r="P16" s="211">
        <v>30.435230000000001</v>
      </c>
      <c r="R16" s="19" t="s">
        <v>27</v>
      </c>
      <c r="S16" s="209">
        <f>Conc1!S16</f>
        <v>14.14034</v>
      </c>
    </row>
    <row r="17" spans="2:19">
      <c r="B17" s="1"/>
      <c r="C17" s="5">
        <v>3</v>
      </c>
      <c r="D17" s="1">
        <v>32</v>
      </c>
      <c r="E17" s="1"/>
      <c r="F17" s="2" t="s">
        <v>2</v>
      </c>
      <c r="G17" s="2"/>
      <c r="H17" s="4"/>
      <c r="I17" s="35"/>
      <c r="J17" s="208">
        <f>Conc1!J17</f>
        <v>0.03</v>
      </c>
      <c r="K17" s="4"/>
      <c r="L17" s="2">
        <f>G17+H17-J17-K17</f>
        <v>-0.03</v>
      </c>
      <c r="M17" s="25">
        <f>NormStandard!O17*L17</f>
        <v>-3.5918593911456922E-2</v>
      </c>
      <c r="O17" s="19" t="s">
        <v>28</v>
      </c>
      <c r="P17" s="211">
        <v>93.743780000000001</v>
      </c>
      <c r="R17" s="19" t="s">
        <v>28</v>
      </c>
      <c r="S17" s="209">
        <f>Conc1!S17</f>
        <v>20.997260000000001</v>
      </c>
    </row>
    <row r="18" spans="2:19">
      <c r="B18" s="1"/>
      <c r="C18" s="5">
        <v>4</v>
      </c>
      <c r="D18" s="1">
        <v>38</v>
      </c>
      <c r="E18" s="1"/>
      <c r="F18" s="31" t="s">
        <v>53</v>
      </c>
      <c r="G18" s="32" t="s">
        <v>54</v>
      </c>
      <c r="H18" s="4"/>
      <c r="I18" s="35"/>
      <c r="J18" s="32" t="s">
        <v>54</v>
      </c>
      <c r="K18" s="4"/>
      <c r="L18" s="32" t="s">
        <v>54</v>
      </c>
      <c r="M18" s="32" t="str">
        <f>NormStandard!O18</f>
        <v>---</v>
      </c>
      <c r="O18" s="19" t="s">
        <v>29</v>
      </c>
      <c r="P18" s="211">
        <v>82.246570000000006</v>
      </c>
      <c r="R18" s="19" t="s">
        <v>29</v>
      </c>
      <c r="S18" s="209">
        <f>Conc1!S18</f>
        <v>25.055669999999999</v>
      </c>
    </row>
    <row r="19" spans="2:19">
      <c r="B19" s="1"/>
      <c r="C19" s="5">
        <v>5</v>
      </c>
      <c r="D19" s="1">
        <v>44</v>
      </c>
      <c r="E19" s="1"/>
      <c r="F19" s="3" t="s">
        <v>1</v>
      </c>
      <c r="G19" s="4"/>
      <c r="H19" s="3">
        <f>P16</f>
        <v>30.435230000000001</v>
      </c>
      <c r="I19" s="35"/>
      <c r="J19" s="4"/>
      <c r="K19" s="3">
        <f>S16</f>
        <v>14.14034</v>
      </c>
      <c r="L19" s="3">
        <f t="shared" ref="L19:L26" si="0">G19+H19-J19-K19</f>
        <v>16.294890000000002</v>
      </c>
      <c r="M19" s="66">
        <f>NormStandard!O19*L19</f>
        <v>6.2633905256943095E-2</v>
      </c>
      <c r="O19" s="19" t="s">
        <v>30</v>
      </c>
      <c r="P19" s="211">
        <v>96.08278</v>
      </c>
      <c r="R19" s="19" t="s">
        <v>30</v>
      </c>
      <c r="S19" s="209">
        <f>Conc1!S19</f>
        <v>43.310589999999998</v>
      </c>
    </row>
    <row r="20" spans="2:19">
      <c r="B20" s="1"/>
      <c r="C20" s="5">
        <v>6</v>
      </c>
      <c r="D20" s="1">
        <v>50</v>
      </c>
      <c r="E20" s="1"/>
      <c r="F20" s="3" t="s">
        <v>1</v>
      </c>
      <c r="G20" s="4"/>
      <c r="H20" s="3">
        <f>P17</f>
        <v>93.743780000000001</v>
      </c>
      <c r="I20" s="35"/>
      <c r="J20" s="4"/>
      <c r="K20" s="3">
        <f>S17</f>
        <v>20.997260000000001</v>
      </c>
      <c r="L20" s="3">
        <f t="shared" si="0"/>
        <v>72.746520000000004</v>
      </c>
      <c r="M20" s="66">
        <f>NormStandard!O20*L20</f>
        <v>8.3580422831665696E-2</v>
      </c>
      <c r="O20" s="19" t="s">
        <v>31</v>
      </c>
      <c r="P20" s="211">
        <v>36.891210000000001</v>
      </c>
      <c r="R20" s="19" t="s">
        <v>31</v>
      </c>
      <c r="S20" s="209">
        <f>Conc1!S20</f>
        <v>3.1831499999999999</v>
      </c>
    </row>
    <row r="21" spans="2:19">
      <c r="B21" s="1"/>
      <c r="C21" s="5">
        <v>7</v>
      </c>
      <c r="D21" s="1">
        <v>57</v>
      </c>
      <c r="E21" s="1"/>
      <c r="F21" s="2" t="s">
        <v>2</v>
      </c>
      <c r="G21" s="2"/>
      <c r="H21" s="4"/>
      <c r="I21" s="35"/>
      <c r="J21" s="208">
        <f>Conc1!J21</f>
        <v>5.0999999999999997E-2</v>
      </c>
      <c r="K21" s="4"/>
      <c r="L21" s="2">
        <f t="shared" si="0"/>
        <v>-5.0999999999999997E-2</v>
      </c>
      <c r="M21" s="25">
        <f>NormStandard!O21*L21</f>
        <v>-4.4935616412029977E-2</v>
      </c>
      <c r="O21" s="19" t="s">
        <v>32</v>
      </c>
      <c r="P21" s="211">
        <v>37.875830000000001</v>
      </c>
      <c r="R21" s="19" t="s">
        <v>32</v>
      </c>
      <c r="S21" s="209">
        <f>Conc1!S21</f>
        <v>5.2176600000000004</v>
      </c>
    </row>
    <row r="22" spans="2:19">
      <c r="B22" s="1"/>
      <c r="C22" s="5">
        <v>8</v>
      </c>
      <c r="D22" s="1">
        <v>64</v>
      </c>
      <c r="E22" s="1"/>
      <c r="F22" s="3" t="s">
        <v>1</v>
      </c>
      <c r="G22" s="4"/>
      <c r="H22" s="3">
        <f>P18</f>
        <v>82.246570000000006</v>
      </c>
      <c r="I22" s="35"/>
      <c r="J22" s="4"/>
      <c r="K22" s="3">
        <f>S18</f>
        <v>25.055669999999999</v>
      </c>
      <c r="L22" s="3">
        <f t="shared" si="0"/>
        <v>57.190900000000006</v>
      </c>
      <c r="M22" s="66">
        <f>NormStandard!O22*L22</f>
        <v>7.1988374224558796E-2</v>
      </c>
      <c r="O22" s="19" t="s">
        <v>33</v>
      </c>
      <c r="P22" s="211">
        <v>32.152859999999997</v>
      </c>
      <c r="R22" s="19" t="s">
        <v>33</v>
      </c>
      <c r="S22" s="209">
        <f>Conc1!S22</f>
        <v>9.1796500000000005</v>
      </c>
    </row>
    <row r="23" spans="2:19" ht="14.65" thickBot="1">
      <c r="B23" s="1"/>
      <c r="C23" s="5">
        <v>9</v>
      </c>
      <c r="D23" s="1">
        <v>72</v>
      </c>
      <c r="E23" s="1"/>
      <c r="F23" s="2" t="s">
        <v>2</v>
      </c>
      <c r="G23" s="2"/>
      <c r="H23" s="4"/>
      <c r="I23" s="35"/>
      <c r="J23" s="208">
        <f>Conc1!J23</f>
        <v>3.4000000000000002E-2</v>
      </c>
      <c r="K23" s="4"/>
      <c r="L23" s="2">
        <f t="shared" si="0"/>
        <v>-3.4000000000000002E-2</v>
      </c>
      <c r="M23" s="25">
        <f>NormStandard!O23*L23</f>
        <v>-3.2430036966311568E-2</v>
      </c>
      <c r="O23" s="21" t="s">
        <v>34</v>
      </c>
      <c r="P23" s="212">
        <v>67.028660000000002</v>
      </c>
      <c r="R23" s="21" t="s">
        <v>34</v>
      </c>
      <c r="S23" s="210">
        <f>Conc1!S23</f>
        <v>13.594099999999999</v>
      </c>
    </row>
    <row r="24" spans="2:19">
      <c r="B24" s="1"/>
      <c r="C24" s="5">
        <v>10</v>
      </c>
      <c r="D24" s="1">
        <v>81</v>
      </c>
      <c r="E24" s="1"/>
      <c r="F24" s="3" t="s">
        <v>1</v>
      </c>
      <c r="G24" s="4"/>
      <c r="H24" s="3">
        <f>P19</f>
        <v>96.08278</v>
      </c>
      <c r="I24" s="35"/>
      <c r="J24" s="4"/>
      <c r="K24" s="3">
        <f>S19</f>
        <v>43.310589999999998</v>
      </c>
      <c r="L24" s="3">
        <f t="shared" si="0"/>
        <v>52.772190000000002</v>
      </c>
      <c r="M24" s="66">
        <f>NormStandard!O24*L24</f>
        <v>6.5084068151610414E-2</v>
      </c>
    </row>
    <row r="25" spans="2:19">
      <c r="B25" s="1"/>
      <c r="C25" s="5">
        <v>11</v>
      </c>
      <c r="D25" s="1">
        <v>90</v>
      </c>
      <c r="E25" s="1"/>
      <c r="F25" s="2" t="s">
        <v>2</v>
      </c>
      <c r="G25" s="2"/>
      <c r="H25" s="4"/>
      <c r="I25" s="35"/>
      <c r="J25" s="208">
        <f>Conc1!J25</f>
        <v>0.03</v>
      </c>
      <c r="K25" s="4"/>
      <c r="L25" s="2">
        <f t="shared" si="0"/>
        <v>-0.03</v>
      </c>
      <c r="M25" s="25">
        <f>NormStandard!O25*L25</f>
        <v>-3.1813946625166518E-2</v>
      </c>
    </row>
    <row r="26" spans="2:19">
      <c r="B26" s="1"/>
      <c r="C26" s="5">
        <v>12</v>
      </c>
      <c r="D26" s="1">
        <v>99</v>
      </c>
      <c r="E26" s="1"/>
      <c r="F26" s="3" t="s">
        <v>1</v>
      </c>
      <c r="G26" s="4"/>
      <c r="H26" s="3">
        <f>P20</f>
        <v>36.891210000000001</v>
      </c>
      <c r="I26" s="35"/>
      <c r="J26" s="4"/>
      <c r="K26" s="3">
        <f>S20</f>
        <v>3.1831499999999999</v>
      </c>
      <c r="L26" s="3">
        <f t="shared" si="0"/>
        <v>33.708060000000003</v>
      </c>
      <c r="M26" s="66">
        <f>NormStandard!O26*L26</f>
        <v>9.5703680818486445E-2</v>
      </c>
    </row>
    <row r="27" spans="2:19">
      <c r="B27" s="1"/>
      <c r="C27" s="5">
        <v>13</v>
      </c>
      <c r="D27" s="1">
        <v>108</v>
      </c>
      <c r="E27" s="1"/>
      <c r="F27" s="31" t="s">
        <v>53</v>
      </c>
      <c r="G27" s="32" t="s">
        <v>54</v>
      </c>
      <c r="H27" s="4"/>
      <c r="I27" s="35"/>
      <c r="J27" s="32" t="s">
        <v>54</v>
      </c>
      <c r="K27" s="32" t="s">
        <v>54</v>
      </c>
      <c r="L27" s="32" t="s">
        <v>54</v>
      </c>
      <c r="M27" s="32" t="str">
        <f>NormStandard!O27</f>
        <v>---</v>
      </c>
    </row>
    <row r="28" spans="2:19">
      <c r="B28" s="1"/>
      <c r="C28" s="5">
        <v>14</v>
      </c>
      <c r="D28" s="1">
        <v>117</v>
      </c>
      <c r="E28" s="1"/>
      <c r="F28" s="3" t="s">
        <v>1</v>
      </c>
      <c r="G28" s="4"/>
      <c r="H28" s="3">
        <f>P21</f>
        <v>37.875830000000001</v>
      </c>
      <c r="I28" s="35"/>
      <c r="J28" s="4"/>
      <c r="K28" s="3">
        <f>S21</f>
        <v>5.2176600000000004</v>
      </c>
      <c r="L28" s="3">
        <f>G28+H28-J28-K28</f>
        <v>32.658169999999998</v>
      </c>
      <c r="M28" s="66">
        <f>NormStandard!O28*L28</f>
        <v>9.9349856451222421E-2</v>
      </c>
    </row>
    <row r="29" spans="2:19">
      <c r="B29" s="1"/>
      <c r="C29" s="5">
        <v>15</v>
      </c>
      <c r="D29" s="1">
        <v>126</v>
      </c>
      <c r="E29" s="1"/>
      <c r="F29" s="2" t="s">
        <v>2</v>
      </c>
      <c r="G29" s="2"/>
      <c r="H29" s="4"/>
      <c r="I29" s="35"/>
      <c r="J29" s="208">
        <f>Conc1!J29</f>
        <v>4.9000000000000002E-2</v>
      </c>
      <c r="K29" s="4"/>
      <c r="L29" s="2">
        <f>G29+H29-J29-K29</f>
        <v>-4.9000000000000002E-2</v>
      </c>
      <c r="M29" s="25">
        <f>NormStandard!O29*L29</f>
        <v>-4.0698975864064686E-2</v>
      </c>
    </row>
    <row r="30" spans="2:19">
      <c r="B30" s="1"/>
      <c r="C30" s="5">
        <v>16</v>
      </c>
      <c r="D30" s="1">
        <v>134</v>
      </c>
      <c r="E30" s="1"/>
      <c r="F30" s="3" t="s">
        <v>1</v>
      </c>
      <c r="G30" s="4"/>
      <c r="H30" s="3">
        <f>P22</f>
        <v>32.152859999999997</v>
      </c>
      <c r="I30" s="35"/>
      <c r="J30" s="4"/>
      <c r="K30" s="3">
        <f>S22</f>
        <v>9.1796500000000005</v>
      </c>
      <c r="L30" s="3">
        <f>G30+H30-J30-K30</f>
        <v>22.973209999999995</v>
      </c>
      <c r="M30" s="66">
        <f>NormStandard!O30*L30</f>
        <v>7.3718387006404235E-2</v>
      </c>
    </row>
    <row r="31" spans="2:19">
      <c r="B31" s="1"/>
      <c r="C31" s="5">
        <v>17</v>
      </c>
      <c r="D31" s="1">
        <v>141</v>
      </c>
      <c r="E31" s="1"/>
      <c r="F31" s="2" t="s">
        <v>2</v>
      </c>
      <c r="G31" s="2"/>
      <c r="H31" s="4"/>
      <c r="I31" s="35"/>
      <c r="J31" s="208">
        <f>Conc1!J31</f>
        <v>2.5000000000000001E-2</v>
      </c>
      <c r="K31" s="4"/>
      <c r="L31" s="2">
        <f>G31+H31-J31-K31</f>
        <v>-2.5000000000000001E-2</v>
      </c>
      <c r="M31" s="25">
        <f>NormStandard!O31*L31</f>
        <v>-3.7970970746667998E-2</v>
      </c>
    </row>
    <row r="32" spans="2:19">
      <c r="B32" s="1"/>
      <c r="C32" s="5">
        <v>18</v>
      </c>
      <c r="D32" s="1">
        <v>147</v>
      </c>
      <c r="E32" s="1"/>
      <c r="F32" s="3" t="s">
        <v>1</v>
      </c>
      <c r="G32" s="4"/>
      <c r="H32" s="3">
        <f>P23</f>
        <v>67.028660000000002</v>
      </c>
      <c r="I32" s="35"/>
      <c r="J32" s="4"/>
      <c r="K32" s="3">
        <f>S23</f>
        <v>13.594099999999999</v>
      </c>
      <c r="L32" s="3">
        <f>G32+H32-J32-K32</f>
        <v>53.434560000000005</v>
      </c>
      <c r="M32" s="66">
        <f>NormStandard!O32*L32</f>
        <v>9.3064523551827746E-2</v>
      </c>
    </row>
  </sheetData>
  <mergeCells count="1">
    <mergeCell ref="M12:M13"/>
  </mergeCells>
  <pageMargins left="0.7" right="0.7" top="0.75" bottom="0.75" header="0.3" footer="0.3"/>
  <pageSetup orientation="portrait" horizontalDpi="4294967293" verticalDpi="4294967293"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FB1E5-0FD6-4066-B286-F639C60A780F}">
  <dimension ref="B1:S32"/>
  <sheetViews>
    <sheetView topLeftCell="A7" zoomScale="70" zoomScaleNormal="70" workbookViewId="0">
      <selection activeCell="G2" sqref="G2:L2"/>
    </sheetView>
  </sheetViews>
  <sheetFormatPr defaultRowHeight="14.25"/>
  <cols>
    <col min="2" max="2" width="11" customWidth="1"/>
    <col min="4" max="4" width="13.59765625" customWidth="1"/>
    <col min="5" max="5" width="2" customWidth="1"/>
    <col min="6" max="6" width="11.86328125" customWidth="1"/>
    <col min="7" max="7" width="12.59765625" customWidth="1"/>
    <col min="8" max="8" width="14.86328125" customWidth="1"/>
    <col min="9" max="9" width="4" customWidth="1"/>
    <col min="10" max="10" width="12.3984375" customWidth="1"/>
    <col min="11" max="11" width="11" customWidth="1"/>
    <col min="13" max="13" width="10.3984375" customWidth="1"/>
    <col min="14" max="14" width="2.73046875" customWidth="1"/>
    <col min="16" max="16" width="12.59765625" customWidth="1"/>
    <col min="17" max="17" width="2.3984375" customWidth="1"/>
    <col min="19" max="19" width="12.265625" customWidth="1"/>
  </cols>
  <sheetData>
    <row r="1" spans="2:19" ht="14.65" thickBot="1"/>
    <row r="2" spans="2:19" ht="14.65" thickBot="1">
      <c r="B2" s="6" t="s">
        <v>68</v>
      </c>
      <c r="C2" s="6"/>
      <c r="D2" s="200">
        <f>Conc1!D2</f>
        <v>45387</v>
      </c>
      <c r="G2" s="184" t="s">
        <v>318</v>
      </c>
      <c r="H2" s="184"/>
      <c r="I2" s="184"/>
      <c r="J2" s="184"/>
      <c r="K2" s="184"/>
      <c r="L2" s="184"/>
    </row>
    <row r="3" spans="2:19" ht="14.65" thickBot="1">
      <c r="B3" s="6" t="s">
        <v>69</v>
      </c>
      <c r="C3" s="6"/>
      <c r="D3" s="41" t="s">
        <v>89</v>
      </c>
      <c r="G3" s="11"/>
      <c r="H3" s="11"/>
    </row>
    <row r="4" spans="2:19" ht="14.65" thickBot="1">
      <c r="B4" s="6" t="s">
        <v>55</v>
      </c>
      <c r="C4" s="1"/>
      <c r="D4" s="199" t="str">
        <f>Conc1!D4</f>
        <v>Russo</v>
      </c>
      <c r="E4" s="12"/>
      <c r="H4" s="11"/>
      <c r="I4" s="11"/>
    </row>
    <row r="5" spans="2:19" ht="15" thickBot="1">
      <c r="B5" s="6" t="s">
        <v>17</v>
      </c>
      <c r="C5" s="7" t="s">
        <v>16</v>
      </c>
      <c r="D5" s="1"/>
    </row>
    <row r="6" spans="2:19" ht="14.65" thickBot="1">
      <c r="B6" s="1"/>
      <c r="C6" s="5" t="s">
        <v>5</v>
      </c>
      <c r="D6" s="17" t="s">
        <v>6</v>
      </c>
      <c r="E6" s="201" t="str">
        <f>Conc1!E6</f>
        <v>Y</v>
      </c>
      <c r="F6" s="202">
        <f>Conc1!F6</f>
        <v>6.0000000000000001E-3</v>
      </c>
      <c r="G6" s="14"/>
      <c r="H6" s="67" t="s">
        <v>56</v>
      </c>
      <c r="I6" s="1"/>
    </row>
    <row r="7" spans="2:19" ht="16.149999999999999" thickBot="1">
      <c r="B7" s="1"/>
      <c r="C7" s="5" t="s">
        <v>10</v>
      </c>
      <c r="D7" s="1"/>
      <c r="E7" s="18"/>
      <c r="F7" s="202">
        <f>Conc1!F7</f>
        <v>4.9800000000000004</v>
      </c>
      <c r="G7" s="14"/>
      <c r="H7" s="1" t="s">
        <v>21</v>
      </c>
      <c r="I7" s="13"/>
      <c r="J7" s="203">
        <f>Conc1!J7</f>
        <v>1</v>
      </c>
      <c r="K7" s="14" t="s">
        <v>19</v>
      </c>
    </row>
    <row r="8" spans="2:19" ht="16.149999999999999" thickBot="1">
      <c r="B8" s="1"/>
      <c r="C8" s="5" t="s">
        <v>11</v>
      </c>
      <c r="D8" s="1"/>
      <c r="E8" s="13"/>
      <c r="F8" s="202">
        <f>Conc1!F8</f>
        <v>15.04</v>
      </c>
      <c r="G8" s="14"/>
      <c r="H8" s="1" t="s">
        <v>22</v>
      </c>
      <c r="I8" s="1"/>
      <c r="J8" s="204">
        <f>J7*SQRT(3/5)</f>
        <v>0.7745966692414834</v>
      </c>
      <c r="K8" s="1" t="s">
        <v>19</v>
      </c>
    </row>
    <row r="9" spans="2:19" ht="16.149999999999999" thickBot="1">
      <c r="B9" s="1"/>
      <c r="C9" s="5" t="s">
        <v>12</v>
      </c>
      <c r="D9" s="1"/>
      <c r="E9" s="13"/>
      <c r="F9" s="202">
        <f>Conc1!F9</f>
        <v>14.89</v>
      </c>
      <c r="G9" s="14"/>
      <c r="H9" s="1" t="s">
        <v>20</v>
      </c>
      <c r="I9" s="1"/>
      <c r="J9" s="205">
        <f>Lamnm/(Refin*J7)</f>
        <v>458.19397993311031</v>
      </c>
      <c r="K9" s="1"/>
    </row>
    <row r="10" spans="2:19" ht="16.149999999999999" thickBot="1">
      <c r="B10" s="1"/>
      <c r="C10" s="5" t="s">
        <v>13</v>
      </c>
      <c r="D10" s="1"/>
      <c r="E10" s="13"/>
      <c r="F10" s="202">
        <f>Conc1!F10</f>
        <v>79.2</v>
      </c>
      <c r="G10" s="14"/>
      <c r="H10" s="1" t="s">
        <v>45</v>
      </c>
      <c r="I10" s="1"/>
      <c r="J10" s="206">
        <f>J8*(4*PI()*Refin/Lamnm)*SIN(RADIANS(D32/2))</f>
        <v>2.036915789429861E-2</v>
      </c>
      <c r="K10" s="1"/>
    </row>
    <row r="11" spans="2:19" ht="16.5">
      <c r="B11" s="1"/>
      <c r="C11" s="5" t="s">
        <v>14</v>
      </c>
      <c r="D11" s="33"/>
      <c r="E11" s="13"/>
      <c r="F11" s="202">
        <f>Conc1!F11</f>
        <v>4.92</v>
      </c>
      <c r="G11" s="14"/>
      <c r="H11" s="1" t="s">
        <v>46</v>
      </c>
      <c r="I11" s="1"/>
      <c r="J11" s="207">
        <f>1-J10^2/3</f>
        <v>0.999861699135559</v>
      </c>
      <c r="K11" s="1"/>
      <c r="M11" s="39"/>
      <c r="O11" s="39"/>
    </row>
    <row r="12" spans="2:19">
      <c r="M12" s="246" t="s">
        <v>110</v>
      </c>
    </row>
    <row r="13" spans="2:19" ht="15" thickBot="1">
      <c r="B13" s="6" t="s">
        <v>17</v>
      </c>
      <c r="C13" s="7" t="s">
        <v>15</v>
      </c>
      <c r="D13" s="7" t="s">
        <v>36</v>
      </c>
      <c r="E13" s="13"/>
      <c r="F13" s="24" t="s">
        <v>38</v>
      </c>
      <c r="G13" s="15" t="s">
        <v>108</v>
      </c>
      <c r="H13" s="6"/>
      <c r="I13" s="34"/>
      <c r="J13" s="6" t="s">
        <v>109</v>
      </c>
      <c r="K13" s="1"/>
      <c r="L13" s="7" t="s">
        <v>23</v>
      </c>
      <c r="M13" s="247"/>
    </row>
    <row r="14" spans="2:19">
      <c r="B14" s="1"/>
      <c r="C14" s="23" t="s">
        <v>37</v>
      </c>
      <c r="D14">
        <v>0</v>
      </c>
      <c r="E14" s="1"/>
      <c r="F14" s="16" t="s">
        <v>0</v>
      </c>
      <c r="G14" s="6" t="s">
        <v>111</v>
      </c>
      <c r="H14" s="6" t="s">
        <v>112</v>
      </c>
      <c r="I14" s="34"/>
      <c r="J14" s="6" t="s">
        <v>111</v>
      </c>
      <c r="K14" s="6" t="s">
        <v>113</v>
      </c>
      <c r="L14" s="1"/>
      <c r="M14" s="16"/>
      <c r="O14" s="27" t="s">
        <v>129</v>
      </c>
      <c r="P14" s="131"/>
      <c r="Q14" s="132"/>
      <c r="R14" s="198" t="s">
        <v>312</v>
      </c>
      <c r="S14" s="194"/>
    </row>
    <row r="15" spans="2:19">
      <c r="B15" s="1"/>
      <c r="C15" s="5">
        <v>1</v>
      </c>
      <c r="D15" s="1">
        <v>22.5</v>
      </c>
      <c r="E15" s="1"/>
      <c r="F15" s="2" t="s">
        <v>2</v>
      </c>
      <c r="G15" s="2"/>
      <c r="H15" s="4"/>
      <c r="I15" s="35"/>
      <c r="J15" s="208">
        <f>Conc1!J15</f>
        <v>8.5999999999999993E-2</v>
      </c>
      <c r="K15" s="4"/>
      <c r="L15" s="2">
        <f>G15+H15-J15-K15</f>
        <v>-8.5999999999999993E-2</v>
      </c>
      <c r="M15" s="25">
        <f>NormStandard!O15*L15</f>
        <v>-8.4822390962514843E-2</v>
      </c>
      <c r="O15" s="29" t="s">
        <v>35</v>
      </c>
      <c r="P15" s="30"/>
      <c r="Q15" s="11"/>
      <c r="R15" s="195"/>
      <c r="S15" s="196"/>
    </row>
    <row r="16" spans="2:19">
      <c r="B16" s="1"/>
      <c r="C16" s="5">
        <v>2</v>
      </c>
      <c r="D16" s="1">
        <v>28</v>
      </c>
      <c r="E16" s="1"/>
      <c r="F16" s="2" t="s">
        <v>2</v>
      </c>
      <c r="G16" s="2"/>
      <c r="H16" s="4"/>
      <c r="I16" s="35"/>
      <c r="J16" s="208">
        <f>Conc1!J16</f>
        <v>4.9000000000000002E-2</v>
      </c>
      <c r="K16" s="4"/>
      <c r="L16" s="2">
        <f>G16+H16-J16-K16</f>
        <v>-4.9000000000000002E-2</v>
      </c>
      <c r="M16" s="25">
        <f>NormStandard!O16*L16</f>
        <v>-7.6696717403968662E-2</v>
      </c>
      <c r="O16" s="19" t="s">
        <v>27</v>
      </c>
      <c r="P16" s="211">
        <v>30.435230000000001</v>
      </c>
      <c r="R16" s="19" t="s">
        <v>27</v>
      </c>
      <c r="S16" s="209">
        <f>Conc1!S16</f>
        <v>14.14034</v>
      </c>
    </row>
    <row r="17" spans="2:19">
      <c r="B17" s="1"/>
      <c r="C17" s="5">
        <v>3</v>
      </c>
      <c r="D17" s="1">
        <v>32</v>
      </c>
      <c r="E17" s="1"/>
      <c r="F17" s="2" t="s">
        <v>2</v>
      </c>
      <c r="G17" s="2"/>
      <c r="H17" s="4"/>
      <c r="I17" s="35"/>
      <c r="J17" s="208">
        <f>Conc1!J17</f>
        <v>0.03</v>
      </c>
      <c r="K17" s="4"/>
      <c r="L17" s="2">
        <f>G17+H17-J17-K17</f>
        <v>-0.03</v>
      </c>
      <c r="M17" s="25">
        <f>NormStandard!O17*L17</f>
        <v>-3.5918593911456922E-2</v>
      </c>
      <c r="O17" s="19" t="s">
        <v>28</v>
      </c>
      <c r="P17" s="211">
        <v>93.743780000000001</v>
      </c>
      <c r="R17" s="19" t="s">
        <v>28</v>
      </c>
      <c r="S17" s="209">
        <f>Conc1!S17</f>
        <v>20.997260000000001</v>
      </c>
    </row>
    <row r="18" spans="2:19">
      <c r="B18" s="1"/>
      <c r="C18" s="5">
        <v>4</v>
      </c>
      <c r="D18" s="1">
        <v>38</v>
      </c>
      <c r="E18" s="1"/>
      <c r="F18" s="31" t="s">
        <v>53</v>
      </c>
      <c r="G18" s="32" t="s">
        <v>54</v>
      </c>
      <c r="H18" s="4"/>
      <c r="I18" s="35"/>
      <c r="J18" s="32" t="s">
        <v>54</v>
      </c>
      <c r="K18" s="4"/>
      <c r="L18" s="32" t="s">
        <v>54</v>
      </c>
      <c r="M18" s="32" t="str">
        <f>NormStandard!O18</f>
        <v>---</v>
      </c>
      <c r="O18" s="19" t="s">
        <v>29</v>
      </c>
      <c r="P18" s="211">
        <v>82.246570000000006</v>
      </c>
      <c r="R18" s="19" t="s">
        <v>29</v>
      </c>
      <c r="S18" s="209">
        <f>Conc1!S18</f>
        <v>25.055669999999999</v>
      </c>
    </row>
    <row r="19" spans="2:19">
      <c r="B19" s="1"/>
      <c r="C19" s="5">
        <v>5</v>
      </c>
      <c r="D19" s="1">
        <v>44</v>
      </c>
      <c r="E19" s="1"/>
      <c r="F19" s="3" t="s">
        <v>1</v>
      </c>
      <c r="G19" s="4"/>
      <c r="H19" s="3">
        <f>P16</f>
        <v>30.435230000000001</v>
      </c>
      <c r="I19" s="35"/>
      <c r="J19" s="4"/>
      <c r="K19" s="3">
        <f>S16</f>
        <v>14.14034</v>
      </c>
      <c r="L19" s="3">
        <f t="shared" ref="L19:L26" si="0">G19+H19-J19-K19</f>
        <v>16.294890000000002</v>
      </c>
      <c r="M19" s="66">
        <f>NormStandard!O19*L19</f>
        <v>6.2633905256943095E-2</v>
      </c>
      <c r="O19" s="19" t="s">
        <v>30</v>
      </c>
      <c r="P19" s="211">
        <v>96.08278</v>
      </c>
      <c r="R19" s="19" t="s">
        <v>30</v>
      </c>
      <c r="S19" s="209">
        <f>Conc1!S19</f>
        <v>43.310589999999998</v>
      </c>
    </row>
    <row r="20" spans="2:19">
      <c r="B20" s="1"/>
      <c r="C20" s="5">
        <v>6</v>
      </c>
      <c r="D20" s="1">
        <v>50</v>
      </c>
      <c r="E20" s="1"/>
      <c r="F20" s="3" t="s">
        <v>1</v>
      </c>
      <c r="G20" s="4"/>
      <c r="H20" s="3">
        <f>P17</f>
        <v>93.743780000000001</v>
      </c>
      <c r="I20" s="35"/>
      <c r="J20" s="4"/>
      <c r="K20" s="3">
        <f>S17</f>
        <v>20.997260000000001</v>
      </c>
      <c r="L20" s="3">
        <f t="shared" si="0"/>
        <v>72.746520000000004</v>
      </c>
      <c r="M20" s="66">
        <f>NormStandard!O20*L20</f>
        <v>8.3580422831665696E-2</v>
      </c>
      <c r="O20" s="19" t="s">
        <v>31</v>
      </c>
      <c r="P20" s="211">
        <v>36.891210000000001</v>
      </c>
      <c r="R20" s="19" t="s">
        <v>31</v>
      </c>
      <c r="S20" s="209">
        <f>Conc1!S20</f>
        <v>3.1831499999999999</v>
      </c>
    </row>
    <row r="21" spans="2:19">
      <c r="B21" s="1"/>
      <c r="C21" s="5">
        <v>7</v>
      </c>
      <c r="D21" s="1">
        <v>57</v>
      </c>
      <c r="E21" s="1"/>
      <c r="F21" s="2" t="s">
        <v>2</v>
      </c>
      <c r="G21" s="2"/>
      <c r="H21" s="4"/>
      <c r="I21" s="35"/>
      <c r="J21" s="208">
        <f>Conc1!J21</f>
        <v>5.0999999999999997E-2</v>
      </c>
      <c r="K21" s="4"/>
      <c r="L21" s="2">
        <f t="shared" si="0"/>
        <v>-5.0999999999999997E-2</v>
      </c>
      <c r="M21" s="25">
        <f>NormStandard!O21*L21</f>
        <v>-4.4935616412029977E-2</v>
      </c>
      <c r="O21" s="19" t="s">
        <v>32</v>
      </c>
      <c r="P21" s="211">
        <v>37.875830000000001</v>
      </c>
      <c r="R21" s="19" t="s">
        <v>32</v>
      </c>
      <c r="S21" s="209">
        <f>Conc1!S21</f>
        <v>5.2176600000000004</v>
      </c>
    </row>
    <row r="22" spans="2:19">
      <c r="B22" s="1"/>
      <c r="C22" s="5">
        <v>8</v>
      </c>
      <c r="D22" s="1">
        <v>64</v>
      </c>
      <c r="E22" s="1"/>
      <c r="F22" s="3" t="s">
        <v>1</v>
      </c>
      <c r="G22" s="4"/>
      <c r="H22" s="3">
        <f>P18</f>
        <v>82.246570000000006</v>
      </c>
      <c r="I22" s="35"/>
      <c r="J22" s="4"/>
      <c r="K22" s="3">
        <f>S18</f>
        <v>25.055669999999999</v>
      </c>
      <c r="L22" s="3">
        <f t="shared" si="0"/>
        <v>57.190900000000006</v>
      </c>
      <c r="M22" s="66">
        <f>NormStandard!O22*L22</f>
        <v>7.1988374224558796E-2</v>
      </c>
      <c r="O22" s="19" t="s">
        <v>33</v>
      </c>
      <c r="P22" s="211">
        <v>32.152859999999997</v>
      </c>
      <c r="R22" s="19" t="s">
        <v>33</v>
      </c>
      <c r="S22" s="209">
        <f>Conc1!S22</f>
        <v>9.1796500000000005</v>
      </c>
    </row>
    <row r="23" spans="2:19" ht="14.65" thickBot="1">
      <c r="B23" s="1"/>
      <c r="C23" s="5">
        <v>9</v>
      </c>
      <c r="D23" s="1">
        <v>72</v>
      </c>
      <c r="E23" s="1"/>
      <c r="F23" s="2" t="s">
        <v>2</v>
      </c>
      <c r="G23" s="2"/>
      <c r="H23" s="4"/>
      <c r="I23" s="35"/>
      <c r="J23" s="208">
        <f>Conc1!J23</f>
        <v>3.4000000000000002E-2</v>
      </c>
      <c r="K23" s="4"/>
      <c r="L23" s="2">
        <f t="shared" si="0"/>
        <v>-3.4000000000000002E-2</v>
      </c>
      <c r="M23" s="25">
        <f>NormStandard!O23*L23</f>
        <v>-3.2430036966311568E-2</v>
      </c>
      <c r="O23" s="21" t="s">
        <v>34</v>
      </c>
      <c r="P23" s="212">
        <v>67.028660000000002</v>
      </c>
      <c r="R23" s="21" t="s">
        <v>34</v>
      </c>
      <c r="S23" s="210">
        <f>Conc1!S23</f>
        <v>13.594099999999999</v>
      </c>
    </row>
    <row r="24" spans="2:19">
      <c r="B24" s="1"/>
      <c r="C24" s="5">
        <v>10</v>
      </c>
      <c r="D24" s="1">
        <v>81</v>
      </c>
      <c r="E24" s="1"/>
      <c r="F24" s="3" t="s">
        <v>1</v>
      </c>
      <c r="G24" s="4"/>
      <c r="H24" s="3">
        <f>P19</f>
        <v>96.08278</v>
      </c>
      <c r="I24" s="35"/>
      <c r="J24" s="4"/>
      <c r="K24" s="3">
        <f>S19</f>
        <v>43.310589999999998</v>
      </c>
      <c r="L24" s="3">
        <f t="shared" si="0"/>
        <v>52.772190000000002</v>
      </c>
      <c r="M24" s="66">
        <f>NormStandard!O24*L24</f>
        <v>6.5084068151610414E-2</v>
      </c>
    </row>
    <row r="25" spans="2:19">
      <c r="B25" s="1"/>
      <c r="C25" s="5">
        <v>11</v>
      </c>
      <c r="D25" s="1">
        <v>90</v>
      </c>
      <c r="E25" s="1"/>
      <c r="F25" s="2" t="s">
        <v>2</v>
      </c>
      <c r="G25" s="2"/>
      <c r="H25" s="4"/>
      <c r="I25" s="35"/>
      <c r="J25" s="208">
        <f>Conc1!J25</f>
        <v>0.03</v>
      </c>
      <c r="K25" s="4"/>
      <c r="L25" s="2">
        <f t="shared" si="0"/>
        <v>-0.03</v>
      </c>
      <c r="M25" s="25">
        <f>NormStandard!O25*L25</f>
        <v>-3.1813946625166518E-2</v>
      </c>
    </row>
    <row r="26" spans="2:19">
      <c r="B26" s="1"/>
      <c r="C26" s="5">
        <v>12</v>
      </c>
      <c r="D26" s="1">
        <v>99</v>
      </c>
      <c r="E26" s="1"/>
      <c r="F26" s="3" t="s">
        <v>1</v>
      </c>
      <c r="G26" s="4"/>
      <c r="H26" s="3">
        <f>P20</f>
        <v>36.891210000000001</v>
      </c>
      <c r="I26" s="35"/>
      <c r="J26" s="4"/>
      <c r="K26" s="3">
        <f>S20</f>
        <v>3.1831499999999999</v>
      </c>
      <c r="L26" s="3">
        <f t="shared" si="0"/>
        <v>33.708060000000003</v>
      </c>
      <c r="M26" s="66">
        <f>NormStandard!O26*L26</f>
        <v>9.5703680818486445E-2</v>
      </c>
    </row>
    <row r="27" spans="2:19">
      <c r="B27" s="1"/>
      <c r="C27" s="5">
        <v>13</v>
      </c>
      <c r="D27" s="1">
        <v>108</v>
      </c>
      <c r="E27" s="1"/>
      <c r="F27" s="31" t="s">
        <v>53</v>
      </c>
      <c r="G27" s="32" t="s">
        <v>54</v>
      </c>
      <c r="H27" s="4"/>
      <c r="I27" s="35"/>
      <c r="J27" s="32" t="s">
        <v>54</v>
      </c>
      <c r="K27" s="32" t="s">
        <v>54</v>
      </c>
      <c r="L27" s="32" t="s">
        <v>54</v>
      </c>
      <c r="M27" s="32" t="str">
        <f>NormStandard!O27</f>
        <v>---</v>
      </c>
    </row>
    <row r="28" spans="2:19">
      <c r="B28" s="1"/>
      <c r="C28" s="5">
        <v>14</v>
      </c>
      <c r="D28" s="1">
        <v>117</v>
      </c>
      <c r="E28" s="1"/>
      <c r="F28" s="3" t="s">
        <v>1</v>
      </c>
      <c r="G28" s="4"/>
      <c r="H28" s="3">
        <f>P21</f>
        <v>37.875830000000001</v>
      </c>
      <c r="I28" s="35"/>
      <c r="J28" s="4"/>
      <c r="K28" s="3">
        <f>S21</f>
        <v>5.2176600000000004</v>
      </c>
      <c r="L28" s="3">
        <f>G28+H28-J28-K28</f>
        <v>32.658169999999998</v>
      </c>
      <c r="M28" s="66">
        <f>NormStandard!O28*L28</f>
        <v>9.9349856451222421E-2</v>
      </c>
    </row>
    <row r="29" spans="2:19">
      <c r="B29" s="1"/>
      <c r="C29" s="5">
        <v>15</v>
      </c>
      <c r="D29" s="1">
        <v>126</v>
      </c>
      <c r="E29" s="1"/>
      <c r="F29" s="2" t="s">
        <v>2</v>
      </c>
      <c r="G29" s="2"/>
      <c r="H29" s="4"/>
      <c r="I29" s="35"/>
      <c r="J29" s="208">
        <f>Conc1!J29</f>
        <v>4.9000000000000002E-2</v>
      </c>
      <c r="K29" s="4"/>
      <c r="L29" s="2">
        <f>G29+H29-J29-K29</f>
        <v>-4.9000000000000002E-2</v>
      </c>
      <c r="M29" s="25">
        <f>NormStandard!O29*L29</f>
        <v>-4.0698975864064686E-2</v>
      </c>
    </row>
    <row r="30" spans="2:19">
      <c r="B30" s="1"/>
      <c r="C30" s="5">
        <v>16</v>
      </c>
      <c r="D30" s="1">
        <v>134</v>
      </c>
      <c r="E30" s="1"/>
      <c r="F30" s="3" t="s">
        <v>1</v>
      </c>
      <c r="G30" s="4"/>
      <c r="H30" s="3">
        <f>P22</f>
        <v>32.152859999999997</v>
      </c>
      <c r="I30" s="35"/>
      <c r="J30" s="4"/>
      <c r="K30" s="3">
        <f>S22</f>
        <v>9.1796500000000005</v>
      </c>
      <c r="L30" s="3">
        <f>G30+H30-J30-K30</f>
        <v>22.973209999999995</v>
      </c>
      <c r="M30" s="66">
        <f>NormStandard!O30*L30</f>
        <v>7.3718387006404235E-2</v>
      </c>
    </row>
    <row r="31" spans="2:19">
      <c r="B31" s="1"/>
      <c r="C31" s="5">
        <v>17</v>
      </c>
      <c r="D31" s="1">
        <v>141</v>
      </c>
      <c r="E31" s="1"/>
      <c r="F31" s="2" t="s">
        <v>2</v>
      </c>
      <c r="G31" s="2"/>
      <c r="H31" s="4"/>
      <c r="I31" s="35"/>
      <c r="J31" s="208">
        <f>Conc1!J31</f>
        <v>2.5000000000000001E-2</v>
      </c>
      <c r="K31" s="4"/>
      <c r="L31" s="2">
        <f>G31+H31-J31-K31</f>
        <v>-2.5000000000000001E-2</v>
      </c>
      <c r="M31" s="25">
        <f>NormStandard!O31*L31</f>
        <v>-3.7970970746667998E-2</v>
      </c>
    </row>
    <row r="32" spans="2:19">
      <c r="B32" s="1"/>
      <c r="C32" s="5">
        <v>18</v>
      </c>
      <c r="D32" s="1">
        <v>147</v>
      </c>
      <c r="E32" s="1"/>
      <c r="F32" s="3" t="s">
        <v>1</v>
      </c>
      <c r="G32" s="4"/>
      <c r="H32" s="3">
        <f>P23</f>
        <v>67.028660000000002</v>
      </c>
      <c r="I32" s="35"/>
      <c r="J32" s="4"/>
      <c r="K32" s="3">
        <f>S23</f>
        <v>13.594099999999999</v>
      </c>
      <c r="L32" s="3">
        <f>G32+H32-J32-K32</f>
        <v>53.434560000000005</v>
      </c>
      <c r="M32" s="66">
        <f>NormStandard!O32*L32</f>
        <v>9.3064523551827746E-2</v>
      </c>
    </row>
  </sheetData>
  <mergeCells count="1">
    <mergeCell ref="M12:M13"/>
  </mergeCells>
  <pageMargins left="0.7" right="0.7" top="0.75" bottom="0.75" header="0.3" footer="0.3"/>
  <pageSetup orientation="portrait" horizontalDpi="4294967293" verticalDpi="4294967293"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5297-6D4B-440F-A799-62689F67BF7E}">
  <dimension ref="B1:S32"/>
  <sheetViews>
    <sheetView zoomScale="70" zoomScaleNormal="70" workbookViewId="0">
      <selection activeCell="G2" sqref="G2:L2"/>
    </sheetView>
  </sheetViews>
  <sheetFormatPr defaultRowHeight="14.25"/>
  <cols>
    <col min="2" max="2" width="11" customWidth="1"/>
    <col min="4" max="4" width="13.59765625" customWidth="1"/>
    <col min="5" max="5" width="2" customWidth="1"/>
    <col min="6" max="6" width="11.86328125" customWidth="1"/>
    <col min="7" max="7" width="12.59765625" customWidth="1"/>
    <col min="8" max="8" width="14.86328125" customWidth="1"/>
    <col min="9" max="9" width="4" customWidth="1"/>
    <col min="10" max="10" width="12.3984375" customWidth="1"/>
    <col min="11" max="11" width="11" customWidth="1"/>
    <col min="13" max="13" width="10.3984375" customWidth="1"/>
    <col min="14" max="14" width="2.73046875" customWidth="1"/>
    <col min="16" max="16" width="12.59765625" customWidth="1"/>
    <col min="17" max="17" width="2.3984375" customWidth="1"/>
    <col min="19" max="19" width="12.265625" customWidth="1"/>
  </cols>
  <sheetData>
    <row r="1" spans="2:19" ht="14.65" thickBot="1"/>
    <row r="2" spans="2:19" ht="14.65" thickBot="1">
      <c r="B2" s="6" t="s">
        <v>68</v>
      </c>
      <c r="C2" s="6"/>
      <c r="D2" s="200">
        <f>Conc1!D2</f>
        <v>45387</v>
      </c>
      <c r="G2" s="184" t="s">
        <v>318</v>
      </c>
      <c r="H2" s="184"/>
      <c r="I2" s="184"/>
      <c r="J2" s="184"/>
      <c r="K2" s="184"/>
      <c r="L2" s="184"/>
    </row>
    <row r="3" spans="2:19" ht="14.65" thickBot="1">
      <c r="B3" s="6" t="s">
        <v>69</v>
      </c>
      <c r="C3" s="6"/>
      <c r="D3" s="41" t="s">
        <v>89</v>
      </c>
      <c r="G3" s="11"/>
      <c r="H3" s="11"/>
    </row>
    <row r="4" spans="2:19" ht="14.65" thickBot="1">
      <c r="B4" s="6" t="s">
        <v>55</v>
      </c>
      <c r="C4" s="1"/>
      <c r="D4" s="199" t="str">
        <f>Conc1!D4</f>
        <v>Russo</v>
      </c>
      <c r="E4" s="12"/>
      <c r="H4" s="11"/>
      <c r="I4" s="11"/>
    </row>
    <row r="5" spans="2:19" ht="15" thickBot="1">
      <c r="B5" s="6" t="s">
        <v>17</v>
      </c>
      <c r="C5" s="7" t="s">
        <v>16</v>
      </c>
      <c r="D5" s="1"/>
    </row>
    <row r="6" spans="2:19" ht="14.65" thickBot="1">
      <c r="B6" s="1"/>
      <c r="C6" s="5" t="s">
        <v>5</v>
      </c>
      <c r="D6" s="17" t="s">
        <v>6</v>
      </c>
      <c r="E6" s="201" t="str">
        <f>Conc1!E6</f>
        <v>Y</v>
      </c>
      <c r="F6" s="202">
        <f>Conc1!F6</f>
        <v>6.0000000000000001E-3</v>
      </c>
      <c r="G6" s="14"/>
      <c r="H6" s="67" t="s">
        <v>56</v>
      </c>
      <c r="I6" s="1"/>
    </row>
    <row r="7" spans="2:19" ht="16.149999999999999" thickBot="1">
      <c r="B7" s="1"/>
      <c r="C7" s="5" t="s">
        <v>10</v>
      </c>
      <c r="D7" s="1"/>
      <c r="E7" s="18"/>
      <c r="F7" s="202">
        <f>Conc1!F7</f>
        <v>4.9800000000000004</v>
      </c>
      <c r="G7" s="14"/>
      <c r="H7" s="1" t="s">
        <v>21</v>
      </c>
      <c r="I7" s="13"/>
      <c r="J7" s="203">
        <f>Conc1!J7</f>
        <v>1</v>
      </c>
      <c r="K7" s="14" t="s">
        <v>19</v>
      </c>
    </row>
    <row r="8" spans="2:19" ht="16.149999999999999" thickBot="1">
      <c r="B8" s="1"/>
      <c r="C8" s="5" t="s">
        <v>11</v>
      </c>
      <c r="D8" s="1"/>
      <c r="E8" s="13"/>
      <c r="F8" s="202">
        <f>Conc1!F8</f>
        <v>15.04</v>
      </c>
      <c r="G8" s="14"/>
      <c r="H8" s="1" t="s">
        <v>22</v>
      </c>
      <c r="I8" s="1"/>
      <c r="J8" s="204">
        <f>J7*SQRT(3/5)</f>
        <v>0.7745966692414834</v>
      </c>
      <c r="K8" s="1" t="s">
        <v>19</v>
      </c>
    </row>
    <row r="9" spans="2:19" ht="16.149999999999999" thickBot="1">
      <c r="B9" s="1"/>
      <c r="C9" s="5" t="s">
        <v>12</v>
      </c>
      <c r="D9" s="1"/>
      <c r="E9" s="13"/>
      <c r="F9" s="202">
        <f>Conc1!F9</f>
        <v>14.89</v>
      </c>
      <c r="G9" s="14"/>
      <c r="H9" s="1" t="s">
        <v>20</v>
      </c>
      <c r="I9" s="1"/>
      <c r="J9" s="205">
        <f>Lamnm/(Refin*J7)</f>
        <v>458.19397993311031</v>
      </c>
      <c r="K9" s="1"/>
    </row>
    <row r="10" spans="2:19" ht="16.149999999999999" thickBot="1">
      <c r="B10" s="1"/>
      <c r="C10" s="5" t="s">
        <v>13</v>
      </c>
      <c r="D10" s="1"/>
      <c r="E10" s="13"/>
      <c r="F10" s="202">
        <f>Conc1!F10</f>
        <v>79.2</v>
      </c>
      <c r="G10" s="14"/>
      <c r="H10" s="1" t="s">
        <v>45</v>
      </c>
      <c r="I10" s="1"/>
      <c r="J10" s="206">
        <f>J8*(4*PI()*Refin/Lamnm)*SIN(RADIANS(D32/2))</f>
        <v>2.036915789429861E-2</v>
      </c>
      <c r="K10" s="1"/>
    </row>
    <row r="11" spans="2:19" ht="16.5">
      <c r="B11" s="1"/>
      <c r="C11" s="5" t="s">
        <v>14</v>
      </c>
      <c r="D11" s="33"/>
      <c r="E11" s="13"/>
      <c r="F11" s="202">
        <f>Conc1!F11</f>
        <v>4.92</v>
      </c>
      <c r="G11" s="14"/>
      <c r="H11" s="1" t="s">
        <v>46</v>
      </c>
      <c r="I11" s="1"/>
      <c r="J11" s="207">
        <f>1-J10^2/3</f>
        <v>0.999861699135559</v>
      </c>
      <c r="K11" s="1"/>
      <c r="M11" s="39"/>
      <c r="O11" s="39"/>
    </row>
    <row r="12" spans="2:19">
      <c r="M12" s="246" t="s">
        <v>110</v>
      </c>
    </row>
    <row r="13" spans="2:19" ht="15" thickBot="1">
      <c r="B13" s="6" t="s">
        <v>17</v>
      </c>
      <c r="C13" s="7" t="s">
        <v>15</v>
      </c>
      <c r="D13" s="7" t="s">
        <v>36</v>
      </c>
      <c r="E13" s="13"/>
      <c r="F13" s="24" t="s">
        <v>38</v>
      </c>
      <c r="G13" s="15" t="s">
        <v>108</v>
      </c>
      <c r="H13" s="6"/>
      <c r="I13" s="34"/>
      <c r="J13" s="6" t="s">
        <v>109</v>
      </c>
      <c r="K13" s="1"/>
      <c r="L13" s="7" t="s">
        <v>23</v>
      </c>
      <c r="M13" s="247"/>
    </row>
    <row r="14" spans="2:19">
      <c r="B14" s="1"/>
      <c r="C14" s="23" t="s">
        <v>37</v>
      </c>
      <c r="D14">
        <v>0</v>
      </c>
      <c r="E14" s="1"/>
      <c r="F14" s="16" t="s">
        <v>0</v>
      </c>
      <c r="G14" s="6" t="s">
        <v>111</v>
      </c>
      <c r="H14" s="6" t="s">
        <v>112</v>
      </c>
      <c r="I14" s="34"/>
      <c r="J14" s="6" t="s">
        <v>111</v>
      </c>
      <c r="K14" s="6" t="s">
        <v>113</v>
      </c>
      <c r="L14" s="1"/>
      <c r="M14" s="16"/>
      <c r="O14" s="27" t="s">
        <v>129</v>
      </c>
      <c r="P14" s="131"/>
      <c r="Q14" s="132"/>
      <c r="R14" s="198" t="s">
        <v>312</v>
      </c>
      <c r="S14" s="194"/>
    </row>
    <row r="15" spans="2:19">
      <c r="B15" s="1"/>
      <c r="C15" s="5">
        <v>1</v>
      </c>
      <c r="D15" s="1">
        <v>22.5</v>
      </c>
      <c r="E15" s="1"/>
      <c r="F15" s="2" t="s">
        <v>2</v>
      </c>
      <c r="G15" s="2"/>
      <c r="H15" s="4"/>
      <c r="I15" s="35"/>
      <c r="J15" s="208">
        <f>Conc1!J15</f>
        <v>8.5999999999999993E-2</v>
      </c>
      <c r="K15" s="4"/>
      <c r="L15" s="2">
        <f>G15+H15-J15-K15</f>
        <v>-8.5999999999999993E-2</v>
      </c>
      <c r="M15" s="25">
        <f>NormStandard!O15*L15</f>
        <v>-8.4822390962514843E-2</v>
      </c>
      <c r="O15" s="29" t="s">
        <v>35</v>
      </c>
      <c r="P15" s="30"/>
      <c r="Q15" s="11"/>
      <c r="R15" s="195"/>
      <c r="S15" s="196"/>
    </row>
    <row r="16" spans="2:19">
      <c r="B16" s="1"/>
      <c r="C16" s="5">
        <v>2</v>
      </c>
      <c r="D16" s="1">
        <v>28</v>
      </c>
      <c r="E16" s="1"/>
      <c r="F16" s="2" t="s">
        <v>2</v>
      </c>
      <c r="G16" s="2"/>
      <c r="H16" s="4"/>
      <c r="I16" s="35"/>
      <c r="J16" s="208">
        <f>Conc1!J16</f>
        <v>4.9000000000000002E-2</v>
      </c>
      <c r="K16" s="4"/>
      <c r="L16" s="2">
        <f>G16+H16-J16-K16</f>
        <v>-4.9000000000000002E-2</v>
      </c>
      <c r="M16" s="25">
        <f>NormStandard!O16*L16</f>
        <v>-7.6696717403968662E-2</v>
      </c>
      <c r="O16" s="19" t="s">
        <v>27</v>
      </c>
      <c r="P16" s="211">
        <v>30.435230000000001</v>
      </c>
      <c r="R16" s="19" t="s">
        <v>27</v>
      </c>
      <c r="S16" s="209">
        <f>Conc1!S16</f>
        <v>14.14034</v>
      </c>
    </row>
    <row r="17" spans="2:19">
      <c r="B17" s="1"/>
      <c r="C17" s="5">
        <v>3</v>
      </c>
      <c r="D17" s="1">
        <v>32</v>
      </c>
      <c r="E17" s="1"/>
      <c r="F17" s="2" t="s">
        <v>2</v>
      </c>
      <c r="G17" s="2"/>
      <c r="H17" s="4"/>
      <c r="I17" s="35"/>
      <c r="J17" s="208">
        <f>Conc1!J17</f>
        <v>0.03</v>
      </c>
      <c r="K17" s="4"/>
      <c r="L17" s="2">
        <f>G17+H17-J17-K17</f>
        <v>-0.03</v>
      </c>
      <c r="M17" s="25">
        <f>NormStandard!O17*L17</f>
        <v>-3.5918593911456922E-2</v>
      </c>
      <c r="O17" s="19" t="s">
        <v>28</v>
      </c>
      <c r="P17" s="211">
        <v>93.743780000000001</v>
      </c>
      <c r="R17" s="19" t="s">
        <v>28</v>
      </c>
      <c r="S17" s="209">
        <f>Conc1!S17</f>
        <v>20.997260000000001</v>
      </c>
    </row>
    <row r="18" spans="2:19">
      <c r="B18" s="1"/>
      <c r="C18" s="5">
        <v>4</v>
      </c>
      <c r="D18" s="1">
        <v>38</v>
      </c>
      <c r="E18" s="1"/>
      <c r="F18" s="31" t="s">
        <v>53</v>
      </c>
      <c r="G18" s="32" t="s">
        <v>54</v>
      </c>
      <c r="H18" s="4"/>
      <c r="I18" s="35"/>
      <c r="J18" s="32" t="s">
        <v>54</v>
      </c>
      <c r="K18" s="4"/>
      <c r="L18" s="32" t="s">
        <v>54</v>
      </c>
      <c r="M18" s="32" t="str">
        <f>NormStandard!O18</f>
        <v>---</v>
      </c>
      <c r="O18" s="19" t="s">
        <v>29</v>
      </c>
      <c r="P18" s="211">
        <v>82.246570000000006</v>
      </c>
      <c r="R18" s="19" t="s">
        <v>29</v>
      </c>
      <c r="S18" s="209">
        <f>Conc1!S18</f>
        <v>25.055669999999999</v>
      </c>
    </row>
    <row r="19" spans="2:19">
      <c r="B19" s="1"/>
      <c r="C19" s="5">
        <v>5</v>
      </c>
      <c r="D19" s="1">
        <v>44</v>
      </c>
      <c r="E19" s="1"/>
      <c r="F19" s="3" t="s">
        <v>1</v>
      </c>
      <c r="G19" s="4"/>
      <c r="H19" s="3">
        <f>P16</f>
        <v>30.435230000000001</v>
      </c>
      <c r="I19" s="35"/>
      <c r="J19" s="4"/>
      <c r="K19" s="3">
        <f>S16</f>
        <v>14.14034</v>
      </c>
      <c r="L19" s="3">
        <f t="shared" ref="L19:L26" si="0">G19+H19-J19-K19</f>
        <v>16.294890000000002</v>
      </c>
      <c r="M19" s="66">
        <f>NormStandard!O19*L19</f>
        <v>6.2633905256943095E-2</v>
      </c>
      <c r="O19" s="19" t="s">
        <v>30</v>
      </c>
      <c r="P19" s="211">
        <v>96.08278</v>
      </c>
      <c r="R19" s="19" t="s">
        <v>30</v>
      </c>
      <c r="S19" s="209">
        <f>Conc1!S19</f>
        <v>43.310589999999998</v>
      </c>
    </row>
    <row r="20" spans="2:19">
      <c r="B20" s="1"/>
      <c r="C20" s="5">
        <v>6</v>
      </c>
      <c r="D20" s="1">
        <v>50</v>
      </c>
      <c r="E20" s="1"/>
      <c r="F20" s="3" t="s">
        <v>1</v>
      </c>
      <c r="G20" s="4"/>
      <c r="H20" s="3">
        <f>P17</f>
        <v>93.743780000000001</v>
      </c>
      <c r="I20" s="35"/>
      <c r="J20" s="4"/>
      <c r="K20" s="3">
        <f>S17</f>
        <v>20.997260000000001</v>
      </c>
      <c r="L20" s="3">
        <f t="shared" si="0"/>
        <v>72.746520000000004</v>
      </c>
      <c r="M20" s="66">
        <f>NormStandard!O20*L20</f>
        <v>8.3580422831665696E-2</v>
      </c>
      <c r="O20" s="19" t="s">
        <v>31</v>
      </c>
      <c r="P20" s="211">
        <v>36.891210000000001</v>
      </c>
      <c r="R20" s="19" t="s">
        <v>31</v>
      </c>
      <c r="S20" s="209">
        <f>Conc1!S20</f>
        <v>3.1831499999999999</v>
      </c>
    </row>
    <row r="21" spans="2:19">
      <c r="B21" s="1"/>
      <c r="C21" s="5">
        <v>7</v>
      </c>
      <c r="D21" s="1">
        <v>57</v>
      </c>
      <c r="E21" s="1"/>
      <c r="F21" s="2" t="s">
        <v>2</v>
      </c>
      <c r="G21" s="2"/>
      <c r="H21" s="4"/>
      <c r="I21" s="35"/>
      <c r="J21" s="208">
        <f>Conc1!J21</f>
        <v>5.0999999999999997E-2</v>
      </c>
      <c r="K21" s="4"/>
      <c r="L21" s="2">
        <f t="shared" si="0"/>
        <v>-5.0999999999999997E-2</v>
      </c>
      <c r="M21" s="25">
        <f>NormStandard!O21*L21</f>
        <v>-4.4935616412029977E-2</v>
      </c>
      <c r="O21" s="19" t="s">
        <v>32</v>
      </c>
      <c r="P21" s="211">
        <v>37.875830000000001</v>
      </c>
      <c r="R21" s="19" t="s">
        <v>32</v>
      </c>
      <c r="S21" s="209">
        <f>Conc1!S21</f>
        <v>5.2176600000000004</v>
      </c>
    </row>
    <row r="22" spans="2:19">
      <c r="B22" s="1"/>
      <c r="C22" s="5">
        <v>8</v>
      </c>
      <c r="D22" s="1">
        <v>64</v>
      </c>
      <c r="E22" s="1"/>
      <c r="F22" s="3" t="s">
        <v>1</v>
      </c>
      <c r="G22" s="4"/>
      <c r="H22" s="3">
        <f>P18</f>
        <v>82.246570000000006</v>
      </c>
      <c r="I22" s="35"/>
      <c r="J22" s="4"/>
      <c r="K22" s="3">
        <f>S18</f>
        <v>25.055669999999999</v>
      </c>
      <c r="L22" s="3">
        <f t="shared" si="0"/>
        <v>57.190900000000006</v>
      </c>
      <c r="M22" s="66">
        <f>NormStandard!O22*L22</f>
        <v>7.1988374224558796E-2</v>
      </c>
      <c r="O22" s="19" t="s">
        <v>33</v>
      </c>
      <c r="P22" s="211">
        <v>32.152859999999997</v>
      </c>
      <c r="R22" s="19" t="s">
        <v>33</v>
      </c>
      <c r="S22" s="209">
        <f>Conc1!S22</f>
        <v>9.1796500000000005</v>
      </c>
    </row>
    <row r="23" spans="2:19" ht="14.65" thickBot="1">
      <c r="B23" s="1"/>
      <c r="C23" s="5">
        <v>9</v>
      </c>
      <c r="D23" s="1">
        <v>72</v>
      </c>
      <c r="E23" s="1"/>
      <c r="F23" s="2" t="s">
        <v>2</v>
      </c>
      <c r="G23" s="2"/>
      <c r="H23" s="4"/>
      <c r="I23" s="35"/>
      <c r="J23" s="208">
        <f>Conc1!J23</f>
        <v>3.4000000000000002E-2</v>
      </c>
      <c r="K23" s="4"/>
      <c r="L23" s="2">
        <f t="shared" si="0"/>
        <v>-3.4000000000000002E-2</v>
      </c>
      <c r="M23" s="25">
        <f>NormStandard!O23*L23</f>
        <v>-3.2430036966311568E-2</v>
      </c>
      <c r="O23" s="21" t="s">
        <v>34</v>
      </c>
      <c r="P23" s="212">
        <v>67.028660000000002</v>
      </c>
      <c r="R23" s="21" t="s">
        <v>34</v>
      </c>
      <c r="S23" s="210">
        <f>Conc1!S23</f>
        <v>13.594099999999999</v>
      </c>
    </row>
    <row r="24" spans="2:19">
      <c r="B24" s="1"/>
      <c r="C24" s="5">
        <v>10</v>
      </c>
      <c r="D24" s="1">
        <v>81</v>
      </c>
      <c r="E24" s="1"/>
      <c r="F24" s="3" t="s">
        <v>1</v>
      </c>
      <c r="G24" s="4"/>
      <c r="H24" s="3">
        <f>P19</f>
        <v>96.08278</v>
      </c>
      <c r="I24" s="35"/>
      <c r="J24" s="4"/>
      <c r="K24" s="3">
        <f>S19</f>
        <v>43.310589999999998</v>
      </c>
      <c r="L24" s="3">
        <f t="shared" si="0"/>
        <v>52.772190000000002</v>
      </c>
      <c r="M24" s="66">
        <f>NormStandard!O24*L24</f>
        <v>6.5084068151610414E-2</v>
      </c>
    </row>
    <row r="25" spans="2:19">
      <c r="B25" s="1"/>
      <c r="C25" s="5">
        <v>11</v>
      </c>
      <c r="D25" s="1">
        <v>90</v>
      </c>
      <c r="E25" s="1"/>
      <c r="F25" s="2" t="s">
        <v>2</v>
      </c>
      <c r="G25" s="2"/>
      <c r="H25" s="4"/>
      <c r="I25" s="35"/>
      <c r="J25" s="208">
        <f>Conc1!J25</f>
        <v>0.03</v>
      </c>
      <c r="K25" s="4"/>
      <c r="L25" s="2">
        <f t="shared" si="0"/>
        <v>-0.03</v>
      </c>
      <c r="M25" s="25">
        <f>NormStandard!O25*L25</f>
        <v>-3.1813946625166518E-2</v>
      </c>
    </row>
    <row r="26" spans="2:19">
      <c r="B26" s="1"/>
      <c r="C26" s="5">
        <v>12</v>
      </c>
      <c r="D26" s="1">
        <v>99</v>
      </c>
      <c r="E26" s="1"/>
      <c r="F26" s="3" t="s">
        <v>1</v>
      </c>
      <c r="G26" s="4"/>
      <c r="H26" s="3">
        <f>P20</f>
        <v>36.891210000000001</v>
      </c>
      <c r="I26" s="35"/>
      <c r="J26" s="4"/>
      <c r="K26" s="3">
        <f>S20</f>
        <v>3.1831499999999999</v>
      </c>
      <c r="L26" s="3">
        <f t="shared" si="0"/>
        <v>33.708060000000003</v>
      </c>
      <c r="M26" s="66">
        <f>NormStandard!O26*L26</f>
        <v>9.5703680818486445E-2</v>
      </c>
    </row>
    <row r="27" spans="2:19">
      <c r="B27" s="1"/>
      <c r="C27" s="5">
        <v>13</v>
      </c>
      <c r="D27" s="1">
        <v>108</v>
      </c>
      <c r="E27" s="1"/>
      <c r="F27" s="31" t="s">
        <v>53</v>
      </c>
      <c r="G27" s="32" t="s">
        <v>54</v>
      </c>
      <c r="H27" s="4"/>
      <c r="I27" s="35"/>
      <c r="J27" s="32" t="s">
        <v>54</v>
      </c>
      <c r="K27" s="32" t="s">
        <v>54</v>
      </c>
      <c r="L27" s="32" t="s">
        <v>54</v>
      </c>
      <c r="M27" s="32" t="str">
        <f>NormStandard!O27</f>
        <v>---</v>
      </c>
    </row>
    <row r="28" spans="2:19">
      <c r="B28" s="1"/>
      <c r="C28" s="5">
        <v>14</v>
      </c>
      <c r="D28" s="1">
        <v>117</v>
      </c>
      <c r="E28" s="1"/>
      <c r="F28" s="3" t="s">
        <v>1</v>
      </c>
      <c r="G28" s="4"/>
      <c r="H28" s="3">
        <f>P21</f>
        <v>37.875830000000001</v>
      </c>
      <c r="I28" s="35"/>
      <c r="J28" s="4"/>
      <c r="K28" s="3">
        <f>S21</f>
        <v>5.2176600000000004</v>
      </c>
      <c r="L28" s="3">
        <f>G28+H28-J28-K28</f>
        <v>32.658169999999998</v>
      </c>
      <c r="M28" s="66">
        <f>NormStandard!O28*L28</f>
        <v>9.9349856451222421E-2</v>
      </c>
    </row>
    <row r="29" spans="2:19">
      <c r="B29" s="1"/>
      <c r="C29" s="5">
        <v>15</v>
      </c>
      <c r="D29" s="1">
        <v>126</v>
      </c>
      <c r="E29" s="1"/>
      <c r="F29" s="2" t="s">
        <v>2</v>
      </c>
      <c r="G29" s="2"/>
      <c r="H29" s="4"/>
      <c r="I29" s="35"/>
      <c r="J29" s="208">
        <f>Conc1!J29</f>
        <v>4.9000000000000002E-2</v>
      </c>
      <c r="K29" s="4"/>
      <c r="L29" s="2">
        <f>G29+H29-J29-K29</f>
        <v>-4.9000000000000002E-2</v>
      </c>
      <c r="M29" s="25">
        <f>NormStandard!O29*L29</f>
        <v>-4.0698975864064686E-2</v>
      </c>
    </row>
    <row r="30" spans="2:19">
      <c r="B30" s="1"/>
      <c r="C30" s="5">
        <v>16</v>
      </c>
      <c r="D30" s="1">
        <v>134</v>
      </c>
      <c r="E30" s="1"/>
      <c r="F30" s="3" t="s">
        <v>1</v>
      </c>
      <c r="G30" s="4"/>
      <c r="H30" s="3">
        <f>P22</f>
        <v>32.152859999999997</v>
      </c>
      <c r="I30" s="35"/>
      <c r="J30" s="4"/>
      <c r="K30" s="3">
        <f>S22</f>
        <v>9.1796500000000005</v>
      </c>
      <c r="L30" s="3">
        <f>G30+H30-J30-K30</f>
        <v>22.973209999999995</v>
      </c>
      <c r="M30" s="66">
        <f>NormStandard!O30*L30</f>
        <v>7.3718387006404235E-2</v>
      </c>
    </row>
    <row r="31" spans="2:19">
      <c r="B31" s="1"/>
      <c r="C31" s="5">
        <v>17</v>
      </c>
      <c r="D31" s="1">
        <v>141</v>
      </c>
      <c r="E31" s="1"/>
      <c r="F31" s="2" t="s">
        <v>2</v>
      </c>
      <c r="G31" s="2"/>
      <c r="H31" s="4"/>
      <c r="I31" s="35"/>
      <c r="J31" s="208">
        <f>Conc1!J31</f>
        <v>2.5000000000000001E-2</v>
      </c>
      <c r="K31" s="4"/>
      <c r="L31" s="2">
        <f>G31+H31-J31-K31</f>
        <v>-2.5000000000000001E-2</v>
      </c>
      <c r="M31" s="25">
        <f>NormStandard!O31*L31</f>
        <v>-3.7970970746667998E-2</v>
      </c>
    </row>
    <row r="32" spans="2:19">
      <c r="B32" s="1"/>
      <c r="C32" s="5">
        <v>18</v>
      </c>
      <c r="D32" s="1">
        <v>147</v>
      </c>
      <c r="E32" s="1"/>
      <c r="F32" s="3" t="s">
        <v>1</v>
      </c>
      <c r="G32" s="4"/>
      <c r="H32" s="3">
        <f>P23</f>
        <v>67.028660000000002</v>
      </c>
      <c r="I32" s="35"/>
      <c r="J32" s="4"/>
      <c r="K32" s="3">
        <f>S23</f>
        <v>13.594099999999999</v>
      </c>
      <c r="L32" s="3">
        <f>G32+H32-J32-K32</f>
        <v>53.434560000000005</v>
      </c>
      <c r="M32" s="66">
        <f>NormStandard!O32*L32</f>
        <v>9.3064523551827746E-2</v>
      </c>
    </row>
  </sheetData>
  <mergeCells count="1">
    <mergeCell ref="M12:M13"/>
  </mergeCells>
  <pageMargins left="0.7" right="0.7" top="0.75" bottom="0.75" header="0.3" footer="0.3"/>
  <pageSetup orientation="portrait" horizontalDpi="4294967293" verticalDpi="4294967293"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A6BDD-5410-4DC1-9A42-F4BB367820FE}">
  <dimension ref="B1:S32"/>
  <sheetViews>
    <sheetView topLeftCell="B1" zoomScale="70" zoomScaleNormal="70" workbookViewId="0">
      <selection activeCell="O8" sqref="O8"/>
    </sheetView>
  </sheetViews>
  <sheetFormatPr defaultRowHeight="14.25"/>
  <cols>
    <col min="2" max="2" width="11" customWidth="1"/>
    <col min="4" max="4" width="13.59765625" customWidth="1"/>
    <col min="5" max="5" width="2" customWidth="1"/>
    <col min="6" max="6" width="11.86328125" customWidth="1"/>
    <col min="7" max="7" width="12.59765625" customWidth="1"/>
    <col min="8" max="8" width="14.86328125" customWidth="1"/>
    <col min="9" max="9" width="4" customWidth="1"/>
    <col min="10" max="10" width="12.3984375" customWidth="1"/>
    <col min="11" max="11" width="11" customWidth="1"/>
    <col min="13" max="13" width="10.3984375" customWidth="1"/>
    <col min="14" max="14" width="2.73046875" customWidth="1"/>
    <col min="16" max="16" width="12.59765625" customWidth="1"/>
    <col min="17" max="17" width="2.3984375" customWidth="1"/>
    <col min="19" max="19" width="12.265625" customWidth="1"/>
  </cols>
  <sheetData>
    <row r="1" spans="2:19" ht="14.65" thickBot="1"/>
    <row r="2" spans="2:19" ht="14.65" thickBot="1">
      <c r="B2" s="6" t="s">
        <v>68</v>
      </c>
      <c r="C2" s="6"/>
      <c r="D2" s="200">
        <f>Conc1!D2</f>
        <v>45387</v>
      </c>
      <c r="G2" s="184" t="s">
        <v>318</v>
      </c>
      <c r="H2" s="184"/>
      <c r="I2" s="184"/>
      <c r="J2" s="184"/>
      <c r="K2" s="184"/>
      <c r="L2" s="184"/>
    </row>
    <row r="3" spans="2:19" ht="14.65" thickBot="1">
      <c r="B3" s="6" t="s">
        <v>69</v>
      </c>
      <c r="C3" s="6"/>
      <c r="D3" s="41" t="s">
        <v>89</v>
      </c>
      <c r="G3" s="11"/>
      <c r="H3" s="11"/>
    </row>
    <row r="4" spans="2:19" ht="14.65" thickBot="1">
      <c r="B4" s="6" t="s">
        <v>55</v>
      </c>
      <c r="C4" s="1"/>
      <c r="D4" s="199" t="str">
        <f>Conc1!D4</f>
        <v>Russo</v>
      </c>
      <c r="E4" s="12"/>
      <c r="H4" s="11"/>
      <c r="I4" s="11"/>
    </row>
    <row r="5" spans="2:19" ht="15" thickBot="1">
      <c r="B5" s="6" t="s">
        <v>17</v>
      </c>
      <c r="C5" s="7" t="s">
        <v>16</v>
      </c>
      <c r="D5" s="1"/>
    </row>
    <row r="6" spans="2:19" ht="14.65" thickBot="1">
      <c r="B6" s="1"/>
      <c r="C6" s="5" t="s">
        <v>5</v>
      </c>
      <c r="D6" s="17" t="s">
        <v>6</v>
      </c>
      <c r="E6" s="201" t="str">
        <f>Conc1!E6</f>
        <v>Y</v>
      </c>
      <c r="F6" s="202">
        <f>Conc1!F6</f>
        <v>6.0000000000000001E-3</v>
      </c>
      <c r="G6" s="14"/>
      <c r="H6" s="67" t="s">
        <v>56</v>
      </c>
      <c r="I6" s="1"/>
    </row>
    <row r="7" spans="2:19" ht="16.149999999999999" thickBot="1">
      <c r="B7" s="1"/>
      <c r="C7" s="5" t="s">
        <v>10</v>
      </c>
      <c r="D7" s="1"/>
      <c r="E7" s="18"/>
      <c r="F7" s="202">
        <f>Conc1!F7</f>
        <v>4.9800000000000004</v>
      </c>
      <c r="G7" s="14"/>
      <c r="H7" s="1" t="s">
        <v>21</v>
      </c>
      <c r="I7" s="13"/>
      <c r="J7" s="203">
        <f>Conc1!J7</f>
        <v>1</v>
      </c>
      <c r="K7" s="14" t="s">
        <v>19</v>
      </c>
    </row>
    <row r="8" spans="2:19" ht="16.149999999999999" thickBot="1">
      <c r="B8" s="1"/>
      <c r="C8" s="5" t="s">
        <v>11</v>
      </c>
      <c r="D8" s="1"/>
      <c r="E8" s="13"/>
      <c r="F8" s="202">
        <f>Conc1!F8</f>
        <v>15.04</v>
      </c>
      <c r="G8" s="14"/>
      <c r="H8" s="1" t="s">
        <v>22</v>
      </c>
      <c r="I8" s="1"/>
      <c r="J8" s="204">
        <f>J7*SQRT(3/5)</f>
        <v>0.7745966692414834</v>
      </c>
      <c r="K8" s="1" t="s">
        <v>19</v>
      </c>
    </row>
    <row r="9" spans="2:19" ht="16.149999999999999" thickBot="1">
      <c r="B9" s="1"/>
      <c r="C9" s="5" t="s">
        <v>12</v>
      </c>
      <c r="D9" s="1"/>
      <c r="E9" s="13"/>
      <c r="F9" s="202">
        <f>Conc1!F9</f>
        <v>14.89</v>
      </c>
      <c r="G9" s="14"/>
      <c r="H9" s="1" t="s">
        <v>20</v>
      </c>
      <c r="I9" s="1"/>
      <c r="J9" s="205">
        <f>Lamnm/(Refin*J7)</f>
        <v>458.19397993311031</v>
      </c>
      <c r="K9" s="1"/>
    </row>
    <row r="10" spans="2:19" ht="16.149999999999999" thickBot="1">
      <c r="B10" s="1"/>
      <c r="C10" s="5" t="s">
        <v>13</v>
      </c>
      <c r="D10" s="1"/>
      <c r="E10" s="13"/>
      <c r="F10" s="202">
        <f>Conc1!F10</f>
        <v>79.2</v>
      </c>
      <c r="G10" s="14"/>
      <c r="H10" s="1" t="s">
        <v>45</v>
      </c>
      <c r="I10" s="1"/>
      <c r="J10" s="206">
        <f>J8*(4*PI()*Refin/Lamnm)*SIN(RADIANS(D32/2))</f>
        <v>2.036915789429861E-2</v>
      </c>
      <c r="K10" s="1"/>
    </row>
    <row r="11" spans="2:19" ht="16.5">
      <c r="B11" s="1"/>
      <c r="C11" s="5" t="s">
        <v>14</v>
      </c>
      <c r="D11" s="33"/>
      <c r="E11" s="13"/>
      <c r="F11" s="202">
        <f>Conc1!F11</f>
        <v>4.92</v>
      </c>
      <c r="G11" s="14"/>
      <c r="H11" s="1" t="s">
        <v>46</v>
      </c>
      <c r="I11" s="1"/>
      <c r="J11" s="207">
        <f>1-J10^2/3</f>
        <v>0.999861699135559</v>
      </c>
      <c r="K11" s="1"/>
      <c r="M11" s="39"/>
      <c r="O11" s="39"/>
    </row>
    <row r="12" spans="2:19">
      <c r="M12" s="246" t="s">
        <v>110</v>
      </c>
    </row>
    <row r="13" spans="2:19" ht="15" thickBot="1">
      <c r="B13" s="6" t="s">
        <v>17</v>
      </c>
      <c r="C13" s="7" t="s">
        <v>15</v>
      </c>
      <c r="D13" s="7" t="s">
        <v>36</v>
      </c>
      <c r="E13" s="13"/>
      <c r="F13" s="24" t="s">
        <v>38</v>
      </c>
      <c r="G13" s="15" t="s">
        <v>108</v>
      </c>
      <c r="H13" s="6"/>
      <c r="I13" s="34"/>
      <c r="J13" s="6" t="s">
        <v>109</v>
      </c>
      <c r="K13" s="1"/>
      <c r="L13" s="7" t="s">
        <v>23</v>
      </c>
      <c r="M13" s="247"/>
    </row>
    <row r="14" spans="2:19">
      <c r="B14" s="1"/>
      <c r="C14" s="23" t="s">
        <v>37</v>
      </c>
      <c r="D14">
        <v>0</v>
      </c>
      <c r="E14" s="1"/>
      <c r="F14" s="16" t="s">
        <v>0</v>
      </c>
      <c r="G14" s="6" t="s">
        <v>111</v>
      </c>
      <c r="H14" s="6" t="s">
        <v>112</v>
      </c>
      <c r="I14" s="34"/>
      <c r="J14" s="6" t="s">
        <v>111</v>
      </c>
      <c r="K14" s="6" t="s">
        <v>113</v>
      </c>
      <c r="L14" s="1"/>
      <c r="M14" s="16"/>
      <c r="O14" s="27" t="s">
        <v>129</v>
      </c>
      <c r="P14" s="131"/>
      <c r="Q14" s="132"/>
      <c r="R14" s="198" t="s">
        <v>312</v>
      </c>
      <c r="S14" s="194"/>
    </row>
    <row r="15" spans="2:19">
      <c r="B15" s="1"/>
      <c r="C15" s="5">
        <v>1</v>
      </c>
      <c r="D15" s="1">
        <v>22.5</v>
      </c>
      <c r="E15" s="1"/>
      <c r="F15" s="2" t="s">
        <v>2</v>
      </c>
      <c r="G15" s="2"/>
      <c r="H15" s="4"/>
      <c r="I15" s="35"/>
      <c r="J15" s="208">
        <f>Conc1!J15</f>
        <v>8.5999999999999993E-2</v>
      </c>
      <c r="K15" s="4"/>
      <c r="L15" s="2">
        <f>G15+H15-J15-K15</f>
        <v>-8.5999999999999993E-2</v>
      </c>
      <c r="M15" s="25">
        <f>NormStandard!O15*L15</f>
        <v>-8.4822390962514843E-2</v>
      </c>
      <c r="O15" s="29" t="s">
        <v>35</v>
      </c>
      <c r="P15" s="30"/>
      <c r="Q15" s="11"/>
      <c r="R15" s="195"/>
      <c r="S15" s="196"/>
    </row>
    <row r="16" spans="2:19">
      <c r="B16" s="1"/>
      <c r="C16" s="5">
        <v>2</v>
      </c>
      <c r="D16" s="1">
        <v>28</v>
      </c>
      <c r="E16" s="1"/>
      <c r="F16" s="2" t="s">
        <v>2</v>
      </c>
      <c r="G16" s="2"/>
      <c r="H16" s="4"/>
      <c r="I16" s="35"/>
      <c r="J16" s="208">
        <f>Conc1!J16</f>
        <v>4.9000000000000002E-2</v>
      </c>
      <c r="K16" s="4"/>
      <c r="L16" s="2">
        <f>G16+H16-J16-K16</f>
        <v>-4.9000000000000002E-2</v>
      </c>
      <c r="M16" s="25">
        <f>NormStandard!O16*L16</f>
        <v>-7.6696717403968662E-2</v>
      </c>
      <c r="O16" s="19" t="s">
        <v>27</v>
      </c>
      <c r="P16" s="211">
        <v>30.435230000000001</v>
      </c>
      <c r="R16" s="19" t="s">
        <v>27</v>
      </c>
      <c r="S16" s="209">
        <f>Conc1!S16</f>
        <v>14.14034</v>
      </c>
    </row>
    <row r="17" spans="2:19">
      <c r="B17" s="1"/>
      <c r="C17" s="5">
        <v>3</v>
      </c>
      <c r="D17" s="1">
        <v>32</v>
      </c>
      <c r="E17" s="1"/>
      <c r="F17" s="2" t="s">
        <v>2</v>
      </c>
      <c r="G17" s="2"/>
      <c r="H17" s="4"/>
      <c r="I17" s="35"/>
      <c r="J17" s="208">
        <f>Conc1!J17</f>
        <v>0.03</v>
      </c>
      <c r="K17" s="4"/>
      <c r="L17" s="2">
        <f>G17+H17-J17-K17</f>
        <v>-0.03</v>
      </c>
      <c r="M17" s="25">
        <f>NormStandard!O17*L17</f>
        <v>-3.5918593911456922E-2</v>
      </c>
      <c r="O17" s="19" t="s">
        <v>28</v>
      </c>
      <c r="P17" s="211">
        <v>93.743780000000001</v>
      </c>
      <c r="R17" s="19" t="s">
        <v>28</v>
      </c>
      <c r="S17" s="209">
        <f>Conc1!S17</f>
        <v>20.997260000000001</v>
      </c>
    </row>
    <row r="18" spans="2:19">
      <c r="B18" s="1"/>
      <c r="C18" s="5">
        <v>4</v>
      </c>
      <c r="D18" s="1">
        <v>38</v>
      </c>
      <c r="E18" s="1"/>
      <c r="F18" s="31" t="s">
        <v>53</v>
      </c>
      <c r="G18" s="32" t="s">
        <v>54</v>
      </c>
      <c r="H18" s="4"/>
      <c r="I18" s="35"/>
      <c r="J18" s="32" t="s">
        <v>54</v>
      </c>
      <c r="K18" s="4"/>
      <c r="L18" s="32" t="s">
        <v>54</v>
      </c>
      <c r="M18" s="32" t="str">
        <f>NormStandard!O18</f>
        <v>---</v>
      </c>
      <c r="O18" s="19" t="s">
        <v>29</v>
      </c>
      <c r="P18" s="211">
        <v>82.246570000000006</v>
      </c>
      <c r="R18" s="19" t="s">
        <v>29</v>
      </c>
      <c r="S18" s="209">
        <f>Conc1!S18</f>
        <v>25.055669999999999</v>
      </c>
    </row>
    <row r="19" spans="2:19">
      <c r="B19" s="1"/>
      <c r="C19" s="5">
        <v>5</v>
      </c>
      <c r="D19" s="1">
        <v>44</v>
      </c>
      <c r="E19" s="1"/>
      <c r="F19" s="3" t="s">
        <v>1</v>
      </c>
      <c r="G19" s="4"/>
      <c r="H19" s="3">
        <f>P16</f>
        <v>30.435230000000001</v>
      </c>
      <c r="I19" s="35"/>
      <c r="J19" s="4"/>
      <c r="K19" s="3">
        <f>S16</f>
        <v>14.14034</v>
      </c>
      <c r="L19" s="3">
        <f t="shared" ref="L19:L26" si="0">G19+H19-J19-K19</f>
        <v>16.294890000000002</v>
      </c>
      <c r="M19" s="66">
        <f>NormStandard!O19*L19</f>
        <v>6.2633905256943095E-2</v>
      </c>
      <c r="O19" s="19" t="s">
        <v>30</v>
      </c>
      <c r="P19" s="211">
        <v>96.08278</v>
      </c>
      <c r="R19" s="19" t="s">
        <v>30</v>
      </c>
      <c r="S19" s="209">
        <f>Conc1!S19</f>
        <v>43.310589999999998</v>
      </c>
    </row>
    <row r="20" spans="2:19">
      <c r="B20" s="1"/>
      <c r="C20" s="5">
        <v>6</v>
      </c>
      <c r="D20" s="1">
        <v>50</v>
      </c>
      <c r="E20" s="1"/>
      <c r="F20" s="3" t="s">
        <v>1</v>
      </c>
      <c r="G20" s="4"/>
      <c r="H20" s="3">
        <f>P17</f>
        <v>93.743780000000001</v>
      </c>
      <c r="I20" s="35"/>
      <c r="J20" s="4"/>
      <c r="K20" s="3">
        <f>S17</f>
        <v>20.997260000000001</v>
      </c>
      <c r="L20" s="3">
        <f t="shared" si="0"/>
        <v>72.746520000000004</v>
      </c>
      <c r="M20" s="66">
        <f>NormStandard!O20*L20</f>
        <v>8.3580422831665696E-2</v>
      </c>
      <c r="O20" s="19" t="s">
        <v>31</v>
      </c>
      <c r="P20" s="211">
        <v>36.891210000000001</v>
      </c>
      <c r="R20" s="19" t="s">
        <v>31</v>
      </c>
      <c r="S20" s="209">
        <f>Conc1!S20</f>
        <v>3.1831499999999999</v>
      </c>
    </row>
    <row r="21" spans="2:19">
      <c r="B21" s="1"/>
      <c r="C21" s="5">
        <v>7</v>
      </c>
      <c r="D21" s="1">
        <v>57</v>
      </c>
      <c r="E21" s="1"/>
      <c r="F21" s="2" t="s">
        <v>2</v>
      </c>
      <c r="G21" s="2"/>
      <c r="H21" s="4"/>
      <c r="I21" s="35"/>
      <c r="J21" s="208">
        <f>Conc1!J21</f>
        <v>5.0999999999999997E-2</v>
      </c>
      <c r="K21" s="4"/>
      <c r="L21" s="2">
        <f t="shared" si="0"/>
        <v>-5.0999999999999997E-2</v>
      </c>
      <c r="M21" s="25">
        <f>NormStandard!O21*L21</f>
        <v>-4.4935616412029977E-2</v>
      </c>
      <c r="O21" s="19" t="s">
        <v>32</v>
      </c>
      <c r="P21" s="211">
        <v>37.875830000000001</v>
      </c>
      <c r="R21" s="19" t="s">
        <v>32</v>
      </c>
      <c r="S21" s="209">
        <f>Conc1!S21</f>
        <v>5.2176600000000004</v>
      </c>
    </row>
    <row r="22" spans="2:19">
      <c r="B22" s="1"/>
      <c r="C22" s="5">
        <v>8</v>
      </c>
      <c r="D22" s="1">
        <v>64</v>
      </c>
      <c r="E22" s="1"/>
      <c r="F22" s="3" t="s">
        <v>1</v>
      </c>
      <c r="G22" s="4"/>
      <c r="H22" s="3">
        <f>P18</f>
        <v>82.246570000000006</v>
      </c>
      <c r="I22" s="35"/>
      <c r="J22" s="4"/>
      <c r="K22" s="3">
        <f>S18</f>
        <v>25.055669999999999</v>
      </c>
      <c r="L22" s="3">
        <f t="shared" si="0"/>
        <v>57.190900000000006</v>
      </c>
      <c r="M22" s="66">
        <f>NormStandard!O22*L22</f>
        <v>7.1988374224558796E-2</v>
      </c>
      <c r="O22" s="19" t="s">
        <v>33</v>
      </c>
      <c r="P22" s="211">
        <v>32.152859999999997</v>
      </c>
      <c r="R22" s="19" t="s">
        <v>33</v>
      </c>
      <c r="S22" s="209">
        <f>Conc1!S22</f>
        <v>9.1796500000000005</v>
      </c>
    </row>
    <row r="23" spans="2:19" ht="14.65" thickBot="1">
      <c r="B23" s="1"/>
      <c r="C23" s="5">
        <v>9</v>
      </c>
      <c r="D23" s="1">
        <v>72</v>
      </c>
      <c r="E23" s="1"/>
      <c r="F23" s="2" t="s">
        <v>2</v>
      </c>
      <c r="G23" s="2"/>
      <c r="H23" s="4"/>
      <c r="I23" s="35"/>
      <c r="J23" s="208">
        <f>Conc1!J23</f>
        <v>3.4000000000000002E-2</v>
      </c>
      <c r="K23" s="4"/>
      <c r="L23" s="2">
        <f t="shared" si="0"/>
        <v>-3.4000000000000002E-2</v>
      </c>
      <c r="M23" s="25">
        <f>NormStandard!O23*L23</f>
        <v>-3.2430036966311568E-2</v>
      </c>
      <c r="O23" s="21" t="s">
        <v>34</v>
      </c>
      <c r="P23" s="212">
        <v>67.028660000000002</v>
      </c>
      <c r="R23" s="21" t="s">
        <v>34</v>
      </c>
      <c r="S23" s="210">
        <f>Conc1!S23</f>
        <v>13.594099999999999</v>
      </c>
    </row>
    <row r="24" spans="2:19">
      <c r="B24" s="1"/>
      <c r="C24" s="5">
        <v>10</v>
      </c>
      <c r="D24" s="1">
        <v>81</v>
      </c>
      <c r="E24" s="1"/>
      <c r="F24" s="3" t="s">
        <v>1</v>
      </c>
      <c r="G24" s="4"/>
      <c r="H24" s="3">
        <f>P19</f>
        <v>96.08278</v>
      </c>
      <c r="I24" s="35"/>
      <c r="J24" s="4"/>
      <c r="K24" s="3">
        <f>S19</f>
        <v>43.310589999999998</v>
      </c>
      <c r="L24" s="3">
        <f t="shared" si="0"/>
        <v>52.772190000000002</v>
      </c>
      <c r="M24" s="66">
        <f>NormStandard!O24*L24</f>
        <v>6.5084068151610414E-2</v>
      </c>
    </row>
    <row r="25" spans="2:19">
      <c r="B25" s="1"/>
      <c r="C25" s="5">
        <v>11</v>
      </c>
      <c r="D25" s="1">
        <v>90</v>
      </c>
      <c r="E25" s="1"/>
      <c r="F25" s="2" t="s">
        <v>2</v>
      </c>
      <c r="G25" s="2"/>
      <c r="H25" s="4"/>
      <c r="I25" s="35"/>
      <c r="J25" s="208">
        <f>Conc1!J25</f>
        <v>0.03</v>
      </c>
      <c r="K25" s="4"/>
      <c r="L25" s="2">
        <f t="shared" si="0"/>
        <v>-0.03</v>
      </c>
      <c r="M25" s="25">
        <f>NormStandard!O25*L25</f>
        <v>-3.1813946625166518E-2</v>
      </c>
    </row>
    <row r="26" spans="2:19">
      <c r="B26" s="1"/>
      <c r="C26" s="5">
        <v>12</v>
      </c>
      <c r="D26" s="1">
        <v>99</v>
      </c>
      <c r="E26" s="1"/>
      <c r="F26" s="3" t="s">
        <v>1</v>
      </c>
      <c r="G26" s="4"/>
      <c r="H26" s="3">
        <f>P20</f>
        <v>36.891210000000001</v>
      </c>
      <c r="I26" s="35"/>
      <c r="J26" s="4"/>
      <c r="K26" s="3">
        <f>S20</f>
        <v>3.1831499999999999</v>
      </c>
      <c r="L26" s="3">
        <f t="shared" si="0"/>
        <v>33.708060000000003</v>
      </c>
      <c r="M26" s="66">
        <f>NormStandard!O26*L26</f>
        <v>9.5703680818486445E-2</v>
      </c>
    </row>
    <row r="27" spans="2:19">
      <c r="B27" s="1"/>
      <c r="C27" s="5">
        <v>13</v>
      </c>
      <c r="D27" s="1">
        <v>108</v>
      </c>
      <c r="E27" s="1"/>
      <c r="F27" s="31" t="s">
        <v>53</v>
      </c>
      <c r="G27" s="32" t="s">
        <v>54</v>
      </c>
      <c r="H27" s="4"/>
      <c r="I27" s="35"/>
      <c r="J27" s="32" t="s">
        <v>54</v>
      </c>
      <c r="K27" s="32" t="s">
        <v>54</v>
      </c>
      <c r="L27" s="32" t="s">
        <v>54</v>
      </c>
      <c r="M27" s="32" t="str">
        <f>NormStandard!O27</f>
        <v>---</v>
      </c>
    </row>
    <row r="28" spans="2:19">
      <c r="B28" s="1"/>
      <c r="C28" s="5">
        <v>14</v>
      </c>
      <c r="D28" s="1">
        <v>117</v>
      </c>
      <c r="E28" s="1"/>
      <c r="F28" s="3" t="s">
        <v>1</v>
      </c>
      <c r="G28" s="4"/>
      <c r="H28" s="3">
        <f>P21</f>
        <v>37.875830000000001</v>
      </c>
      <c r="I28" s="35"/>
      <c r="J28" s="4"/>
      <c r="K28" s="3">
        <f>S21</f>
        <v>5.2176600000000004</v>
      </c>
      <c r="L28" s="3">
        <f>G28+H28-J28-K28</f>
        <v>32.658169999999998</v>
      </c>
      <c r="M28" s="66">
        <f>NormStandard!O28*L28</f>
        <v>9.9349856451222421E-2</v>
      </c>
    </row>
    <row r="29" spans="2:19">
      <c r="B29" s="1"/>
      <c r="C29" s="5">
        <v>15</v>
      </c>
      <c r="D29" s="1">
        <v>126</v>
      </c>
      <c r="E29" s="1"/>
      <c r="F29" s="2" t="s">
        <v>2</v>
      </c>
      <c r="G29" s="2"/>
      <c r="H29" s="4"/>
      <c r="I29" s="35"/>
      <c r="J29" s="208">
        <f>Conc1!J29</f>
        <v>4.9000000000000002E-2</v>
      </c>
      <c r="K29" s="4"/>
      <c r="L29" s="2">
        <f>G29+H29-J29-K29</f>
        <v>-4.9000000000000002E-2</v>
      </c>
      <c r="M29" s="25">
        <f>NormStandard!O29*L29</f>
        <v>-4.0698975864064686E-2</v>
      </c>
    </row>
    <row r="30" spans="2:19">
      <c r="B30" s="1"/>
      <c r="C30" s="5">
        <v>16</v>
      </c>
      <c r="D30" s="1">
        <v>134</v>
      </c>
      <c r="E30" s="1"/>
      <c r="F30" s="3" t="s">
        <v>1</v>
      </c>
      <c r="G30" s="4"/>
      <c r="H30" s="3">
        <f>P22</f>
        <v>32.152859999999997</v>
      </c>
      <c r="I30" s="35"/>
      <c r="J30" s="4"/>
      <c r="K30" s="3">
        <f>S22</f>
        <v>9.1796500000000005</v>
      </c>
      <c r="L30" s="3">
        <f>G30+H30-J30-K30</f>
        <v>22.973209999999995</v>
      </c>
      <c r="M30" s="66">
        <f>NormStandard!O30*L30</f>
        <v>7.3718387006404235E-2</v>
      </c>
    </row>
    <row r="31" spans="2:19">
      <c r="B31" s="1"/>
      <c r="C31" s="5">
        <v>17</v>
      </c>
      <c r="D31" s="1">
        <v>141</v>
      </c>
      <c r="E31" s="1"/>
      <c r="F31" s="2" t="s">
        <v>2</v>
      </c>
      <c r="G31" s="2"/>
      <c r="H31" s="4"/>
      <c r="I31" s="35"/>
      <c r="J31" s="208">
        <f>Conc1!J31</f>
        <v>2.5000000000000001E-2</v>
      </c>
      <c r="K31" s="4"/>
      <c r="L31" s="2">
        <f>G31+H31-J31-K31</f>
        <v>-2.5000000000000001E-2</v>
      </c>
      <c r="M31" s="25">
        <f>NormStandard!O31*L31</f>
        <v>-3.7970970746667998E-2</v>
      </c>
    </row>
    <row r="32" spans="2:19">
      <c r="B32" s="1"/>
      <c r="C32" s="5">
        <v>18</v>
      </c>
      <c r="D32" s="1">
        <v>147</v>
      </c>
      <c r="E32" s="1"/>
      <c r="F32" s="3" t="s">
        <v>1</v>
      </c>
      <c r="G32" s="4"/>
      <c r="H32" s="3">
        <f>P23</f>
        <v>67.028660000000002</v>
      </c>
      <c r="I32" s="35"/>
      <c r="J32" s="4"/>
      <c r="K32" s="3">
        <f>S23</f>
        <v>13.594099999999999</v>
      </c>
      <c r="L32" s="3">
        <f>G32+H32-J32-K32</f>
        <v>53.434560000000005</v>
      </c>
      <c r="M32" s="66">
        <f>NormStandard!O32*L32</f>
        <v>9.3064523551827746E-2</v>
      </c>
    </row>
  </sheetData>
  <mergeCells count="1">
    <mergeCell ref="M12:M13"/>
  </mergeCells>
  <pageMargins left="0.7" right="0.7" top="0.75" bottom="0.75" header="0.3" footer="0.3"/>
  <pageSetup orientation="portrait" horizontalDpi="4294967293" verticalDpi="4294967293"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88B8F-7995-4491-A86F-195A6B626DF7}">
  <dimension ref="A1:BA79"/>
  <sheetViews>
    <sheetView zoomScale="55" zoomScaleNormal="55" workbookViewId="0">
      <selection activeCell="M35" sqref="M35"/>
    </sheetView>
  </sheetViews>
  <sheetFormatPr defaultRowHeight="14.25"/>
  <cols>
    <col min="2" max="2" width="11.73046875" customWidth="1"/>
    <col min="3" max="3" width="12.265625" customWidth="1"/>
    <col min="4" max="4" width="8.86328125" customWidth="1"/>
    <col min="5" max="5" width="12.265625" customWidth="1"/>
    <col min="6" max="6" width="12.86328125" customWidth="1"/>
    <col min="7" max="7" width="18.73046875" customWidth="1"/>
    <col min="8" max="8" width="12.265625" bestFit="1" customWidth="1"/>
    <col min="9" max="9" width="12.265625" customWidth="1"/>
    <col min="10" max="10" width="16.3984375" customWidth="1"/>
    <col min="11" max="11" width="9" customWidth="1"/>
    <col min="12" max="12" width="3.1328125" customWidth="1"/>
    <col min="13" max="13" width="12.86328125" customWidth="1"/>
    <col min="27" max="27" width="6.19921875" customWidth="1"/>
    <col min="32" max="32" width="8.9296875" customWidth="1"/>
    <col min="33" max="33" width="10.19921875" customWidth="1"/>
    <col min="35" max="35" width="4.46484375" customWidth="1"/>
    <col min="36" max="36" width="1.9296875" customWidth="1"/>
    <col min="46" max="46" width="6.19921875" customWidth="1"/>
    <col min="47" max="47" width="10.53125" customWidth="1"/>
    <col min="52" max="52" width="9.9296875" customWidth="1"/>
  </cols>
  <sheetData>
    <row r="1" spans="1:53" ht="14.65" thickBot="1"/>
    <row r="2" spans="1:53">
      <c r="A2" s="214" t="s">
        <v>92</v>
      </c>
      <c r="B2" s="89" t="s">
        <v>90</v>
      </c>
    </row>
    <row r="3" spans="1:53" ht="14.65" thickBot="1">
      <c r="A3" s="215"/>
      <c r="B3" s="216" t="s">
        <v>91</v>
      </c>
    </row>
    <row r="5" spans="1:53" ht="14.65" thickBot="1">
      <c r="G5" s="126"/>
    </row>
    <row r="6" spans="1:53" ht="16.5">
      <c r="B6" s="130" t="s">
        <v>60</v>
      </c>
      <c r="C6" s="116" t="s">
        <v>36</v>
      </c>
      <c r="D6" s="116" t="s">
        <v>96</v>
      </c>
      <c r="E6" s="116" t="s">
        <v>97</v>
      </c>
      <c r="F6" s="116" t="s">
        <v>98</v>
      </c>
      <c r="G6" s="116" t="s">
        <v>106</v>
      </c>
      <c r="H6" s="117" t="s">
        <v>99</v>
      </c>
      <c r="I6" s="52"/>
      <c r="J6" s="52"/>
      <c r="AC6" s="72"/>
    </row>
    <row r="7" spans="1:53">
      <c r="B7" s="118">
        <f>Conc1!C15</f>
        <v>1</v>
      </c>
      <c r="C7" s="62">
        <f>Conc1!D15</f>
        <v>22.5</v>
      </c>
      <c r="D7" s="63">
        <f t="shared" ref="D7:D22" si="0">4*PI()*Refin*SIN(RADIANS(C7/2))/Lamcm</f>
        <v>53505.226980224332</v>
      </c>
      <c r="E7" s="63">
        <f t="shared" ref="E7:E22" si="1">D7*D7/10000000000</f>
        <v>0.28628093142053257</v>
      </c>
      <c r="F7" s="63">
        <f t="shared" ref="F7:F22" si="2">(D7/10000000)^2/0.0001</f>
        <v>0.28628093142053257</v>
      </c>
      <c r="G7" s="63">
        <f>Conc1!M15</f>
        <v>6.0164719171086116E-2</v>
      </c>
      <c r="H7" s="119">
        <f t="shared" ref="H7:H22" si="3">LN(G7)</f>
        <v>-2.8106691587487767</v>
      </c>
      <c r="I7" s="52"/>
      <c r="J7" s="52"/>
    </row>
    <row r="8" spans="1:53">
      <c r="B8" s="118">
        <f>Conc1!C16</f>
        <v>2</v>
      </c>
      <c r="C8" s="62">
        <f>Conc1!D16</f>
        <v>28</v>
      </c>
      <c r="D8" s="63">
        <f t="shared" si="0"/>
        <v>66349.195602210661</v>
      </c>
      <c r="E8" s="63">
        <f t="shared" si="1"/>
        <v>0.44022157570604104</v>
      </c>
      <c r="F8" s="63">
        <f t="shared" si="2"/>
        <v>0.44022157570604104</v>
      </c>
      <c r="G8" s="63">
        <f>Conc1!M16</f>
        <v>5.9479086966343034E-2</v>
      </c>
      <c r="H8" s="119">
        <f t="shared" si="3"/>
        <v>-2.82213050777123</v>
      </c>
      <c r="I8" s="52"/>
      <c r="J8" s="52"/>
    </row>
    <row r="9" spans="1:53">
      <c r="B9" s="118">
        <f>Conc1!C17</f>
        <v>3</v>
      </c>
      <c r="C9" s="62">
        <f>Conc1!D17</f>
        <v>32</v>
      </c>
      <c r="D9" s="63">
        <f t="shared" si="0"/>
        <v>75595.955426216213</v>
      </c>
      <c r="E9" s="63">
        <f t="shared" si="1"/>
        <v>0.57147484768024681</v>
      </c>
      <c r="F9" s="63">
        <f t="shared" si="2"/>
        <v>0.57147484768024681</v>
      </c>
      <c r="G9" s="63">
        <f>Conc1!M17</f>
        <v>8.8599198314927075E-2</v>
      </c>
      <c r="H9" s="119">
        <f t="shared" si="3"/>
        <v>-2.4236324697762925</v>
      </c>
      <c r="I9" s="52"/>
      <c r="J9" s="52"/>
    </row>
    <row r="10" spans="1:53">
      <c r="B10" s="120">
        <f>Conc1!C19</f>
        <v>5</v>
      </c>
      <c r="C10" s="64">
        <f>Conc1!D19</f>
        <v>44</v>
      </c>
      <c r="D10" s="65">
        <f t="shared" si="0"/>
        <v>102739.13437566617</v>
      </c>
      <c r="E10" s="65">
        <f t="shared" si="1"/>
        <v>1.0555329732261189</v>
      </c>
      <c r="F10" s="65">
        <f t="shared" si="2"/>
        <v>1.0555329732261189</v>
      </c>
      <c r="G10" s="64">
        <f>Conc1!M19</f>
        <v>6.2633905256943095E-2</v>
      </c>
      <c r="H10" s="121">
        <f t="shared" si="3"/>
        <v>-2.7704485299748627</v>
      </c>
      <c r="I10" s="52"/>
      <c r="J10" s="52"/>
      <c r="AB10" s="68" t="s">
        <v>91</v>
      </c>
      <c r="AC10" s="69"/>
      <c r="AD10" s="69"/>
      <c r="AE10" s="69"/>
      <c r="AF10" s="73"/>
      <c r="AG10" s="68" t="s">
        <v>61</v>
      </c>
      <c r="AH10" s="69"/>
      <c r="AU10" s="74" t="s">
        <v>2</v>
      </c>
      <c r="AV10" s="69"/>
      <c r="AW10" s="69"/>
      <c r="AX10" s="69"/>
      <c r="AY10" s="69"/>
      <c r="AZ10" s="74" t="s">
        <v>61</v>
      </c>
      <c r="BA10" s="69"/>
    </row>
    <row r="11" spans="1:53" ht="16.5">
      <c r="B11" s="120">
        <f>Conc1!C20</f>
        <v>6</v>
      </c>
      <c r="C11" s="64">
        <f>Conc1!D20</f>
        <v>50</v>
      </c>
      <c r="D11" s="65">
        <f t="shared" si="0"/>
        <v>115906.75430098787</v>
      </c>
      <c r="E11" s="65">
        <f t="shared" si="1"/>
        <v>1.3434375692589571</v>
      </c>
      <c r="F11" s="65">
        <f t="shared" si="2"/>
        <v>1.3434375692589569</v>
      </c>
      <c r="G11" s="64">
        <f>Conc1!M20</f>
        <v>8.3580422831665696E-2</v>
      </c>
      <c r="H11" s="121">
        <f t="shared" si="3"/>
        <v>-2.4819459629698319</v>
      </c>
      <c r="I11" s="52"/>
      <c r="J11" s="52"/>
      <c r="AA11" s="70" t="s">
        <v>93</v>
      </c>
      <c r="AB11" s="68" t="s">
        <v>60</v>
      </c>
      <c r="AC11" s="71" t="s">
        <v>102</v>
      </c>
      <c r="AD11" s="68" t="s">
        <v>96</v>
      </c>
      <c r="AE11" s="68" t="s">
        <v>97</v>
      </c>
      <c r="AF11" s="68" t="s">
        <v>98</v>
      </c>
      <c r="AG11" s="68" t="s">
        <v>62</v>
      </c>
      <c r="AH11" s="68" t="s">
        <v>99</v>
      </c>
      <c r="AI11" s="52"/>
      <c r="AJ11" s="52"/>
      <c r="AT11" s="69" t="s">
        <v>93</v>
      </c>
      <c r="AU11" s="75" t="s">
        <v>60</v>
      </c>
      <c r="AV11" s="75" t="s">
        <v>36</v>
      </c>
      <c r="AW11" s="75" t="s">
        <v>96</v>
      </c>
      <c r="AX11" s="75" t="s">
        <v>97</v>
      </c>
      <c r="AY11" s="75" t="s">
        <v>98</v>
      </c>
      <c r="AZ11" s="74" t="s">
        <v>62</v>
      </c>
      <c r="BA11" s="74" t="s">
        <v>99</v>
      </c>
    </row>
    <row r="12" spans="1:53">
      <c r="B12" s="118">
        <f>Conc1!C21</f>
        <v>7</v>
      </c>
      <c r="C12" s="62">
        <f>Conc1!D21</f>
        <v>57</v>
      </c>
      <c r="D12" s="63">
        <f t="shared" si="0"/>
        <v>130864.96300509552</v>
      </c>
      <c r="E12" s="63">
        <f t="shared" si="1"/>
        <v>1.7125638542325019</v>
      </c>
      <c r="F12" s="63">
        <f t="shared" si="2"/>
        <v>1.7125638542325015</v>
      </c>
      <c r="G12" s="62">
        <f>Conc1!M21</f>
        <v>6.9606150912752338E-2</v>
      </c>
      <c r="H12" s="119">
        <f t="shared" si="3"/>
        <v>-2.6649023403633962</v>
      </c>
      <c r="I12" s="52"/>
      <c r="J12" s="52"/>
      <c r="AA12">
        <v>10</v>
      </c>
      <c r="AB12" s="61">
        <f>B10</f>
        <v>5</v>
      </c>
      <c r="AC12" s="61">
        <f>C10</f>
        <v>44</v>
      </c>
      <c r="AD12" s="61">
        <f t="shared" ref="AD12:AH12" si="4">D10</f>
        <v>102739.13437566617</v>
      </c>
      <c r="AE12" s="61">
        <f t="shared" si="4"/>
        <v>1.0555329732261189</v>
      </c>
      <c r="AF12" s="61">
        <f t="shared" si="4"/>
        <v>1.0555329732261189</v>
      </c>
      <c r="AG12" s="61">
        <f t="shared" si="4"/>
        <v>6.2633905256943095E-2</v>
      </c>
      <c r="AH12" s="61">
        <f t="shared" si="4"/>
        <v>-2.7704485299748627</v>
      </c>
      <c r="AT12">
        <v>7</v>
      </c>
      <c r="AU12" s="62">
        <f>B7</f>
        <v>1</v>
      </c>
      <c r="AV12" s="62">
        <f t="shared" ref="AV12:BA12" si="5">C7</f>
        <v>22.5</v>
      </c>
      <c r="AW12" s="62">
        <f t="shared" si="5"/>
        <v>53505.226980224332</v>
      </c>
      <c r="AX12" s="62">
        <f t="shared" si="5"/>
        <v>0.28628093142053257</v>
      </c>
      <c r="AY12" s="62">
        <f t="shared" si="5"/>
        <v>0.28628093142053257</v>
      </c>
      <c r="AZ12" s="62">
        <f t="shared" si="5"/>
        <v>6.0164719171086116E-2</v>
      </c>
      <c r="BA12" s="62">
        <f t="shared" si="5"/>
        <v>-2.8106691587487767</v>
      </c>
    </row>
    <row r="13" spans="1:53">
      <c r="B13" s="120">
        <f>Conc1!C22</f>
        <v>8</v>
      </c>
      <c r="C13" s="64">
        <f>Conc1!D22</f>
        <v>64</v>
      </c>
      <c r="D13" s="65">
        <f t="shared" si="0"/>
        <v>145334.99263816432</v>
      </c>
      <c r="E13" s="65">
        <f t="shared" si="1"/>
        <v>2.1122260085135278</v>
      </c>
      <c r="F13" s="65">
        <f t="shared" si="2"/>
        <v>2.1122260085135278</v>
      </c>
      <c r="G13" s="64">
        <f>Conc1!M22</f>
        <v>7.1988374224558796E-2</v>
      </c>
      <c r="H13" s="121">
        <f t="shared" si="3"/>
        <v>-2.6312506421069708</v>
      </c>
      <c r="I13" s="52"/>
      <c r="J13" s="52"/>
      <c r="AA13">
        <v>11</v>
      </c>
      <c r="AB13" s="61">
        <f>B11</f>
        <v>6</v>
      </c>
      <c r="AC13" s="61">
        <f t="shared" ref="AC13:AH13" si="6">C11</f>
        <v>50</v>
      </c>
      <c r="AD13" s="61">
        <f t="shared" si="6"/>
        <v>115906.75430098787</v>
      </c>
      <c r="AE13" s="61">
        <f t="shared" si="6"/>
        <v>1.3434375692589571</v>
      </c>
      <c r="AF13" s="61">
        <f t="shared" si="6"/>
        <v>1.3434375692589569</v>
      </c>
      <c r="AG13" s="61">
        <f t="shared" si="6"/>
        <v>8.3580422831665696E-2</v>
      </c>
      <c r="AH13" s="61">
        <f t="shared" si="6"/>
        <v>-2.4819459629698319</v>
      </c>
      <c r="AT13">
        <v>8</v>
      </c>
      <c r="AU13" s="62">
        <f>B8</f>
        <v>2</v>
      </c>
      <c r="AV13" s="62">
        <f t="shared" ref="AV13:BA13" si="7">C8</f>
        <v>28</v>
      </c>
      <c r="AW13" s="62">
        <f t="shared" si="7"/>
        <v>66349.195602210661</v>
      </c>
      <c r="AX13" s="62">
        <f t="shared" si="7"/>
        <v>0.44022157570604104</v>
      </c>
      <c r="AY13" s="62">
        <f t="shared" si="7"/>
        <v>0.44022157570604104</v>
      </c>
      <c r="AZ13" s="62">
        <f t="shared" si="7"/>
        <v>5.9479086966343034E-2</v>
      </c>
      <c r="BA13" s="62">
        <f t="shared" si="7"/>
        <v>-2.82213050777123</v>
      </c>
    </row>
    <row r="14" spans="1:53">
      <c r="B14" s="118">
        <f>Conc1!C23</f>
        <v>9</v>
      </c>
      <c r="C14" s="62">
        <f>Conc1!D23</f>
        <v>72</v>
      </c>
      <c r="D14" s="63">
        <f t="shared" si="0"/>
        <v>161205.2459318676</v>
      </c>
      <c r="E14" s="63">
        <f t="shared" si="1"/>
        <v>2.5987131315953915</v>
      </c>
      <c r="F14" s="63">
        <f t="shared" si="2"/>
        <v>2.5987131315953915</v>
      </c>
      <c r="G14" s="62">
        <f>Conc1!M23</f>
        <v>7.8213618565810245E-2</v>
      </c>
      <c r="H14" s="119">
        <f t="shared" si="3"/>
        <v>-2.548311496135371</v>
      </c>
      <c r="I14" s="52"/>
      <c r="J14" s="52"/>
      <c r="AA14">
        <v>13</v>
      </c>
      <c r="AB14" s="61">
        <f>B13</f>
        <v>8</v>
      </c>
      <c r="AC14" s="61">
        <f t="shared" ref="AC14:AH14" si="8">C13</f>
        <v>64</v>
      </c>
      <c r="AD14" s="61">
        <f t="shared" si="8"/>
        <v>145334.99263816432</v>
      </c>
      <c r="AE14" s="61">
        <f t="shared" si="8"/>
        <v>2.1122260085135278</v>
      </c>
      <c r="AF14" s="61">
        <f t="shared" si="8"/>
        <v>2.1122260085135278</v>
      </c>
      <c r="AG14" s="61">
        <f t="shared" si="8"/>
        <v>7.1988374224558796E-2</v>
      </c>
      <c r="AH14" s="61">
        <f t="shared" si="8"/>
        <v>-2.6312506421069708</v>
      </c>
      <c r="AT14">
        <v>9</v>
      </c>
      <c r="AU14" s="62">
        <f>B9</f>
        <v>3</v>
      </c>
      <c r="AV14" s="62">
        <f t="shared" ref="AV14:BA14" si="9">C9</f>
        <v>32</v>
      </c>
      <c r="AW14" s="62">
        <f t="shared" si="9"/>
        <v>75595.955426216213</v>
      </c>
      <c r="AX14" s="62">
        <f t="shared" si="9"/>
        <v>0.57147484768024681</v>
      </c>
      <c r="AY14" s="62">
        <f t="shared" si="9"/>
        <v>0.57147484768024681</v>
      </c>
      <c r="AZ14" s="62">
        <f t="shared" si="9"/>
        <v>8.8599198314927075E-2</v>
      </c>
      <c r="BA14" s="62">
        <f t="shared" si="9"/>
        <v>-2.4236324697762925</v>
      </c>
    </row>
    <row r="15" spans="1:53">
      <c r="B15" s="120">
        <f>Conc1!C24</f>
        <v>10</v>
      </c>
      <c r="C15" s="64">
        <f>Conc1!D24</f>
        <v>81</v>
      </c>
      <c r="D15" s="65">
        <f t="shared" si="0"/>
        <v>178116.80701873807</v>
      </c>
      <c r="E15" s="65">
        <f t="shared" si="1"/>
        <v>3.1725596942550376</v>
      </c>
      <c r="F15" s="65">
        <f t="shared" si="2"/>
        <v>3.1725596942550371</v>
      </c>
      <c r="G15" s="64">
        <f>Conc1!M24</f>
        <v>6.5084068151610414E-2</v>
      </c>
      <c r="H15" s="121">
        <f t="shared" si="3"/>
        <v>-2.7320754885725167</v>
      </c>
      <c r="I15" s="52"/>
      <c r="J15" s="52"/>
      <c r="AA15">
        <v>15</v>
      </c>
      <c r="AB15" s="61">
        <f>B15</f>
        <v>10</v>
      </c>
      <c r="AC15" s="61">
        <f t="shared" ref="AC15:AH15" si="10">C15</f>
        <v>81</v>
      </c>
      <c r="AD15" s="61">
        <f t="shared" si="10"/>
        <v>178116.80701873807</v>
      </c>
      <c r="AE15" s="61">
        <f t="shared" si="10"/>
        <v>3.1725596942550376</v>
      </c>
      <c r="AF15" s="61">
        <f t="shared" si="10"/>
        <v>3.1725596942550371</v>
      </c>
      <c r="AG15" s="61">
        <f t="shared" si="10"/>
        <v>6.5084068151610414E-2</v>
      </c>
      <c r="AH15" s="61">
        <f t="shared" si="10"/>
        <v>-2.7320754885725167</v>
      </c>
      <c r="AT15">
        <v>12</v>
      </c>
      <c r="AU15" s="62">
        <f>B12</f>
        <v>7</v>
      </c>
      <c r="AV15" s="62">
        <f t="shared" ref="AV15:BA15" si="11">C12</f>
        <v>57</v>
      </c>
      <c r="AW15" s="62">
        <f t="shared" si="11"/>
        <v>130864.96300509552</v>
      </c>
      <c r="AX15" s="62">
        <f t="shared" si="11"/>
        <v>1.7125638542325019</v>
      </c>
      <c r="AY15" s="62">
        <f t="shared" si="11"/>
        <v>1.7125638542325015</v>
      </c>
      <c r="AZ15" s="62">
        <f t="shared" si="11"/>
        <v>6.9606150912752338E-2</v>
      </c>
      <c r="BA15" s="62">
        <f t="shared" si="11"/>
        <v>-2.6649023403633962</v>
      </c>
    </row>
    <row r="16" spans="1:53">
      <c r="B16" s="118">
        <f>Conc1!C25</f>
        <v>11</v>
      </c>
      <c r="C16" s="62">
        <f>Conc1!D25</f>
        <v>90</v>
      </c>
      <c r="D16" s="63">
        <f t="shared" si="0"/>
        <v>193930.21876048925</v>
      </c>
      <c r="E16" s="63">
        <f t="shared" si="1"/>
        <v>3.760892974849122</v>
      </c>
      <c r="F16" s="63">
        <f t="shared" si="2"/>
        <v>3.7608929748491216</v>
      </c>
      <c r="G16" s="62">
        <f>Conc1!M25</f>
        <v>7.5293007012894111E-2</v>
      </c>
      <c r="H16" s="119">
        <f t="shared" si="3"/>
        <v>-2.5863680168434815</v>
      </c>
      <c r="I16" s="52"/>
      <c r="J16" s="52"/>
      <c r="AA16">
        <v>17</v>
      </c>
      <c r="AB16" s="61">
        <f>B17</f>
        <v>12</v>
      </c>
      <c r="AC16" s="61">
        <f t="shared" ref="AC16:AH17" si="12">C17</f>
        <v>99</v>
      </c>
      <c r="AD16" s="61">
        <f t="shared" si="12"/>
        <v>208547.98621524032</v>
      </c>
      <c r="AE16" s="61">
        <f t="shared" si="12"/>
        <v>4.3492262554432068</v>
      </c>
      <c r="AF16" s="61">
        <f t="shared" si="12"/>
        <v>4.349226255443206</v>
      </c>
      <c r="AG16" s="61">
        <f t="shared" si="12"/>
        <v>9.5703680818486445E-2</v>
      </c>
      <c r="AH16" s="61">
        <f t="shared" si="12"/>
        <v>-2.3464985192097245</v>
      </c>
      <c r="AT16">
        <v>14</v>
      </c>
      <c r="AU16" s="62">
        <f>B14</f>
        <v>9</v>
      </c>
      <c r="AV16" s="62">
        <f t="shared" ref="AV16:BA16" si="13">C14</f>
        <v>72</v>
      </c>
      <c r="AW16" s="62">
        <f t="shared" si="13"/>
        <v>161205.2459318676</v>
      </c>
      <c r="AX16" s="62">
        <f t="shared" si="13"/>
        <v>2.5987131315953915</v>
      </c>
      <c r="AY16" s="62">
        <f t="shared" si="13"/>
        <v>2.5987131315953915</v>
      </c>
      <c r="AZ16" s="62">
        <f t="shared" si="13"/>
        <v>7.8213618565810245E-2</v>
      </c>
      <c r="BA16" s="62">
        <f t="shared" si="13"/>
        <v>-2.548311496135371</v>
      </c>
    </row>
    <row r="17" spans="2:53">
      <c r="B17" s="120">
        <f>Conc1!C26</f>
        <v>12</v>
      </c>
      <c r="C17" s="64">
        <f>Conc1!D26</f>
        <v>99</v>
      </c>
      <c r="D17" s="65">
        <f t="shared" si="0"/>
        <v>208547.98621524032</v>
      </c>
      <c r="E17" s="65">
        <f t="shared" si="1"/>
        <v>4.3492262554432068</v>
      </c>
      <c r="F17" s="65">
        <f t="shared" si="2"/>
        <v>4.349226255443206</v>
      </c>
      <c r="G17" s="64">
        <f>Conc1!M26</f>
        <v>9.5703680818486445E-2</v>
      </c>
      <c r="H17" s="121">
        <f t="shared" si="3"/>
        <v>-2.3464985192097245</v>
      </c>
      <c r="I17" s="52"/>
      <c r="J17" s="52"/>
      <c r="AA17">
        <v>18</v>
      </c>
      <c r="AB17" s="61">
        <f>B18</f>
        <v>14</v>
      </c>
      <c r="AC17" s="61">
        <f t="shared" si="12"/>
        <v>117</v>
      </c>
      <c r="AD17" s="61">
        <f t="shared" si="12"/>
        <v>233844.02186003872</v>
      </c>
      <c r="AE17" s="61">
        <f t="shared" si="12"/>
        <v>5.4683026559678272</v>
      </c>
      <c r="AF17" s="61">
        <f t="shared" si="12"/>
        <v>5.4683026559678263</v>
      </c>
      <c r="AG17" s="61">
        <f t="shared" si="12"/>
        <v>9.9349856451222421E-2</v>
      </c>
      <c r="AH17" s="61">
        <f t="shared" si="12"/>
        <v>-2.3091077548648475</v>
      </c>
      <c r="AT17">
        <v>16</v>
      </c>
      <c r="AU17" s="62">
        <f>B16</f>
        <v>11</v>
      </c>
      <c r="AV17" s="62">
        <f t="shared" ref="AV17:BA17" si="14">C16</f>
        <v>90</v>
      </c>
      <c r="AW17" s="62">
        <f t="shared" si="14"/>
        <v>193930.21876048925</v>
      </c>
      <c r="AX17" s="62">
        <f t="shared" si="14"/>
        <v>3.760892974849122</v>
      </c>
      <c r="AY17" s="62">
        <f t="shared" si="14"/>
        <v>3.7608929748491216</v>
      </c>
      <c r="AZ17" s="62">
        <f t="shared" si="14"/>
        <v>7.5293007012894111E-2</v>
      </c>
      <c r="BA17" s="62">
        <f t="shared" si="14"/>
        <v>-2.5863680168434815</v>
      </c>
    </row>
    <row r="18" spans="2:53">
      <c r="B18" s="120">
        <f>Conc1!C28</f>
        <v>14</v>
      </c>
      <c r="C18" s="64">
        <f>Conc1!D28</f>
        <v>117</v>
      </c>
      <c r="D18" s="65">
        <f t="shared" si="0"/>
        <v>233844.02186003872</v>
      </c>
      <c r="E18" s="65">
        <f t="shared" si="1"/>
        <v>5.4683026559678272</v>
      </c>
      <c r="F18" s="65">
        <f t="shared" si="2"/>
        <v>5.4683026559678263</v>
      </c>
      <c r="G18" s="64">
        <f>Conc1!M28</f>
        <v>9.9349856451222421E-2</v>
      </c>
      <c r="H18" s="121">
        <f t="shared" si="3"/>
        <v>-2.3091077548648475</v>
      </c>
      <c r="I18" s="52"/>
      <c r="J18" s="52"/>
      <c r="AA18">
        <v>20</v>
      </c>
      <c r="AB18" s="61">
        <f>B20</f>
        <v>16</v>
      </c>
      <c r="AC18" s="61">
        <f t="shared" ref="AC18:AH18" si="15">C20</f>
        <v>134</v>
      </c>
      <c r="AD18" s="61">
        <f t="shared" si="15"/>
        <v>252456.50635760027</v>
      </c>
      <c r="AE18" s="61">
        <f t="shared" si="15"/>
        <v>6.3734287602285065</v>
      </c>
      <c r="AF18" s="61">
        <f t="shared" si="15"/>
        <v>6.3734287602285056</v>
      </c>
      <c r="AG18" s="61">
        <f t="shared" si="15"/>
        <v>7.3718387006404235E-2</v>
      </c>
      <c r="AH18" s="61">
        <f t="shared" si="15"/>
        <v>-2.6075030264198276</v>
      </c>
      <c r="AT18">
        <v>19</v>
      </c>
      <c r="AU18" s="62">
        <f>B19</f>
        <v>15</v>
      </c>
      <c r="AV18" s="62">
        <f t="shared" ref="AV18:BA18" si="16">C19</f>
        <v>126</v>
      </c>
      <c r="AW18" s="62">
        <f t="shared" si="16"/>
        <v>244366.33157855037</v>
      </c>
      <c r="AX18" s="62">
        <f t="shared" si="16"/>
        <v>5.9714904009158021</v>
      </c>
      <c r="AY18" s="62">
        <f t="shared" si="16"/>
        <v>5.971490400915803</v>
      </c>
      <c r="AZ18" s="62">
        <f t="shared" si="16"/>
        <v>6.4786124844837673E-2</v>
      </c>
      <c r="BA18" s="62">
        <f t="shared" si="16"/>
        <v>-2.736663821316311</v>
      </c>
    </row>
    <row r="19" spans="2:53">
      <c r="B19" s="118">
        <f>Conc1!C29</f>
        <v>15</v>
      </c>
      <c r="C19" s="62">
        <f>Conc1!D29</f>
        <v>126</v>
      </c>
      <c r="D19" s="63">
        <f t="shared" si="0"/>
        <v>244366.33157855037</v>
      </c>
      <c r="E19" s="63">
        <f t="shared" si="1"/>
        <v>5.9714904009158021</v>
      </c>
      <c r="F19" s="63">
        <f t="shared" si="2"/>
        <v>5.971490400915803</v>
      </c>
      <c r="G19" s="62">
        <f>Conc1!M29</f>
        <v>6.4786124844837673E-2</v>
      </c>
      <c r="H19" s="119">
        <f t="shared" si="3"/>
        <v>-2.736663821316311</v>
      </c>
      <c r="I19" s="52"/>
      <c r="J19" s="52"/>
      <c r="N19" s="39"/>
      <c r="AA19">
        <v>22</v>
      </c>
      <c r="AB19" s="61">
        <f>B22</f>
        <v>18</v>
      </c>
      <c r="AC19" s="61">
        <f t="shared" ref="AC19:AH19" si="17">C22</f>
        <v>147</v>
      </c>
      <c r="AD19" s="61">
        <f t="shared" si="17"/>
        <v>262964.69766962621</v>
      </c>
      <c r="AE19" s="61">
        <f t="shared" si="17"/>
        <v>6.9150432220477924</v>
      </c>
      <c r="AF19" s="61">
        <f t="shared" si="17"/>
        <v>6.9150432220477915</v>
      </c>
      <c r="AG19" s="61">
        <f t="shared" si="17"/>
        <v>9.3064523551827746E-2</v>
      </c>
      <c r="AH19" s="61">
        <f t="shared" si="17"/>
        <v>-2.3744622247654124</v>
      </c>
      <c r="AT19">
        <v>21</v>
      </c>
      <c r="AU19" s="62">
        <f>B21</f>
        <v>17</v>
      </c>
      <c r="AV19" s="62">
        <f t="shared" ref="AV19:BA19" si="18">C21</f>
        <v>141</v>
      </c>
      <c r="AW19" s="62">
        <f t="shared" si="18"/>
        <v>258527.67282681772</v>
      </c>
      <c r="AX19" s="62">
        <f t="shared" si="18"/>
        <v>6.683655761725011</v>
      </c>
      <c r="AY19" s="62">
        <f t="shared" si="18"/>
        <v>6.6836557617250101</v>
      </c>
      <c r="AZ19" s="62">
        <f t="shared" si="18"/>
        <v>6.834774734400241E-2</v>
      </c>
      <c r="BA19" s="62">
        <f t="shared" si="18"/>
        <v>-2.6831466740143664</v>
      </c>
    </row>
    <row r="20" spans="2:53">
      <c r="B20" s="120">
        <f>Conc1!C30</f>
        <v>16</v>
      </c>
      <c r="C20" s="64">
        <f>Conc1!D30</f>
        <v>134</v>
      </c>
      <c r="D20" s="65">
        <f t="shared" si="0"/>
        <v>252456.50635760027</v>
      </c>
      <c r="E20" s="65">
        <f t="shared" si="1"/>
        <v>6.3734287602285065</v>
      </c>
      <c r="F20" s="65">
        <f t="shared" si="2"/>
        <v>6.3734287602285056</v>
      </c>
      <c r="G20" s="64">
        <f>Conc1!M30</f>
        <v>7.3718387006404235E-2</v>
      </c>
      <c r="H20" s="121">
        <f t="shared" si="3"/>
        <v>-2.6075030264198276</v>
      </c>
      <c r="I20" s="52"/>
      <c r="J20" s="52"/>
    </row>
    <row r="21" spans="2:53" ht="14.65" thickBot="1">
      <c r="B21" s="118">
        <f>Conc1!C31</f>
        <v>17</v>
      </c>
      <c r="C21" s="62">
        <f>Conc1!D31</f>
        <v>141</v>
      </c>
      <c r="D21" s="63">
        <f t="shared" si="0"/>
        <v>258527.67282681772</v>
      </c>
      <c r="E21" s="63">
        <f t="shared" si="1"/>
        <v>6.683655761725011</v>
      </c>
      <c r="F21" s="63">
        <f t="shared" si="2"/>
        <v>6.6836557617250101</v>
      </c>
      <c r="G21" s="62">
        <f>Conc1!M31</f>
        <v>6.834774734400241E-2</v>
      </c>
      <c r="H21" s="119">
        <f t="shared" si="3"/>
        <v>-2.6831466740143664</v>
      </c>
      <c r="I21" s="52"/>
      <c r="J21" s="52"/>
    </row>
    <row r="22" spans="2:53" ht="14.65" thickBot="1">
      <c r="B22" s="122">
        <f>Conc1!C32</f>
        <v>18</v>
      </c>
      <c r="C22" s="123">
        <f>Conc1!D32</f>
        <v>147</v>
      </c>
      <c r="D22" s="124">
        <f t="shared" si="0"/>
        <v>262964.69766962621</v>
      </c>
      <c r="E22" s="124">
        <f t="shared" si="1"/>
        <v>6.9150432220477924</v>
      </c>
      <c r="F22" s="124">
        <f t="shared" si="2"/>
        <v>6.9150432220477915</v>
      </c>
      <c r="G22" s="123">
        <f>Conc1!M32</f>
        <v>9.3064523551827746E-2</v>
      </c>
      <c r="H22" s="125">
        <f t="shared" si="3"/>
        <v>-2.3744622247654124</v>
      </c>
      <c r="I22" s="52"/>
      <c r="J22" s="52"/>
      <c r="K22" s="39"/>
      <c r="L22" s="39"/>
      <c r="M22" s="114" t="s">
        <v>105</v>
      </c>
      <c r="N22" s="102"/>
      <c r="O22" s="103"/>
    </row>
    <row r="23" spans="2:53" ht="14.65" thickBot="1">
      <c r="M23" s="112" t="s">
        <v>63</v>
      </c>
      <c r="N23" s="113">
        <f>INTERCEPT(H7:H22,F7:F22)</f>
        <v>-2.6773901798608772</v>
      </c>
      <c r="O23" s="115" t="s">
        <v>100</v>
      </c>
      <c r="AG23" s="100" t="s">
        <v>103</v>
      </c>
      <c r="AH23" s="99"/>
      <c r="AI23" s="98"/>
      <c r="AX23" s="101" t="s">
        <v>104</v>
      </c>
      <c r="AY23" s="97"/>
      <c r="AZ23" s="89"/>
    </row>
    <row r="24" spans="2:53" ht="15.75">
      <c r="M24" s="105" t="s">
        <v>84</v>
      </c>
      <c r="N24" s="106">
        <f>-SLOPE(H7:H22,F7:F22)</f>
        <v>-2.4786992128675731E-2</v>
      </c>
      <c r="O24" s="108" t="s">
        <v>101</v>
      </c>
      <c r="AG24" s="77" t="s">
        <v>63</v>
      </c>
      <c r="AH24" s="78">
        <f>INTERCEPT(AH12:AH19,AF12:AF19)</f>
        <v>-2.7011854305704235</v>
      </c>
      <c r="AI24" s="79" t="s">
        <v>100</v>
      </c>
      <c r="AX24" s="87" t="s">
        <v>63</v>
      </c>
      <c r="AY24" s="88">
        <f>INTERCEPT(BA12:BA19,AY12:AY19)</f>
        <v>-2.6566918233999304</v>
      </c>
      <c r="AZ24" s="89" t="s">
        <v>100</v>
      </c>
    </row>
    <row r="25" spans="2:53" ht="16.5">
      <c r="M25" s="104" t="s">
        <v>64</v>
      </c>
      <c r="N25" s="107">
        <f>SQRT(30000*ABS(Guinslope))</f>
        <v>27.26920908021118</v>
      </c>
      <c r="O25" s="108" t="s">
        <v>19</v>
      </c>
      <c r="AG25" s="80" t="s">
        <v>84</v>
      </c>
      <c r="AH25" s="76">
        <f>-SLOPE(AH12:AH19,AF12:AF19)</f>
        <v>-4.4046833158166342E-2</v>
      </c>
      <c r="AI25" s="81" t="s">
        <v>101</v>
      </c>
      <c r="AX25" s="90" t="s">
        <v>84</v>
      </c>
      <c r="AY25" s="85">
        <f>SLOPE(BA12:BA19,AY12:AY19)</f>
        <v>-1.0120136556601286E-3</v>
      </c>
      <c r="AZ25" s="91" t="s">
        <v>101</v>
      </c>
    </row>
    <row r="26" spans="2:53" ht="15.75">
      <c r="M26" s="104" t="s">
        <v>65</v>
      </c>
      <c r="N26" s="107">
        <f>N25*SQRT(5/3)</f>
        <v>35.204397543968653</v>
      </c>
      <c r="O26" s="108" t="s">
        <v>19</v>
      </c>
      <c r="AG26" s="80" t="s">
        <v>64</v>
      </c>
      <c r="AH26" s="76">
        <f>SQRT(30000*ABS(AH25))</f>
        <v>36.351134710556018</v>
      </c>
      <c r="AI26" s="81" t="s">
        <v>19</v>
      </c>
      <c r="AX26" s="92" t="s">
        <v>64</v>
      </c>
      <c r="AY26" s="86">
        <f>SQRT(30000*ABS(AY25))</f>
        <v>5.5100281006364984</v>
      </c>
      <c r="AZ26" s="93" t="s">
        <v>19</v>
      </c>
    </row>
    <row r="27" spans="2:53" ht="16.149999999999999" thickBot="1">
      <c r="M27" s="109" t="s">
        <v>66</v>
      </c>
      <c r="N27" s="110">
        <f>Conc1!J7</f>
        <v>1</v>
      </c>
      <c r="O27" s="111" t="s">
        <v>19</v>
      </c>
      <c r="AG27" s="80" t="s">
        <v>65</v>
      </c>
      <c r="AH27" s="76">
        <f>AH26*SQRT(5/3)</f>
        <v>46.929113116575273</v>
      </c>
      <c r="AI27" s="81" t="s">
        <v>19</v>
      </c>
      <c r="AX27" s="92" t="s">
        <v>65</v>
      </c>
      <c r="AY27" s="86">
        <f>AY26*SQRT(5/3)</f>
        <v>7.1134156903000143</v>
      </c>
      <c r="AZ27" s="93" t="s">
        <v>19</v>
      </c>
    </row>
    <row r="28" spans="2:53" ht="16.149999999999999" thickBot="1">
      <c r="G28" s="5" t="s">
        <v>83</v>
      </c>
      <c r="H28" s="5" t="s">
        <v>61</v>
      </c>
      <c r="I28" s="5"/>
      <c r="J28" s="5" t="s">
        <v>82</v>
      </c>
      <c r="K28" s="1"/>
      <c r="AG28" s="82" t="s">
        <v>66</v>
      </c>
      <c r="AH28" s="83">
        <f>Conc1!J7</f>
        <v>1</v>
      </c>
      <c r="AI28" s="84" t="s">
        <v>19</v>
      </c>
      <c r="AX28" s="94" t="s">
        <v>66</v>
      </c>
      <c r="AY28" s="95">
        <f>Conc1!J7</f>
        <v>1</v>
      </c>
      <c r="AZ28" s="96" t="s">
        <v>19</v>
      </c>
    </row>
    <row r="29" spans="2:53" ht="15.75">
      <c r="B29" t="s">
        <v>81</v>
      </c>
      <c r="C29" t="s">
        <v>78</v>
      </c>
      <c r="D29" t="s">
        <v>77</v>
      </c>
      <c r="E29" t="s">
        <v>80</v>
      </c>
      <c r="F29" t="s">
        <v>79</v>
      </c>
      <c r="G29" s="1" t="s">
        <v>78</v>
      </c>
      <c r="H29" s="5" t="s">
        <v>62</v>
      </c>
      <c r="I29" s="5" t="s">
        <v>77</v>
      </c>
      <c r="J29" s="5" t="s">
        <v>76</v>
      </c>
      <c r="K29" s="51" t="s">
        <v>75</v>
      </c>
      <c r="L29" s="50"/>
    </row>
    <row r="30" spans="2:53" ht="15.75">
      <c r="B30">
        <f t="shared" ref="B30:B61" si="19">10000000*C30</f>
        <v>1</v>
      </c>
      <c r="C30">
        <v>9.9999999999999995E-8</v>
      </c>
      <c r="D30">
        <f t="shared" ref="D30:D61" si="20">C30*Rsphere</f>
        <v>1.1269034418874374E-5</v>
      </c>
      <c r="E30">
        <f t="shared" ref="E30:E61" si="21">((3/D30^3)*(SIN(D30)-D30*COS(D30)))^2</f>
        <v>0.99999729121698844</v>
      </c>
      <c r="F30">
        <f t="shared" ref="F30:F61" si="22">E30*Izero</f>
        <v>1.4456708102296651</v>
      </c>
      <c r="G30" s="1">
        <f t="shared" ref="G30:G45" si="23">D7/10000000</f>
        <v>5.3505226980224332E-3</v>
      </c>
      <c r="H30" s="40">
        <f>Conc1!M15</f>
        <v>6.0164719171086116E-2</v>
      </c>
      <c r="I30" s="40">
        <f t="shared" ref="I30:I45" si="24">G30*Rsphere</f>
        <v>0.60295224442983375</v>
      </c>
      <c r="J30" s="40">
        <f t="shared" ref="J30:J45" si="25">Izero*(3/I30^3*(SIN(I30)-I30*COS(I30)))^2</f>
        <v>1.3437767504580342</v>
      </c>
      <c r="K30" s="1">
        <f t="shared" ref="K30:K45" si="26">(H30-J30)^2</f>
        <v>1.6476598468646051</v>
      </c>
      <c r="M30" s="49" t="s">
        <v>74</v>
      </c>
      <c r="N30" s="53">
        <v>1.4456747262488039</v>
      </c>
    </row>
    <row r="31" spans="2:53" ht="15.75">
      <c r="B31">
        <f t="shared" si="19"/>
        <v>10000</v>
      </c>
      <c r="C31" s="46">
        <v>1E-3</v>
      </c>
      <c r="D31">
        <f t="shared" si="20"/>
        <v>0.11269034418874374</v>
      </c>
      <c r="E31">
        <f t="shared" si="21"/>
        <v>0.99746294011781955</v>
      </c>
      <c r="F31">
        <f t="shared" si="22"/>
        <v>1.4420069628981558</v>
      </c>
      <c r="G31" s="1">
        <f t="shared" si="23"/>
        <v>6.6349195602210661E-3</v>
      </c>
      <c r="H31" s="40">
        <f>Conc1!M16</f>
        <v>5.9479086966343034E-2</v>
      </c>
      <c r="I31" s="40">
        <f t="shared" si="24"/>
        <v>0.74769136890594012</v>
      </c>
      <c r="J31" s="40">
        <f t="shared" si="25"/>
        <v>1.2915714312538566</v>
      </c>
      <c r="K31" s="1">
        <f t="shared" si="26"/>
        <v>1.518051544851901</v>
      </c>
      <c r="M31" s="49" t="s">
        <v>73</v>
      </c>
      <c r="N31" s="54">
        <v>112.69034418874374</v>
      </c>
    </row>
    <row r="32" spans="2:53">
      <c r="B32">
        <f t="shared" si="19"/>
        <v>15000</v>
      </c>
      <c r="C32" s="46">
        <v>1.5E-3</v>
      </c>
      <c r="D32">
        <f t="shared" si="20"/>
        <v>0.16903551628311561</v>
      </c>
      <c r="E32">
        <f t="shared" si="21"/>
        <v>0.99429937483128761</v>
      </c>
      <c r="F32">
        <f t="shared" si="22"/>
        <v>1.4374334765185786</v>
      </c>
      <c r="G32" s="1">
        <f t="shared" si="23"/>
        <v>7.5595955426216209E-3</v>
      </c>
      <c r="H32" s="40">
        <f>Conc1!M17</f>
        <v>8.8599198314927075E-2</v>
      </c>
      <c r="I32" s="40">
        <f t="shared" si="24"/>
        <v>0.8518934236257234</v>
      </c>
      <c r="J32" s="40">
        <f t="shared" si="25"/>
        <v>1.2484386141560717</v>
      </c>
      <c r="K32" s="1">
        <f t="shared" si="26"/>
        <v>1.3452274705387277</v>
      </c>
    </row>
    <row r="33" spans="2:11">
      <c r="B33">
        <f t="shared" si="19"/>
        <v>20000</v>
      </c>
      <c r="C33" s="46">
        <v>2E-3</v>
      </c>
      <c r="D33">
        <f t="shared" si="20"/>
        <v>0.22538068837748748</v>
      </c>
      <c r="E33">
        <f t="shared" si="21"/>
        <v>0.98988483165429186</v>
      </c>
      <c r="F33">
        <f t="shared" si="22"/>
        <v>1.4310514830196617</v>
      </c>
      <c r="G33" s="1">
        <f t="shared" si="23"/>
        <v>1.0273913437566617E-2</v>
      </c>
      <c r="H33" s="40">
        <f>Conc1!M19</f>
        <v>6.2633905256943095E-2</v>
      </c>
      <c r="I33" s="40">
        <f t="shared" si="24"/>
        <v>1.1577708414447414</v>
      </c>
      <c r="J33" s="40">
        <f t="shared" si="25"/>
        <v>1.0998145730876969</v>
      </c>
      <c r="K33" s="1">
        <f t="shared" si="26"/>
        <v>1.0757437377218484</v>
      </c>
    </row>
    <row r="34" spans="2:11">
      <c r="B34">
        <f t="shared" si="19"/>
        <v>25000</v>
      </c>
      <c r="C34" s="46">
        <v>2.5000000000000001E-3</v>
      </c>
      <c r="D34">
        <f t="shared" si="20"/>
        <v>0.28172586047185932</v>
      </c>
      <c r="E34">
        <f t="shared" si="21"/>
        <v>0.98423367734756462</v>
      </c>
      <c r="F34">
        <f t="shared" si="22"/>
        <v>1.422881752064294</v>
      </c>
      <c r="G34" s="1">
        <f t="shared" si="23"/>
        <v>1.1590675430098786E-2</v>
      </c>
      <c r="H34" s="40">
        <f>Conc1!M20</f>
        <v>8.3580422831665696E-2</v>
      </c>
      <c r="I34" s="40">
        <f t="shared" si="24"/>
        <v>1.3061572035978475</v>
      </c>
      <c r="J34" s="40">
        <f t="shared" si="25"/>
        <v>1.0187768692440813</v>
      </c>
      <c r="K34" s="1">
        <f t="shared" si="26"/>
        <v>0.87459239338241013</v>
      </c>
    </row>
    <row r="35" spans="2:11">
      <c r="B35">
        <f t="shared" si="19"/>
        <v>30000</v>
      </c>
      <c r="C35" s="46">
        <v>3.0000000000000001E-3</v>
      </c>
      <c r="D35">
        <f t="shared" si="20"/>
        <v>0.33807103256623122</v>
      </c>
      <c r="E35">
        <f t="shared" si="21"/>
        <v>0.97736426761158823</v>
      </c>
      <c r="F35">
        <f t="shared" si="22"/>
        <v>1.4129508200247456</v>
      </c>
      <c r="G35" s="1">
        <f t="shared" si="23"/>
        <v>1.3086496300509551E-2</v>
      </c>
      <c r="H35" s="40">
        <f>Conc1!M21</f>
        <v>6.9606150912752338E-2</v>
      </c>
      <c r="I35" s="40">
        <f t="shared" si="24"/>
        <v>1.4747217723291428</v>
      </c>
      <c r="J35" s="40">
        <f t="shared" si="25"/>
        <v>0.92233774750037412</v>
      </c>
      <c r="K35" s="1">
        <f t="shared" si="26"/>
        <v>0.72715117581887456</v>
      </c>
    </row>
    <row r="36" spans="2:11">
      <c r="B36">
        <f t="shared" si="19"/>
        <v>35000</v>
      </c>
      <c r="C36" s="46">
        <v>3.5000000000000001E-3</v>
      </c>
      <c r="D36">
        <f t="shared" si="20"/>
        <v>0.39441620466060306</v>
      </c>
      <c r="E36">
        <f t="shared" si="21"/>
        <v>0.96929886111886665</v>
      </c>
      <c r="F36">
        <f t="shared" si="22"/>
        <v>1.401290865701295</v>
      </c>
      <c r="G36" s="1">
        <f t="shared" si="23"/>
        <v>1.4533499263816432E-2</v>
      </c>
      <c r="H36" s="40">
        <f>Conc1!M22</f>
        <v>7.1988374224558796E-2</v>
      </c>
      <c r="I36" s="40">
        <f t="shared" si="24"/>
        <v>1.6377850343063274</v>
      </c>
      <c r="J36" s="40">
        <f t="shared" si="25"/>
        <v>0.82674477743470576</v>
      </c>
      <c r="K36" s="1">
        <f t="shared" si="26"/>
        <v>0.56965722818671782</v>
      </c>
    </row>
    <row r="37" spans="2:11">
      <c r="B37">
        <f t="shared" si="19"/>
        <v>40000</v>
      </c>
      <c r="C37" s="46">
        <v>4.0000000000000001E-3</v>
      </c>
      <c r="D37">
        <f t="shared" si="20"/>
        <v>0.45076137675497496</v>
      </c>
      <c r="E37">
        <f t="shared" si="21"/>
        <v>0.96006351545565616</v>
      </c>
      <c r="F37">
        <f t="shared" si="22"/>
        <v>1.3879395598878199</v>
      </c>
      <c r="G37" s="1">
        <f t="shared" si="23"/>
        <v>1.6120524593186761E-2</v>
      </c>
      <c r="H37" s="40">
        <f>Conc1!M23</f>
        <v>7.8213618565810245E-2</v>
      </c>
      <c r="I37" s="40">
        <f t="shared" si="24"/>
        <v>1.8166274649093241</v>
      </c>
      <c r="J37" s="40">
        <f t="shared" si="25"/>
        <v>0.72178600862293218</v>
      </c>
      <c r="K37" s="1">
        <f t="shared" si="26"/>
        <v>0.41418542124383634</v>
      </c>
    </row>
    <row r="38" spans="2:11">
      <c r="B38">
        <f t="shared" si="19"/>
        <v>45000</v>
      </c>
      <c r="C38" s="46">
        <v>4.4999999999999997E-3</v>
      </c>
      <c r="D38">
        <f t="shared" si="20"/>
        <v>0.50710654884934681</v>
      </c>
      <c r="E38">
        <f t="shared" si="21"/>
        <v>0.94968796557115454</v>
      </c>
      <c r="F38">
        <f t="shared" si="22"/>
        <v>1.3729398896488623</v>
      </c>
      <c r="G38" s="1">
        <f t="shared" si="23"/>
        <v>1.7811680701873805E-2</v>
      </c>
      <c r="H38" s="40">
        <f>Conc1!M24</f>
        <v>6.5084068151610414E-2</v>
      </c>
      <c r="I38" s="40">
        <f t="shared" si="24"/>
        <v>2.0072044288741639</v>
      </c>
      <c r="J38" s="40">
        <f t="shared" si="25"/>
        <v>0.61258544174007779</v>
      </c>
      <c r="K38" s="1">
        <f t="shared" si="26"/>
        <v>0.29975775408125854</v>
      </c>
    </row>
    <row r="39" spans="2:11">
      <c r="B39">
        <f t="shared" si="19"/>
        <v>50000</v>
      </c>
      <c r="C39" s="46">
        <v>5.0000000000000001E-3</v>
      </c>
      <c r="D39">
        <f t="shared" si="20"/>
        <v>0.56345172094371865</v>
      </c>
      <c r="E39">
        <f t="shared" si="21"/>
        <v>0.93820548543097093</v>
      </c>
      <c r="F39">
        <f t="shared" si="22"/>
        <v>1.3563399583155451</v>
      </c>
      <c r="G39" s="1">
        <f t="shared" si="23"/>
        <v>1.9393021876048924E-2</v>
      </c>
      <c r="H39" s="40">
        <f>Conc1!M25</f>
        <v>7.5293007012894111E-2</v>
      </c>
      <c r="I39" s="40">
        <f t="shared" si="24"/>
        <v>2.18540631007179</v>
      </c>
      <c r="J39" s="40">
        <f t="shared" si="25"/>
        <v>0.51531499374922141</v>
      </c>
      <c r="K39" s="1">
        <f t="shared" si="26"/>
        <v>0.1936193488113846</v>
      </c>
    </row>
    <row r="40" spans="2:11">
      <c r="B40">
        <f t="shared" si="19"/>
        <v>55000</v>
      </c>
      <c r="C40" s="46">
        <v>5.4999999999999997E-3</v>
      </c>
      <c r="D40">
        <f t="shared" si="20"/>
        <v>0.61979689303809049</v>
      </c>
      <c r="E40">
        <f t="shared" si="21"/>
        <v>0.92565273366667489</v>
      </c>
      <c r="F40">
        <f t="shared" si="22"/>
        <v>1.3381927623450272</v>
      </c>
      <c r="G40" s="1">
        <f t="shared" si="23"/>
        <v>2.0854798621524031E-2</v>
      </c>
      <c r="H40" s="40">
        <f>Conc1!M26</f>
        <v>9.5703680818486445E-2</v>
      </c>
      <c r="I40" s="40">
        <f t="shared" si="24"/>
        <v>2.3501344346464816</v>
      </c>
      <c r="J40" s="40">
        <f t="shared" si="25"/>
        <v>0.43123246512441477</v>
      </c>
      <c r="K40" s="1">
        <f t="shared" si="26"/>
        <v>0.11257956509781417</v>
      </c>
    </row>
    <row r="41" spans="2:11">
      <c r="B41">
        <f t="shared" si="19"/>
        <v>60000</v>
      </c>
      <c r="C41" s="46">
        <v>6.0000000000000001E-3</v>
      </c>
      <c r="D41">
        <f t="shared" si="20"/>
        <v>0.67614206513246244</v>
      </c>
      <c r="E41">
        <f t="shared" si="21"/>
        <v>0.91206958410266603</v>
      </c>
      <c r="F41">
        <f t="shared" si="22"/>
        <v>1.3185559463174821</v>
      </c>
      <c r="G41" s="1">
        <f t="shared" si="23"/>
        <v>2.3384402186003871E-2</v>
      </c>
      <c r="H41" s="5">
        <f>Conc1!M28</f>
        <v>9.9349856451222421E-2</v>
      </c>
      <c r="I41" s="40">
        <f t="shared" si="24"/>
        <v>2.6351963309887876</v>
      </c>
      <c r="J41" s="40">
        <f t="shared" si="25"/>
        <v>0.30233535191551547</v>
      </c>
      <c r="K41" s="1">
        <f t="shared" si="26"/>
        <v>4.1203111368884542E-2</v>
      </c>
    </row>
    <row r="42" spans="2:11">
      <c r="B42">
        <f t="shared" si="19"/>
        <v>65000</v>
      </c>
      <c r="C42" s="46">
        <v>6.4999999999999997E-3</v>
      </c>
      <c r="D42">
        <f t="shared" si="20"/>
        <v>0.73248723722683429</v>
      </c>
      <c r="E42">
        <f t="shared" si="21"/>
        <v>0.89749894212544279</v>
      </c>
      <c r="F42">
        <f t="shared" si="22"/>
        <v>1.2974915374657905</v>
      </c>
      <c r="G42" s="1">
        <f t="shared" si="23"/>
        <v>2.4436633157855037E-2</v>
      </c>
      <c r="H42" s="5">
        <f>Conc1!M29</f>
        <v>6.4786124844837673E-2</v>
      </c>
      <c r="I42" s="40">
        <f t="shared" si="24"/>
        <v>2.7537726013727517</v>
      </c>
      <c r="J42" s="40">
        <f t="shared" si="25"/>
        <v>0.25569349953578013</v>
      </c>
      <c r="K42" s="1">
        <f t="shared" si="26"/>
        <v>3.6445625711387895E-2</v>
      </c>
    </row>
    <row r="43" spans="2:11">
      <c r="B43">
        <f t="shared" si="19"/>
        <v>70000</v>
      </c>
      <c r="C43" s="46">
        <v>7.0000000000000001E-3</v>
      </c>
      <c r="D43">
        <f t="shared" si="20"/>
        <v>0.78883240932120613</v>
      </c>
      <c r="E43">
        <f t="shared" si="21"/>
        <v>0.88198654793779652</v>
      </c>
      <c r="F43">
        <f t="shared" si="22"/>
        <v>1.2750656612451015</v>
      </c>
      <c r="G43" s="1">
        <f t="shared" si="23"/>
        <v>2.5245650635760026E-2</v>
      </c>
      <c r="H43" s="5">
        <f>Conc1!M30</f>
        <v>7.3718387006404235E-2</v>
      </c>
      <c r="I43" s="40">
        <f t="shared" si="24"/>
        <v>2.8449410594125744</v>
      </c>
      <c r="J43" s="40">
        <f t="shared" si="25"/>
        <v>0.22277705158596953</v>
      </c>
      <c r="K43" s="1">
        <f t="shared" si="26"/>
        <v>2.2218485486243354E-2</v>
      </c>
    </row>
    <row r="44" spans="2:11">
      <c r="B44">
        <f t="shared" si="19"/>
        <v>75000</v>
      </c>
      <c r="C44" s="46">
        <v>7.4999999999999997E-3</v>
      </c>
      <c r="D44">
        <f t="shared" si="20"/>
        <v>0.84517758141557797</v>
      </c>
      <c r="E44">
        <f t="shared" si="21"/>
        <v>0.86558076781115212</v>
      </c>
      <c r="F44">
        <f t="shared" si="22"/>
        <v>1.2513482395516169</v>
      </c>
      <c r="G44" s="1">
        <f t="shared" si="23"/>
        <v>2.5852767282681773E-2</v>
      </c>
      <c r="H44" s="5">
        <f>Conc1!M31</f>
        <v>6.834774734400241E-2</v>
      </c>
      <c r="I44" s="40">
        <f t="shared" si="24"/>
        <v>2.9133572433169022</v>
      </c>
      <c r="J44" s="40">
        <f t="shared" si="25"/>
        <v>0.1997774670016651</v>
      </c>
      <c r="K44" s="1">
        <f t="shared" si="26"/>
        <v>1.727377120929181E-2</v>
      </c>
    </row>
    <row r="45" spans="2:11">
      <c r="B45">
        <f t="shared" si="19"/>
        <v>80000</v>
      </c>
      <c r="C45" s="46">
        <v>8.0000000000000002E-3</v>
      </c>
      <c r="D45">
        <f t="shared" si="20"/>
        <v>0.90152275350994993</v>
      </c>
      <c r="E45">
        <f t="shared" si="21"/>
        <v>0.84833237451282872</v>
      </c>
      <c r="F45">
        <f t="shared" si="22"/>
        <v>1.2264126732918315</v>
      </c>
      <c r="G45" s="1">
        <f t="shared" si="23"/>
        <v>2.6296469766962621E-2</v>
      </c>
      <c r="H45" s="5">
        <f>Conc1!M32</f>
        <v>9.3064523551827746E-2</v>
      </c>
      <c r="I45" s="40">
        <f t="shared" si="24"/>
        <v>2.9633582289879117</v>
      </c>
      <c r="J45" s="40">
        <f t="shared" si="25"/>
        <v>0.1838934081230115</v>
      </c>
      <c r="K45" s="1">
        <f t="shared" si="26"/>
        <v>8.2498862724454218E-3</v>
      </c>
    </row>
    <row r="46" spans="2:11">
      <c r="B46">
        <f t="shared" si="19"/>
        <v>85000</v>
      </c>
      <c r="C46" s="46">
        <v>8.5000000000000006E-3</v>
      </c>
      <c r="D46">
        <f t="shared" si="20"/>
        <v>0.95786792560432188</v>
      </c>
      <c r="E46">
        <f t="shared" si="21"/>
        <v>0.83029431814076393</v>
      </c>
      <c r="F46">
        <f t="shared" si="22"/>
        <v>1.2003355110840861</v>
      </c>
      <c r="I46" s="48"/>
      <c r="J46" s="48" t="s">
        <v>72</v>
      </c>
      <c r="K46" s="47">
        <f>SUM(K32:K45)</f>
        <v>5.7379049749311246</v>
      </c>
    </row>
    <row r="47" spans="2:11">
      <c r="B47">
        <f t="shared" si="19"/>
        <v>90000</v>
      </c>
      <c r="C47" s="46">
        <v>8.9999999999999993E-3</v>
      </c>
      <c r="D47">
        <f t="shared" si="20"/>
        <v>1.0142130976986936</v>
      </c>
      <c r="E47">
        <f t="shared" si="21"/>
        <v>0.81152148864625318</v>
      </c>
      <c r="F47">
        <f t="shared" si="22"/>
        <v>1.1731961059436939</v>
      </c>
    </row>
    <row r="48" spans="2:11">
      <c r="B48">
        <f t="shared" si="19"/>
        <v>95000</v>
      </c>
      <c r="C48" s="46">
        <v>9.4999999999999998E-3</v>
      </c>
      <c r="D48">
        <f t="shared" si="20"/>
        <v>1.0705582697930656</v>
      </c>
      <c r="E48">
        <f t="shared" si="21"/>
        <v>0.79207047136490327</v>
      </c>
      <c r="F48">
        <f t="shared" si="22"/>
        <v>1.1450762618602175</v>
      </c>
    </row>
    <row r="49" spans="2:6">
      <c r="B49">
        <f t="shared" si="19"/>
        <v>100000</v>
      </c>
      <c r="C49" s="46">
        <v>0.01</v>
      </c>
      <c r="D49">
        <f t="shared" si="20"/>
        <v>1.1269034418874373</v>
      </c>
      <c r="E49">
        <f t="shared" si="21"/>
        <v>0.77199929690727498</v>
      </c>
      <c r="F49">
        <f t="shared" si="22"/>
        <v>1.1160598722206938</v>
      </c>
    </row>
    <row r="50" spans="2:6">
      <c r="B50">
        <f t="shared" si="19"/>
        <v>105000</v>
      </c>
      <c r="C50" s="46">
        <v>1.0500000000000001E-2</v>
      </c>
      <c r="D50">
        <f t="shared" si="20"/>
        <v>1.1832486139818092</v>
      </c>
      <c r="E50">
        <f t="shared" si="21"/>
        <v>0.7513671867833458</v>
      </c>
      <c r="F50">
        <f t="shared" si="22"/>
        <v>1.0862325520653473</v>
      </c>
    </row>
    <row r="51" spans="2:6">
      <c r="B51">
        <f t="shared" si="19"/>
        <v>110000</v>
      </c>
      <c r="C51" s="46">
        <v>1.0999999999999999E-2</v>
      </c>
      <c r="D51">
        <f t="shared" si="20"/>
        <v>1.239593786076181</v>
      </c>
      <c r="E51">
        <f t="shared" si="21"/>
        <v>0.73023429614884827</v>
      </c>
      <c r="F51">
        <f t="shared" si="22"/>
        <v>1.0556812661824742</v>
      </c>
    </row>
    <row r="52" spans="2:6">
      <c r="B52">
        <f t="shared" si="19"/>
        <v>115000</v>
      </c>
      <c r="C52" s="46">
        <v>1.15E-2</v>
      </c>
      <c r="D52">
        <f t="shared" si="20"/>
        <v>1.2959389581705529</v>
      </c>
      <c r="E52">
        <f t="shared" si="21"/>
        <v>0.70866145506676259</v>
      </c>
      <c r="F52">
        <f t="shared" si="22"/>
        <v>1.0244939550567211</v>
      </c>
    </row>
    <row r="53" spans="2:6">
      <c r="B53">
        <f t="shared" si="19"/>
        <v>120000</v>
      </c>
      <c r="C53" s="46">
        <v>1.2E-2</v>
      </c>
      <c r="D53">
        <f t="shared" si="20"/>
        <v>1.3522841302649249</v>
      </c>
      <c r="E53">
        <f t="shared" si="21"/>
        <v>0.68670990967372092</v>
      </c>
      <c r="F53">
        <f t="shared" si="22"/>
        <v>0.99275916067989733</v>
      </c>
    </row>
    <row r="54" spans="2:6">
      <c r="B54">
        <f t="shared" si="19"/>
        <v>125000</v>
      </c>
      <c r="C54" s="46">
        <v>1.2500000000000001E-2</v>
      </c>
      <c r="D54">
        <f t="shared" si="20"/>
        <v>1.4086293023592968</v>
      </c>
      <c r="E54">
        <f t="shared" si="21"/>
        <v>0.66444106462892705</v>
      </c>
      <c r="F54">
        <f t="shared" si="22"/>
        <v>0.96056565421588791</v>
      </c>
    </row>
    <row r="55" spans="2:6">
      <c r="B55">
        <f t="shared" si="19"/>
        <v>130000</v>
      </c>
      <c r="C55" s="46">
        <v>1.2999999999999999E-2</v>
      </c>
      <c r="D55">
        <f t="shared" si="20"/>
        <v>1.4649744744536686</v>
      </c>
      <c r="E55">
        <f t="shared" si="21"/>
        <v>0.64191622820254113</v>
      </c>
      <c r="F55">
        <f t="shared" si="22"/>
        <v>0.92800206748137337</v>
      </c>
    </row>
    <row r="56" spans="2:6">
      <c r="B56">
        <f t="shared" si="19"/>
        <v>135000</v>
      </c>
      <c r="C56" s="46">
        <v>1.35E-2</v>
      </c>
      <c r="D56">
        <f t="shared" si="20"/>
        <v>1.5213196465480405</v>
      </c>
      <c r="E56">
        <f t="shared" si="21"/>
        <v>0.61919636133155143</v>
      </c>
      <c r="F56">
        <f t="shared" si="22"/>
        <v>0.89515653016224606</v>
      </c>
    </row>
    <row r="57" spans="2:6">
      <c r="B57">
        <f t="shared" si="19"/>
        <v>140000</v>
      </c>
      <c r="C57" s="46">
        <v>1.4E-2</v>
      </c>
      <c r="D57">
        <f t="shared" si="20"/>
        <v>1.5776648186424123</v>
      </c>
      <c r="E57">
        <f t="shared" si="21"/>
        <v>0.59634183193415946</v>
      </c>
      <c r="F57">
        <f t="shared" si="22"/>
        <v>0.86211631463212623</v>
      </c>
    </row>
    <row r="58" spans="2:6">
      <c r="B58">
        <f t="shared" si="19"/>
        <v>145000</v>
      </c>
      <c r="C58" s="46">
        <v>1.4500000000000001E-2</v>
      </c>
      <c r="D58">
        <f t="shared" si="20"/>
        <v>1.6340099907367842</v>
      </c>
      <c r="E58">
        <f t="shared" si="21"/>
        <v>0.57341217572900915</v>
      </c>
      <c r="F58">
        <f t="shared" si="22"/>
        <v>0.82896749017476634</v>
      </c>
    </row>
    <row r="59" spans="2:6">
      <c r="B59">
        <f t="shared" si="19"/>
        <v>150000</v>
      </c>
      <c r="C59" s="46">
        <v>1.4999999999999999E-2</v>
      </c>
      <c r="D59">
        <f t="shared" si="20"/>
        <v>1.6903551628311559</v>
      </c>
      <c r="E59">
        <f t="shared" si="21"/>
        <v>0.550465864753517</v>
      </c>
      <c r="F59">
        <f t="shared" si="22"/>
        <v>0.79579458833685179</v>
      </c>
    </row>
    <row r="60" spans="2:6">
      <c r="B60">
        <f t="shared" si="19"/>
        <v>155000</v>
      </c>
      <c r="C60" s="46">
        <v>1.55E-2</v>
      </c>
      <c r="D60">
        <f t="shared" si="20"/>
        <v>1.7467003349255279</v>
      </c>
      <c r="E60">
        <f t="shared" si="21"/>
        <v>0.52756008471653271</v>
      </c>
      <c r="F60">
        <f t="shared" si="22"/>
        <v>0.76268028105236918</v>
      </c>
    </row>
    <row r="61" spans="2:6">
      <c r="B61">
        <f t="shared" si="19"/>
        <v>160000</v>
      </c>
      <c r="C61" s="46">
        <v>1.6E-2</v>
      </c>
      <c r="D61">
        <f t="shared" si="20"/>
        <v>1.8030455070198999</v>
      </c>
      <c r="E61">
        <f t="shared" si="21"/>
        <v>0.50475052225505557</v>
      </c>
      <c r="F61">
        <f t="shared" si="22"/>
        <v>0.7297050730850182</v>
      </c>
    </row>
    <row r="62" spans="2:6">
      <c r="B62">
        <f t="shared" ref="B62:B79" si="27">10000000*C62</f>
        <v>165000</v>
      </c>
      <c r="C62" s="46">
        <v>1.6500000000000001E-2</v>
      </c>
      <c r="D62">
        <f t="shared" ref="D62:D79" si="28">C62*Rsphere</f>
        <v>1.8593906791142718</v>
      </c>
      <c r="E62">
        <f t="shared" ref="E62:E79" si="29">((3/D62^3)*(SIN(D62)-D62*COS(D62)))^2</f>
        <v>0.48209116309318945</v>
      </c>
      <c r="F62">
        <f t="shared" ref="F62:F79" si="30">E62*Izero</f>
        <v>0.69694701023171413</v>
      </c>
    </row>
    <row r="63" spans="2:6">
      <c r="B63">
        <f t="shared" si="27"/>
        <v>170000</v>
      </c>
      <c r="C63" s="46">
        <v>1.7000000000000001E-2</v>
      </c>
      <c r="D63">
        <f t="shared" si="28"/>
        <v>1.9157358512086438</v>
      </c>
      <c r="E63">
        <f t="shared" si="29"/>
        <v>0.45963410202456567</v>
      </c>
      <c r="F63">
        <f t="shared" si="30"/>
        <v>0.66448140461897875</v>
      </c>
    </row>
    <row r="64" spans="2:6">
      <c r="B64">
        <f t="shared" si="27"/>
        <v>175000.00000000003</v>
      </c>
      <c r="C64" s="46">
        <v>1.7500000000000002E-2</v>
      </c>
      <c r="D64">
        <f t="shared" si="28"/>
        <v>1.9720810233030155</v>
      </c>
      <c r="E64">
        <f t="shared" si="29"/>
        <v>0.43742936555756284</v>
      </c>
      <c r="F64">
        <f t="shared" si="30"/>
        <v>0.63238057830561767</v>
      </c>
    </row>
    <row r="65" spans="2:6">
      <c r="B65">
        <f t="shared" si="27"/>
        <v>180000</v>
      </c>
      <c r="C65" s="46">
        <v>1.7999999999999999E-2</v>
      </c>
      <c r="D65">
        <f t="shared" si="28"/>
        <v>2.0284261953973872</v>
      </c>
      <c r="E65">
        <f t="shared" si="29"/>
        <v>0.41552474797649835</v>
      </c>
      <c r="F65">
        <f t="shared" si="30"/>
        <v>0.60071362628052749</v>
      </c>
    </row>
    <row r="66" spans="2:6">
      <c r="B66">
        <f t="shared" si="27"/>
        <v>185000</v>
      </c>
      <c r="C66" s="46">
        <v>1.8499999999999999E-2</v>
      </c>
      <c r="D66">
        <f t="shared" si="28"/>
        <v>2.0847713674917592</v>
      </c>
      <c r="E66">
        <f t="shared" si="29"/>
        <v>0.39396566148210405</v>
      </c>
      <c r="F66">
        <f t="shared" si="30"/>
        <v>0.56954619981456966</v>
      </c>
    </row>
    <row r="67" spans="2:6">
      <c r="B67">
        <f t="shared" si="27"/>
        <v>190000</v>
      </c>
      <c r="C67" s="46">
        <v>1.9E-2</v>
      </c>
      <c r="D67">
        <f t="shared" si="28"/>
        <v>2.1411165395861311</v>
      </c>
      <c r="E67">
        <f t="shared" si="29"/>
        <v>0.37279500098173085</v>
      </c>
      <c r="F67">
        <f t="shared" si="30"/>
        <v>0.53894031099118633</v>
      </c>
    </row>
    <row r="68" spans="2:6">
      <c r="B68">
        <f t="shared" si="27"/>
        <v>195000</v>
      </c>
      <c r="C68" s="46">
        <v>1.95E-2</v>
      </c>
      <c r="D68">
        <f t="shared" si="28"/>
        <v>2.1974617116805031</v>
      </c>
      <c r="E68">
        <f t="shared" si="29"/>
        <v>0.35205302400446176</v>
      </c>
      <c r="F68">
        <f t="shared" si="30"/>
        <v>0.5089541591027138</v>
      </c>
    </row>
    <row r="69" spans="2:6">
      <c r="B69">
        <f t="shared" si="27"/>
        <v>200000</v>
      </c>
      <c r="C69" s="46">
        <v>0.02</v>
      </c>
      <c r="D69">
        <f t="shared" si="28"/>
        <v>2.2538068837748746</v>
      </c>
      <c r="E69">
        <f t="shared" si="29"/>
        <v>0.331777246119347</v>
      </c>
      <c r="F69">
        <f t="shared" si="30"/>
        <v>0.47964197945916903</v>
      </c>
    </row>
    <row r="70" spans="2:6">
      <c r="B70">
        <f t="shared" si="27"/>
        <v>205000</v>
      </c>
      <c r="C70" s="46">
        <v>2.0500000000000001E-2</v>
      </c>
      <c r="D70">
        <f t="shared" si="28"/>
        <v>2.3101520558692465</v>
      </c>
      <c r="E70">
        <f t="shared" si="29"/>
        <v>0.31200235213697081</v>
      </c>
      <c r="F70">
        <f t="shared" si="30"/>
        <v>0.45105391501459818</v>
      </c>
    </row>
    <row r="71" spans="2:6">
      <c r="B71">
        <f t="shared" si="27"/>
        <v>210000</v>
      </c>
      <c r="C71" s="46">
        <v>2.1000000000000001E-2</v>
      </c>
      <c r="D71">
        <f t="shared" si="28"/>
        <v>2.3664972279636185</v>
      </c>
      <c r="E71">
        <f t="shared" si="29"/>
        <v>0.29276012327618051</v>
      </c>
      <c r="F71">
        <f t="shared" si="30"/>
        <v>0.42323591107385833</v>
      </c>
    </row>
    <row r="72" spans="2:6">
      <c r="B72">
        <f t="shared" si="27"/>
        <v>214999.99999999997</v>
      </c>
      <c r="C72" s="46">
        <v>2.1499999999999998E-2</v>
      </c>
      <c r="D72">
        <f t="shared" si="28"/>
        <v>2.42284240005799</v>
      </c>
      <c r="E72">
        <f t="shared" si="29"/>
        <v>0.27407938037973484</v>
      </c>
      <c r="F72">
        <f t="shared" si="30"/>
        <v>0.39622963320091498</v>
      </c>
    </row>
    <row r="73" spans="2:6">
      <c r="B73">
        <f t="shared" si="27"/>
        <v>220000</v>
      </c>
      <c r="C73" s="46">
        <v>2.1999999999999999E-2</v>
      </c>
      <c r="D73">
        <f t="shared" si="28"/>
        <v>2.479187572152362</v>
      </c>
      <c r="E73">
        <f t="shared" si="29"/>
        <v>0.25598594316549622</v>
      </c>
      <c r="F73">
        <f t="shared" si="30"/>
        <v>0.37007240830932064</v>
      </c>
    </row>
    <row r="74" spans="2:6">
      <c r="B74">
        <f t="shared" si="27"/>
        <v>225000</v>
      </c>
      <c r="C74" s="46">
        <v>2.2499999999999999E-2</v>
      </c>
      <c r="D74">
        <f t="shared" si="28"/>
        <v>2.5355327442467339</v>
      </c>
      <c r="E74">
        <f t="shared" si="29"/>
        <v>0.23850260540427523</v>
      </c>
      <c r="F74">
        <f t="shared" si="30"/>
        <v>0.34479718877745208</v>
      </c>
    </row>
    <row r="75" spans="2:6">
      <c r="B75">
        <f t="shared" si="27"/>
        <v>230000</v>
      </c>
      <c r="C75" s="46">
        <v>2.3E-2</v>
      </c>
      <c r="D75">
        <f t="shared" si="28"/>
        <v>2.5918779163411059</v>
      </c>
      <c r="E75">
        <f t="shared" si="29"/>
        <v>0.22164912582210441</v>
      </c>
      <c r="F75">
        <f t="shared" si="30"/>
        <v>0.3204325392961575</v>
      </c>
    </row>
    <row r="76" spans="2:6">
      <c r="B76">
        <f t="shared" si="27"/>
        <v>235000</v>
      </c>
      <c r="C76" s="46">
        <v>2.35E-2</v>
      </c>
      <c r="D76">
        <f t="shared" si="28"/>
        <v>2.6482230884354778</v>
      </c>
      <c r="E76">
        <f t="shared" si="29"/>
        <v>0.20544223443423842</v>
      </c>
      <c r="F76">
        <f t="shared" si="30"/>
        <v>0.29700264602566023</v>
      </c>
    </row>
    <row r="77" spans="2:6">
      <c r="B77">
        <f t="shared" si="27"/>
        <v>240000</v>
      </c>
      <c r="C77" s="46">
        <v>2.4E-2</v>
      </c>
      <c r="D77">
        <f t="shared" si="28"/>
        <v>2.7045682605298498</v>
      </c>
      <c r="E77">
        <f t="shared" si="29"/>
        <v>0.18989565393105479</v>
      </c>
      <c r="F77">
        <f t="shared" si="30"/>
        <v>0.27452734751261521</v>
      </c>
    </row>
    <row r="78" spans="2:6">
      <c r="B78">
        <f t="shared" si="27"/>
        <v>245000</v>
      </c>
      <c r="C78" s="46">
        <v>2.4500000000000001E-2</v>
      </c>
      <c r="D78">
        <f t="shared" si="28"/>
        <v>2.7609134326242217</v>
      </c>
      <c r="E78">
        <f t="shared" si="29"/>
        <v>0.17502013565284807</v>
      </c>
      <c r="F78">
        <f t="shared" si="30"/>
        <v>0.25302218669795967</v>
      </c>
    </row>
    <row r="79" spans="2:6">
      <c r="B79">
        <f t="shared" si="27"/>
        <v>250000</v>
      </c>
      <c r="C79" s="46">
        <v>2.5000000000000001E-2</v>
      </c>
      <c r="D79">
        <f t="shared" si="28"/>
        <v>2.8172586047185937</v>
      </c>
      <c r="E79">
        <f t="shared" si="29"/>
        <v>0.16082350961175779</v>
      </c>
      <c r="F79">
        <f t="shared" si="30"/>
        <v>0.23249848323234981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F55C-7597-4266-B06E-4C8A8A62DD78}">
  <dimension ref="A3:W87"/>
  <sheetViews>
    <sheetView topLeftCell="A28" zoomScale="70" zoomScaleNormal="70" workbookViewId="0">
      <selection activeCell="R70" sqref="R70"/>
    </sheetView>
  </sheetViews>
  <sheetFormatPr defaultRowHeight="14.25"/>
  <cols>
    <col min="1" max="1" width="7.9296875" customWidth="1"/>
    <col min="2" max="2" width="9.33203125" customWidth="1"/>
    <col min="5" max="5" width="10.73046875" bestFit="1" customWidth="1"/>
    <col min="6" max="6" width="10.3984375" customWidth="1"/>
    <col min="7" max="7" width="10.796875" customWidth="1"/>
    <col min="8" max="8" width="11.796875" customWidth="1"/>
    <col min="9" max="9" width="11.33203125" customWidth="1"/>
    <col min="10" max="10" width="10.796875" customWidth="1"/>
    <col min="11" max="11" width="9.9296875" customWidth="1"/>
    <col min="12" max="12" width="10.1328125" customWidth="1"/>
    <col min="13" max="13" width="10.19921875" customWidth="1"/>
    <col min="14" max="14" width="1.9296875" customWidth="1"/>
    <col min="15" max="15" width="6.9296875" customWidth="1"/>
    <col min="16" max="16" width="10.73046875" bestFit="1" customWidth="1"/>
  </cols>
  <sheetData>
    <row r="3" spans="1:20">
      <c r="F3" s="69" t="s">
        <v>213</v>
      </c>
    </row>
    <row r="4" spans="1:20" ht="15.75">
      <c r="F4" s="67" t="s">
        <v>282</v>
      </c>
      <c r="G4" s="67" t="s">
        <v>283</v>
      </c>
      <c r="H4" s="67" t="s">
        <v>284</v>
      </c>
      <c r="I4" s="67" t="s">
        <v>285</v>
      </c>
      <c r="J4" s="67" t="s">
        <v>286</v>
      </c>
      <c r="K4" s="67" t="s">
        <v>287</v>
      </c>
      <c r="L4" s="67" t="s">
        <v>288</v>
      </c>
      <c r="M4" s="67" t="s">
        <v>289</v>
      </c>
    </row>
    <row r="5" spans="1:20" ht="15.75">
      <c r="A5" s="67" t="s">
        <v>147</v>
      </c>
      <c r="B5" s="67" t="s">
        <v>148</v>
      </c>
      <c r="C5" s="67" t="s">
        <v>146</v>
      </c>
      <c r="D5" s="67" t="s">
        <v>280</v>
      </c>
      <c r="E5" s="67" t="s">
        <v>281</v>
      </c>
      <c r="F5" s="181">
        <v>2.601E-3</v>
      </c>
      <c r="G5" s="181">
        <v>4.8279999999999998E-3</v>
      </c>
      <c r="H5" s="181">
        <v>8.1759999999999992E-3</v>
      </c>
      <c r="I5" s="181">
        <v>1.0234999999999999E-2</v>
      </c>
      <c r="J5" s="181">
        <v>1.0000000000000001E-5</v>
      </c>
      <c r="K5" s="181">
        <v>1.0000000000000001E-5</v>
      </c>
      <c r="L5" s="181">
        <v>1.0000000000000001E-5</v>
      </c>
      <c r="M5" s="181">
        <v>1.0000000000000001E-5</v>
      </c>
      <c r="N5" s="136"/>
      <c r="O5" s="213" t="s">
        <v>317</v>
      </c>
      <c r="P5" s="213"/>
      <c r="Q5" s="213"/>
      <c r="R5" s="213"/>
      <c r="S5" s="213"/>
      <c r="T5" s="213"/>
    </row>
    <row r="6" spans="1:20">
      <c r="A6" s="69">
        <v>1</v>
      </c>
      <c r="B6" s="179" t="s">
        <v>149</v>
      </c>
      <c r="C6" s="179">
        <f>NormStandard!E15</f>
        <v>22.5</v>
      </c>
      <c r="D6" s="179">
        <f t="shared" ref="D6:D23" si="0">4*PI()*Refin*SIN(RADIANS(C6/2))/Lamcm</f>
        <v>53505.226980224332</v>
      </c>
      <c r="E6" s="179">
        <f>D6^2</f>
        <v>2862809314.2053256</v>
      </c>
      <c r="F6" s="179">
        <f>Conc1!M15</f>
        <v>6.0164719171086116E-2</v>
      </c>
      <c r="G6" s="179">
        <f>Conc2!M15</f>
        <v>0.17260370254000118</v>
      </c>
      <c r="H6" s="179">
        <f>Conc3!M15</f>
        <v>0.37578291810137393</v>
      </c>
      <c r="I6" s="179">
        <f>Conc4!M15</f>
        <v>0.50400281141680336</v>
      </c>
      <c r="J6" s="179">
        <f>Conc5!M15</f>
        <v>-8.4822390962514843E-2</v>
      </c>
      <c r="K6" s="179">
        <f>Conc6!M15</f>
        <v>-8.4822390962514843E-2</v>
      </c>
      <c r="L6" s="179">
        <f>Conc7!M15</f>
        <v>-8.4822390962514843E-2</v>
      </c>
      <c r="M6" s="179">
        <f>Conc8!M15</f>
        <v>-8.4822390962514843E-2</v>
      </c>
      <c r="O6" s="213" t="s">
        <v>315</v>
      </c>
      <c r="P6" s="213"/>
      <c r="Q6" s="213"/>
      <c r="R6" s="213"/>
      <c r="S6" s="213"/>
      <c r="T6" s="213"/>
    </row>
    <row r="7" spans="1:20">
      <c r="A7" s="69">
        <v>2</v>
      </c>
      <c r="B7" s="179" t="s">
        <v>149</v>
      </c>
      <c r="C7" s="179">
        <f>NormStandard!E16</f>
        <v>28</v>
      </c>
      <c r="D7" s="179">
        <f t="shared" si="0"/>
        <v>66349.195602210661</v>
      </c>
      <c r="E7" s="179">
        <f t="shared" ref="E7:E23" si="1">D7^2</f>
        <v>4402215757.0604105</v>
      </c>
      <c r="F7" s="179">
        <f>Conc1!M16</f>
        <v>5.9479086966343034E-2</v>
      </c>
      <c r="G7" s="179">
        <f>Conc2!M16</f>
        <v>0.10330578262575371</v>
      </c>
      <c r="H7" s="179">
        <f>Conc3!M16</f>
        <v>0.20504632612081419</v>
      </c>
      <c r="I7" s="179">
        <f>Conc4!M16</f>
        <v>0.34591784788320568</v>
      </c>
      <c r="J7" s="179">
        <f>Conc5!M16</f>
        <v>-7.6696717403968662E-2</v>
      </c>
      <c r="K7" s="179">
        <f>Conc6!M16</f>
        <v>-7.6696717403968662E-2</v>
      </c>
      <c r="L7" s="179">
        <f>Conc7!M16</f>
        <v>-7.6696717403968662E-2</v>
      </c>
      <c r="M7" s="179">
        <f>Conc8!M16</f>
        <v>-7.6696717403968662E-2</v>
      </c>
      <c r="O7" s="213" t="s">
        <v>316</v>
      </c>
      <c r="P7" s="213"/>
      <c r="Q7" s="213"/>
      <c r="R7" s="213"/>
      <c r="S7" s="213"/>
      <c r="T7" s="213"/>
    </row>
    <row r="8" spans="1:20">
      <c r="A8" s="69">
        <v>3</v>
      </c>
      <c r="B8" s="179" t="s">
        <v>149</v>
      </c>
      <c r="C8" s="179">
        <f>NormStandard!E17</f>
        <v>32</v>
      </c>
      <c r="D8" s="179">
        <f t="shared" si="0"/>
        <v>75595.955426216213</v>
      </c>
      <c r="E8" s="179">
        <f t="shared" si="1"/>
        <v>5714748476.8024683</v>
      </c>
      <c r="F8" s="179">
        <f>Conc1!M17</f>
        <v>8.8599198314927075E-2</v>
      </c>
      <c r="G8" s="179">
        <f>Conc2!M17</f>
        <v>0.12571507869009924</v>
      </c>
      <c r="H8" s="179">
        <f>Conc3!M17</f>
        <v>0.20832784468645013</v>
      </c>
      <c r="I8" s="179">
        <f>Conc4!M17</f>
        <v>0.25143015738019847</v>
      </c>
      <c r="J8" s="179">
        <f>Conc5!M17</f>
        <v>-3.5918593911456922E-2</v>
      </c>
      <c r="K8" s="179">
        <f>Conc6!M17</f>
        <v>-3.5918593911456922E-2</v>
      </c>
      <c r="L8" s="179">
        <f>Conc7!M17</f>
        <v>-3.5918593911456922E-2</v>
      </c>
      <c r="M8" s="179">
        <f>Conc8!M17</f>
        <v>-3.5918593911456922E-2</v>
      </c>
    </row>
    <row r="9" spans="1:20">
      <c r="A9" s="69">
        <v>4</v>
      </c>
      <c r="B9" s="56" t="s">
        <v>150</v>
      </c>
      <c r="C9" s="56">
        <f>NormStandard!E18</f>
        <v>38</v>
      </c>
      <c r="D9" s="56">
        <f t="shared" si="0"/>
        <v>89289.913624330453</v>
      </c>
      <c r="E9" s="56">
        <f t="shared" si="1"/>
        <v>7972688675.0403929</v>
      </c>
      <c r="F9" s="56" t="str">
        <f>Conc1!M18</f>
        <v>---</v>
      </c>
      <c r="G9" s="56" t="str">
        <f>Conc2!M18</f>
        <v>---</v>
      </c>
      <c r="H9" s="56" t="str">
        <f>Conc3!M18</f>
        <v>---</v>
      </c>
      <c r="I9" s="56" t="str">
        <f>Conc4!M18</f>
        <v>---</v>
      </c>
      <c r="J9" s="56" t="str">
        <f>Conc5!M18</f>
        <v>---</v>
      </c>
      <c r="K9" s="56" t="str">
        <f>Conc6!M18</f>
        <v>---</v>
      </c>
      <c r="L9" s="56" t="str">
        <f>Conc7!M18</f>
        <v>---</v>
      </c>
      <c r="M9" s="56" t="str">
        <f>Conc8!M18</f>
        <v>---</v>
      </c>
    </row>
    <row r="10" spans="1:20">
      <c r="A10" s="69">
        <v>5</v>
      </c>
      <c r="B10" s="180" t="s">
        <v>1</v>
      </c>
      <c r="C10" s="180">
        <f>NormStandard!E19</f>
        <v>44</v>
      </c>
      <c r="D10" s="180">
        <f t="shared" si="0"/>
        <v>102739.13437566617</v>
      </c>
      <c r="E10" s="180">
        <f t="shared" si="1"/>
        <v>10555329732.261189</v>
      </c>
      <c r="F10" s="180">
        <f>Conc1!M19</f>
        <v>6.2633905256943095E-2</v>
      </c>
      <c r="G10" s="180">
        <f>Conc2!M19</f>
        <v>0.17927766644059828</v>
      </c>
      <c r="H10" s="180">
        <f>Conc3!M19</f>
        <v>0.24498347894836026</v>
      </c>
      <c r="I10" s="180">
        <f>Conc4!M19</f>
        <v>0.24934182111290942</v>
      </c>
      <c r="J10" s="180">
        <f>Conc5!M19</f>
        <v>6.2633905256943095E-2</v>
      </c>
      <c r="K10" s="180">
        <f>Conc6!M19</f>
        <v>6.2633905256943095E-2</v>
      </c>
      <c r="L10" s="180">
        <f>Conc7!M19</f>
        <v>6.2633905256943095E-2</v>
      </c>
      <c r="M10" s="180">
        <f>Conc8!M19</f>
        <v>6.2633905256943095E-2</v>
      </c>
    </row>
    <row r="11" spans="1:20">
      <c r="A11" s="69">
        <v>6</v>
      </c>
      <c r="B11" s="180" t="s">
        <v>1</v>
      </c>
      <c r="C11" s="180">
        <f>NormStandard!E20</f>
        <v>50</v>
      </c>
      <c r="D11" s="180">
        <f t="shared" si="0"/>
        <v>115906.75430098787</v>
      </c>
      <c r="E11" s="180">
        <f t="shared" si="1"/>
        <v>13434375692.589571</v>
      </c>
      <c r="F11" s="180">
        <f>Conc1!M20</f>
        <v>8.3580422831665696E-2</v>
      </c>
      <c r="G11" s="180">
        <f>Conc2!M20</f>
        <v>9.3075015626347082E-2</v>
      </c>
      <c r="H11" s="180">
        <f>Conc3!M20</f>
        <v>0.12064165174256036</v>
      </c>
      <c r="I11" s="180">
        <f>Conc4!M20</f>
        <v>0.11737164536097514</v>
      </c>
      <c r="J11" s="180">
        <f>Conc5!M20</f>
        <v>8.3580422831665696E-2</v>
      </c>
      <c r="K11" s="180">
        <f>Conc6!M20</f>
        <v>8.3580422831665696E-2</v>
      </c>
      <c r="L11" s="180">
        <f>Conc7!M20</f>
        <v>8.3580422831665696E-2</v>
      </c>
      <c r="M11" s="180">
        <f>Conc8!M20</f>
        <v>8.3580422831665696E-2</v>
      </c>
    </row>
    <row r="12" spans="1:20">
      <c r="A12" s="69">
        <v>7</v>
      </c>
      <c r="B12" s="179" t="s">
        <v>149</v>
      </c>
      <c r="C12" s="179">
        <f>NormStandard!E21</f>
        <v>57</v>
      </c>
      <c r="D12" s="179">
        <f t="shared" si="0"/>
        <v>130864.96300509552</v>
      </c>
      <c r="E12" s="179">
        <f t="shared" si="1"/>
        <v>17125638542.325018</v>
      </c>
      <c r="F12" s="179">
        <f>Conc1!M21</f>
        <v>6.9606150912752338E-2</v>
      </c>
      <c r="G12" s="179">
        <f>Conc2!M21</f>
        <v>9.780104748500644E-2</v>
      </c>
      <c r="H12" s="179">
        <f>Conc3!M21</f>
        <v>0.12775812509302642</v>
      </c>
      <c r="I12" s="179">
        <f>Conc4!M21</f>
        <v>0.15507193114739759</v>
      </c>
      <c r="J12" s="179">
        <f>Conc5!M21</f>
        <v>-4.4935616412029977E-2</v>
      </c>
      <c r="K12" s="179">
        <f>Conc6!M21</f>
        <v>-4.4935616412029977E-2</v>
      </c>
      <c r="L12" s="179">
        <f>Conc7!M21</f>
        <v>-4.4935616412029977E-2</v>
      </c>
      <c r="M12" s="179">
        <f>Conc8!M21</f>
        <v>-4.4935616412029977E-2</v>
      </c>
    </row>
    <row r="13" spans="1:20">
      <c r="A13" s="69">
        <v>8</v>
      </c>
      <c r="B13" s="180" t="s">
        <v>1</v>
      </c>
      <c r="C13" s="180">
        <f>NormStandard!E22</f>
        <v>64</v>
      </c>
      <c r="D13" s="180">
        <f t="shared" si="0"/>
        <v>145334.99263816432</v>
      </c>
      <c r="E13" s="180">
        <f t="shared" si="1"/>
        <v>21122260085.135277</v>
      </c>
      <c r="F13" s="180">
        <f>Conc1!M22</f>
        <v>7.1988374224558796E-2</v>
      </c>
      <c r="G13" s="180">
        <f>Conc2!M22</f>
        <v>7.8889356411430717E-2</v>
      </c>
      <c r="H13" s="180">
        <f>Conc3!M22</f>
        <v>9.5936738240520167E-2</v>
      </c>
      <c r="I13" s="180">
        <f>Conc4!M22</f>
        <v>0.1083242332514175</v>
      </c>
      <c r="J13" s="180">
        <f>Conc5!M22</f>
        <v>7.1988374224558796E-2</v>
      </c>
      <c r="K13" s="180">
        <f>Conc6!M22</f>
        <v>7.1988374224558796E-2</v>
      </c>
      <c r="L13" s="180">
        <f>Conc7!M22</f>
        <v>7.1988374224558796E-2</v>
      </c>
      <c r="M13" s="180">
        <f>Conc8!M22</f>
        <v>7.1988374224558796E-2</v>
      </c>
    </row>
    <row r="14" spans="1:20">
      <c r="A14" s="69">
        <v>9</v>
      </c>
      <c r="B14" s="179" t="s">
        <v>149</v>
      </c>
      <c r="C14" s="179">
        <f>NormStandard!E23</f>
        <v>72</v>
      </c>
      <c r="D14" s="179">
        <f t="shared" si="0"/>
        <v>161205.2459318676</v>
      </c>
      <c r="E14" s="179">
        <f t="shared" si="1"/>
        <v>25987131315.953915</v>
      </c>
      <c r="F14" s="179">
        <f>Conc1!M23</f>
        <v>7.8213618565810245E-2</v>
      </c>
      <c r="G14" s="179">
        <f>Conc2!M23</f>
        <v>0.10301305859887203</v>
      </c>
      <c r="H14" s="179">
        <f>Conc3!M23</f>
        <v>0.12495102478196515</v>
      </c>
      <c r="I14" s="179">
        <f>Conc4!M23</f>
        <v>0.13830456941515226</v>
      </c>
      <c r="J14" s="179">
        <f>Conc5!M23</f>
        <v>-3.2430036966311568E-2</v>
      </c>
      <c r="K14" s="179">
        <f>Conc6!M23</f>
        <v>-3.2430036966311568E-2</v>
      </c>
      <c r="L14" s="179">
        <f>Conc7!M23</f>
        <v>-3.2430036966311568E-2</v>
      </c>
      <c r="M14" s="179">
        <f>Conc8!M23</f>
        <v>-3.2430036966311568E-2</v>
      </c>
    </row>
    <row r="15" spans="1:20">
      <c r="A15" s="69">
        <v>10</v>
      </c>
      <c r="B15" s="180" t="s">
        <v>1</v>
      </c>
      <c r="C15" s="180">
        <f>NormStandard!E24</f>
        <v>81</v>
      </c>
      <c r="D15" s="180">
        <f t="shared" si="0"/>
        <v>178116.80701873807</v>
      </c>
      <c r="E15" s="180">
        <f t="shared" si="1"/>
        <v>31725596942.550377</v>
      </c>
      <c r="F15" s="180">
        <f>Conc1!M24</f>
        <v>6.5084068151610414E-2</v>
      </c>
      <c r="G15" s="180">
        <f>Conc2!M24</f>
        <v>5.6924613525092822E-2</v>
      </c>
      <c r="H15" s="180">
        <f>Conc3!M24</f>
        <v>6.3735279323757582E-2</v>
      </c>
      <c r="I15" s="180">
        <f>Conc4!M24</f>
        <v>7.3856042411053924E-2</v>
      </c>
      <c r="J15" s="180">
        <f>Conc5!M24</f>
        <v>6.5084068151610414E-2</v>
      </c>
      <c r="K15" s="180">
        <f>Conc6!M24</f>
        <v>6.5084068151610414E-2</v>
      </c>
      <c r="L15" s="180">
        <f>Conc7!M24</f>
        <v>6.5084068151610414E-2</v>
      </c>
      <c r="M15" s="180">
        <f>Conc8!M24</f>
        <v>6.5084068151610414E-2</v>
      </c>
    </row>
    <row r="16" spans="1:20">
      <c r="A16" s="69">
        <v>11</v>
      </c>
      <c r="B16" s="179" t="s">
        <v>149</v>
      </c>
      <c r="C16" s="179">
        <f>NormStandard!E25</f>
        <v>90</v>
      </c>
      <c r="D16" s="179">
        <f t="shared" si="0"/>
        <v>193930.21876048925</v>
      </c>
      <c r="E16" s="179">
        <f t="shared" si="1"/>
        <v>37608929748.491219</v>
      </c>
      <c r="F16" s="179">
        <f>Conc1!M25</f>
        <v>7.5293007012894111E-2</v>
      </c>
      <c r="G16" s="179">
        <f>Conc2!M25</f>
        <v>0.10074416431302731</v>
      </c>
      <c r="H16" s="179">
        <f>Conc3!M25</f>
        <v>0.12407439183814942</v>
      </c>
      <c r="I16" s="179">
        <f>Conc4!M25</f>
        <v>0.13573950560071049</v>
      </c>
      <c r="J16" s="179">
        <f>Conc5!M25</f>
        <v>-3.1813946625166518E-2</v>
      </c>
      <c r="K16" s="179">
        <f>Conc6!M25</f>
        <v>-3.1813946625166518E-2</v>
      </c>
      <c r="L16" s="179">
        <f>Conc7!M25</f>
        <v>-3.1813946625166518E-2</v>
      </c>
      <c r="M16" s="179">
        <f>Conc8!M25</f>
        <v>-3.1813946625166518E-2</v>
      </c>
    </row>
    <row r="17" spans="1:13">
      <c r="A17" s="69">
        <v>12</v>
      </c>
      <c r="B17" s="180" t="s">
        <v>1</v>
      </c>
      <c r="C17" s="180">
        <f>NormStandard!E26</f>
        <v>99</v>
      </c>
      <c r="D17" s="180">
        <f t="shared" si="0"/>
        <v>208547.98621524032</v>
      </c>
      <c r="E17" s="180">
        <f t="shared" si="1"/>
        <v>43492262554.432068</v>
      </c>
      <c r="F17" s="180">
        <f>Conc1!M26</f>
        <v>9.5703680818486445E-2</v>
      </c>
      <c r="G17" s="180">
        <f>Conc2!M26</f>
        <v>5.2966447471674151E-2</v>
      </c>
      <c r="H17" s="180">
        <f>Conc3!M26</f>
        <v>5.5094990304148619E-2</v>
      </c>
      <c r="I17" s="180">
        <f>Conc4!M26</f>
        <v>6.0667559163135695E-2</v>
      </c>
      <c r="J17" s="180">
        <f>Conc5!M26</f>
        <v>9.5703680818486445E-2</v>
      </c>
      <c r="K17" s="180">
        <f>Conc6!M26</f>
        <v>9.5703680818486445E-2</v>
      </c>
      <c r="L17" s="180">
        <f>Conc7!M26</f>
        <v>9.5703680818486445E-2</v>
      </c>
      <c r="M17" s="180">
        <f>Conc8!M26</f>
        <v>9.5703680818486445E-2</v>
      </c>
    </row>
    <row r="18" spans="1:13">
      <c r="A18" s="69">
        <v>13</v>
      </c>
      <c r="B18" s="56" t="s">
        <v>150</v>
      </c>
      <c r="C18" s="56">
        <f>NormStandard!E27</f>
        <v>108</v>
      </c>
      <c r="D18" s="56">
        <f t="shared" si="0"/>
        <v>221879.98598573179</v>
      </c>
      <c r="E18" s="56">
        <f t="shared" si="1"/>
        <v>49230728181.028534</v>
      </c>
      <c r="F18" s="56" t="str">
        <f>Conc1!M27</f>
        <v>---</v>
      </c>
      <c r="G18" s="56" t="str">
        <f>Conc2!M27</f>
        <v>---</v>
      </c>
      <c r="H18" s="56" t="str">
        <f>Conc3!M27</f>
        <v>---</v>
      </c>
      <c r="I18" s="56" t="str">
        <f>Conc4!M27</f>
        <v>---</v>
      </c>
      <c r="J18" s="56" t="str">
        <f>Conc5!M27</f>
        <v>---</v>
      </c>
      <c r="K18" s="56" t="str">
        <f>Conc6!M27</f>
        <v>---</v>
      </c>
      <c r="L18" s="56" t="str">
        <f>Conc7!M27</f>
        <v>---</v>
      </c>
      <c r="M18" s="56" t="str">
        <f>Conc8!M27</f>
        <v>---</v>
      </c>
    </row>
    <row r="19" spans="1:13">
      <c r="A19" s="69">
        <v>14</v>
      </c>
      <c r="B19" s="180" t="s">
        <v>1</v>
      </c>
      <c r="C19" s="180">
        <f>NormStandard!E28</f>
        <v>117</v>
      </c>
      <c r="D19" s="180">
        <f t="shared" si="0"/>
        <v>233844.02186003872</v>
      </c>
      <c r="E19" s="180">
        <f t="shared" si="1"/>
        <v>54683026559.678268</v>
      </c>
      <c r="F19" s="180">
        <f>Conc1!M28</f>
        <v>9.9349856451222421E-2</v>
      </c>
      <c r="G19" s="180">
        <f>Conc2!M28</f>
        <v>0.10311459346351202</v>
      </c>
      <c r="H19" s="180">
        <f>Conc3!M28</f>
        <v>0.11423418719144096</v>
      </c>
      <c r="I19" s="180">
        <f>Conc4!M28</f>
        <v>0.12292790843386632</v>
      </c>
      <c r="J19" s="180">
        <f>Conc5!M28</f>
        <v>9.9349856451222421E-2</v>
      </c>
      <c r="K19" s="180">
        <f>Conc6!M28</f>
        <v>9.9349856451222421E-2</v>
      </c>
      <c r="L19" s="180">
        <f>Conc7!M28</f>
        <v>9.9349856451222421E-2</v>
      </c>
      <c r="M19" s="180">
        <f>Conc8!M28</f>
        <v>9.9349856451222421E-2</v>
      </c>
    </row>
    <row r="20" spans="1:13">
      <c r="A20" s="69">
        <v>15</v>
      </c>
      <c r="B20" s="179" t="s">
        <v>149</v>
      </c>
      <c r="C20" s="179">
        <f>NormStandard!E29</f>
        <v>126</v>
      </c>
      <c r="D20" s="179">
        <f t="shared" si="0"/>
        <v>244366.33157855037</v>
      </c>
      <c r="E20" s="179">
        <f t="shared" si="1"/>
        <v>59714904009.15802</v>
      </c>
      <c r="F20" s="179">
        <f>Conc1!M29</f>
        <v>6.4786124844837673E-2</v>
      </c>
      <c r="G20" s="179">
        <f>Conc2!M29</f>
        <v>9.1365047858104398E-2</v>
      </c>
      <c r="H20" s="179">
        <f>Conc3!M29</f>
        <v>0.11379101415054822</v>
      </c>
      <c r="I20" s="179">
        <f>Conc4!M29</f>
        <v>0.13206402372216908</v>
      </c>
      <c r="J20" s="179">
        <f>Conc5!M29</f>
        <v>-4.0698975864064686E-2</v>
      </c>
      <c r="K20" s="179">
        <f>Conc6!M29</f>
        <v>-4.0698975864064686E-2</v>
      </c>
      <c r="L20" s="179">
        <f>Conc7!M29</f>
        <v>-4.0698975864064686E-2</v>
      </c>
      <c r="M20" s="179">
        <f>Conc8!M29</f>
        <v>-4.0698975864064686E-2</v>
      </c>
    </row>
    <row r="21" spans="1:13">
      <c r="A21" s="69">
        <v>16</v>
      </c>
      <c r="B21" s="180" t="s">
        <v>1</v>
      </c>
      <c r="C21" s="180">
        <f>NormStandard!E30</f>
        <v>134</v>
      </c>
      <c r="D21" s="180">
        <f t="shared" si="0"/>
        <v>252456.50635760027</v>
      </c>
      <c r="E21" s="180">
        <f t="shared" si="1"/>
        <v>63734287602.285065</v>
      </c>
      <c r="F21" s="180">
        <f>Conc1!M30</f>
        <v>7.3718387006404235E-2</v>
      </c>
      <c r="G21" s="180">
        <f>Conc2!M30</f>
        <v>0.15028112960101217</v>
      </c>
      <c r="H21" s="180">
        <f>Conc3!M30</f>
        <v>0.16713448197155448</v>
      </c>
      <c r="I21" s="180">
        <f>Conc4!M30</f>
        <v>0.18617578043219243</v>
      </c>
      <c r="J21" s="180">
        <f>Conc5!M30</f>
        <v>7.3718387006404235E-2</v>
      </c>
      <c r="K21" s="180">
        <f>Conc6!M30</f>
        <v>7.3718387006404235E-2</v>
      </c>
      <c r="L21" s="180">
        <f>Conc7!M30</f>
        <v>7.3718387006404235E-2</v>
      </c>
      <c r="M21" s="180">
        <f>Conc8!M30</f>
        <v>7.3718387006404235E-2</v>
      </c>
    </row>
    <row r="22" spans="1:13">
      <c r="A22" s="69">
        <v>17</v>
      </c>
      <c r="B22" s="179" t="s">
        <v>149</v>
      </c>
      <c r="C22" s="179">
        <f>NormStandard!E31</f>
        <v>141</v>
      </c>
      <c r="D22" s="179">
        <f t="shared" si="0"/>
        <v>258527.67282681772</v>
      </c>
      <c r="E22" s="179">
        <f t="shared" si="1"/>
        <v>66836557617.250107</v>
      </c>
      <c r="F22" s="179">
        <f>Conc1!M31</f>
        <v>6.834774734400241E-2</v>
      </c>
      <c r="G22" s="179">
        <f>Conc2!M31</f>
        <v>9.4168007451736618E-2</v>
      </c>
      <c r="H22" s="179">
        <f>Conc3!M31</f>
        <v>0.11998826755947085</v>
      </c>
      <c r="I22" s="179">
        <f>Conc4!M31</f>
        <v>0.14125201117760494</v>
      </c>
      <c r="J22" s="179">
        <f>Conc5!M31</f>
        <v>-3.7970970746667998E-2</v>
      </c>
      <c r="K22" s="179">
        <f>Conc6!M31</f>
        <v>-3.7970970746667998E-2</v>
      </c>
      <c r="L22" s="179">
        <f>Conc7!M31</f>
        <v>-3.7970970746667998E-2</v>
      </c>
      <c r="M22" s="179">
        <f>Conc8!M31</f>
        <v>-3.7970970746667998E-2</v>
      </c>
    </row>
    <row r="23" spans="1:13">
      <c r="A23" s="69">
        <v>18</v>
      </c>
      <c r="B23" s="180" t="s">
        <v>1</v>
      </c>
      <c r="C23" s="180">
        <f>NormStandard!E32</f>
        <v>147</v>
      </c>
      <c r="D23" s="180">
        <f t="shared" si="0"/>
        <v>262964.69766962621</v>
      </c>
      <c r="E23" s="180">
        <f t="shared" si="1"/>
        <v>69150432220.477921</v>
      </c>
      <c r="F23" s="180">
        <f>Conc1!M32</f>
        <v>9.3064523551827746E-2</v>
      </c>
      <c r="G23" s="180">
        <f>Conc2!M32</f>
        <v>8.5616583380970251E-2</v>
      </c>
      <c r="H23" s="180">
        <f>Conc3!M32</f>
        <v>0.10061974961875682</v>
      </c>
      <c r="I23" s="180">
        <f>Conc4!M32</f>
        <v>0.11666372838077065</v>
      </c>
      <c r="J23" s="180">
        <f>Conc5!M32</f>
        <v>9.3064523551827746E-2</v>
      </c>
      <c r="K23" s="180">
        <f>Conc6!M32</f>
        <v>9.3064523551827746E-2</v>
      </c>
      <c r="L23" s="180">
        <f>Conc7!M32</f>
        <v>9.3064523551827746E-2</v>
      </c>
      <c r="M23" s="180">
        <f>Conc8!M32</f>
        <v>9.3064523551827746E-2</v>
      </c>
    </row>
    <row r="24" spans="1:13">
      <c r="A24" s="69"/>
      <c r="B24" s="12"/>
    </row>
    <row r="25" spans="1:13" ht="15.75">
      <c r="F25" s="69" t="s">
        <v>291</v>
      </c>
    </row>
    <row r="26" spans="1:13" ht="15.75">
      <c r="F26" s="67" t="s">
        <v>282</v>
      </c>
      <c r="G26" s="67" t="s">
        <v>283</v>
      </c>
      <c r="H26" s="67" t="s">
        <v>284</v>
      </c>
      <c r="I26" s="67" t="s">
        <v>285</v>
      </c>
      <c r="J26" s="67" t="s">
        <v>286</v>
      </c>
      <c r="K26" s="67" t="s">
        <v>287</v>
      </c>
      <c r="L26" s="67" t="s">
        <v>288</v>
      </c>
      <c r="M26" s="67" t="s">
        <v>289</v>
      </c>
    </row>
    <row r="27" spans="1:13" ht="15.75">
      <c r="A27" s="67" t="s">
        <v>147</v>
      </c>
      <c r="B27" s="178" t="s">
        <v>148</v>
      </c>
      <c r="C27" s="67" t="s">
        <v>146</v>
      </c>
      <c r="D27" s="67" t="s">
        <v>280</v>
      </c>
      <c r="E27" s="67" t="s">
        <v>281</v>
      </c>
      <c r="F27" s="188">
        <f>F5</f>
        <v>2.601E-3</v>
      </c>
      <c r="G27" s="188">
        <f t="shared" ref="G27:M27" si="2">G5</f>
        <v>4.8279999999999998E-3</v>
      </c>
      <c r="H27" s="188">
        <f t="shared" si="2"/>
        <v>8.1759999999999992E-3</v>
      </c>
      <c r="I27" s="188">
        <f t="shared" si="2"/>
        <v>1.0234999999999999E-2</v>
      </c>
      <c r="J27" s="188">
        <f t="shared" si="2"/>
        <v>1.0000000000000001E-5</v>
      </c>
      <c r="K27" s="188">
        <f t="shared" si="2"/>
        <v>1.0000000000000001E-5</v>
      </c>
      <c r="L27" s="188">
        <f t="shared" si="2"/>
        <v>1.0000000000000001E-5</v>
      </c>
      <c r="M27" s="188">
        <f t="shared" si="2"/>
        <v>1.0000000000000001E-5</v>
      </c>
    </row>
    <row r="28" spans="1:13">
      <c r="A28">
        <f>A6</f>
        <v>1</v>
      </c>
      <c r="B28" s="179" t="str">
        <f t="shared" ref="B28:E28" si="3">B6</f>
        <v>Wyatt</v>
      </c>
      <c r="C28" s="179">
        <f t="shared" si="3"/>
        <v>22.5</v>
      </c>
      <c r="D28" s="179">
        <f t="shared" si="3"/>
        <v>53505.226980224332</v>
      </c>
      <c r="E28" s="179">
        <f t="shared" si="3"/>
        <v>2862809314.2053256</v>
      </c>
      <c r="F28" s="179">
        <f t="shared" ref="F28:M37" si="4">RayFactorStd*(F6/I90Std)*(Refin/RefinRayleigh)^VolExponent</f>
        <v>1.9971398593570438E-4</v>
      </c>
      <c r="G28" s="179">
        <f t="shared" si="4"/>
        <v>5.72949959651611E-4</v>
      </c>
      <c r="H28" s="179">
        <f t="shared" si="4"/>
        <v>1.2473939121557928E-3</v>
      </c>
      <c r="I28" s="179">
        <f t="shared" si="4"/>
        <v>1.6730138821827037E-3</v>
      </c>
      <c r="J28" s="179">
        <f t="shared" si="4"/>
        <v>-2.8156398017164873E-4</v>
      </c>
      <c r="K28" s="179">
        <f t="shared" si="4"/>
        <v>-2.8156398017164873E-4</v>
      </c>
      <c r="L28" s="179">
        <f t="shared" si="4"/>
        <v>-2.8156398017164873E-4</v>
      </c>
      <c r="M28" s="179">
        <f t="shared" si="4"/>
        <v>-2.8156398017164873E-4</v>
      </c>
    </row>
    <row r="29" spans="1:13">
      <c r="A29">
        <f t="shared" ref="A29:E29" si="5">A7</f>
        <v>2</v>
      </c>
      <c r="B29" s="179" t="str">
        <f t="shared" si="5"/>
        <v>Wyatt</v>
      </c>
      <c r="C29" s="179">
        <f t="shared" si="5"/>
        <v>28</v>
      </c>
      <c r="D29" s="179">
        <f t="shared" si="5"/>
        <v>66349.195602210661</v>
      </c>
      <c r="E29" s="179">
        <f t="shared" si="5"/>
        <v>4402215757.0604105</v>
      </c>
      <c r="F29" s="179">
        <f t="shared" si="4"/>
        <v>1.9743806173325366E-4</v>
      </c>
      <c r="G29" s="179">
        <f t="shared" si="4"/>
        <v>3.4291873879986167E-4</v>
      </c>
      <c r="H29" s="179">
        <f t="shared" si="4"/>
        <v>6.8064173913305874E-4</v>
      </c>
      <c r="I29" s="179">
        <f t="shared" si="4"/>
        <v>1.1482582011328704E-3</v>
      </c>
      <c r="J29" s="179">
        <f t="shared" si="4"/>
        <v>-2.5459118486656398E-4</v>
      </c>
      <c r="K29" s="179">
        <f t="shared" si="4"/>
        <v>-2.5459118486656398E-4</v>
      </c>
      <c r="L29" s="179">
        <f t="shared" si="4"/>
        <v>-2.5459118486656398E-4</v>
      </c>
      <c r="M29" s="179">
        <f t="shared" si="4"/>
        <v>-2.5459118486656398E-4</v>
      </c>
    </row>
    <row r="30" spans="1:13">
      <c r="A30">
        <f t="shared" ref="A30:E30" si="6">A8</f>
        <v>3</v>
      </c>
      <c r="B30" s="179" t="str">
        <f t="shared" si="6"/>
        <v>Wyatt</v>
      </c>
      <c r="C30" s="179">
        <f t="shared" si="6"/>
        <v>32</v>
      </c>
      <c r="D30" s="179">
        <f t="shared" si="6"/>
        <v>75595.955426216213</v>
      </c>
      <c r="E30" s="179">
        <f t="shared" si="6"/>
        <v>5714748476.8024683</v>
      </c>
      <c r="F30" s="179">
        <f t="shared" si="4"/>
        <v>2.9410091645014488E-4</v>
      </c>
      <c r="G30" s="179">
        <f t="shared" si="4"/>
        <v>4.1730535442250293E-4</v>
      </c>
      <c r="H30" s="179">
        <f t="shared" si="4"/>
        <v>6.9153458732871902E-4</v>
      </c>
      <c r="I30" s="179">
        <f t="shared" si="4"/>
        <v>8.3461070884500587E-4</v>
      </c>
      <c r="J30" s="179">
        <f t="shared" si="4"/>
        <v>-1.1923010126357224E-4</v>
      </c>
      <c r="K30" s="179">
        <f t="shared" si="4"/>
        <v>-1.1923010126357224E-4</v>
      </c>
      <c r="L30" s="179">
        <f t="shared" si="4"/>
        <v>-1.1923010126357224E-4</v>
      </c>
      <c r="M30" s="179">
        <f t="shared" si="4"/>
        <v>-1.1923010126357224E-4</v>
      </c>
    </row>
    <row r="31" spans="1:13">
      <c r="A31">
        <f t="shared" ref="A31:E31" si="7">A9</f>
        <v>4</v>
      </c>
      <c r="B31" s="56" t="str">
        <f t="shared" si="7"/>
        <v>Blank</v>
      </c>
      <c r="C31" s="56">
        <f t="shared" si="7"/>
        <v>38</v>
      </c>
      <c r="D31" s="56">
        <f t="shared" si="7"/>
        <v>89289.913624330453</v>
      </c>
      <c r="E31" s="56">
        <f t="shared" si="7"/>
        <v>7972688675.0403929</v>
      </c>
      <c r="F31" s="56"/>
      <c r="G31" s="56"/>
      <c r="H31" s="56"/>
      <c r="I31" s="56"/>
      <c r="J31" s="56"/>
      <c r="K31" s="56"/>
      <c r="L31" s="56"/>
      <c r="M31" s="56"/>
    </row>
    <row r="32" spans="1:13">
      <c r="A32">
        <f t="shared" ref="A32:E32" si="8">A10</f>
        <v>5</v>
      </c>
      <c r="B32" s="180" t="str">
        <f t="shared" si="8"/>
        <v>Fiber/APD</v>
      </c>
      <c r="C32" s="180">
        <f t="shared" si="8"/>
        <v>44</v>
      </c>
      <c r="D32" s="180">
        <f t="shared" si="8"/>
        <v>102739.13437566617</v>
      </c>
      <c r="E32" s="180">
        <f t="shared" si="8"/>
        <v>10555329732.261189</v>
      </c>
      <c r="F32" s="180">
        <f t="shared" si="4"/>
        <v>2.0791033426106089E-4</v>
      </c>
      <c r="G32" s="180">
        <f t="shared" si="4"/>
        <v>5.951038722924898E-4</v>
      </c>
      <c r="H32" s="180">
        <f t="shared" si="4"/>
        <v>8.1321125974250115E-4</v>
      </c>
      <c r="I32" s="180">
        <f t="shared" si="4"/>
        <v>8.2767857377215033E-4</v>
      </c>
      <c r="J32" s="180">
        <f t="shared" si="4"/>
        <v>2.0791033426106089E-4</v>
      </c>
      <c r="K32" s="180">
        <f t="shared" si="4"/>
        <v>2.0791033426106089E-4</v>
      </c>
      <c r="L32" s="180">
        <f t="shared" si="4"/>
        <v>2.0791033426106089E-4</v>
      </c>
      <c r="M32" s="180">
        <f t="shared" si="4"/>
        <v>2.0791033426106089E-4</v>
      </c>
    </row>
    <row r="33" spans="1:17">
      <c r="A33">
        <f t="shared" ref="A33:E33" si="9">A11</f>
        <v>6</v>
      </c>
      <c r="B33" s="180" t="str">
        <f t="shared" si="9"/>
        <v>Fiber/APD</v>
      </c>
      <c r="C33" s="180">
        <f t="shared" si="9"/>
        <v>50</v>
      </c>
      <c r="D33" s="180">
        <f t="shared" si="9"/>
        <v>115906.75430098787</v>
      </c>
      <c r="E33" s="180">
        <f t="shared" si="9"/>
        <v>13434375692.589571</v>
      </c>
      <c r="F33" s="180">
        <f t="shared" si="4"/>
        <v>2.77441324747767E-4</v>
      </c>
      <c r="G33" s="180">
        <f t="shared" si="4"/>
        <v>3.0895818376393134E-4</v>
      </c>
      <c r="H33" s="180">
        <f t="shared" si="4"/>
        <v>4.0046434972728707E-4</v>
      </c>
      <c r="I33" s="180">
        <f t="shared" si="4"/>
        <v>3.8960971569094267E-4</v>
      </c>
      <c r="J33" s="180">
        <f t="shared" si="4"/>
        <v>2.77441324747767E-4</v>
      </c>
      <c r="K33" s="180">
        <f t="shared" si="4"/>
        <v>2.77441324747767E-4</v>
      </c>
      <c r="L33" s="180">
        <f t="shared" si="4"/>
        <v>2.77441324747767E-4</v>
      </c>
      <c r="M33" s="180">
        <f t="shared" si="4"/>
        <v>2.77441324747767E-4</v>
      </c>
    </row>
    <row r="34" spans="1:17">
      <c r="A34">
        <f t="shared" ref="A34:E34" si="10">A12</f>
        <v>7</v>
      </c>
      <c r="B34" s="179" t="str">
        <f t="shared" si="10"/>
        <v>Wyatt</v>
      </c>
      <c r="C34" s="179">
        <f t="shared" si="10"/>
        <v>57</v>
      </c>
      <c r="D34" s="179">
        <f t="shared" si="10"/>
        <v>130864.96300509552</v>
      </c>
      <c r="E34" s="179">
        <f t="shared" si="10"/>
        <v>17125638542.325018</v>
      </c>
      <c r="F34" s="179">
        <f t="shared" si="4"/>
        <v>2.3105437930986996E-4</v>
      </c>
      <c r="G34" s="179">
        <f t="shared" si="4"/>
        <v>3.2464602662526031E-4</v>
      </c>
      <c r="H34" s="179">
        <f t="shared" si="4"/>
        <v>4.2408715189786253E-4</v>
      </c>
      <c r="I34" s="179">
        <f t="shared" si="4"/>
        <v>5.1475406023464699E-4</v>
      </c>
      <c r="J34" s="179">
        <f t="shared" si="4"/>
        <v>-1.4916168790890335E-4</v>
      </c>
      <c r="K34" s="179">
        <f t="shared" si="4"/>
        <v>-1.4916168790890335E-4</v>
      </c>
      <c r="L34" s="179">
        <f t="shared" si="4"/>
        <v>-1.4916168790890335E-4</v>
      </c>
      <c r="M34" s="179">
        <f t="shared" si="4"/>
        <v>-1.4916168790890335E-4</v>
      </c>
    </row>
    <row r="35" spans="1:17">
      <c r="A35">
        <f t="shared" ref="A35:E35" si="11">A13</f>
        <v>8</v>
      </c>
      <c r="B35" s="180" t="str">
        <f t="shared" si="11"/>
        <v>Fiber/APD</v>
      </c>
      <c r="C35" s="180">
        <f t="shared" si="11"/>
        <v>64</v>
      </c>
      <c r="D35" s="180">
        <f t="shared" si="11"/>
        <v>145334.99263816432</v>
      </c>
      <c r="E35" s="180">
        <f t="shared" si="11"/>
        <v>21122260085.135277</v>
      </c>
      <c r="F35" s="180">
        <f t="shared" si="4"/>
        <v>2.3896205875298225E-4</v>
      </c>
      <c r="G35" s="180">
        <f t="shared" si="4"/>
        <v>2.6186954803241082E-4</v>
      </c>
      <c r="H35" s="180">
        <f t="shared" si="4"/>
        <v>3.1845753883103704E-4</v>
      </c>
      <c r="I35" s="180">
        <f t="shared" si="4"/>
        <v>3.5957725215255939E-4</v>
      </c>
      <c r="J35" s="180">
        <f t="shared" si="4"/>
        <v>2.3896205875298225E-4</v>
      </c>
      <c r="K35" s="180">
        <f t="shared" si="4"/>
        <v>2.3896205875298225E-4</v>
      </c>
      <c r="L35" s="180">
        <f t="shared" si="4"/>
        <v>2.3896205875298225E-4</v>
      </c>
      <c r="M35" s="180">
        <f t="shared" si="4"/>
        <v>2.3896205875298225E-4</v>
      </c>
    </row>
    <row r="36" spans="1:17">
      <c r="A36">
        <f t="shared" ref="A36:E36" si="12">A14</f>
        <v>9</v>
      </c>
      <c r="B36" s="179" t="str">
        <f t="shared" si="12"/>
        <v>Wyatt</v>
      </c>
      <c r="C36" s="179">
        <f t="shared" si="12"/>
        <v>72</v>
      </c>
      <c r="D36" s="179">
        <f t="shared" si="12"/>
        <v>161205.2459318676</v>
      </c>
      <c r="E36" s="179">
        <f t="shared" si="12"/>
        <v>25987131315.953915</v>
      </c>
      <c r="F36" s="179">
        <f t="shared" si="4"/>
        <v>2.5962646769470143E-4</v>
      </c>
      <c r="G36" s="179">
        <f t="shared" si="4"/>
        <v>3.4194705501253359E-4</v>
      </c>
      <c r="H36" s="179">
        <f t="shared" si="4"/>
        <v>4.1476911302446208E-4</v>
      </c>
      <c r="I36" s="179">
        <f t="shared" si="4"/>
        <v>4.5909558311867934E-4</v>
      </c>
      <c r="J36" s="179">
        <f t="shared" si="4"/>
        <v>-1.0764999880024207E-4</v>
      </c>
      <c r="K36" s="179">
        <f t="shared" si="4"/>
        <v>-1.0764999880024207E-4</v>
      </c>
      <c r="L36" s="179">
        <f t="shared" si="4"/>
        <v>-1.0764999880024207E-4</v>
      </c>
      <c r="M36" s="179">
        <f t="shared" si="4"/>
        <v>-1.0764999880024207E-4</v>
      </c>
    </row>
    <row r="37" spans="1:17">
      <c r="A37">
        <f t="shared" ref="A37:E37" si="13">A15</f>
        <v>10</v>
      </c>
      <c r="B37" s="180" t="str">
        <f t="shared" si="13"/>
        <v>Fiber/APD</v>
      </c>
      <c r="C37" s="180">
        <f t="shared" si="13"/>
        <v>81</v>
      </c>
      <c r="D37" s="180">
        <f t="shared" si="13"/>
        <v>178116.80701873807</v>
      </c>
      <c r="E37" s="180">
        <f t="shared" si="13"/>
        <v>31725596942.550377</v>
      </c>
      <c r="F37" s="180">
        <f t="shared" si="4"/>
        <v>2.1604353598837715E-4</v>
      </c>
      <c r="G37" s="180">
        <f t="shared" si="4"/>
        <v>1.8895860599993163E-4</v>
      </c>
      <c r="H37" s="180">
        <f t="shared" si="4"/>
        <v>2.1156629423096045E-4</v>
      </c>
      <c r="I37" s="180">
        <f t="shared" si="4"/>
        <v>2.4516169639891855E-4</v>
      </c>
      <c r="J37" s="180">
        <f t="shared" si="4"/>
        <v>2.1604353598837715E-4</v>
      </c>
      <c r="K37" s="180">
        <f t="shared" si="4"/>
        <v>2.1604353598837715E-4</v>
      </c>
      <c r="L37" s="180">
        <f t="shared" si="4"/>
        <v>2.1604353598837715E-4</v>
      </c>
      <c r="M37" s="180">
        <f t="shared" si="4"/>
        <v>2.1604353598837715E-4</v>
      </c>
    </row>
    <row r="38" spans="1:17">
      <c r="A38">
        <f t="shared" ref="A38:E38" si="14">A16</f>
        <v>11</v>
      </c>
      <c r="B38" s="179" t="str">
        <f t="shared" si="14"/>
        <v>Wyatt</v>
      </c>
      <c r="C38" s="179">
        <f t="shared" si="14"/>
        <v>90</v>
      </c>
      <c r="D38" s="179">
        <f t="shared" si="14"/>
        <v>193930.21876048925</v>
      </c>
      <c r="E38" s="179">
        <f t="shared" si="14"/>
        <v>37608929748.491219</v>
      </c>
      <c r="F38" s="179">
        <f t="shared" ref="F38:M45" si="15">RayFactorStd*(F16/I90Std)*(Refin/RefinRayleigh)^VolExponent</f>
        <v>2.499316335354312E-4</v>
      </c>
      <c r="G38" s="179">
        <f t="shared" si="15"/>
        <v>3.34415565998112E-4</v>
      </c>
      <c r="H38" s="179">
        <f t="shared" si="15"/>
        <v>4.118591707555695E-4</v>
      </c>
      <c r="I38" s="179">
        <f t="shared" si="15"/>
        <v>4.5058097313429836E-4</v>
      </c>
      <c r="J38" s="179">
        <f t="shared" si="15"/>
        <v>-1.0560491557835117E-4</v>
      </c>
      <c r="K38" s="179">
        <f t="shared" si="15"/>
        <v>-1.0560491557835117E-4</v>
      </c>
      <c r="L38" s="179">
        <f t="shared" si="15"/>
        <v>-1.0560491557835117E-4</v>
      </c>
      <c r="M38" s="179">
        <f t="shared" si="15"/>
        <v>-1.0560491557835117E-4</v>
      </c>
    </row>
    <row r="39" spans="1:17">
      <c r="A39">
        <f t="shared" ref="A39:E39" si="16">A17</f>
        <v>12</v>
      </c>
      <c r="B39" s="180" t="str">
        <f t="shared" si="16"/>
        <v>Fiber/APD</v>
      </c>
      <c r="C39" s="180">
        <f t="shared" si="16"/>
        <v>99</v>
      </c>
      <c r="D39" s="180">
        <f t="shared" si="16"/>
        <v>208547.98621524032</v>
      </c>
      <c r="E39" s="180">
        <f t="shared" si="16"/>
        <v>43492262554.432068</v>
      </c>
      <c r="F39" s="180">
        <f t="shared" si="15"/>
        <v>3.1768391556232542E-4</v>
      </c>
      <c r="G39" s="180">
        <f t="shared" si="15"/>
        <v>1.7581965795172838E-4</v>
      </c>
      <c r="H39" s="180">
        <f t="shared" si="15"/>
        <v>1.8288525684698E-4</v>
      </c>
      <c r="I39" s="180">
        <f t="shared" si="15"/>
        <v>2.0138313989310141E-4</v>
      </c>
      <c r="J39" s="180">
        <f t="shared" si="15"/>
        <v>3.1768391556232542E-4</v>
      </c>
      <c r="K39" s="180">
        <f t="shared" si="15"/>
        <v>3.1768391556232542E-4</v>
      </c>
      <c r="L39" s="180">
        <f t="shared" si="15"/>
        <v>3.1768391556232542E-4</v>
      </c>
      <c r="M39" s="180">
        <f t="shared" si="15"/>
        <v>3.1768391556232542E-4</v>
      </c>
    </row>
    <row r="40" spans="1:17">
      <c r="A40">
        <f t="shared" ref="A40:E40" si="17">A18</f>
        <v>13</v>
      </c>
      <c r="B40" s="56" t="str">
        <f t="shared" si="17"/>
        <v>Blank</v>
      </c>
      <c r="C40" s="56">
        <f t="shared" si="17"/>
        <v>108</v>
      </c>
      <c r="D40" s="56">
        <f t="shared" si="17"/>
        <v>221879.98598573179</v>
      </c>
      <c r="E40" s="56">
        <f t="shared" si="17"/>
        <v>49230728181.028534</v>
      </c>
      <c r="F40" s="56"/>
      <c r="G40" s="56"/>
      <c r="H40" s="56"/>
      <c r="I40" s="56"/>
      <c r="J40" s="56"/>
      <c r="K40" s="56"/>
      <c r="L40" s="56"/>
      <c r="M40" s="56"/>
    </row>
    <row r="41" spans="1:17">
      <c r="A41">
        <f>A19</f>
        <v>14</v>
      </c>
      <c r="B41" s="180" t="str">
        <f t="shared" ref="B41:E41" si="18">B19</f>
        <v>Fiber/APD</v>
      </c>
      <c r="C41" s="180">
        <f t="shared" si="18"/>
        <v>117</v>
      </c>
      <c r="D41" s="180">
        <f t="shared" si="18"/>
        <v>233844.02186003872</v>
      </c>
      <c r="E41" s="180">
        <f t="shared" si="18"/>
        <v>54683026559.678268</v>
      </c>
      <c r="F41" s="180">
        <f t="shared" si="15"/>
        <v>3.2978722592540767E-4</v>
      </c>
      <c r="G41" s="180">
        <f t="shared" si="15"/>
        <v>3.4228409527147728E-4</v>
      </c>
      <c r="H41" s="180">
        <f t="shared" si="15"/>
        <v>3.7919506927727942E-4</v>
      </c>
      <c r="I41" s="180">
        <f t="shared" si="15"/>
        <v>4.0805347243879676E-4</v>
      </c>
      <c r="J41" s="180">
        <f t="shared" si="15"/>
        <v>3.2978722592540767E-4</v>
      </c>
      <c r="K41" s="180">
        <f t="shared" si="15"/>
        <v>3.2978722592540767E-4</v>
      </c>
      <c r="L41" s="180">
        <f t="shared" si="15"/>
        <v>3.2978722592540767E-4</v>
      </c>
      <c r="M41" s="180">
        <f t="shared" si="15"/>
        <v>3.2978722592540767E-4</v>
      </c>
    </row>
    <row r="42" spans="1:17">
      <c r="A42">
        <f t="shared" ref="A42:E42" si="19">A20</f>
        <v>15</v>
      </c>
      <c r="B42" s="179" t="str">
        <f t="shared" si="19"/>
        <v>Wyatt</v>
      </c>
      <c r="C42" s="179">
        <f t="shared" si="19"/>
        <v>126</v>
      </c>
      <c r="D42" s="179">
        <f t="shared" si="19"/>
        <v>244366.33157855037</v>
      </c>
      <c r="E42" s="179">
        <f t="shared" si="19"/>
        <v>59714904009.15802</v>
      </c>
      <c r="F42" s="179">
        <f t="shared" si="15"/>
        <v>2.1505452704429409E-4</v>
      </c>
      <c r="G42" s="179">
        <f t="shared" si="15"/>
        <v>3.0328202531887627E-4</v>
      </c>
      <c r="H42" s="179">
        <f t="shared" si="15"/>
        <v>3.7772397698805502E-4</v>
      </c>
      <c r="I42" s="179">
        <f t="shared" si="15"/>
        <v>4.3838038205183021E-4</v>
      </c>
      <c r="J42" s="179">
        <f t="shared" si="15"/>
        <v>-1.3509835673295397E-4</v>
      </c>
      <c r="K42" s="179">
        <f t="shared" si="15"/>
        <v>-1.3509835673295397E-4</v>
      </c>
      <c r="L42" s="179">
        <f t="shared" si="15"/>
        <v>-1.3509835673295397E-4</v>
      </c>
      <c r="M42" s="179">
        <f t="shared" si="15"/>
        <v>-1.3509835673295397E-4</v>
      </c>
    </row>
    <row r="43" spans="1:17">
      <c r="A43">
        <f t="shared" ref="A43:E43" si="20">A21</f>
        <v>16</v>
      </c>
      <c r="B43" s="180" t="str">
        <f t="shared" si="20"/>
        <v>Fiber/APD</v>
      </c>
      <c r="C43" s="180">
        <f t="shared" si="20"/>
        <v>134</v>
      </c>
      <c r="D43" s="180">
        <f t="shared" si="20"/>
        <v>252456.50635760027</v>
      </c>
      <c r="E43" s="180">
        <f t="shared" si="20"/>
        <v>63734287602.285065</v>
      </c>
      <c r="F43" s="180">
        <f t="shared" si="15"/>
        <v>2.4470475568803439E-4</v>
      </c>
      <c r="G43" s="180">
        <f t="shared" si="15"/>
        <v>4.9885121740852459E-4</v>
      </c>
      <c r="H43" s="180">
        <f t="shared" si="15"/>
        <v>5.5479513644733419E-4</v>
      </c>
      <c r="I43" s="180">
        <f t="shared" si="15"/>
        <v>6.1800184073114569E-4</v>
      </c>
      <c r="J43" s="180">
        <f t="shared" si="15"/>
        <v>2.4470475568803439E-4</v>
      </c>
      <c r="K43" s="180">
        <f t="shared" si="15"/>
        <v>2.4470475568803439E-4</v>
      </c>
      <c r="L43" s="180">
        <f t="shared" si="15"/>
        <v>2.4470475568803439E-4</v>
      </c>
      <c r="M43" s="180">
        <f t="shared" si="15"/>
        <v>2.4470475568803439E-4</v>
      </c>
    </row>
    <row r="44" spans="1:17">
      <c r="A44">
        <f>A22</f>
        <v>17</v>
      </c>
      <c r="B44" s="179" t="str">
        <f t="shared" ref="B44:E44" si="21">B22</f>
        <v>Wyatt</v>
      </c>
      <c r="C44" s="179">
        <f t="shared" si="21"/>
        <v>141</v>
      </c>
      <c r="D44" s="179">
        <f t="shared" si="21"/>
        <v>258527.67282681772</v>
      </c>
      <c r="E44" s="179">
        <f t="shared" si="21"/>
        <v>66836557617.250107</v>
      </c>
      <c r="F44" s="179">
        <f t="shared" si="15"/>
        <v>2.2687716721458699E-4</v>
      </c>
      <c r="G44" s="179">
        <f t="shared" si="15"/>
        <v>3.1258631927343089E-4</v>
      </c>
      <c r="H44" s="179">
        <f t="shared" si="15"/>
        <v>3.9829547133227481E-4</v>
      </c>
      <c r="I44" s="179">
        <f t="shared" si="15"/>
        <v>4.6887947891014636E-4</v>
      </c>
      <c r="J44" s="179">
        <f t="shared" si="15"/>
        <v>-1.2604287067477052E-4</v>
      </c>
      <c r="K44" s="179">
        <f t="shared" si="15"/>
        <v>-1.2604287067477052E-4</v>
      </c>
      <c r="L44" s="179">
        <f t="shared" si="15"/>
        <v>-1.2604287067477052E-4</v>
      </c>
      <c r="M44" s="179">
        <f t="shared" si="15"/>
        <v>-1.2604287067477052E-4</v>
      </c>
    </row>
    <row r="45" spans="1:17">
      <c r="A45">
        <f t="shared" ref="A45:E45" si="22">A23</f>
        <v>18</v>
      </c>
      <c r="B45" s="180" t="str">
        <f t="shared" si="22"/>
        <v>Fiber/APD</v>
      </c>
      <c r="C45" s="180">
        <f t="shared" si="22"/>
        <v>147</v>
      </c>
      <c r="D45" s="180">
        <f t="shared" si="22"/>
        <v>262964.69766962621</v>
      </c>
      <c r="E45" s="180">
        <f t="shared" si="22"/>
        <v>69150432220.477921</v>
      </c>
      <c r="F45" s="180">
        <f t="shared" si="15"/>
        <v>3.0892335581074112E-4</v>
      </c>
      <c r="G45" s="180">
        <f t="shared" si="15"/>
        <v>2.842002649524123E-4</v>
      </c>
      <c r="H45" s="180">
        <f t="shared" si="15"/>
        <v>3.3400257720926597E-4</v>
      </c>
      <c r="I45" s="180">
        <f t="shared" si="15"/>
        <v>3.8725981821321706E-4</v>
      </c>
      <c r="J45" s="180">
        <f t="shared" si="15"/>
        <v>3.0892335581074112E-4</v>
      </c>
      <c r="K45" s="180">
        <f t="shared" si="15"/>
        <v>3.0892335581074112E-4</v>
      </c>
      <c r="L45" s="180">
        <f t="shared" si="15"/>
        <v>3.0892335581074112E-4</v>
      </c>
      <c r="M45" s="180">
        <f t="shared" si="15"/>
        <v>3.0892335581074112E-4</v>
      </c>
    </row>
    <row r="47" spans="1:17" ht="15.75">
      <c r="F47" s="69" t="s">
        <v>292</v>
      </c>
    </row>
    <row r="48" spans="1:17" ht="16.5">
      <c r="F48" s="67" t="s">
        <v>282</v>
      </c>
      <c r="G48" s="67" t="s">
        <v>283</v>
      </c>
      <c r="H48" s="67" t="s">
        <v>284</v>
      </c>
      <c r="I48" s="67" t="s">
        <v>285</v>
      </c>
      <c r="J48" s="67" t="s">
        <v>286</v>
      </c>
      <c r="K48" s="67" t="s">
        <v>287</v>
      </c>
      <c r="L48" s="67" t="s">
        <v>288</v>
      </c>
      <c r="M48" s="67" t="s">
        <v>289</v>
      </c>
      <c r="O48" s="187" t="s">
        <v>294</v>
      </c>
      <c r="P48" s="222">
        <v>5000</v>
      </c>
      <c r="Q48" s="186" t="s">
        <v>293</v>
      </c>
    </row>
    <row r="49" spans="1:23" ht="15.75">
      <c r="A49" s="67" t="s">
        <v>147</v>
      </c>
      <c r="B49" s="178" t="s">
        <v>148</v>
      </c>
      <c r="C49" s="67" t="s">
        <v>146</v>
      </c>
      <c r="D49" s="67" t="s">
        <v>280</v>
      </c>
      <c r="E49" s="67" t="s">
        <v>281</v>
      </c>
      <c r="F49" s="188">
        <f>F5</f>
        <v>2.601E-3</v>
      </c>
      <c r="G49" s="188">
        <f t="shared" ref="G49:M49" si="23">G5</f>
        <v>4.8279999999999998E-3</v>
      </c>
      <c r="H49" s="188">
        <f t="shared" si="23"/>
        <v>8.1759999999999992E-3</v>
      </c>
      <c r="I49" s="188">
        <f t="shared" si="23"/>
        <v>1.0234999999999999E-2</v>
      </c>
      <c r="J49" s="188">
        <f t="shared" si="23"/>
        <v>1.0000000000000001E-5</v>
      </c>
      <c r="K49" s="188">
        <f t="shared" si="23"/>
        <v>1.0000000000000001E-5</v>
      </c>
      <c r="L49" s="188">
        <f t="shared" si="23"/>
        <v>1.0000000000000001E-5</v>
      </c>
      <c r="M49" s="188">
        <f t="shared" si="23"/>
        <v>1.0000000000000001E-5</v>
      </c>
      <c r="N49" s="39"/>
    </row>
    <row r="50" spans="1:23">
      <c r="A50">
        <f>A28</f>
        <v>1</v>
      </c>
      <c r="B50" s="179" t="str">
        <f t="shared" ref="B50:E50" si="24">B28</f>
        <v>Wyatt</v>
      </c>
      <c r="C50" s="179">
        <f t="shared" si="24"/>
        <v>22.5</v>
      </c>
      <c r="D50" s="179">
        <f t="shared" si="24"/>
        <v>53505.226980224332</v>
      </c>
      <c r="E50" s="179">
        <f t="shared" si="24"/>
        <v>2862809314.2053256</v>
      </c>
      <c r="F50" s="179">
        <f t="shared" ref="F50:M52" si="25">Koptical*F$5/F28</f>
        <v>1.0487122183080994E-6</v>
      </c>
      <c r="G50" s="179">
        <f t="shared" si="25"/>
        <v>6.7853932660950551E-7</v>
      </c>
      <c r="H50" s="179">
        <f t="shared" si="25"/>
        <v>5.2779068106261185E-7</v>
      </c>
      <c r="I50" s="179">
        <f t="shared" si="25"/>
        <v>4.9262081407601566E-7</v>
      </c>
      <c r="J50" s="179">
        <f t="shared" si="25"/>
        <v>-2.8598770292639714E-9</v>
      </c>
      <c r="K50" s="179">
        <f t="shared" si="25"/>
        <v>-2.8598770292639714E-9</v>
      </c>
      <c r="L50" s="179">
        <f t="shared" si="25"/>
        <v>-2.8598770292639714E-9</v>
      </c>
      <c r="M50" s="179">
        <f t="shared" si="25"/>
        <v>-2.8598770292639714E-9</v>
      </c>
      <c r="O50" s="39"/>
      <c r="P50" s="142"/>
      <c r="Q50" s="142"/>
      <c r="R50" s="142"/>
      <c r="S50" s="142"/>
      <c r="T50" s="142"/>
      <c r="U50" s="142"/>
      <c r="V50" s="142"/>
      <c r="W50" s="142"/>
    </row>
    <row r="51" spans="1:23">
      <c r="A51">
        <f t="shared" ref="A51:E51" si="26">A29</f>
        <v>2</v>
      </c>
      <c r="B51" s="179" t="str">
        <f t="shared" si="26"/>
        <v>Wyatt</v>
      </c>
      <c r="C51" s="179">
        <f t="shared" si="26"/>
        <v>28</v>
      </c>
      <c r="D51" s="179">
        <f t="shared" si="26"/>
        <v>66349.195602210661</v>
      </c>
      <c r="E51" s="179">
        <f t="shared" si="26"/>
        <v>4402215757.0604105</v>
      </c>
      <c r="F51" s="179">
        <f t="shared" si="25"/>
        <v>1.0608010197180212E-6</v>
      </c>
      <c r="G51" s="179">
        <f t="shared" si="25"/>
        <v>1.133706140304702E-6</v>
      </c>
      <c r="H51" s="179">
        <f t="shared" si="25"/>
        <v>9.6726786589465721E-7</v>
      </c>
      <c r="I51" s="179">
        <f t="shared" si="25"/>
        <v>7.1774924819888233E-7</v>
      </c>
      <c r="J51" s="179">
        <f t="shared" si="25"/>
        <v>-3.1628681864341653E-9</v>
      </c>
      <c r="K51" s="179">
        <f t="shared" si="25"/>
        <v>-3.1628681864341653E-9</v>
      </c>
      <c r="L51" s="179">
        <f t="shared" si="25"/>
        <v>-3.1628681864341653E-9</v>
      </c>
      <c r="M51" s="179">
        <f t="shared" si="25"/>
        <v>-3.1628681864341653E-9</v>
      </c>
      <c r="P51" s="142"/>
      <c r="Q51" s="142"/>
      <c r="R51" s="142"/>
      <c r="S51" s="142"/>
      <c r="T51" s="142"/>
      <c r="U51" s="142"/>
      <c r="V51" s="142"/>
      <c r="W51" s="142"/>
    </row>
    <row r="52" spans="1:23">
      <c r="A52">
        <f t="shared" ref="A52:E52" si="27">A30</f>
        <v>3</v>
      </c>
      <c r="B52" s="179" t="str">
        <f t="shared" si="27"/>
        <v>Wyatt</v>
      </c>
      <c r="C52" s="179">
        <f t="shared" si="27"/>
        <v>32</v>
      </c>
      <c r="D52" s="179">
        <f t="shared" si="27"/>
        <v>75595.955426216213</v>
      </c>
      <c r="E52" s="179">
        <f t="shared" si="27"/>
        <v>5714748476.8024683</v>
      </c>
      <c r="F52" s="179">
        <f t="shared" si="25"/>
        <v>7.1214500024616271E-7</v>
      </c>
      <c r="G52" s="179">
        <f t="shared" si="25"/>
        <v>9.3161776067061012E-7</v>
      </c>
      <c r="H52" s="179">
        <f t="shared" si="25"/>
        <v>9.5203174868404774E-7</v>
      </c>
      <c r="I52" s="179">
        <f t="shared" si="25"/>
        <v>9.8748009325431801E-7</v>
      </c>
      <c r="J52" s="179">
        <f t="shared" si="25"/>
        <v>-6.7536498805864463E-9</v>
      </c>
      <c r="K52" s="179">
        <f t="shared" si="25"/>
        <v>-6.7536498805864463E-9</v>
      </c>
      <c r="L52" s="179">
        <f t="shared" si="25"/>
        <v>-6.7536498805864463E-9</v>
      </c>
      <c r="M52" s="179">
        <f t="shared" si="25"/>
        <v>-6.7536498805864463E-9</v>
      </c>
      <c r="O52" s="39"/>
      <c r="P52" s="142"/>
      <c r="Q52" s="142"/>
      <c r="R52" s="142"/>
      <c r="S52" s="142"/>
      <c r="T52" s="142"/>
      <c r="U52" s="142"/>
      <c r="V52" s="142"/>
      <c r="W52" s="142"/>
    </row>
    <row r="53" spans="1:23">
      <c r="A53">
        <f t="shared" ref="A53:E53" si="28">A31</f>
        <v>4</v>
      </c>
      <c r="B53" s="56" t="str">
        <f t="shared" si="28"/>
        <v>Blank</v>
      </c>
      <c r="C53" s="56">
        <f t="shared" si="28"/>
        <v>38</v>
      </c>
      <c r="D53" s="56">
        <f t="shared" si="28"/>
        <v>89289.913624330453</v>
      </c>
      <c r="E53" s="56">
        <f t="shared" si="28"/>
        <v>7972688675.0403929</v>
      </c>
      <c r="F53" s="56"/>
      <c r="G53" s="56"/>
      <c r="H53" s="56"/>
      <c r="I53" s="56"/>
      <c r="J53" s="56"/>
      <c r="K53" s="56"/>
      <c r="L53" s="56"/>
      <c r="M53" s="56"/>
      <c r="P53" s="142"/>
      <c r="Q53" s="142"/>
      <c r="R53" s="142"/>
      <c r="S53" s="142"/>
      <c r="T53" s="142"/>
      <c r="U53" s="142"/>
      <c r="V53" s="142"/>
      <c r="W53" s="142"/>
    </row>
    <row r="54" spans="1:23">
      <c r="A54">
        <f t="shared" ref="A54:E54" si="29">A32</f>
        <v>5</v>
      </c>
      <c r="B54" s="180" t="str">
        <f t="shared" si="29"/>
        <v>Fiber/APD</v>
      </c>
      <c r="C54" s="180">
        <f t="shared" si="29"/>
        <v>44</v>
      </c>
      <c r="D54" s="180">
        <f t="shared" si="29"/>
        <v>102739.13437566617</v>
      </c>
      <c r="E54" s="180">
        <f t="shared" si="29"/>
        <v>10555329732.261189</v>
      </c>
      <c r="F54" s="180">
        <f t="shared" ref="F54:M61" si="30">Koptical*F$5/F32</f>
        <v>1.0073693448772985E-6</v>
      </c>
      <c r="G54" s="180">
        <f t="shared" si="30"/>
        <v>6.5327936500448436E-7</v>
      </c>
      <c r="H54" s="180">
        <f t="shared" si="30"/>
        <v>8.0958407125170481E-7</v>
      </c>
      <c r="I54" s="180">
        <f t="shared" si="30"/>
        <v>9.9575062919074696E-7</v>
      </c>
      <c r="J54" s="180">
        <f t="shared" si="30"/>
        <v>3.8730078618888835E-9</v>
      </c>
      <c r="K54" s="180">
        <f t="shared" si="30"/>
        <v>3.8730078618888835E-9</v>
      </c>
      <c r="L54" s="180">
        <f t="shared" si="30"/>
        <v>3.8730078618888835E-9</v>
      </c>
      <c r="M54" s="180">
        <f t="shared" si="30"/>
        <v>3.8730078618888835E-9</v>
      </c>
      <c r="P54" s="142"/>
      <c r="Q54" s="142"/>
      <c r="R54" s="142"/>
      <c r="S54" s="142"/>
      <c r="T54" s="142"/>
      <c r="U54" s="142"/>
      <c r="V54" s="142"/>
      <c r="W54" s="142"/>
    </row>
    <row r="55" spans="1:23">
      <c r="A55">
        <f t="shared" ref="A55:E55" si="31">A33</f>
        <v>6</v>
      </c>
      <c r="B55" s="180" t="str">
        <f t="shared" si="31"/>
        <v>Fiber/APD</v>
      </c>
      <c r="C55" s="180">
        <f t="shared" si="31"/>
        <v>50</v>
      </c>
      <c r="D55" s="180">
        <f t="shared" si="31"/>
        <v>115906.75430098787</v>
      </c>
      <c r="E55" s="180">
        <f t="shared" si="31"/>
        <v>13434375692.589571</v>
      </c>
      <c r="F55" s="180">
        <f t="shared" si="30"/>
        <v>7.5490735710766103E-7</v>
      </c>
      <c r="G55" s="180">
        <f t="shared" si="30"/>
        <v>1.2583226476369954E-6</v>
      </c>
      <c r="H55" s="180">
        <f t="shared" si="30"/>
        <v>1.6439987302200593E-6</v>
      </c>
      <c r="I55" s="180">
        <f t="shared" si="30"/>
        <v>2.1153514078562755E-6</v>
      </c>
      <c r="J55" s="180">
        <f t="shared" si="30"/>
        <v>2.9023735375150364E-9</v>
      </c>
      <c r="K55" s="180">
        <f t="shared" si="30"/>
        <v>2.9023735375150364E-9</v>
      </c>
      <c r="L55" s="180">
        <f t="shared" si="30"/>
        <v>2.9023735375150364E-9</v>
      </c>
      <c r="M55" s="180">
        <f t="shared" si="30"/>
        <v>2.9023735375150364E-9</v>
      </c>
      <c r="P55" s="142"/>
      <c r="Q55" s="142"/>
      <c r="R55" s="142"/>
      <c r="S55" s="142"/>
      <c r="T55" s="142"/>
      <c r="U55" s="142"/>
      <c r="V55" s="142"/>
      <c r="W55" s="142"/>
    </row>
    <row r="56" spans="1:23">
      <c r="A56">
        <f t="shared" ref="A56:E56" si="32">A34</f>
        <v>7</v>
      </c>
      <c r="B56" s="179" t="str">
        <f t="shared" si="32"/>
        <v>Wyatt</v>
      </c>
      <c r="C56" s="179">
        <f t="shared" si="32"/>
        <v>57</v>
      </c>
      <c r="D56" s="179">
        <f t="shared" si="32"/>
        <v>130864.96300509552</v>
      </c>
      <c r="E56" s="179">
        <f t="shared" si="32"/>
        <v>17125638542.325018</v>
      </c>
      <c r="F56" s="179">
        <f t="shared" si="30"/>
        <v>9.0646408799245959E-7</v>
      </c>
      <c r="G56" s="179">
        <f t="shared" si="30"/>
        <v>1.1975168273095932E-6</v>
      </c>
      <c r="H56" s="179">
        <f t="shared" si="30"/>
        <v>1.5524235513945077E-6</v>
      </c>
      <c r="I56" s="179">
        <f t="shared" si="30"/>
        <v>1.6010781152957406E-6</v>
      </c>
      <c r="J56" s="179">
        <f t="shared" si="30"/>
        <v>-5.39842616726631E-9</v>
      </c>
      <c r="K56" s="179">
        <f t="shared" si="30"/>
        <v>-5.39842616726631E-9</v>
      </c>
      <c r="L56" s="179">
        <f t="shared" si="30"/>
        <v>-5.39842616726631E-9</v>
      </c>
      <c r="M56" s="179">
        <f t="shared" si="30"/>
        <v>-5.39842616726631E-9</v>
      </c>
      <c r="P56" s="142"/>
      <c r="Q56" s="142"/>
      <c r="R56" s="142"/>
      <c r="S56" s="142"/>
      <c r="T56" s="142"/>
      <c r="U56" s="142"/>
      <c r="V56" s="142"/>
      <c r="W56" s="142"/>
    </row>
    <row r="57" spans="1:23">
      <c r="A57">
        <f t="shared" ref="A57:E57" si="33">A35</f>
        <v>8</v>
      </c>
      <c r="B57" s="180" t="str">
        <f t="shared" si="33"/>
        <v>Fiber/APD</v>
      </c>
      <c r="C57" s="180">
        <f t="shared" si="33"/>
        <v>64</v>
      </c>
      <c r="D57" s="180">
        <f t="shared" si="33"/>
        <v>145334.99263816432</v>
      </c>
      <c r="E57" s="180">
        <f t="shared" si="33"/>
        <v>21122260085.135277</v>
      </c>
      <c r="F57" s="180">
        <f t="shared" si="30"/>
        <v>8.7646757945908118E-7</v>
      </c>
      <c r="G57" s="180">
        <f t="shared" si="30"/>
        <v>1.4845906395913994E-6</v>
      </c>
      <c r="H57" s="180">
        <f t="shared" si="30"/>
        <v>2.0673490251375933E-6</v>
      </c>
      <c r="I57" s="180">
        <f t="shared" si="30"/>
        <v>2.2920289191476669E-6</v>
      </c>
      <c r="J57" s="180">
        <f t="shared" si="30"/>
        <v>3.3697331005731686E-9</v>
      </c>
      <c r="K57" s="180">
        <f t="shared" si="30"/>
        <v>3.3697331005731686E-9</v>
      </c>
      <c r="L57" s="180">
        <f t="shared" si="30"/>
        <v>3.3697331005731686E-9</v>
      </c>
      <c r="M57" s="180">
        <f t="shared" si="30"/>
        <v>3.3697331005731686E-9</v>
      </c>
      <c r="P57" s="142"/>
      <c r="Q57" s="142"/>
      <c r="R57" s="142"/>
      <c r="S57" s="142"/>
      <c r="T57" s="142"/>
      <c r="U57" s="142"/>
      <c r="V57" s="142"/>
      <c r="W57" s="142"/>
    </row>
    <row r="58" spans="1:23">
      <c r="A58">
        <f t="shared" ref="A58:E58" si="34">A36</f>
        <v>9</v>
      </c>
      <c r="B58" s="179" t="str">
        <f t="shared" si="34"/>
        <v>Wyatt</v>
      </c>
      <c r="C58" s="179">
        <f t="shared" si="34"/>
        <v>72</v>
      </c>
      <c r="D58" s="179">
        <f t="shared" si="34"/>
        <v>161205.2459318676</v>
      </c>
      <c r="E58" s="179">
        <f t="shared" si="34"/>
        <v>25987131315.953915</v>
      </c>
      <c r="F58" s="179">
        <f t="shared" si="30"/>
        <v>8.0670703213538152E-7</v>
      </c>
      <c r="G58" s="179">
        <f t="shared" si="30"/>
        <v>1.136927702999804E-6</v>
      </c>
      <c r="H58" s="179">
        <f t="shared" si="30"/>
        <v>1.5872996849966335E-6</v>
      </c>
      <c r="I58" s="179">
        <f t="shared" si="30"/>
        <v>1.795184904639493E-6</v>
      </c>
      <c r="J58" s="179">
        <f t="shared" si="30"/>
        <v>-7.4801520495625285E-9</v>
      </c>
      <c r="K58" s="179">
        <f t="shared" si="30"/>
        <v>-7.4801520495625285E-9</v>
      </c>
      <c r="L58" s="179">
        <f t="shared" si="30"/>
        <v>-7.4801520495625285E-9</v>
      </c>
      <c r="M58" s="179">
        <f t="shared" si="30"/>
        <v>-7.4801520495625285E-9</v>
      </c>
      <c r="P58" s="142"/>
      <c r="Q58" s="142"/>
      <c r="R58" s="142"/>
      <c r="S58" s="142"/>
      <c r="T58" s="142"/>
      <c r="U58" s="142"/>
      <c r="V58" s="142"/>
      <c r="W58" s="142"/>
    </row>
    <row r="59" spans="1:23">
      <c r="A59">
        <f t="shared" ref="A59:E59" si="35">A37</f>
        <v>10</v>
      </c>
      <c r="B59" s="180" t="str">
        <f t="shared" si="35"/>
        <v>Fiber/APD</v>
      </c>
      <c r="C59" s="180">
        <f t="shared" si="35"/>
        <v>81</v>
      </c>
      <c r="D59" s="180">
        <f t="shared" si="35"/>
        <v>178116.80701873807</v>
      </c>
      <c r="E59" s="180">
        <f t="shared" si="35"/>
        <v>31725596942.550377</v>
      </c>
      <c r="F59" s="180">
        <f t="shared" si="30"/>
        <v>9.6944579368971646E-7</v>
      </c>
      <c r="G59" s="180">
        <f t="shared" si="30"/>
        <v>2.0574298680161101E-6</v>
      </c>
      <c r="H59" s="180">
        <f t="shared" si="30"/>
        <v>3.1118514640680294E-6</v>
      </c>
      <c r="I59" s="180">
        <f t="shared" si="30"/>
        <v>3.3617056526655457E-6</v>
      </c>
      <c r="J59" s="180">
        <f t="shared" si="30"/>
        <v>3.7272041279881447E-9</v>
      </c>
      <c r="K59" s="180">
        <f t="shared" si="30"/>
        <v>3.7272041279881447E-9</v>
      </c>
      <c r="L59" s="180">
        <f t="shared" si="30"/>
        <v>3.7272041279881447E-9</v>
      </c>
      <c r="M59" s="180">
        <f t="shared" si="30"/>
        <v>3.7272041279881447E-9</v>
      </c>
      <c r="P59" s="142"/>
      <c r="Q59" s="142"/>
      <c r="R59" s="142"/>
      <c r="S59" s="142"/>
      <c r="T59" s="142"/>
      <c r="U59" s="142"/>
      <c r="V59" s="142"/>
      <c r="W59" s="142"/>
    </row>
    <row r="60" spans="1:23">
      <c r="A60">
        <f t="shared" ref="A60:E60" si="36">A38</f>
        <v>11</v>
      </c>
      <c r="B60" s="179" t="str">
        <f t="shared" si="36"/>
        <v>Wyatt</v>
      </c>
      <c r="C60" s="179">
        <f t="shared" si="36"/>
        <v>90</v>
      </c>
      <c r="D60" s="179">
        <f t="shared" si="36"/>
        <v>193930.21876048925</v>
      </c>
      <c r="E60" s="179">
        <f t="shared" si="36"/>
        <v>37608929748.491219</v>
      </c>
      <c r="F60" s="179">
        <f t="shared" si="30"/>
        <v>8.3799915302875726E-7</v>
      </c>
      <c r="G60" s="179">
        <f t="shared" si="30"/>
        <v>1.1625328463482538E-6</v>
      </c>
      <c r="H60" s="179">
        <f t="shared" si="30"/>
        <v>1.5985145632238147E-6</v>
      </c>
      <c r="I60" s="179">
        <f t="shared" si="30"/>
        <v>1.8291084394184406E-6</v>
      </c>
      <c r="J60" s="179">
        <f t="shared" si="30"/>
        <v>-7.625008312833755E-9</v>
      </c>
      <c r="K60" s="179">
        <f t="shared" si="30"/>
        <v>-7.625008312833755E-9</v>
      </c>
      <c r="L60" s="179">
        <f t="shared" si="30"/>
        <v>-7.625008312833755E-9</v>
      </c>
      <c r="M60" s="179">
        <f t="shared" si="30"/>
        <v>-7.625008312833755E-9</v>
      </c>
      <c r="P60" s="142"/>
      <c r="Q60" s="142"/>
      <c r="R60" s="142"/>
      <c r="S60" s="142"/>
      <c r="T60" s="142"/>
      <c r="U60" s="142"/>
      <c r="V60" s="142"/>
      <c r="W60" s="142"/>
    </row>
    <row r="61" spans="1:23">
      <c r="A61">
        <f t="shared" ref="A61:E61" si="37">A39</f>
        <v>12</v>
      </c>
      <c r="B61" s="180" t="str">
        <f t="shared" si="37"/>
        <v>Fiber/APD</v>
      </c>
      <c r="C61" s="180">
        <f t="shared" si="37"/>
        <v>99</v>
      </c>
      <c r="D61" s="180">
        <f t="shared" si="37"/>
        <v>208547.98621524032</v>
      </c>
      <c r="E61" s="180">
        <f t="shared" si="37"/>
        <v>43492262554.432068</v>
      </c>
      <c r="F61" s="180">
        <f t="shared" si="30"/>
        <v>6.5927951324528178E-7</v>
      </c>
      <c r="G61" s="180">
        <f t="shared" si="30"/>
        <v>2.2111809585574598E-6</v>
      </c>
      <c r="H61" s="180">
        <f t="shared" si="30"/>
        <v>3.5998685394357052E-6</v>
      </c>
      <c r="I61" s="180">
        <f t="shared" si="30"/>
        <v>4.0925047699564214E-6</v>
      </c>
      <c r="J61" s="180">
        <f t="shared" si="30"/>
        <v>2.5347155449645586E-9</v>
      </c>
      <c r="K61" s="180">
        <f t="shared" si="30"/>
        <v>2.5347155449645586E-9</v>
      </c>
      <c r="L61" s="180">
        <f t="shared" si="30"/>
        <v>2.5347155449645586E-9</v>
      </c>
      <c r="M61" s="180">
        <f t="shared" si="30"/>
        <v>2.5347155449645586E-9</v>
      </c>
      <c r="P61" s="142"/>
      <c r="Q61" s="142"/>
      <c r="R61" s="142"/>
      <c r="S61" s="142"/>
      <c r="T61" s="142"/>
      <c r="U61" s="142"/>
      <c r="V61" s="142"/>
      <c r="W61" s="142"/>
    </row>
    <row r="62" spans="1:23">
      <c r="A62">
        <f t="shared" ref="A62:E62" si="38">A40</f>
        <v>13</v>
      </c>
      <c r="B62" s="56" t="str">
        <f t="shared" si="38"/>
        <v>Blank</v>
      </c>
      <c r="C62" s="56">
        <f t="shared" si="38"/>
        <v>108</v>
      </c>
      <c r="D62" s="56">
        <f t="shared" si="38"/>
        <v>221879.98598573179</v>
      </c>
      <c r="E62" s="56">
        <f t="shared" si="38"/>
        <v>49230728181.028534</v>
      </c>
      <c r="F62" s="56"/>
      <c r="G62" s="56"/>
      <c r="H62" s="56"/>
      <c r="I62" s="56"/>
      <c r="J62" s="56"/>
      <c r="K62" s="56"/>
      <c r="L62" s="56"/>
      <c r="M62" s="56"/>
      <c r="P62" s="142"/>
      <c r="Q62" s="142"/>
      <c r="R62" s="142"/>
      <c r="S62" s="142"/>
      <c r="T62" s="142"/>
      <c r="U62" s="142"/>
      <c r="V62" s="142"/>
      <c r="W62" s="142"/>
    </row>
    <row r="63" spans="1:23">
      <c r="A63">
        <f>A41</f>
        <v>14</v>
      </c>
      <c r="B63" s="180" t="str">
        <f t="shared" ref="B63:E63" si="39">B41</f>
        <v>Fiber/APD</v>
      </c>
      <c r="C63" s="180">
        <f t="shared" si="39"/>
        <v>117</v>
      </c>
      <c r="D63" s="180">
        <f t="shared" si="39"/>
        <v>233844.02186003872</v>
      </c>
      <c r="E63" s="180">
        <f t="shared" si="39"/>
        <v>54683026559.678268</v>
      </c>
      <c r="F63" s="180">
        <f t="shared" ref="F63:M67" si="40">Koptical*F$5/F41</f>
        <v>6.3508371687251908E-7</v>
      </c>
      <c r="G63" s="180">
        <f t="shared" si="40"/>
        <v>1.1358081931753252E-6</v>
      </c>
      <c r="H63" s="180">
        <f t="shared" si="40"/>
        <v>1.7362116118884604E-6</v>
      </c>
      <c r="I63" s="180">
        <f t="shared" si="40"/>
        <v>2.0197388731324503E-6</v>
      </c>
      <c r="J63" s="180">
        <f t="shared" si="40"/>
        <v>2.4416905685217955E-9</v>
      </c>
      <c r="K63" s="180">
        <f t="shared" si="40"/>
        <v>2.4416905685217955E-9</v>
      </c>
      <c r="L63" s="180">
        <f t="shared" si="40"/>
        <v>2.4416905685217955E-9</v>
      </c>
      <c r="M63" s="180">
        <f t="shared" si="40"/>
        <v>2.4416905685217955E-9</v>
      </c>
      <c r="P63" s="142"/>
      <c r="Q63" s="142"/>
      <c r="R63" s="142"/>
      <c r="S63" s="142"/>
      <c r="T63" s="142"/>
      <c r="U63" s="142"/>
      <c r="V63" s="142"/>
      <c r="W63" s="142"/>
    </row>
    <row r="64" spans="1:23">
      <c r="A64">
        <f t="shared" ref="A64:E64" si="41">A42</f>
        <v>15</v>
      </c>
      <c r="B64" s="179" t="str">
        <f t="shared" si="41"/>
        <v>Wyatt</v>
      </c>
      <c r="C64" s="179">
        <f t="shared" si="41"/>
        <v>126</v>
      </c>
      <c r="D64" s="179">
        <f t="shared" si="41"/>
        <v>244366.33157855037</v>
      </c>
      <c r="E64" s="179">
        <f t="shared" si="41"/>
        <v>59714904009.15802</v>
      </c>
      <c r="F64" s="179">
        <f t="shared" si="40"/>
        <v>9.7390415396671408E-7</v>
      </c>
      <c r="G64" s="179">
        <f t="shared" si="40"/>
        <v>1.2818731324224987E-6</v>
      </c>
      <c r="H64" s="179">
        <f t="shared" si="40"/>
        <v>1.7429735006493419E-6</v>
      </c>
      <c r="I64" s="179">
        <f t="shared" si="40"/>
        <v>1.8800144676726827E-6</v>
      </c>
      <c r="J64" s="179">
        <f t="shared" si="40"/>
        <v>-5.9603860375054897E-9</v>
      </c>
      <c r="K64" s="179">
        <f t="shared" si="40"/>
        <v>-5.9603860375054897E-9</v>
      </c>
      <c r="L64" s="179">
        <f t="shared" si="40"/>
        <v>-5.9603860375054897E-9</v>
      </c>
      <c r="M64" s="179">
        <f t="shared" si="40"/>
        <v>-5.9603860375054897E-9</v>
      </c>
      <c r="P64" s="142"/>
      <c r="Q64" s="142"/>
      <c r="R64" s="142"/>
      <c r="S64" s="142"/>
      <c r="T64" s="142"/>
      <c r="U64" s="142"/>
      <c r="V64" s="142"/>
      <c r="W64" s="142"/>
    </row>
    <row r="65" spans="1:23">
      <c r="A65">
        <f t="shared" ref="A65:E65" si="42">A43</f>
        <v>16</v>
      </c>
      <c r="B65" s="180" t="str">
        <f t="shared" si="42"/>
        <v>Fiber/APD</v>
      </c>
      <c r="C65" s="180">
        <f t="shared" si="42"/>
        <v>134</v>
      </c>
      <c r="D65" s="180">
        <f t="shared" si="42"/>
        <v>252456.50635760027</v>
      </c>
      <c r="E65" s="180">
        <f t="shared" si="42"/>
        <v>63734287602.285065</v>
      </c>
      <c r="F65" s="180">
        <f t="shared" si="40"/>
        <v>8.5589876105553125E-7</v>
      </c>
      <c r="G65" s="180">
        <f t="shared" si="40"/>
        <v>7.7932871813475499E-7</v>
      </c>
      <c r="H65" s="180">
        <f t="shared" si="40"/>
        <v>1.1866774583964995E-6</v>
      </c>
      <c r="I65" s="180">
        <f t="shared" si="40"/>
        <v>1.3335906243034321E-6</v>
      </c>
      <c r="J65" s="180">
        <f t="shared" si="40"/>
        <v>3.2906526761073864E-9</v>
      </c>
      <c r="K65" s="180">
        <f t="shared" si="40"/>
        <v>3.2906526761073864E-9</v>
      </c>
      <c r="L65" s="180">
        <f t="shared" si="40"/>
        <v>3.2906526761073864E-9</v>
      </c>
      <c r="M65" s="180">
        <f t="shared" si="40"/>
        <v>3.2906526761073864E-9</v>
      </c>
      <c r="P65" s="142"/>
      <c r="Q65" s="142"/>
      <c r="R65" s="142"/>
      <c r="S65" s="142"/>
      <c r="T65" s="142"/>
      <c r="U65" s="142"/>
      <c r="V65" s="142"/>
      <c r="W65" s="142"/>
    </row>
    <row r="66" spans="1:23">
      <c r="A66">
        <f>A44</f>
        <v>17</v>
      </c>
      <c r="B66" s="179" t="str">
        <f t="shared" ref="B66:E66" si="43">B44</f>
        <v>Wyatt</v>
      </c>
      <c r="C66" s="179">
        <f t="shared" si="43"/>
        <v>141</v>
      </c>
      <c r="D66" s="179">
        <f t="shared" si="43"/>
        <v>258527.67282681772</v>
      </c>
      <c r="E66" s="179">
        <f t="shared" si="43"/>
        <v>66836557617.250107</v>
      </c>
      <c r="F66" s="179">
        <f t="shared" si="40"/>
        <v>9.2315370378231284E-7</v>
      </c>
      <c r="G66" s="179">
        <f t="shared" si="40"/>
        <v>1.2437175136346152E-6</v>
      </c>
      <c r="H66" s="179">
        <f t="shared" si="40"/>
        <v>1.6529509618773137E-6</v>
      </c>
      <c r="I66" s="179">
        <f t="shared" si="40"/>
        <v>1.7577255940417407E-6</v>
      </c>
      <c r="J66" s="179">
        <f t="shared" si="40"/>
        <v>-6.3886069465904018E-9</v>
      </c>
      <c r="K66" s="179">
        <f t="shared" si="40"/>
        <v>-6.3886069465904018E-9</v>
      </c>
      <c r="L66" s="179">
        <f t="shared" si="40"/>
        <v>-6.3886069465904018E-9</v>
      </c>
      <c r="M66" s="179">
        <f t="shared" si="40"/>
        <v>-6.3886069465904018E-9</v>
      </c>
      <c r="P66" s="142"/>
      <c r="Q66" s="142"/>
      <c r="R66" s="142"/>
      <c r="S66" s="142"/>
      <c r="T66" s="142"/>
      <c r="U66" s="142"/>
      <c r="V66" s="142"/>
      <c r="W66" s="142"/>
    </row>
    <row r="67" spans="1:23">
      <c r="A67">
        <f t="shared" ref="A67:E67" si="44">A45</f>
        <v>18</v>
      </c>
      <c r="B67" s="180" t="str">
        <f t="shared" si="44"/>
        <v>Fiber/APD</v>
      </c>
      <c r="C67" s="180">
        <f t="shared" si="44"/>
        <v>147</v>
      </c>
      <c r="D67" s="180">
        <f t="shared" si="44"/>
        <v>262964.69766962621</v>
      </c>
      <c r="E67" s="180">
        <f t="shared" si="44"/>
        <v>69150432220.477921</v>
      </c>
      <c r="F67" s="180">
        <f t="shared" si="40"/>
        <v>6.7797559905473115E-7</v>
      </c>
      <c r="G67" s="180">
        <f t="shared" si="40"/>
        <v>1.3679405959316914E-6</v>
      </c>
      <c r="H67" s="180">
        <f t="shared" si="40"/>
        <v>1.9711311450078154E-6</v>
      </c>
      <c r="I67" s="180">
        <f t="shared" si="40"/>
        <v>2.1281873869691094E-6</v>
      </c>
      <c r="J67" s="180">
        <f t="shared" si="40"/>
        <v>2.6065959210101158E-9</v>
      </c>
      <c r="K67" s="180">
        <f t="shared" si="40"/>
        <v>2.6065959210101158E-9</v>
      </c>
      <c r="L67" s="180">
        <f t="shared" si="40"/>
        <v>2.6065959210101158E-9</v>
      </c>
      <c r="M67" s="180">
        <f t="shared" si="40"/>
        <v>2.6065959210101158E-9</v>
      </c>
      <c r="P67" s="142"/>
      <c r="Q67" s="142"/>
      <c r="R67" s="142"/>
      <c r="S67" s="142"/>
      <c r="T67" s="142"/>
      <c r="U67" s="142"/>
      <c r="V67" s="142"/>
      <c r="W67" s="142"/>
    </row>
    <row r="68" spans="1:23">
      <c r="B68" s="142"/>
      <c r="C68" s="142"/>
      <c r="D68" s="142"/>
      <c r="E68" s="142"/>
      <c r="F68" s="142"/>
      <c r="G68" s="142"/>
      <c r="H68" s="142"/>
      <c r="I68" s="142"/>
      <c r="J68" s="142"/>
      <c r="K68" s="142"/>
      <c r="L68" s="142"/>
      <c r="M68" s="142"/>
      <c r="P68" s="142"/>
      <c r="Q68" s="142"/>
      <c r="R68" s="142"/>
      <c r="S68" s="142"/>
      <c r="T68" s="142"/>
      <c r="U68" s="142"/>
      <c r="V68" s="142"/>
      <c r="W68" s="142"/>
    </row>
    <row r="69" spans="1:23" ht="16.5">
      <c r="A69" s="67" t="s">
        <v>147</v>
      </c>
      <c r="B69" s="67" t="s">
        <v>148</v>
      </c>
      <c r="C69" s="67" t="s">
        <v>146</v>
      </c>
      <c r="E69" t="s">
        <v>348</v>
      </c>
      <c r="F69" t="s">
        <v>349</v>
      </c>
    </row>
    <row r="70" spans="1:23">
      <c r="A70">
        <f>A28</f>
        <v>1</v>
      </c>
      <c r="B70" s="179" t="str">
        <f>B28</f>
        <v>Wyatt</v>
      </c>
      <c r="C70" s="179">
        <f>C28</f>
        <v>22.5</v>
      </c>
      <c r="D70" s="179"/>
      <c r="E70" s="179">
        <f>E50/10000000000</f>
        <v>0.28628093142053257</v>
      </c>
      <c r="F70" s="179">
        <f t="shared" ref="F70:M72" si="45">$E70+kscale*F$49</f>
        <v>13.291280931420534</v>
      </c>
      <c r="G70" s="179">
        <f t="shared" si="45"/>
        <v>24.426280931420532</v>
      </c>
      <c r="H70" s="179">
        <f t="shared" si="45"/>
        <v>41.16628093142053</v>
      </c>
      <c r="I70" s="179">
        <f t="shared" si="45"/>
        <v>51.461280931420532</v>
      </c>
      <c r="J70" s="179">
        <f t="shared" si="45"/>
        <v>0.33628093142053256</v>
      </c>
      <c r="K70" s="179">
        <f t="shared" si="45"/>
        <v>0.33628093142053256</v>
      </c>
      <c r="L70" s="179">
        <f t="shared" si="45"/>
        <v>0.33628093142053256</v>
      </c>
      <c r="M70" s="179">
        <f t="shared" si="45"/>
        <v>0.33628093142053256</v>
      </c>
    </row>
    <row r="71" spans="1:23">
      <c r="A71">
        <f>A29</f>
        <v>2</v>
      </c>
      <c r="B71" s="179" t="str">
        <f t="shared" ref="B71:C71" si="46">B29</f>
        <v>Wyatt</v>
      </c>
      <c r="C71" s="179">
        <f t="shared" si="46"/>
        <v>28</v>
      </c>
      <c r="D71" s="179"/>
      <c r="E71" s="179">
        <f t="shared" ref="E71:E87" si="47">E51/10000000000</f>
        <v>0.44022157570604104</v>
      </c>
      <c r="F71" s="179">
        <f t="shared" si="45"/>
        <v>13.445221575706041</v>
      </c>
      <c r="G71" s="179">
        <f t="shared" si="45"/>
        <v>24.580221575706041</v>
      </c>
      <c r="H71" s="179">
        <f t="shared" si="45"/>
        <v>41.320221575706036</v>
      </c>
      <c r="I71" s="179">
        <f t="shared" si="45"/>
        <v>51.615221575706038</v>
      </c>
      <c r="J71" s="179">
        <f t="shared" si="45"/>
        <v>0.49022157570604102</v>
      </c>
      <c r="K71" s="179">
        <f t="shared" si="45"/>
        <v>0.49022157570604102</v>
      </c>
      <c r="L71" s="179">
        <f t="shared" si="45"/>
        <v>0.49022157570604102</v>
      </c>
      <c r="M71" s="179">
        <f t="shared" si="45"/>
        <v>0.49022157570604102</v>
      </c>
    </row>
    <row r="72" spans="1:23">
      <c r="A72">
        <f t="shared" ref="A72:C87" si="48">A30</f>
        <v>3</v>
      </c>
      <c r="B72" s="179" t="str">
        <f t="shared" si="48"/>
        <v>Wyatt</v>
      </c>
      <c r="C72" s="179">
        <f t="shared" si="48"/>
        <v>32</v>
      </c>
      <c r="D72" s="179"/>
      <c r="E72" s="179">
        <f t="shared" si="47"/>
        <v>0.57147484768024681</v>
      </c>
      <c r="F72" s="179">
        <f t="shared" si="45"/>
        <v>13.576474847680247</v>
      </c>
      <c r="G72" s="179">
        <f t="shared" si="45"/>
        <v>24.711474847680247</v>
      </c>
      <c r="H72" s="179">
        <f t="shared" si="45"/>
        <v>41.451474847680245</v>
      </c>
      <c r="I72" s="179">
        <f t="shared" si="45"/>
        <v>51.746474847680247</v>
      </c>
      <c r="J72" s="179">
        <f t="shared" si="45"/>
        <v>0.62147484768024686</v>
      </c>
      <c r="K72" s="179">
        <f t="shared" si="45"/>
        <v>0.62147484768024686</v>
      </c>
      <c r="L72" s="179">
        <f t="shared" si="45"/>
        <v>0.62147484768024686</v>
      </c>
      <c r="M72" s="179">
        <f t="shared" si="45"/>
        <v>0.62147484768024686</v>
      </c>
    </row>
    <row r="73" spans="1:23">
      <c r="A73">
        <f t="shared" si="48"/>
        <v>4</v>
      </c>
      <c r="B73" s="56" t="str">
        <f t="shared" si="48"/>
        <v>Blank</v>
      </c>
      <c r="C73" s="56">
        <f t="shared" si="48"/>
        <v>38</v>
      </c>
      <c r="D73" s="56"/>
      <c r="E73" s="56"/>
      <c r="F73" s="56"/>
      <c r="G73" s="56"/>
      <c r="H73" s="56"/>
      <c r="I73" s="56"/>
      <c r="J73" s="56"/>
      <c r="K73" s="56"/>
      <c r="L73" s="56"/>
      <c r="M73" s="56"/>
    </row>
    <row r="74" spans="1:23">
      <c r="A74">
        <f t="shared" si="48"/>
        <v>5</v>
      </c>
      <c r="B74" s="180" t="str">
        <f t="shared" si="48"/>
        <v>Fiber/APD</v>
      </c>
      <c r="C74" s="180">
        <f t="shared" si="48"/>
        <v>44</v>
      </c>
      <c r="D74" s="180"/>
      <c r="E74" s="180">
        <f t="shared" si="47"/>
        <v>1.0555329732261189</v>
      </c>
      <c r="F74" s="180">
        <f t="shared" ref="F74:M81" si="49">$E74+kscale*F$49</f>
        <v>14.06053297322612</v>
      </c>
      <c r="G74" s="180">
        <f t="shared" si="49"/>
        <v>25.195532973226118</v>
      </c>
      <c r="H74" s="180">
        <f t="shared" si="49"/>
        <v>41.935532973226117</v>
      </c>
      <c r="I74" s="180">
        <f t="shared" si="49"/>
        <v>52.230532973226119</v>
      </c>
      <c r="J74" s="180">
        <f t="shared" si="49"/>
        <v>1.105532973226119</v>
      </c>
      <c r="K74" s="180">
        <f t="shared" si="49"/>
        <v>1.105532973226119</v>
      </c>
      <c r="L74" s="180">
        <f t="shared" si="49"/>
        <v>1.105532973226119</v>
      </c>
      <c r="M74" s="180">
        <f t="shared" si="49"/>
        <v>1.105532973226119</v>
      </c>
    </row>
    <row r="75" spans="1:23">
      <c r="A75">
        <f t="shared" si="48"/>
        <v>6</v>
      </c>
      <c r="B75" s="180" t="str">
        <f t="shared" si="48"/>
        <v>Fiber/APD</v>
      </c>
      <c r="C75" s="180">
        <f t="shared" si="48"/>
        <v>50</v>
      </c>
      <c r="D75" s="180"/>
      <c r="E75" s="180">
        <f t="shared" si="47"/>
        <v>1.3434375692589571</v>
      </c>
      <c r="F75" s="180">
        <f t="shared" si="49"/>
        <v>14.348437569258959</v>
      </c>
      <c r="G75" s="180">
        <f t="shared" si="49"/>
        <v>25.483437569258957</v>
      </c>
      <c r="H75" s="180">
        <f t="shared" si="49"/>
        <v>42.223437569258955</v>
      </c>
      <c r="I75" s="180">
        <f t="shared" si="49"/>
        <v>52.518437569258957</v>
      </c>
      <c r="J75" s="180">
        <f t="shared" si="49"/>
        <v>1.3934375692589571</v>
      </c>
      <c r="K75" s="180">
        <f t="shared" si="49"/>
        <v>1.3934375692589571</v>
      </c>
      <c r="L75" s="180">
        <f t="shared" si="49"/>
        <v>1.3934375692589571</v>
      </c>
      <c r="M75" s="180">
        <f t="shared" si="49"/>
        <v>1.3934375692589571</v>
      </c>
    </row>
    <row r="76" spans="1:23">
      <c r="A76">
        <f t="shared" si="48"/>
        <v>7</v>
      </c>
      <c r="B76" s="179" t="str">
        <f t="shared" si="48"/>
        <v>Wyatt</v>
      </c>
      <c r="C76" s="179">
        <f t="shared" si="48"/>
        <v>57</v>
      </c>
      <c r="D76" s="179"/>
      <c r="E76" s="179">
        <f t="shared" si="47"/>
        <v>1.7125638542325019</v>
      </c>
      <c r="F76" s="179">
        <f t="shared" si="49"/>
        <v>14.717563854232502</v>
      </c>
      <c r="G76" s="179">
        <f t="shared" si="49"/>
        <v>25.852563854232503</v>
      </c>
      <c r="H76" s="179">
        <f t="shared" si="49"/>
        <v>42.592563854232495</v>
      </c>
      <c r="I76" s="179">
        <f t="shared" si="49"/>
        <v>52.887563854232496</v>
      </c>
      <c r="J76" s="179">
        <f t="shared" si="49"/>
        <v>1.7625638542325019</v>
      </c>
      <c r="K76" s="179">
        <f t="shared" si="49"/>
        <v>1.7625638542325019</v>
      </c>
      <c r="L76" s="179">
        <f t="shared" si="49"/>
        <v>1.7625638542325019</v>
      </c>
      <c r="M76" s="179">
        <f t="shared" si="49"/>
        <v>1.7625638542325019</v>
      </c>
    </row>
    <row r="77" spans="1:23">
      <c r="A77">
        <f t="shared" si="48"/>
        <v>8</v>
      </c>
      <c r="B77" s="180" t="str">
        <f t="shared" si="48"/>
        <v>Fiber/APD</v>
      </c>
      <c r="C77" s="180">
        <f t="shared" si="48"/>
        <v>64</v>
      </c>
      <c r="D77" s="180"/>
      <c r="E77" s="180">
        <f t="shared" si="47"/>
        <v>2.1122260085135278</v>
      </c>
      <c r="F77" s="180">
        <f t="shared" si="49"/>
        <v>15.117226008513528</v>
      </c>
      <c r="G77" s="180">
        <f t="shared" si="49"/>
        <v>26.252226008513528</v>
      </c>
      <c r="H77" s="180">
        <f t="shared" si="49"/>
        <v>42.992226008513526</v>
      </c>
      <c r="I77" s="180">
        <f t="shared" si="49"/>
        <v>53.287226008513528</v>
      </c>
      <c r="J77" s="180">
        <f t="shared" si="49"/>
        <v>2.1622260085135276</v>
      </c>
      <c r="K77" s="180">
        <f t="shared" si="49"/>
        <v>2.1622260085135276</v>
      </c>
      <c r="L77" s="180">
        <f t="shared" si="49"/>
        <v>2.1622260085135276</v>
      </c>
      <c r="M77" s="180">
        <f t="shared" si="49"/>
        <v>2.1622260085135276</v>
      </c>
    </row>
    <row r="78" spans="1:23">
      <c r="A78">
        <f t="shared" si="48"/>
        <v>9</v>
      </c>
      <c r="B78" s="179" t="str">
        <f t="shared" si="48"/>
        <v>Wyatt</v>
      </c>
      <c r="C78" s="179">
        <f t="shared" si="48"/>
        <v>72</v>
      </c>
      <c r="D78" s="179"/>
      <c r="E78" s="179">
        <f t="shared" si="47"/>
        <v>2.5987131315953915</v>
      </c>
      <c r="F78" s="179">
        <f t="shared" si="49"/>
        <v>15.603713131595391</v>
      </c>
      <c r="G78" s="179">
        <f t="shared" si="49"/>
        <v>26.738713131595393</v>
      </c>
      <c r="H78" s="179">
        <f t="shared" si="49"/>
        <v>43.478713131595384</v>
      </c>
      <c r="I78" s="179">
        <f t="shared" si="49"/>
        <v>53.773713131595386</v>
      </c>
      <c r="J78" s="179">
        <f t="shared" si="49"/>
        <v>2.6487131315953913</v>
      </c>
      <c r="K78" s="179">
        <f t="shared" si="49"/>
        <v>2.6487131315953913</v>
      </c>
      <c r="L78" s="179">
        <f t="shared" si="49"/>
        <v>2.6487131315953913</v>
      </c>
      <c r="M78" s="179">
        <f t="shared" si="49"/>
        <v>2.6487131315953913</v>
      </c>
    </row>
    <row r="79" spans="1:23">
      <c r="A79">
        <f t="shared" si="48"/>
        <v>10</v>
      </c>
      <c r="B79" s="180" t="str">
        <f t="shared" si="48"/>
        <v>Fiber/APD</v>
      </c>
      <c r="C79" s="180">
        <f t="shared" si="48"/>
        <v>81</v>
      </c>
      <c r="D79" s="180"/>
      <c r="E79" s="180">
        <f t="shared" si="47"/>
        <v>3.1725596942550376</v>
      </c>
      <c r="F79" s="180">
        <f t="shared" si="49"/>
        <v>16.177559694255038</v>
      </c>
      <c r="G79" s="180">
        <f t="shared" si="49"/>
        <v>27.312559694255039</v>
      </c>
      <c r="H79" s="180">
        <f t="shared" si="49"/>
        <v>44.052559694255031</v>
      </c>
      <c r="I79" s="180">
        <f t="shared" si="49"/>
        <v>54.347559694255033</v>
      </c>
      <c r="J79" s="180">
        <f t="shared" si="49"/>
        <v>3.2225596942550374</v>
      </c>
      <c r="K79" s="180">
        <f t="shared" si="49"/>
        <v>3.2225596942550374</v>
      </c>
      <c r="L79" s="180">
        <f t="shared" si="49"/>
        <v>3.2225596942550374</v>
      </c>
      <c r="M79" s="180">
        <f t="shared" si="49"/>
        <v>3.2225596942550374</v>
      </c>
    </row>
    <row r="80" spans="1:23">
      <c r="A80">
        <f t="shared" si="48"/>
        <v>11</v>
      </c>
      <c r="B80" s="179" t="str">
        <f t="shared" si="48"/>
        <v>Wyatt</v>
      </c>
      <c r="C80" s="179">
        <f t="shared" si="48"/>
        <v>90</v>
      </c>
      <c r="D80" s="179"/>
      <c r="E80" s="179">
        <f t="shared" si="47"/>
        <v>3.760892974849122</v>
      </c>
      <c r="F80" s="179">
        <f t="shared" si="49"/>
        <v>16.765892974849123</v>
      </c>
      <c r="G80" s="179">
        <f t="shared" si="49"/>
        <v>27.900892974849121</v>
      </c>
      <c r="H80" s="179">
        <f t="shared" si="49"/>
        <v>44.640892974849116</v>
      </c>
      <c r="I80" s="179">
        <f t="shared" si="49"/>
        <v>54.935892974849118</v>
      </c>
      <c r="J80" s="179">
        <f t="shared" si="49"/>
        <v>3.8108929748491218</v>
      </c>
      <c r="K80" s="179">
        <f t="shared" si="49"/>
        <v>3.8108929748491218</v>
      </c>
      <c r="L80" s="179">
        <f t="shared" si="49"/>
        <v>3.8108929748491218</v>
      </c>
      <c r="M80" s="179">
        <f t="shared" si="49"/>
        <v>3.8108929748491218</v>
      </c>
    </row>
    <row r="81" spans="1:13">
      <c r="A81">
        <f t="shared" si="48"/>
        <v>12</v>
      </c>
      <c r="B81" s="180" t="str">
        <f t="shared" si="48"/>
        <v>Fiber/APD</v>
      </c>
      <c r="C81" s="180">
        <f t="shared" si="48"/>
        <v>99</v>
      </c>
      <c r="D81" s="180"/>
      <c r="E81" s="180">
        <f t="shared" si="47"/>
        <v>4.3492262554432068</v>
      </c>
      <c r="F81" s="180">
        <f t="shared" si="49"/>
        <v>17.354226255443209</v>
      </c>
      <c r="G81" s="180">
        <f t="shared" si="49"/>
        <v>28.489226255443207</v>
      </c>
      <c r="H81" s="180">
        <f t="shared" si="49"/>
        <v>45.229226255443201</v>
      </c>
      <c r="I81" s="180">
        <f t="shared" si="49"/>
        <v>55.524226255443203</v>
      </c>
      <c r="J81" s="180">
        <f t="shared" si="49"/>
        <v>4.3992262554432067</v>
      </c>
      <c r="K81" s="180">
        <f t="shared" si="49"/>
        <v>4.3992262554432067</v>
      </c>
      <c r="L81" s="180">
        <f t="shared" si="49"/>
        <v>4.3992262554432067</v>
      </c>
      <c r="M81" s="180">
        <f t="shared" si="49"/>
        <v>4.3992262554432067</v>
      </c>
    </row>
    <row r="82" spans="1:13">
      <c r="A82">
        <f t="shared" si="48"/>
        <v>13</v>
      </c>
      <c r="B82" s="56" t="str">
        <f t="shared" si="48"/>
        <v>Blank</v>
      </c>
      <c r="C82" s="56">
        <f t="shared" si="48"/>
        <v>108</v>
      </c>
      <c r="D82" s="56"/>
      <c r="E82" s="56"/>
      <c r="F82" s="56"/>
      <c r="G82" s="56"/>
      <c r="H82" s="56"/>
      <c r="I82" s="56"/>
      <c r="J82" s="56"/>
      <c r="K82" s="56"/>
      <c r="L82" s="56"/>
      <c r="M82" s="56"/>
    </row>
    <row r="83" spans="1:13">
      <c r="A83">
        <f t="shared" si="48"/>
        <v>14</v>
      </c>
      <c r="B83" s="180" t="str">
        <f t="shared" si="48"/>
        <v>Fiber/APD</v>
      </c>
      <c r="C83" s="180">
        <f t="shared" si="48"/>
        <v>117</v>
      </c>
      <c r="D83" s="180"/>
      <c r="E83" s="180">
        <f t="shared" si="47"/>
        <v>5.4683026559678272</v>
      </c>
      <c r="F83" s="180">
        <f t="shared" ref="F83:M87" si="50">$E83+kscale*F$49</f>
        <v>18.473302655967828</v>
      </c>
      <c r="G83" s="180">
        <f t="shared" si="50"/>
        <v>29.608302655967826</v>
      </c>
      <c r="H83" s="180">
        <f t="shared" si="50"/>
        <v>46.348302655967821</v>
      </c>
      <c r="I83" s="180">
        <f t="shared" si="50"/>
        <v>56.643302655967823</v>
      </c>
      <c r="J83" s="180">
        <f t="shared" si="50"/>
        <v>5.518302655967827</v>
      </c>
      <c r="K83" s="180">
        <f t="shared" si="50"/>
        <v>5.518302655967827</v>
      </c>
      <c r="L83" s="180">
        <f t="shared" si="50"/>
        <v>5.518302655967827</v>
      </c>
      <c r="M83" s="180">
        <f t="shared" si="50"/>
        <v>5.518302655967827</v>
      </c>
    </row>
    <row r="84" spans="1:13">
      <c r="A84">
        <f t="shared" si="48"/>
        <v>15</v>
      </c>
      <c r="B84" s="179" t="str">
        <f t="shared" si="48"/>
        <v>Wyatt</v>
      </c>
      <c r="C84" s="179">
        <f t="shared" si="48"/>
        <v>126</v>
      </c>
      <c r="D84" s="179"/>
      <c r="E84" s="179">
        <f t="shared" si="47"/>
        <v>5.9714904009158021</v>
      </c>
      <c r="F84" s="179">
        <f t="shared" si="50"/>
        <v>18.976490400915804</v>
      </c>
      <c r="G84" s="179">
        <f t="shared" si="50"/>
        <v>30.111490400915802</v>
      </c>
      <c r="H84" s="179">
        <f t="shared" si="50"/>
        <v>46.8514904009158</v>
      </c>
      <c r="I84" s="179">
        <f t="shared" si="50"/>
        <v>57.146490400915802</v>
      </c>
      <c r="J84" s="179">
        <f t="shared" si="50"/>
        <v>6.0214904009158019</v>
      </c>
      <c r="K84" s="179">
        <f t="shared" si="50"/>
        <v>6.0214904009158019</v>
      </c>
      <c r="L84" s="179">
        <f t="shared" si="50"/>
        <v>6.0214904009158019</v>
      </c>
      <c r="M84" s="179">
        <f t="shared" si="50"/>
        <v>6.0214904009158019</v>
      </c>
    </row>
    <row r="85" spans="1:13">
      <c r="A85">
        <f t="shared" si="48"/>
        <v>16</v>
      </c>
      <c r="B85" s="180" t="str">
        <f t="shared" si="48"/>
        <v>Fiber/APD</v>
      </c>
      <c r="C85" s="180">
        <f t="shared" si="48"/>
        <v>134</v>
      </c>
      <c r="D85" s="180"/>
      <c r="E85" s="180">
        <f t="shared" si="47"/>
        <v>6.3734287602285065</v>
      </c>
      <c r="F85" s="180">
        <f t="shared" si="50"/>
        <v>19.378428760228509</v>
      </c>
      <c r="G85" s="180">
        <f t="shared" si="50"/>
        <v>30.513428760228507</v>
      </c>
      <c r="H85" s="180">
        <f t="shared" si="50"/>
        <v>47.253428760228502</v>
      </c>
      <c r="I85" s="180">
        <f t="shared" si="50"/>
        <v>57.548428760228504</v>
      </c>
      <c r="J85" s="180">
        <f t="shared" si="50"/>
        <v>6.4234287602285063</v>
      </c>
      <c r="K85" s="180">
        <f t="shared" si="50"/>
        <v>6.4234287602285063</v>
      </c>
      <c r="L85" s="180">
        <f t="shared" si="50"/>
        <v>6.4234287602285063</v>
      </c>
      <c r="M85" s="180">
        <f t="shared" si="50"/>
        <v>6.4234287602285063</v>
      </c>
    </row>
    <row r="86" spans="1:13">
      <c r="A86">
        <f t="shared" si="48"/>
        <v>17</v>
      </c>
      <c r="B86" s="179" t="str">
        <f t="shared" si="48"/>
        <v>Wyatt</v>
      </c>
      <c r="C86" s="179">
        <f t="shared" si="48"/>
        <v>141</v>
      </c>
      <c r="D86" s="179"/>
      <c r="E86" s="179">
        <f t="shared" si="47"/>
        <v>6.683655761725011</v>
      </c>
      <c r="F86" s="179">
        <f t="shared" si="50"/>
        <v>19.688655761725013</v>
      </c>
      <c r="G86" s="179">
        <f t="shared" si="50"/>
        <v>30.823655761725011</v>
      </c>
      <c r="H86" s="179">
        <f t="shared" si="50"/>
        <v>47.563655761725009</v>
      </c>
      <c r="I86" s="179">
        <f t="shared" si="50"/>
        <v>57.858655761725011</v>
      </c>
      <c r="J86" s="179">
        <f t="shared" si="50"/>
        <v>6.7336557617250108</v>
      </c>
      <c r="K86" s="179">
        <f t="shared" si="50"/>
        <v>6.7336557617250108</v>
      </c>
      <c r="L86" s="179">
        <f t="shared" si="50"/>
        <v>6.7336557617250108</v>
      </c>
      <c r="M86" s="179">
        <f t="shared" si="50"/>
        <v>6.7336557617250108</v>
      </c>
    </row>
    <row r="87" spans="1:13">
      <c r="A87">
        <v>18</v>
      </c>
      <c r="B87" s="180" t="str">
        <f t="shared" si="48"/>
        <v>Fiber/APD</v>
      </c>
      <c r="C87" s="180">
        <f t="shared" si="48"/>
        <v>147</v>
      </c>
      <c r="D87" s="180"/>
      <c r="E87" s="180">
        <f t="shared" si="47"/>
        <v>6.9150432220477924</v>
      </c>
      <c r="F87" s="180">
        <f t="shared" si="50"/>
        <v>19.920043222047795</v>
      </c>
      <c r="G87" s="180">
        <f t="shared" si="50"/>
        <v>31.055043222047793</v>
      </c>
      <c r="H87" s="180">
        <f t="shared" si="50"/>
        <v>47.795043222047788</v>
      </c>
      <c r="I87" s="180">
        <f t="shared" si="50"/>
        <v>58.09004322204779</v>
      </c>
      <c r="J87" s="180">
        <f t="shared" si="50"/>
        <v>6.9650432220477922</v>
      </c>
      <c r="K87" s="180">
        <f t="shared" si="50"/>
        <v>6.9650432220477922</v>
      </c>
      <c r="L87" s="180">
        <f t="shared" si="50"/>
        <v>6.9650432220477922</v>
      </c>
      <c r="M87" s="180">
        <f t="shared" si="50"/>
        <v>6.9650432220477922</v>
      </c>
    </row>
  </sheetData>
  <pageMargins left="0.7" right="0.7" top="0.75" bottom="0.75" header="0.3" footer="0.3"/>
  <pageSetup orientation="portrait" horizontalDpi="4294967293"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89D5F-97A0-4D99-9C06-28C64CD24510}">
  <dimension ref="A1:S85"/>
  <sheetViews>
    <sheetView tabSelected="1" topLeftCell="A18" zoomScaleNormal="100" workbookViewId="0">
      <selection activeCell="L33" sqref="L33"/>
    </sheetView>
  </sheetViews>
  <sheetFormatPr defaultRowHeight="14.25"/>
  <cols>
    <col min="1" max="1" width="28.33203125" customWidth="1"/>
    <col min="10" max="10" width="9.06640625" customWidth="1"/>
    <col min="11" max="11" width="23.265625" customWidth="1"/>
  </cols>
  <sheetData>
    <row r="1" spans="1:19" ht="15.75">
      <c r="A1" s="135" t="s">
        <v>350</v>
      </c>
      <c r="J1" s="138"/>
      <c r="K1" s="223" t="s">
        <v>208</v>
      </c>
      <c r="L1" s="224"/>
      <c r="M1" s="224"/>
      <c r="N1" s="224"/>
      <c r="O1" s="224"/>
      <c r="P1" s="224"/>
      <c r="Q1" s="224"/>
      <c r="R1" s="225"/>
      <c r="S1" s="225"/>
    </row>
    <row r="2" spans="1:19" ht="15.4">
      <c r="A2" s="239" t="s">
        <v>159</v>
      </c>
      <c r="J2" s="138"/>
      <c r="K2" s="226" t="s">
        <v>158</v>
      </c>
      <c r="L2" s="39"/>
      <c r="M2" s="227" t="s">
        <v>159</v>
      </c>
      <c r="N2" s="39"/>
      <c r="O2" s="39"/>
      <c r="P2" s="39"/>
      <c r="Q2" s="39"/>
      <c r="R2" s="228"/>
      <c r="S2" s="228"/>
    </row>
    <row r="3" spans="1:19" ht="15.4">
      <c r="A3" s="240" t="s">
        <v>160</v>
      </c>
      <c r="J3" s="138"/>
      <c r="K3" s="229">
        <v>0.47456018518518522</v>
      </c>
      <c r="L3" s="39"/>
      <c r="M3" s="227" t="s">
        <v>160</v>
      </c>
      <c r="N3" s="39"/>
      <c r="O3" s="39"/>
      <c r="P3" s="39"/>
      <c r="Q3" s="39"/>
      <c r="R3" s="228"/>
      <c r="S3" s="228"/>
    </row>
    <row r="4" spans="1:19" ht="15.4">
      <c r="A4" s="240" t="s">
        <v>160</v>
      </c>
      <c r="J4" s="138"/>
      <c r="K4" s="230">
        <v>35142</v>
      </c>
      <c r="L4" s="39"/>
      <c r="M4" s="227" t="s">
        <v>161</v>
      </c>
      <c r="N4" s="39"/>
      <c r="O4" s="39"/>
      <c r="P4" s="39"/>
      <c r="Q4" s="39"/>
      <c r="R4" s="228"/>
      <c r="S4" s="228"/>
    </row>
    <row r="5" spans="1:19" ht="15.4">
      <c r="A5" s="240" t="s">
        <v>160</v>
      </c>
      <c r="J5" s="138"/>
      <c r="K5" s="230">
        <v>0.75988425925925929</v>
      </c>
      <c r="L5" s="39"/>
      <c r="M5" s="227" t="s">
        <v>162</v>
      </c>
      <c r="N5" s="39"/>
      <c r="O5" s="39"/>
      <c r="P5" s="39"/>
      <c r="Q5" s="39"/>
      <c r="R5" s="228"/>
      <c r="S5" s="39"/>
    </row>
    <row r="6" spans="1:19" ht="15.4">
      <c r="A6" s="240" t="s">
        <v>160</v>
      </c>
      <c r="J6" s="138"/>
      <c r="K6" s="230">
        <v>35142</v>
      </c>
      <c r="L6" s="39"/>
      <c r="M6" s="227" t="s">
        <v>163</v>
      </c>
      <c r="N6" s="39"/>
      <c r="O6" s="39"/>
      <c r="P6" s="39"/>
      <c r="Q6" s="39"/>
      <c r="R6" s="228"/>
      <c r="S6" s="39"/>
    </row>
    <row r="7" spans="1:19" ht="15.4">
      <c r="A7" s="241" t="s">
        <v>210</v>
      </c>
      <c r="J7" s="138"/>
      <c r="K7" s="226" t="s">
        <v>164</v>
      </c>
      <c r="L7" s="39"/>
      <c r="M7" s="39"/>
      <c r="N7" s="39"/>
      <c r="O7" s="39"/>
      <c r="P7" s="39"/>
      <c r="Q7" s="39"/>
      <c r="R7" s="228"/>
      <c r="S7" s="228"/>
    </row>
    <row r="8" spans="1:19" ht="15.4">
      <c r="A8" s="241" t="s">
        <v>211</v>
      </c>
      <c r="J8" s="138"/>
      <c r="K8" s="226" t="s">
        <v>165</v>
      </c>
      <c r="L8" s="39"/>
      <c r="M8" s="39"/>
      <c r="N8" s="39"/>
      <c r="O8" s="39"/>
      <c r="P8" s="39"/>
      <c r="Q8" s="39"/>
      <c r="R8" s="228"/>
      <c r="S8" s="228"/>
    </row>
    <row r="9" spans="1:19" ht="15.4">
      <c r="A9" s="241" t="s">
        <v>167</v>
      </c>
      <c r="J9" s="138"/>
      <c r="K9" s="226" t="s">
        <v>166</v>
      </c>
      <c r="L9" s="39"/>
      <c r="M9" s="227" t="s">
        <v>167</v>
      </c>
      <c r="N9" s="39"/>
      <c r="O9" s="39"/>
      <c r="P9" s="39"/>
      <c r="Q9" s="39"/>
      <c r="R9" s="228"/>
      <c r="S9" s="228"/>
    </row>
    <row r="10" spans="1:19" ht="15.4">
      <c r="A10" s="241" t="s">
        <v>168</v>
      </c>
      <c r="J10" s="138"/>
      <c r="K10" s="226">
        <v>4880</v>
      </c>
      <c r="L10" s="39"/>
      <c r="M10" s="227" t="s">
        <v>168</v>
      </c>
      <c r="N10" s="39"/>
      <c r="O10" s="39"/>
      <c r="P10" s="39"/>
      <c r="Q10" s="39"/>
      <c r="R10" s="228"/>
      <c r="S10" s="228"/>
    </row>
    <row r="11" spans="1:19" ht="15.4">
      <c r="A11" s="241" t="s">
        <v>170</v>
      </c>
      <c r="J11" s="138"/>
      <c r="K11" s="226" t="s">
        <v>169</v>
      </c>
      <c r="L11" s="39"/>
      <c r="M11" s="227" t="s">
        <v>170</v>
      </c>
      <c r="N11" s="39"/>
      <c r="O11" s="39"/>
      <c r="P11" s="39"/>
      <c r="Q11" s="39"/>
      <c r="R11" s="228"/>
      <c r="S11" s="228"/>
    </row>
    <row r="12" spans="1:19" ht="15.4">
      <c r="A12" s="241" t="s">
        <v>171</v>
      </c>
      <c r="J12" s="138"/>
      <c r="K12" s="226">
        <v>1.4950000000000001</v>
      </c>
      <c r="L12" s="39"/>
      <c r="M12" s="227" t="s">
        <v>171</v>
      </c>
      <c r="N12" s="39"/>
      <c r="O12" s="39"/>
      <c r="P12" s="39"/>
      <c r="Q12" s="39"/>
      <c r="R12" s="228"/>
      <c r="S12" s="228"/>
    </row>
    <row r="13" spans="1:19" ht="15.4">
      <c r="A13" s="241" t="s">
        <v>172</v>
      </c>
      <c r="J13" s="138"/>
      <c r="K13" s="226">
        <v>1.4950000000000001</v>
      </c>
      <c r="L13" s="39"/>
      <c r="M13" s="227" t="s">
        <v>172</v>
      </c>
      <c r="N13" s="39"/>
      <c r="O13" s="39"/>
      <c r="P13" s="39"/>
      <c r="Q13" s="39"/>
      <c r="R13" s="228"/>
      <c r="S13" s="228"/>
    </row>
    <row r="14" spans="1:19" ht="15.4">
      <c r="A14" s="241" t="s">
        <v>173</v>
      </c>
      <c r="J14" s="138"/>
      <c r="K14" s="226">
        <v>1</v>
      </c>
      <c r="L14" s="39"/>
      <c r="M14" s="227" t="s">
        <v>173</v>
      </c>
      <c r="N14" s="39"/>
      <c r="O14" s="39"/>
      <c r="P14" s="39"/>
      <c r="Q14" s="39"/>
      <c r="R14" s="228"/>
      <c r="S14" s="228"/>
    </row>
    <row r="15" spans="1:19" ht="15.4">
      <c r="A15" s="241" t="s">
        <v>174</v>
      </c>
      <c r="J15" s="138"/>
      <c r="K15" s="226">
        <v>24.9</v>
      </c>
      <c r="L15" s="39"/>
      <c r="M15" s="227" t="s">
        <v>174</v>
      </c>
      <c r="N15" s="39"/>
      <c r="O15" s="39"/>
      <c r="P15" s="39"/>
      <c r="Q15" s="39"/>
      <c r="R15" s="228"/>
      <c r="S15" s="228"/>
    </row>
    <row r="16" spans="1:19" ht="15.4">
      <c r="A16" s="241" t="s">
        <v>175</v>
      </c>
      <c r="J16" s="138"/>
      <c r="K16" s="226">
        <v>25.1</v>
      </c>
      <c r="L16" s="39"/>
      <c r="M16" s="227" t="s">
        <v>175</v>
      </c>
      <c r="N16" s="39"/>
      <c r="O16" s="39"/>
      <c r="P16" s="39"/>
      <c r="Q16" s="39"/>
      <c r="R16" s="228"/>
      <c r="S16" s="228"/>
    </row>
    <row r="17" spans="1:19" ht="15.4">
      <c r="A17" s="242">
        <v>0</v>
      </c>
      <c r="J17" s="138"/>
      <c r="K17" s="226">
        <v>1018.1180000000001</v>
      </c>
      <c r="L17" s="39"/>
      <c r="M17" s="227" t="s">
        <v>176</v>
      </c>
      <c r="N17" s="39"/>
      <c r="O17" s="39"/>
      <c r="P17" s="39"/>
      <c r="Q17" s="39"/>
      <c r="R17" s="228"/>
      <c r="S17" s="228"/>
    </row>
    <row r="18" spans="1:19" ht="15.4">
      <c r="A18" s="244">
        <f>Parameters!G4</f>
        <v>0.03</v>
      </c>
      <c r="J18" s="138"/>
      <c r="K18" s="226">
        <v>24133.97</v>
      </c>
      <c r="L18" s="39"/>
      <c r="M18" s="227" t="s">
        <v>177</v>
      </c>
      <c r="N18" s="39"/>
      <c r="O18" s="39"/>
      <c r="P18" s="39"/>
      <c r="Q18" s="39"/>
      <c r="R18" s="228"/>
      <c r="S18" s="228"/>
    </row>
    <row r="19" spans="1:19" ht="15.4">
      <c r="A19" s="241" t="s">
        <v>178</v>
      </c>
      <c r="J19" s="138"/>
      <c r="K19" s="226">
        <v>120.08929999999999</v>
      </c>
      <c r="L19" s="39"/>
      <c r="M19" s="227" t="s">
        <v>178</v>
      </c>
      <c r="N19" s="39"/>
      <c r="O19" s="39"/>
      <c r="P19" s="39"/>
      <c r="Q19" s="39"/>
      <c r="R19" s="228"/>
      <c r="S19" s="228"/>
    </row>
    <row r="20" spans="1:19" ht="15.4">
      <c r="A20" s="244">
        <v>90</v>
      </c>
      <c r="J20" s="138"/>
      <c r="K20" s="226">
        <v>90</v>
      </c>
      <c r="L20" s="39"/>
      <c r="M20" s="227" t="s">
        <v>179</v>
      </c>
      <c r="N20" s="39"/>
      <c r="O20" s="39"/>
      <c r="P20" s="39"/>
      <c r="Q20" s="39"/>
      <c r="R20" s="228"/>
      <c r="S20" s="228"/>
    </row>
    <row r="21" spans="1:19" ht="15.4">
      <c r="A21" s="242">
        <v>16</v>
      </c>
      <c r="J21" s="138"/>
      <c r="K21" s="226">
        <v>9</v>
      </c>
      <c r="L21" s="39"/>
      <c r="M21" s="227" t="s">
        <v>180</v>
      </c>
      <c r="N21" s="39"/>
      <c r="O21" s="39"/>
      <c r="P21" s="39"/>
      <c r="Q21" s="39"/>
      <c r="R21" s="228"/>
      <c r="S21" s="228"/>
    </row>
    <row r="22" spans="1:19" ht="15.4">
      <c r="A22" s="241" t="s">
        <v>181</v>
      </c>
      <c r="J22" s="138"/>
      <c r="K22" s="226">
        <v>9</v>
      </c>
      <c r="L22" s="39"/>
      <c r="M22" s="227" t="s">
        <v>181</v>
      </c>
      <c r="N22" s="39"/>
      <c r="O22" s="39"/>
      <c r="P22" s="39"/>
      <c r="Q22" s="39"/>
      <c r="R22" s="228"/>
      <c r="S22" s="228"/>
    </row>
    <row r="23" spans="1:19" ht="15.4">
      <c r="A23" s="243">
        <v>0</v>
      </c>
      <c r="J23" s="138"/>
      <c r="K23" s="226">
        <v>0</v>
      </c>
      <c r="L23" s="39"/>
      <c r="M23" s="227" t="s">
        <v>182</v>
      </c>
      <c r="N23" s="39"/>
      <c r="O23" s="39"/>
      <c r="P23" s="39"/>
      <c r="Q23" s="39"/>
      <c r="R23" s="228"/>
      <c r="S23" s="228"/>
    </row>
    <row r="24" spans="1:19" ht="15.4">
      <c r="A24" s="244">
        <f>ConcData!D28</f>
        <v>2.6010322208282468E-3</v>
      </c>
      <c r="J24" s="138"/>
      <c r="K24" s="226">
        <v>1.305E-4</v>
      </c>
      <c r="L24" s="39"/>
      <c r="M24" s="227" t="s">
        <v>183</v>
      </c>
      <c r="N24" s="39"/>
      <c r="O24" s="39"/>
      <c r="P24" s="39"/>
      <c r="Q24" s="39"/>
      <c r="R24" s="228"/>
      <c r="S24" s="228"/>
    </row>
    <row r="25" spans="1:19" ht="15.4">
      <c r="A25" s="244">
        <f>ConcData!E28</f>
        <v>4.8277485648007294E-3</v>
      </c>
      <c r="J25" s="138"/>
      <c r="K25" s="226">
        <v>2.61E-4</v>
      </c>
      <c r="L25" s="39"/>
      <c r="M25" s="227" t="s">
        <v>184</v>
      </c>
      <c r="N25" s="39"/>
      <c r="O25" s="39"/>
      <c r="P25" s="39"/>
      <c r="Q25" s="39"/>
      <c r="R25" s="228"/>
      <c r="S25" s="228"/>
    </row>
    <row r="26" spans="1:19" ht="15.4">
      <c r="A26" s="244">
        <f>ConcData!F28</f>
        <v>8.1757225152172316E-3</v>
      </c>
      <c r="J26" s="138"/>
      <c r="K26" s="226">
        <v>6.5399999999999996E-4</v>
      </c>
      <c r="L26" s="39"/>
      <c r="M26" s="227" t="s">
        <v>185</v>
      </c>
      <c r="N26" s="39"/>
      <c r="O26" s="39"/>
      <c r="P26" s="39"/>
      <c r="Q26" s="39"/>
      <c r="R26" s="228"/>
      <c r="S26" s="228"/>
    </row>
    <row r="27" spans="1:19" ht="15.4">
      <c r="A27" s="244">
        <f>ConcData!G28</f>
        <v>1.0235076607238155E-2</v>
      </c>
      <c r="J27" s="138"/>
      <c r="K27" s="226">
        <v>1.305E-3</v>
      </c>
      <c r="L27" s="39"/>
      <c r="M27" s="227" t="s">
        <v>186</v>
      </c>
      <c r="N27" s="39"/>
      <c r="O27" s="39"/>
      <c r="P27" s="39"/>
      <c r="Q27" s="39"/>
      <c r="R27" s="228"/>
      <c r="S27" s="228"/>
    </row>
    <row r="28" spans="1:19" ht="15.4">
      <c r="A28" s="245" t="e">
        <f>ConcData!H28</f>
        <v>#DIV/0!</v>
      </c>
      <c r="J28" s="138"/>
      <c r="K28" s="226">
        <v>1.957E-3</v>
      </c>
      <c r="L28" s="39"/>
      <c r="M28" s="227" t="s">
        <v>187</v>
      </c>
      <c r="N28" s="39"/>
      <c r="O28" s="39"/>
      <c r="P28" s="39"/>
      <c r="Q28" s="39"/>
      <c r="R28" s="228"/>
      <c r="S28" s="228"/>
    </row>
    <row r="29" spans="1:19" ht="15.4">
      <c r="A29" s="245" t="e">
        <f>ConcData!I28</f>
        <v>#DIV/0!</v>
      </c>
      <c r="J29" s="138"/>
      <c r="K29" s="226">
        <v>2.6099999999999999E-3</v>
      </c>
      <c r="L29" s="39"/>
      <c r="M29" s="227" t="s">
        <v>188</v>
      </c>
      <c r="N29" s="39"/>
      <c r="O29" s="39"/>
      <c r="P29" s="39"/>
      <c r="Q29" s="39"/>
      <c r="R29" s="228"/>
      <c r="S29" s="228"/>
    </row>
    <row r="30" spans="1:19" ht="15.4">
      <c r="A30" s="245" t="e">
        <f>ConcData!J28</f>
        <v>#DIV/0!</v>
      </c>
      <c r="J30" s="138"/>
      <c r="K30" s="226">
        <v>3.9139999999999999E-3</v>
      </c>
      <c r="L30" s="39"/>
      <c r="M30" s="227" t="s">
        <v>189</v>
      </c>
      <c r="N30" s="39"/>
      <c r="O30" s="39"/>
      <c r="P30" s="39"/>
      <c r="Q30" s="39"/>
      <c r="R30" s="228"/>
      <c r="S30" s="228"/>
    </row>
    <row r="31" spans="1:19" ht="15.4">
      <c r="A31" s="245" t="e">
        <f>ConcData!K28</f>
        <v>#DIV/0!</v>
      </c>
      <c r="J31" s="138"/>
      <c r="K31" s="226">
        <v>5.2189999999999997E-3</v>
      </c>
      <c r="L31" s="39"/>
      <c r="M31" s="227" t="s">
        <v>190</v>
      </c>
      <c r="N31" s="39"/>
      <c r="O31" s="39"/>
      <c r="P31" s="39"/>
      <c r="Q31" s="39"/>
      <c r="R31" s="228"/>
      <c r="S31" s="228"/>
    </row>
    <row r="32" spans="1:19" ht="15.4">
      <c r="A32" s="134">
        <f>NormStandard!E15</f>
        <v>22.5</v>
      </c>
      <c r="B32" s="137"/>
      <c r="C32" s="137"/>
      <c r="D32" s="137"/>
      <c r="E32" s="137"/>
      <c r="F32" s="137"/>
      <c r="G32" s="137"/>
      <c r="H32" s="137"/>
      <c r="I32" s="137"/>
      <c r="J32" s="137"/>
      <c r="K32" s="231">
        <v>20</v>
      </c>
      <c r="L32" s="39"/>
      <c r="M32" s="232" t="s">
        <v>212</v>
      </c>
      <c r="N32" s="39"/>
      <c r="O32" s="39"/>
      <c r="P32" s="39"/>
      <c r="Q32" s="39"/>
      <c r="R32" s="228"/>
      <c r="S32" s="228"/>
    </row>
    <row r="33" spans="1:19" ht="15.4">
      <c r="A33">
        <v>0</v>
      </c>
      <c r="B33">
        <f>Conc1!M15/SIN(RADIANS($A32))</f>
        <v>0.1572179877222577</v>
      </c>
      <c r="C33">
        <f>Conc2!M15/SIN(RADIANS($A32))</f>
        <v>0.45103521067860819</v>
      </c>
      <c r="D33">
        <f>Conc3!M15/SIN(RADIANS($A32))</f>
        <v>0.98196808724885543</v>
      </c>
      <c r="E33">
        <f>Conc4!M15/SIN(RADIANS($A32))</f>
        <v>1.3170228151815357</v>
      </c>
      <c r="F33">
        <f>Conc5!M15/SIN(RADIANS($A32))</f>
        <v>-0.22165158924777312</v>
      </c>
      <c r="G33">
        <f>Conc6!M15/SIN(RADIANS($A32))</f>
        <v>-0.22165158924777312</v>
      </c>
      <c r="H33">
        <f>Conc7!M15/SIN(RADIANS($A32))</f>
        <v>-0.22165158924777312</v>
      </c>
      <c r="I33">
        <f>Conc8!M15/SIN(RADIANS($A32))</f>
        <v>-0.22165158924777312</v>
      </c>
      <c r="J33" s="138"/>
      <c r="K33" s="226" t="s">
        <v>191</v>
      </c>
      <c r="L33" s="39"/>
      <c r="M33" s="39"/>
      <c r="N33" s="39"/>
      <c r="O33" s="39"/>
      <c r="P33" s="39"/>
      <c r="Q33" s="39"/>
      <c r="R33" s="228"/>
      <c r="S33" s="228"/>
    </row>
    <row r="34" spans="1:19" ht="15.4">
      <c r="A34" s="134">
        <f>0.025*A33</f>
        <v>0</v>
      </c>
      <c r="B34" s="134">
        <f t="shared" ref="B34:I34" si="0">0.025*B33</f>
        <v>3.9304496930564429E-3</v>
      </c>
      <c r="C34" s="134">
        <f t="shared" si="0"/>
        <v>1.1275880266965205E-2</v>
      </c>
      <c r="D34" s="134">
        <f t="shared" si="0"/>
        <v>2.4549202181221388E-2</v>
      </c>
      <c r="E34" s="134">
        <f t="shared" si="0"/>
        <v>3.2925570379538395E-2</v>
      </c>
      <c r="F34" s="134">
        <f t="shared" si="0"/>
        <v>-5.5412897311943286E-3</v>
      </c>
      <c r="G34" s="134">
        <f t="shared" si="0"/>
        <v>-5.5412897311943286E-3</v>
      </c>
      <c r="H34" s="134">
        <f t="shared" si="0"/>
        <v>-5.5412897311943286E-3</v>
      </c>
      <c r="I34" s="134">
        <f t="shared" si="0"/>
        <v>-5.5412897311943286E-3</v>
      </c>
      <c r="J34" s="138"/>
      <c r="K34" s="226" t="s">
        <v>192</v>
      </c>
      <c r="L34" s="39"/>
      <c r="M34" s="39"/>
      <c r="N34" s="39"/>
      <c r="O34" s="39"/>
      <c r="P34" s="39"/>
      <c r="Q34" s="39"/>
      <c r="R34" s="228"/>
      <c r="S34" s="228"/>
    </row>
    <row r="35" spans="1:19" ht="15.4">
      <c r="A35" s="134">
        <f>NormStandard!E16</f>
        <v>28</v>
      </c>
      <c r="B35" s="137"/>
      <c r="C35" s="137"/>
      <c r="D35" s="137"/>
      <c r="E35" s="137"/>
      <c r="F35" s="137"/>
      <c r="G35" s="137"/>
      <c r="H35" s="137"/>
      <c r="I35" s="137"/>
      <c r="J35" s="137"/>
      <c r="K35" s="231">
        <v>30</v>
      </c>
      <c r="L35" s="39"/>
      <c r="M35" s="39"/>
      <c r="N35" s="39"/>
      <c r="O35" s="39"/>
      <c r="P35" s="39"/>
      <c r="Q35" s="39"/>
      <c r="R35" s="228"/>
      <c r="S35" s="228"/>
    </row>
    <row r="36" spans="1:19" ht="15.4">
      <c r="A36">
        <v>0</v>
      </c>
      <c r="B36">
        <f>Conc1!$M16/SIN(RADIANS($A35))</f>
        <v>0.12669369495649158</v>
      </c>
      <c r="C36">
        <f>Conc2!$M16/SIN(RADIANS($A35))</f>
        <v>0.22004694387180121</v>
      </c>
      <c r="D36">
        <f>Conc3!$M16/SIN(RADIANS($A35))</f>
        <v>0.43675984313948424</v>
      </c>
      <c r="E36">
        <f>Conc4!$M16/SIN(RADIANS($A35))</f>
        <v>0.73682385751012236</v>
      </c>
      <c r="F36">
        <f>Conc5!$M16/SIN(RADIANS($A35))</f>
        <v>-0.16336818560179181</v>
      </c>
      <c r="G36">
        <f>Conc6!$M16/SIN(RADIANS($A35))</f>
        <v>-0.16336818560179181</v>
      </c>
      <c r="H36">
        <f>Conc7!$M16/SIN(RADIANS($A35))</f>
        <v>-0.16336818560179181</v>
      </c>
      <c r="I36">
        <f>Conc8!$M16/SIN(RADIANS($A35))</f>
        <v>-0.16336818560179181</v>
      </c>
      <c r="J36" s="138"/>
      <c r="K36" s="226" t="s">
        <v>193</v>
      </c>
      <c r="L36" s="39"/>
      <c r="M36" s="39"/>
      <c r="N36" s="39"/>
      <c r="O36" s="39"/>
      <c r="P36" s="39"/>
      <c r="Q36" s="39"/>
      <c r="R36" s="228"/>
      <c r="S36" s="228"/>
    </row>
    <row r="37" spans="1:19" ht="15.4">
      <c r="A37" s="134">
        <f>0.025*A36</f>
        <v>0</v>
      </c>
      <c r="B37" s="134">
        <f t="shared" ref="B37" si="1">0.025*B36</f>
        <v>3.1673423739122897E-3</v>
      </c>
      <c r="C37" s="134">
        <f t="shared" ref="C37" si="2">0.025*C36</f>
        <v>5.5011735967950308E-3</v>
      </c>
      <c r="D37" s="134">
        <f t="shared" ref="D37" si="3">0.025*D36</f>
        <v>1.0918996078487106E-2</v>
      </c>
      <c r="E37" s="134">
        <f t="shared" ref="E37" si="4">0.025*E36</f>
        <v>1.842059643775306E-2</v>
      </c>
      <c r="F37" s="134">
        <f t="shared" ref="F37" si="5">0.025*F36</f>
        <v>-4.0842046400447951E-3</v>
      </c>
      <c r="G37" s="134">
        <f t="shared" ref="G37" si="6">0.025*G36</f>
        <v>-4.0842046400447951E-3</v>
      </c>
      <c r="H37" s="134">
        <f t="shared" ref="H37:I37" si="7">0.025*H36</f>
        <v>-4.0842046400447951E-3</v>
      </c>
      <c r="I37" s="134">
        <f t="shared" si="7"/>
        <v>-4.0842046400447951E-3</v>
      </c>
      <c r="J37" s="138"/>
      <c r="K37" s="226" t="s">
        <v>194</v>
      </c>
      <c r="L37" s="39"/>
      <c r="M37" s="39"/>
      <c r="N37" s="39"/>
      <c r="O37" s="39"/>
      <c r="P37" s="39"/>
      <c r="Q37" s="39"/>
      <c r="R37" s="228"/>
      <c r="S37" s="228"/>
    </row>
    <row r="38" spans="1:19" ht="15.4">
      <c r="A38" s="134">
        <f>NormStandard!E17</f>
        <v>32</v>
      </c>
      <c r="B38" s="137"/>
      <c r="C38" s="137"/>
      <c r="D38" s="137"/>
      <c r="E38" s="137"/>
      <c r="F38" s="137"/>
      <c r="G38" s="137"/>
      <c r="H38" s="137"/>
      <c r="I38" s="137"/>
      <c r="J38" s="137"/>
      <c r="K38" s="231">
        <v>40</v>
      </c>
      <c r="L38" s="39"/>
      <c r="M38" s="39"/>
      <c r="N38" s="39"/>
      <c r="O38" s="39"/>
      <c r="P38" s="39"/>
      <c r="Q38" s="39"/>
      <c r="R38" s="228"/>
      <c r="S38" s="228"/>
    </row>
    <row r="39" spans="1:19" ht="15.4">
      <c r="A39">
        <v>0</v>
      </c>
      <c r="B39">
        <f>Conc1!$M17/SIN(RADIANS($A38))</f>
        <v>0.16719376760746835</v>
      </c>
      <c r="C39">
        <f>Conc2!$M17/SIN(RADIANS($A38))</f>
        <v>0.23723439998356996</v>
      </c>
      <c r="D39">
        <f>Conc3!$M17/SIN(RADIANS($A38))</f>
        <v>0.39313129140134445</v>
      </c>
      <c r="E39">
        <f>Conc4!$M17/SIN(RADIANS($A38))</f>
        <v>0.47446879996713992</v>
      </c>
      <c r="F39">
        <f>Conc5!$M17/SIN(RADIANS($A38))</f>
        <v>-6.778125713816284E-2</v>
      </c>
      <c r="G39">
        <f>Conc6!$M17/SIN(RADIANS($A38))</f>
        <v>-6.778125713816284E-2</v>
      </c>
      <c r="H39">
        <f>Conc7!$M17/SIN(RADIANS($A38))</f>
        <v>-6.778125713816284E-2</v>
      </c>
      <c r="I39">
        <f>Conc8!$M17/SIN(RADIANS($A38))</f>
        <v>-6.778125713816284E-2</v>
      </c>
      <c r="J39" s="138"/>
      <c r="K39" s="226" t="s">
        <v>195</v>
      </c>
      <c r="L39" s="39"/>
      <c r="M39" s="39"/>
      <c r="N39" s="39"/>
      <c r="O39" s="39"/>
      <c r="P39" s="39"/>
      <c r="Q39" s="39"/>
      <c r="R39" s="228"/>
      <c r="S39" s="228"/>
    </row>
    <row r="40" spans="1:19" ht="15.4">
      <c r="A40" s="134">
        <f>0.025*A39</f>
        <v>0</v>
      </c>
      <c r="B40" s="134">
        <f t="shared" ref="B40" si="8">0.025*B39</f>
        <v>4.1798441901867087E-3</v>
      </c>
      <c r="C40" s="134">
        <f t="shared" ref="C40" si="9">0.025*C39</f>
        <v>5.9308599995892492E-3</v>
      </c>
      <c r="D40" s="134">
        <f t="shared" ref="D40" si="10">0.025*D39</f>
        <v>9.828282285033612E-3</v>
      </c>
      <c r="E40" s="134">
        <f t="shared" ref="E40" si="11">0.025*E39</f>
        <v>1.1861719999178498E-2</v>
      </c>
      <c r="F40" s="134">
        <f t="shared" ref="F40" si="12">0.025*F39</f>
        <v>-1.694531428454071E-3</v>
      </c>
      <c r="G40" s="134">
        <f t="shared" ref="G40" si="13">0.025*G39</f>
        <v>-1.694531428454071E-3</v>
      </c>
      <c r="H40" s="134">
        <f t="shared" ref="H40:I40" si="14">0.025*H39</f>
        <v>-1.694531428454071E-3</v>
      </c>
      <c r="I40" s="134">
        <f t="shared" si="14"/>
        <v>-1.694531428454071E-3</v>
      </c>
      <c r="J40" s="138"/>
      <c r="K40" s="226" t="s">
        <v>196</v>
      </c>
      <c r="L40" s="39"/>
      <c r="M40" s="39"/>
      <c r="N40" s="39"/>
      <c r="O40" s="39"/>
      <c r="P40" s="39"/>
      <c r="Q40" s="39"/>
      <c r="R40" s="228"/>
      <c r="S40" s="228"/>
    </row>
    <row r="41" spans="1:19" ht="15.4">
      <c r="A41" s="238">
        <f>NormStandard!E18</f>
        <v>38</v>
      </c>
      <c r="B41" s="237"/>
      <c r="C41" s="237"/>
      <c r="D41" s="237"/>
      <c r="E41" s="237"/>
      <c r="F41" s="237"/>
      <c r="G41" s="237"/>
      <c r="H41" s="237"/>
      <c r="I41" s="237"/>
      <c r="J41" s="137"/>
      <c r="K41" s="231">
        <v>50</v>
      </c>
      <c r="L41" s="39"/>
      <c r="M41" s="39"/>
      <c r="N41" s="39"/>
      <c r="O41" s="39"/>
      <c r="P41" s="39"/>
      <c r="Q41" s="39"/>
      <c r="R41" s="228"/>
      <c r="S41" s="228"/>
    </row>
    <row r="42" spans="1:19" ht="15.4">
      <c r="A42" s="237">
        <v>0</v>
      </c>
      <c r="B42" s="237"/>
      <c r="C42" s="237"/>
      <c r="D42" s="237"/>
      <c r="E42" s="237"/>
      <c r="F42" s="237"/>
      <c r="G42" s="237"/>
      <c r="H42" s="237"/>
      <c r="I42" s="237"/>
      <c r="J42" s="138"/>
      <c r="K42" s="226" t="s">
        <v>197</v>
      </c>
      <c r="L42" s="39"/>
      <c r="M42" s="39"/>
      <c r="N42" s="39"/>
      <c r="O42" s="39"/>
      <c r="P42" s="39"/>
      <c r="Q42" s="39"/>
      <c r="R42" s="228"/>
      <c r="S42" s="228"/>
    </row>
    <row r="43" spans="1:19" ht="15.4">
      <c r="A43" s="237">
        <f>0.025*A42</f>
        <v>0</v>
      </c>
      <c r="B43" s="237">
        <f t="shared" ref="B43" si="15">0.025*B42</f>
        <v>0</v>
      </c>
      <c r="C43" s="237">
        <f t="shared" ref="C43" si="16">0.025*C42</f>
        <v>0</v>
      </c>
      <c r="D43" s="237">
        <f t="shared" ref="D43" si="17">0.025*D42</f>
        <v>0</v>
      </c>
      <c r="E43" s="237">
        <f t="shared" ref="E43" si="18">0.025*E42</f>
        <v>0</v>
      </c>
      <c r="F43" s="237">
        <f t="shared" ref="F43" si="19">0.025*F42</f>
        <v>0</v>
      </c>
      <c r="G43" s="237">
        <f t="shared" ref="G43" si="20">0.025*G42</f>
        <v>0</v>
      </c>
      <c r="H43" s="237">
        <f t="shared" ref="H43:I43" si="21">0.025*H42</f>
        <v>0</v>
      </c>
      <c r="I43" s="237">
        <f t="shared" si="21"/>
        <v>0</v>
      </c>
      <c r="J43" s="138"/>
      <c r="K43" s="226" t="s">
        <v>209</v>
      </c>
      <c r="L43" s="39"/>
      <c r="M43" s="39"/>
      <c r="N43" s="39"/>
      <c r="O43" s="39"/>
      <c r="P43" s="39"/>
      <c r="Q43" s="39"/>
      <c r="R43" s="228"/>
      <c r="S43" s="228"/>
    </row>
    <row r="44" spans="1:19" ht="15.4">
      <c r="A44" s="134">
        <f>NormStandard!E19</f>
        <v>44</v>
      </c>
      <c r="B44" s="137"/>
      <c r="C44" s="137"/>
      <c r="D44" s="137"/>
      <c r="E44" s="137"/>
      <c r="F44" s="137"/>
      <c r="G44" s="137"/>
      <c r="H44" s="137"/>
      <c r="I44" s="137"/>
      <c r="J44" s="137"/>
      <c r="K44" s="231">
        <v>60</v>
      </c>
      <c r="L44" s="39"/>
      <c r="M44" s="39"/>
      <c r="N44" s="39"/>
      <c r="O44" s="39"/>
      <c r="P44" s="39"/>
      <c r="Q44" s="39"/>
      <c r="R44" s="228"/>
      <c r="S44" s="228"/>
    </row>
    <row r="45" spans="1:19" ht="15.4">
      <c r="A45">
        <v>0</v>
      </c>
      <c r="B45">
        <f>Conc1!$M19/SIN(RADIANS($A44))</f>
        <v>9.0165047914930602E-2</v>
      </c>
      <c r="C45">
        <f>Conc2!$M19/SIN(RADIANS($A44))</f>
        <v>0.25808033713340289</v>
      </c>
      <c r="D45">
        <f>Conc3!$M19/SIN(RADIANS($A44))</f>
        <v>0.35266756922037346</v>
      </c>
      <c r="E45">
        <f>Conc4!$M19/SIN(RADIANS($A44))</f>
        <v>0.35894164918527677</v>
      </c>
      <c r="F45">
        <f>Conc5!$M19/SIN(RADIANS($A44))</f>
        <v>9.0165047914930602E-2</v>
      </c>
      <c r="G45">
        <f>Conc6!$M19/SIN(RADIANS($A44))</f>
        <v>9.0165047914930602E-2</v>
      </c>
      <c r="H45">
        <f>Conc7!$M19/SIN(RADIANS($A44))</f>
        <v>9.0165047914930602E-2</v>
      </c>
      <c r="I45">
        <f>Conc8!$M19/SIN(RADIANS($A44))</f>
        <v>9.0165047914930602E-2</v>
      </c>
      <c r="J45" s="138"/>
      <c r="K45" s="226" t="s">
        <v>198</v>
      </c>
      <c r="L45" s="39"/>
      <c r="M45" s="39"/>
      <c r="N45" s="39"/>
      <c r="O45" s="39"/>
      <c r="P45" s="39"/>
      <c r="Q45" s="39"/>
      <c r="R45" s="228"/>
      <c r="S45" s="228"/>
    </row>
    <row r="46" spans="1:19" ht="15.4">
      <c r="A46" s="134">
        <f>0.025*A45</f>
        <v>0</v>
      </c>
      <c r="B46" s="134">
        <f t="shared" ref="B46" si="22">0.025*B45</f>
        <v>2.254126197873265E-3</v>
      </c>
      <c r="C46" s="134">
        <f t="shared" ref="C46" si="23">0.025*C45</f>
        <v>6.4520084283350727E-3</v>
      </c>
      <c r="D46" s="134">
        <f t="shared" ref="D46" si="24">0.025*D45</f>
        <v>8.8166892305093364E-3</v>
      </c>
      <c r="E46" s="134">
        <f t="shared" ref="E46" si="25">0.025*E45</f>
        <v>8.9735412296319192E-3</v>
      </c>
      <c r="F46" s="134">
        <f t="shared" ref="F46" si="26">0.025*F45</f>
        <v>2.254126197873265E-3</v>
      </c>
      <c r="G46" s="134">
        <f t="shared" ref="G46" si="27">0.025*G45</f>
        <v>2.254126197873265E-3</v>
      </c>
      <c r="H46" s="134">
        <f t="shared" ref="H46:I46" si="28">0.025*H45</f>
        <v>2.254126197873265E-3</v>
      </c>
      <c r="I46" s="134">
        <f t="shared" si="28"/>
        <v>2.254126197873265E-3</v>
      </c>
      <c r="J46" s="138"/>
      <c r="K46" s="226" t="s">
        <v>199</v>
      </c>
      <c r="L46" s="39"/>
      <c r="M46" s="39"/>
      <c r="N46" s="39"/>
      <c r="O46" s="39"/>
      <c r="P46" s="39"/>
      <c r="Q46" s="39"/>
      <c r="R46" s="228"/>
      <c r="S46" s="228"/>
    </row>
    <row r="47" spans="1:19" ht="15.4">
      <c r="A47" s="134">
        <f>NormStandard!E20</f>
        <v>50</v>
      </c>
      <c r="B47" s="137"/>
      <c r="C47" s="137"/>
      <c r="D47" s="137"/>
      <c r="E47" s="137"/>
      <c r="F47" s="137"/>
      <c r="G47" s="137"/>
      <c r="H47" s="137"/>
      <c r="I47" s="137"/>
      <c r="J47" s="137"/>
      <c r="K47" s="231">
        <v>75</v>
      </c>
      <c r="L47" s="39"/>
      <c r="M47" s="39"/>
      <c r="N47" s="39"/>
      <c r="O47" s="39"/>
      <c r="P47" s="39"/>
      <c r="Q47" s="39"/>
      <c r="R47" s="228"/>
      <c r="S47" s="228"/>
    </row>
    <row r="48" spans="1:19" ht="15.4">
      <c r="A48">
        <v>0</v>
      </c>
      <c r="B48">
        <f>Conc1!$M20/SIN(RADIANS($A47))</f>
        <v>0.10910649320993041</v>
      </c>
      <c r="C48">
        <f>Conc2!$M20/SIN(RADIANS($A47))</f>
        <v>0.12150080385334922</v>
      </c>
      <c r="D48">
        <f>Conc3!$M20/SIN(RADIANS($A47))</f>
        <v>0.15748649158182448</v>
      </c>
      <c r="E48">
        <f>Conc4!$M20/SIN(RADIANS($A47))</f>
        <v>0.15321780141514008</v>
      </c>
      <c r="F48">
        <f>Conc5!$M20/SIN(RADIANS($A47))</f>
        <v>0.10910649320993041</v>
      </c>
      <c r="G48">
        <f>Conc6!$M20/SIN(RADIANS($A47))</f>
        <v>0.10910649320993041</v>
      </c>
      <c r="H48">
        <f>Conc7!$M20/SIN(RADIANS($A47))</f>
        <v>0.10910649320993041</v>
      </c>
      <c r="I48">
        <f>Conc8!$M20/SIN(RADIANS($A47))</f>
        <v>0.10910649320993041</v>
      </c>
      <c r="J48" s="138"/>
      <c r="K48" s="226" t="s">
        <v>200</v>
      </c>
      <c r="L48" s="39"/>
      <c r="M48" s="39"/>
      <c r="N48" s="39"/>
      <c r="O48" s="39"/>
      <c r="P48" s="39"/>
      <c r="Q48" s="39"/>
      <c r="R48" s="228"/>
      <c r="S48" s="228"/>
    </row>
    <row r="49" spans="1:19" ht="15.4">
      <c r="A49" s="134">
        <f>0.025*A48</f>
        <v>0</v>
      </c>
      <c r="B49" s="134">
        <f t="shared" ref="B49" si="29">0.025*B48</f>
        <v>2.7276623302482602E-3</v>
      </c>
      <c r="C49" s="134">
        <f t="shared" ref="C49" si="30">0.025*C48</f>
        <v>3.0375200963337306E-3</v>
      </c>
      <c r="D49" s="134">
        <f t="shared" ref="D49" si="31">0.025*D48</f>
        <v>3.9371622895456124E-3</v>
      </c>
      <c r="E49" s="134">
        <f t="shared" ref="E49" si="32">0.025*E48</f>
        <v>3.8304450353785022E-3</v>
      </c>
      <c r="F49" s="134">
        <f t="shared" ref="F49" si="33">0.025*F48</f>
        <v>2.7276623302482602E-3</v>
      </c>
      <c r="G49" s="134">
        <f t="shared" ref="G49" si="34">0.025*G48</f>
        <v>2.7276623302482602E-3</v>
      </c>
      <c r="H49" s="134">
        <f t="shared" ref="H49:I49" si="35">0.025*H48</f>
        <v>2.7276623302482602E-3</v>
      </c>
      <c r="I49" s="134">
        <f t="shared" si="35"/>
        <v>2.7276623302482602E-3</v>
      </c>
      <c r="J49" s="138"/>
      <c r="K49" s="226" t="s">
        <v>201</v>
      </c>
      <c r="L49" s="39"/>
      <c r="M49" s="39"/>
      <c r="N49" s="39"/>
      <c r="O49" s="39"/>
      <c r="P49" s="39"/>
      <c r="Q49" s="39"/>
      <c r="R49" s="228"/>
      <c r="S49" s="228"/>
    </row>
    <row r="50" spans="1:19" ht="15.4">
      <c r="A50" s="134">
        <f>NormStandard!E21</f>
        <v>57</v>
      </c>
      <c r="B50" s="137"/>
      <c r="C50" s="137"/>
      <c r="D50" s="137"/>
      <c r="E50" s="137"/>
      <c r="F50" s="137"/>
      <c r="G50" s="137"/>
      <c r="H50" s="137"/>
      <c r="I50" s="137"/>
      <c r="J50" s="137"/>
      <c r="K50" s="231">
        <v>90</v>
      </c>
      <c r="L50" s="39"/>
      <c r="M50" s="39"/>
      <c r="N50" s="39"/>
      <c r="O50" s="39"/>
      <c r="P50" s="39"/>
      <c r="Q50" s="39"/>
      <c r="R50" s="228"/>
      <c r="S50" s="228"/>
    </row>
    <row r="51" spans="1:19" ht="15.4">
      <c r="A51">
        <v>0</v>
      </c>
      <c r="B51">
        <f>Conc1!$M21/SIN(RADIANS($A50))</f>
        <v>8.2995819303965268E-2</v>
      </c>
      <c r="C51">
        <f>Conc2!$M21/SIN(RADIANS($A50))</f>
        <v>0.11661437902202713</v>
      </c>
      <c r="D51">
        <f>Conc3!$M21/SIN(RADIANS($A50))</f>
        <v>0.15233409872246786</v>
      </c>
      <c r="E51">
        <f>Conc4!$M21/SIN(RADIANS($A50))</f>
        <v>0.18490207844934031</v>
      </c>
      <c r="F51">
        <f>Conc5!$M21/SIN(RADIANS($A50))</f>
        <v>-5.3579579550661102E-2</v>
      </c>
      <c r="G51">
        <f>Conc6!$M21/SIN(RADIANS($A50))</f>
        <v>-5.3579579550661102E-2</v>
      </c>
      <c r="H51">
        <f>Conc7!$M21/SIN(RADIANS($A50))</f>
        <v>-5.3579579550661102E-2</v>
      </c>
      <c r="I51">
        <f>Conc8!$M21/SIN(RADIANS($A50))</f>
        <v>-5.3579579550661102E-2</v>
      </c>
      <c r="J51" s="138"/>
      <c r="K51" s="226" t="s">
        <v>202</v>
      </c>
      <c r="L51" s="39"/>
      <c r="M51" s="39"/>
      <c r="N51" s="39"/>
      <c r="O51" s="39"/>
      <c r="P51" s="39"/>
      <c r="Q51" s="39"/>
      <c r="R51" s="228"/>
      <c r="S51" s="228"/>
    </row>
    <row r="52" spans="1:19" ht="15.4">
      <c r="A52" s="134">
        <f>0.025*A51</f>
        <v>0</v>
      </c>
      <c r="B52" s="134">
        <f t="shared" ref="B52" si="36">0.025*B51</f>
        <v>2.0748954825991319E-3</v>
      </c>
      <c r="C52" s="134">
        <f t="shared" ref="C52" si="37">0.025*C51</f>
        <v>2.9153594755506784E-3</v>
      </c>
      <c r="D52" s="134">
        <f t="shared" ref="D52" si="38">0.025*D51</f>
        <v>3.8083524680616967E-3</v>
      </c>
      <c r="E52" s="134">
        <f t="shared" ref="E52" si="39">0.025*E51</f>
        <v>4.6225519612335076E-3</v>
      </c>
      <c r="F52" s="134">
        <f t="shared" ref="F52" si="40">0.025*F51</f>
        <v>-1.3394894887665276E-3</v>
      </c>
      <c r="G52" s="134">
        <f t="shared" ref="G52" si="41">0.025*G51</f>
        <v>-1.3394894887665276E-3</v>
      </c>
      <c r="H52" s="134">
        <f t="shared" ref="H52:I52" si="42">0.025*H51</f>
        <v>-1.3394894887665276E-3</v>
      </c>
      <c r="I52" s="134">
        <f t="shared" si="42"/>
        <v>-1.3394894887665276E-3</v>
      </c>
      <c r="J52" s="138"/>
      <c r="K52" s="226" t="s">
        <v>203</v>
      </c>
      <c r="L52" s="39"/>
      <c r="M52" s="39"/>
      <c r="N52" s="39"/>
      <c r="O52" s="39"/>
      <c r="P52" s="39"/>
      <c r="Q52" s="39"/>
      <c r="R52" s="228"/>
      <c r="S52" s="228"/>
    </row>
    <row r="53" spans="1:19" ht="15.4">
      <c r="A53" s="134">
        <f>NormStandard!E22</f>
        <v>64</v>
      </c>
      <c r="B53" s="137"/>
      <c r="C53" s="137"/>
      <c r="D53" s="137"/>
      <c r="E53" s="137"/>
      <c r="F53" s="137"/>
      <c r="G53" s="137"/>
      <c r="H53" s="137"/>
      <c r="I53" s="137"/>
      <c r="J53" s="137"/>
      <c r="K53" s="231">
        <v>110</v>
      </c>
      <c r="L53" s="39"/>
      <c r="M53" s="39"/>
      <c r="N53" s="39"/>
      <c r="O53" s="39"/>
      <c r="P53" s="39"/>
      <c r="Q53" s="39"/>
      <c r="R53" s="228"/>
      <c r="S53" s="228"/>
    </row>
    <row r="54" spans="1:19" ht="15.4">
      <c r="A54">
        <v>0</v>
      </c>
      <c r="B54">
        <f>Conc1!$M22/SIN(RADIANS($A53))</f>
        <v>8.0094404853898182E-2</v>
      </c>
      <c r="C54">
        <f>Conc2!$M22/SIN(RADIANS($A53))</f>
        <v>8.7772451026196602E-2</v>
      </c>
      <c r="D54">
        <f>Conc3!$M22/SIN(RADIANS($A53))</f>
        <v>0.106739401129263</v>
      </c>
      <c r="E54">
        <f>Conc4!$M22/SIN(RADIANS($A53))</f>
        <v>0.1205217521160141</v>
      </c>
      <c r="F54">
        <f>Conc5!$M22/SIN(RADIANS($A53))</f>
        <v>8.0094404853898182E-2</v>
      </c>
      <c r="G54">
        <f>Conc6!$M22/SIN(RADIANS($A53))</f>
        <v>8.0094404853898182E-2</v>
      </c>
      <c r="H54">
        <f>Conc7!$M22/SIN(RADIANS($A53))</f>
        <v>8.0094404853898182E-2</v>
      </c>
      <c r="I54">
        <f>Conc8!$M22/SIN(RADIANS($A53))</f>
        <v>8.0094404853898182E-2</v>
      </c>
      <c r="J54" s="138"/>
      <c r="K54" s="226" t="s">
        <v>204</v>
      </c>
      <c r="L54" s="39"/>
      <c r="M54" s="39"/>
      <c r="N54" s="39"/>
      <c r="O54" s="39"/>
      <c r="P54" s="39"/>
      <c r="Q54" s="39"/>
      <c r="R54" s="228"/>
      <c r="S54" s="228"/>
    </row>
    <row r="55" spans="1:19" ht="15.4">
      <c r="A55" s="134">
        <f>0.025*A54</f>
        <v>0</v>
      </c>
      <c r="B55" s="134">
        <f t="shared" ref="B55" si="43">0.025*B54</f>
        <v>2.0023601213474546E-3</v>
      </c>
      <c r="C55" s="134">
        <f t="shared" ref="C55" si="44">0.025*C54</f>
        <v>2.1943112756549151E-3</v>
      </c>
      <c r="D55" s="134">
        <f t="shared" ref="D55" si="45">0.025*D54</f>
        <v>2.668485028231575E-3</v>
      </c>
      <c r="E55" s="134">
        <f t="shared" ref="E55" si="46">0.025*E54</f>
        <v>3.0130438029003525E-3</v>
      </c>
      <c r="F55" s="134">
        <f t="shared" ref="F55" si="47">0.025*F54</f>
        <v>2.0023601213474546E-3</v>
      </c>
      <c r="G55" s="134">
        <f t="shared" ref="G55" si="48">0.025*G54</f>
        <v>2.0023601213474546E-3</v>
      </c>
      <c r="H55" s="134">
        <f t="shared" ref="H55:I55" si="49">0.025*H54</f>
        <v>2.0023601213474546E-3</v>
      </c>
      <c r="I55" s="134">
        <f t="shared" si="49"/>
        <v>2.0023601213474546E-3</v>
      </c>
      <c r="J55" s="138"/>
      <c r="K55" s="226" t="s">
        <v>205</v>
      </c>
      <c r="L55" s="39"/>
      <c r="M55" s="39"/>
      <c r="N55" s="39"/>
      <c r="O55" s="39"/>
      <c r="P55" s="39"/>
      <c r="Q55" s="39"/>
      <c r="R55" s="228"/>
      <c r="S55" s="228"/>
    </row>
    <row r="56" spans="1:19" ht="15.4">
      <c r="A56" s="134">
        <f>NormStandard!E23</f>
        <v>72</v>
      </c>
      <c r="B56" s="137"/>
      <c r="C56" s="137"/>
      <c r="D56" s="137"/>
      <c r="E56" s="137"/>
      <c r="F56" s="137"/>
      <c r="G56" s="137"/>
      <c r="H56" s="137"/>
      <c r="I56" s="137"/>
      <c r="J56" s="137"/>
      <c r="K56" s="231">
        <v>120</v>
      </c>
      <c r="L56" s="39"/>
      <c r="M56" s="39"/>
      <c r="N56" s="39"/>
      <c r="O56" s="39"/>
      <c r="P56" s="39"/>
      <c r="Q56" s="39"/>
      <c r="R56" s="228"/>
      <c r="S56" s="228"/>
    </row>
    <row r="57" spans="1:19" ht="15.4">
      <c r="A57">
        <v>0</v>
      </c>
      <c r="B57">
        <f>Conc1!$M23/SIN(RADIANS($A56))</f>
        <v>8.223866534293027E-2</v>
      </c>
      <c r="C57">
        <f>Conc2!$M23/SIN(RADIANS($A56))</f>
        <v>0.10831433971995694</v>
      </c>
      <c r="D57">
        <f>Conc3!$M23/SIN(RADIANS($A56))</f>
        <v>0.13138128243809594</v>
      </c>
      <c r="E57">
        <f>Conc4!$M23/SIN(RADIANS($A56))</f>
        <v>0.14542203017957184</v>
      </c>
      <c r="F57">
        <f>Conc5!$M23/SIN(RADIANS($A56))</f>
        <v>-3.4098958800727192E-2</v>
      </c>
      <c r="G57">
        <f>Conc6!$M23/SIN(RADIANS($A56))</f>
        <v>-3.4098958800727192E-2</v>
      </c>
      <c r="H57">
        <f>Conc7!$M23/SIN(RADIANS($A56))</f>
        <v>-3.4098958800727192E-2</v>
      </c>
      <c r="I57">
        <f>Conc8!$M23/SIN(RADIANS($A56))</f>
        <v>-3.4098958800727192E-2</v>
      </c>
      <c r="J57" s="138"/>
      <c r="K57" s="226" t="s">
        <v>206</v>
      </c>
      <c r="L57" s="39"/>
      <c r="M57" s="39"/>
      <c r="N57" s="39"/>
      <c r="O57" s="39"/>
      <c r="P57" s="39"/>
      <c r="Q57" s="39"/>
      <c r="R57" s="228"/>
      <c r="S57" s="228"/>
    </row>
    <row r="58" spans="1:19" ht="15.4">
      <c r="A58" s="134">
        <f>0.025*A57</f>
        <v>0</v>
      </c>
      <c r="B58" s="134">
        <f t="shared" ref="B58" si="50">0.025*B57</f>
        <v>2.055966633573257E-3</v>
      </c>
      <c r="C58" s="134">
        <f t="shared" ref="C58" si="51">0.025*C57</f>
        <v>2.7078584929989234E-3</v>
      </c>
      <c r="D58" s="134">
        <f t="shared" ref="D58" si="52">0.025*D57</f>
        <v>3.2845320609523987E-3</v>
      </c>
      <c r="E58" s="134">
        <f t="shared" ref="E58" si="53">0.025*E57</f>
        <v>3.6355507544892961E-3</v>
      </c>
      <c r="F58" s="134">
        <f t="shared" ref="F58" si="54">0.025*F57</f>
        <v>-8.5247397001817979E-4</v>
      </c>
      <c r="G58" s="134">
        <f t="shared" ref="G58" si="55">0.025*G57</f>
        <v>-8.5247397001817979E-4</v>
      </c>
      <c r="H58" s="134">
        <f t="shared" ref="H58:I58" si="56">0.025*H57</f>
        <v>-8.5247397001817979E-4</v>
      </c>
      <c r="I58" s="134">
        <f t="shared" si="56"/>
        <v>-8.5247397001817979E-4</v>
      </c>
      <c r="J58" s="138"/>
      <c r="K58" s="226" t="s">
        <v>207</v>
      </c>
      <c r="L58" s="39"/>
      <c r="M58" s="39"/>
      <c r="N58" s="39"/>
      <c r="O58" s="39"/>
      <c r="P58" s="39"/>
      <c r="Q58" s="39"/>
      <c r="R58" s="228"/>
      <c r="S58" s="228"/>
    </row>
    <row r="59" spans="1:19" ht="15.4">
      <c r="A59" s="134">
        <f>NormStandard!E24</f>
        <v>81</v>
      </c>
      <c r="B59" s="137"/>
      <c r="C59" s="137"/>
      <c r="D59" s="137"/>
      <c r="E59" s="137"/>
      <c r="F59" s="137"/>
      <c r="G59" s="137"/>
      <c r="H59" s="137"/>
      <c r="I59" s="137"/>
      <c r="J59" s="137"/>
      <c r="K59" s="231"/>
      <c r="L59" s="39"/>
      <c r="M59" s="39"/>
      <c r="N59" s="39"/>
      <c r="O59" s="39"/>
      <c r="P59" s="39"/>
      <c r="Q59" s="39"/>
      <c r="R59" s="228"/>
      <c r="S59" s="228"/>
    </row>
    <row r="60" spans="1:19">
      <c r="A60">
        <v>0</v>
      </c>
      <c r="B60">
        <f>Conc1!$M24/SIN(RADIANS($A59))</f>
        <v>6.5895349247915194E-2</v>
      </c>
      <c r="C60">
        <f>Conc2!$M24/SIN(RADIANS($A59))</f>
        <v>5.7634185993116552E-2</v>
      </c>
      <c r="D60">
        <f>Conc3!$M24/SIN(RADIANS($A59))</f>
        <v>6.4529747597661724E-2</v>
      </c>
      <c r="E60">
        <f>Conc4!$M24/SIN(RADIANS($A59))</f>
        <v>7.4776667269911792E-2</v>
      </c>
      <c r="F60">
        <f>Conc5!$M24/SIN(RADIANS($A59))</f>
        <v>6.5895349247915194E-2</v>
      </c>
      <c r="G60">
        <f>Conc6!$M24/SIN(RADIANS($A59))</f>
        <v>6.5895349247915194E-2</v>
      </c>
      <c r="H60">
        <f>Conc7!$M24/SIN(RADIANS($A59))</f>
        <v>6.5895349247915194E-2</v>
      </c>
      <c r="I60">
        <f>Conc8!$M24/SIN(RADIANS($A59))</f>
        <v>6.5895349247915194E-2</v>
      </c>
      <c r="J60" s="138"/>
      <c r="K60" s="233"/>
      <c r="L60" s="39"/>
      <c r="M60" s="39"/>
      <c r="N60" s="39"/>
      <c r="O60" s="39"/>
      <c r="P60" s="39"/>
      <c r="Q60" s="39"/>
      <c r="R60" s="228"/>
      <c r="S60" s="228"/>
    </row>
    <row r="61" spans="1:19">
      <c r="A61" s="134">
        <f>0.025*A60</f>
        <v>0</v>
      </c>
      <c r="B61" s="134">
        <f t="shared" ref="B61" si="57">0.025*B60</f>
        <v>1.6473837311978799E-3</v>
      </c>
      <c r="C61" s="134">
        <f t="shared" ref="C61" si="58">0.025*C60</f>
        <v>1.4408546498279138E-3</v>
      </c>
      <c r="D61" s="134">
        <f t="shared" ref="D61" si="59">0.025*D60</f>
        <v>1.6132436899415432E-3</v>
      </c>
      <c r="E61" s="134">
        <f t="shared" ref="E61" si="60">0.025*E60</f>
        <v>1.869416681747795E-3</v>
      </c>
      <c r="F61" s="134">
        <f t="shared" ref="F61" si="61">0.025*F60</f>
        <v>1.6473837311978799E-3</v>
      </c>
      <c r="G61" s="134">
        <f t="shared" ref="G61" si="62">0.025*G60</f>
        <v>1.6473837311978799E-3</v>
      </c>
      <c r="H61" s="134">
        <f t="shared" ref="H61:I61" si="63">0.025*H60</f>
        <v>1.6473837311978799E-3</v>
      </c>
      <c r="I61" s="134">
        <f t="shared" si="63"/>
        <v>1.6473837311978799E-3</v>
      </c>
      <c r="J61" s="138"/>
      <c r="K61" s="233"/>
      <c r="L61" s="39"/>
      <c r="M61" s="39"/>
      <c r="N61" s="39"/>
      <c r="O61" s="39"/>
      <c r="P61" s="39"/>
      <c r="Q61" s="39"/>
      <c r="R61" s="228"/>
      <c r="S61" s="228"/>
    </row>
    <row r="62" spans="1:19">
      <c r="A62" s="134">
        <f>NormStandard!E25</f>
        <v>90</v>
      </c>
      <c r="B62" s="137"/>
      <c r="C62" s="137"/>
      <c r="D62" s="137"/>
      <c r="E62" s="137"/>
      <c r="F62" s="137"/>
      <c r="G62" s="137"/>
      <c r="H62" s="137"/>
      <c r="I62" s="137"/>
      <c r="J62" s="137"/>
      <c r="K62" s="234"/>
      <c r="L62" s="39"/>
      <c r="M62" s="39"/>
      <c r="N62" s="39"/>
      <c r="O62" s="39"/>
      <c r="P62" s="39"/>
      <c r="Q62" s="39"/>
      <c r="R62" s="228"/>
      <c r="S62" s="228"/>
    </row>
    <row r="63" spans="1:19">
      <c r="A63">
        <v>0</v>
      </c>
      <c r="B63">
        <f>Conc1!$M25/SIN(RADIANS($A62))</f>
        <v>7.5293007012894111E-2</v>
      </c>
      <c r="C63">
        <f>Conc2!$M25/SIN(RADIANS($A62))</f>
        <v>0.10074416431302731</v>
      </c>
      <c r="D63">
        <f>Conc3!$M25/SIN(RADIANS($A62))</f>
        <v>0.12407439183814942</v>
      </c>
      <c r="E63">
        <f>Conc4!$M25/SIN(RADIANS($A62))</f>
        <v>0.13573950560071049</v>
      </c>
      <c r="F63">
        <f>Conc5!$M25/SIN(RADIANS($A62))</f>
        <v>-3.1813946625166518E-2</v>
      </c>
      <c r="G63">
        <f>Conc6!$M25/SIN(RADIANS($A62))</f>
        <v>-3.1813946625166518E-2</v>
      </c>
      <c r="H63">
        <f>Conc7!$M25/SIN(RADIANS($A62))</f>
        <v>-3.1813946625166518E-2</v>
      </c>
      <c r="I63">
        <f>Conc8!$M25/SIN(RADIANS($A62))</f>
        <v>-3.1813946625166518E-2</v>
      </c>
      <c r="J63" s="138"/>
      <c r="K63" s="233"/>
      <c r="L63" s="39"/>
      <c r="M63" s="39"/>
      <c r="N63" s="39"/>
      <c r="O63" s="39"/>
      <c r="P63" s="39"/>
      <c r="Q63" s="39"/>
      <c r="R63" s="228"/>
      <c r="S63" s="228"/>
    </row>
    <row r="64" spans="1:19">
      <c r="A64" s="134">
        <f>0.025*A63</f>
        <v>0</v>
      </c>
      <c r="B64" s="134">
        <f t="shared" ref="B64" si="64">0.025*B63</f>
        <v>1.8823251753223528E-3</v>
      </c>
      <c r="C64" s="134">
        <f t="shared" ref="C64" si="65">0.025*C63</f>
        <v>2.5186041078256831E-3</v>
      </c>
      <c r="D64" s="134">
        <f t="shared" ref="D64" si="66">0.025*D63</f>
        <v>3.1018597959537354E-3</v>
      </c>
      <c r="E64" s="134">
        <f t="shared" ref="E64" si="67">0.025*E63</f>
        <v>3.3934876400177625E-3</v>
      </c>
      <c r="F64" s="134">
        <f t="shared" ref="F64" si="68">0.025*F63</f>
        <v>-7.9534866562916298E-4</v>
      </c>
      <c r="G64" s="134">
        <f t="shared" ref="G64" si="69">0.025*G63</f>
        <v>-7.9534866562916298E-4</v>
      </c>
      <c r="H64" s="134">
        <f t="shared" ref="H64:I64" si="70">0.025*H63</f>
        <v>-7.9534866562916298E-4</v>
      </c>
      <c r="I64" s="134">
        <f t="shared" si="70"/>
        <v>-7.9534866562916298E-4</v>
      </c>
      <c r="J64" s="138"/>
      <c r="K64" s="233"/>
      <c r="L64" s="39"/>
      <c r="M64" s="39"/>
      <c r="N64" s="39"/>
      <c r="O64" s="39"/>
      <c r="P64" s="39"/>
      <c r="Q64" s="39"/>
      <c r="R64" s="228"/>
      <c r="S64" s="228"/>
    </row>
    <row r="65" spans="1:19">
      <c r="A65" s="137">
        <f>NormStandard!E26</f>
        <v>99</v>
      </c>
      <c r="B65" s="137"/>
      <c r="C65" s="137"/>
      <c r="D65" s="137"/>
      <c r="E65" s="137"/>
      <c r="F65" s="137"/>
      <c r="G65" s="137"/>
      <c r="H65" s="137"/>
      <c r="I65" s="137"/>
      <c r="J65" s="137"/>
      <c r="K65" s="234"/>
      <c r="L65" s="39"/>
      <c r="M65" s="39"/>
      <c r="N65" s="39"/>
      <c r="O65" s="39"/>
      <c r="P65" s="39"/>
      <c r="Q65" s="39"/>
      <c r="R65" s="228"/>
      <c r="S65" s="228"/>
    </row>
    <row r="66" spans="1:19">
      <c r="A66">
        <v>0</v>
      </c>
      <c r="B66">
        <f>Conc1!$M26/SIN(RADIANS($A65))</f>
        <v>9.6896639238263763E-2</v>
      </c>
      <c r="C66">
        <f>Conc2!$M26/SIN(RADIANS($A65))</f>
        <v>5.3626680901952217E-2</v>
      </c>
      <c r="D66">
        <f>Conc3!$M26/SIN(RADIANS($A65))</f>
        <v>5.5781756288578628E-2</v>
      </c>
      <c r="E66">
        <f>Conc4!$M26/SIN(RADIANS($A65))</f>
        <v>6.1423787919355287E-2</v>
      </c>
      <c r="F66">
        <f>Conc5!$M26/SIN(RADIANS($A65))</f>
        <v>9.6896639238263763E-2</v>
      </c>
      <c r="G66">
        <f>Conc6!$M26/SIN(RADIANS($A65))</f>
        <v>9.6896639238263763E-2</v>
      </c>
      <c r="H66">
        <f>Conc7!$M26/SIN(RADIANS($A65))</f>
        <v>9.6896639238263763E-2</v>
      </c>
      <c r="I66">
        <f>Conc8!$M26/SIN(RADIANS($A65))</f>
        <v>9.6896639238263763E-2</v>
      </c>
      <c r="J66" s="138"/>
      <c r="K66" s="233"/>
      <c r="L66" s="39"/>
      <c r="M66" s="39"/>
      <c r="N66" s="39"/>
      <c r="O66" s="39"/>
      <c r="P66" s="39"/>
      <c r="Q66" s="39"/>
      <c r="R66" s="228"/>
      <c r="S66" s="228"/>
    </row>
    <row r="67" spans="1:19">
      <c r="A67" s="134">
        <f>0.025*A66</f>
        <v>0</v>
      </c>
      <c r="B67" s="134">
        <f t="shared" ref="B67" si="71">0.025*B66</f>
        <v>2.4224159809565944E-3</v>
      </c>
      <c r="C67" s="134">
        <f t="shared" ref="C67" si="72">0.025*C66</f>
        <v>1.3406670225488055E-3</v>
      </c>
      <c r="D67" s="134">
        <f t="shared" ref="D67" si="73">0.025*D66</f>
        <v>1.3945439072144657E-3</v>
      </c>
      <c r="E67" s="134">
        <f t="shared" ref="E67" si="74">0.025*E66</f>
        <v>1.5355946979838822E-3</v>
      </c>
      <c r="F67" s="134">
        <f t="shared" ref="F67" si="75">0.025*F66</f>
        <v>2.4224159809565944E-3</v>
      </c>
      <c r="G67" s="134">
        <f t="shared" ref="G67" si="76">0.025*G66</f>
        <v>2.4224159809565944E-3</v>
      </c>
      <c r="H67" s="134">
        <f t="shared" ref="H67:I67" si="77">0.025*H66</f>
        <v>2.4224159809565944E-3</v>
      </c>
      <c r="I67" s="134">
        <f t="shared" si="77"/>
        <v>2.4224159809565944E-3</v>
      </c>
      <c r="J67" s="138"/>
      <c r="K67" s="233"/>
      <c r="L67" s="39"/>
      <c r="M67" s="39"/>
      <c r="N67" s="39"/>
      <c r="O67" s="39"/>
      <c r="P67" s="39"/>
      <c r="Q67" s="39"/>
      <c r="R67" s="228"/>
      <c r="S67" s="228"/>
    </row>
    <row r="68" spans="1:19">
      <c r="A68" s="238">
        <f>NormStandard!E27</f>
        <v>108</v>
      </c>
      <c r="B68" s="237"/>
      <c r="C68" s="237"/>
      <c r="D68" s="237"/>
      <c r="E68" s="237"/>
      <c r="F68" s="237"/>
      <c r="G68" s="237"/>
      <c r="H68" s="237"/>
      <c r="I68" s="237"/>
      <c r="J68" s="137"/>
      <c r="K68" s="234"/>
      <c r="L68" s="39"/>
      <c r="M68" s="39"/>
      <c r="N68" s="39"/>
      <c r="O68" s="39"/>
      <c r="P68" s="39"/>
      <c r="Q68" s="39"/>
      <c r="R68" s="228"/>
      <c r="S68" s="228"/>
    </row>
    <row r="69" spans="1:19">
      <c r="A69" s="237">
        <v>0</v>
      </c>
      <c r="B69" s="237"/>
      <c r="C69" s="237"/>
      <c r="D69" s="237"/>
      <c r="E69" s="237"/>
      <c r="F69" s="237"/>
      <c r="G69" s="237"/>
      <c r="H69" s="237"/>
      <c r="I69" s="237"/>
      <c r="J69" s="138"/>
      <c r="K69" s="233"/>
      <c r="L69" s="39"/>
      <c r="M69" s="39"/>
      <c r="N69" s="39"/>
      <c r="O69" s="39"/>
      <c r="P69" s="39"/>
      <c r="Q69" s="39"/>
      <c r="R69" s="228"/>
      <c r="S69" s="228"/>
    </row>
    <row r="70" spans="1:19">
      <c r="A70" s="237">
        <f>0.025*A69</f>
        <v>0</v>
      </c>
      <c r="B70" s="237">
        <f t="shared" ref="B70" si="78">0.025*B69</f>
        <v>0</v>
      </c>
      <c r="C70" s="237">
        <f t="shared" ref="C70" si="79">0.025*C69</f>
        <v>0</v>
      </c>
      <c r="D70" s="237">
        <f t="shared" ref="D70" si="80">0.025*D69</f>
        <v>0</v>
      </c>
      <c r="E70" s="237">
        <f t="shared" ref="E70" si="81">0.025*E69</f>
        <v>0</v>
      </c>
      <c r="F70" s="237">
        <f t="shared" ref="F70" si="82">0.025*F69</f>
        <v>0</v>
      </c>
      <c r="G70" s="237">
        <f t="shared" ref="G70" si="83">0.025*G69</f>
        <v>0</v>
      </c>
      <c r="H70" s="237">
        <f t="shared" ref="H70:I70" si="84">0.025*H69</f>
        <v>0</v>
      </c>
      <c r="I70" s="237">
        <f t="shared" si="84"/>
        <v>0</v>
      </c>
      <c r="J70" s="138"/>
      <c r="K70" s="233"/>
      <c r="L70" s="39"/>
      <c r="M70" s="39"/>
      <c r="N70" s="39"/>
      <c r="O70" s="39"/>
      <c r="P70" s="39"/>
      <c r="Q70" s="39"/>
      <c r="R70" s="228"/>
      <c r="S70" s="228"/>
    </row>
    <row r="71" spans="1:19">
      <c r="A71" s="137">
        <f>NormStandard!E28</f>
        <v>117</v>
      </c>
      <c r="B71" s="137"/>
      <c r="C71" s="137"/>
      <c r="D71" s="137"/>
      <c r="E71" s="137"/>
      <c r="F71" s="137"/>
      <c r="G71" s="137"/>
      <c r="H71" s="137"/>
      <c r="I71" s="137"/>
      <c r="J71" s="137"/>
      <c r="K71" s="234"/>
      <c r="L71" s="39"/>
      <c r="M71" s="39"/>
      <c r="N71" s="39"/>
      <c r="O71" s="39"/>
      <c r="P71" s="39"/>
      <c r="Q71" s="39"/>
      <c r="R71" s="228"/>
      <c r="S71" s="228"/>
    </row>
    <row r="72" spans="1:19">
      <c r="A72">
        <v>0</v>
      </c>
      <c r="B72">
        <f>Conc1!$M28/SIN(RADIANS($A71))</f>
        <v>0.11150295060041428</v>
      </c>
      <c r="C72">
        <f>Conc2!$M28/SIN(RADIANS($A71))</f>
        <v>0.1157282137271001</v>
      </c>
      <c r="D72">
        <f>Conc3!$M28/SIN(RADIANS($A71))</f>
        <v>0.12820802551978921</v>
      </c>
      <c r="E72">
        <f>Conc4!$M28/SIN(RADIANS($A71))</f>
        <v>0.13796521697284239</v>
      </c>
      <c r="F72">
        <f>Conc5!$M28/SIN(RADIANS($A71))</f>
        <v>0.11150295060041428</v>
      </c>
      <c r="G72">
        <f>Conc6!$M28/SIN(RADIANS($A71))</f>
        <v>0.11150295060041428</v>
      </c>
      <c r="H72">
        <f>Conc7!$M28/SIN(RADIANS($A71))</f>
        <v>0.11150295060041428</v>
      </c>
      <c r="I72">
        <f>Conc8!$M28/SIN(RADIANS($A71))</f>
        <v>0.11150295060041428</v>
      </c>
      <c r="J72" s="138"/>
      <c r="K72" s="233"/>
      <c r="L72" s="39"/>
      <c r="M72" s="39"/>
      <c r="N72" s="39"/>
      <c r="O72" s="39"/>
      <c r="P72" s="39"/>
      <c r="Q72" s="39"/>
      <c r="R72" s="228"/>
      <c r="S72" s="228"/>
    </row>
    <row r="73" spans="1:19">
      <c r="A73" s="134">
        <f>0.025*A72</f>
        <v>0</v>
      </c>
      <c r="B73" s="134">
        <f t="shared" ref="B73" si="85">0.025*B72</f>
        <v>2.7875737650103569E-3</v>
      </c>
      <c r="C73" s="134">
        <f t="shared" ref="C73" si="86">0.025*C72</f>
        <v>2.8932053431775027E-3</v>
      </c>
      <c r="D73" s="134">
        <f t="shared" ref="D73" si="87">0.025*D72</f>
        <v>3.2052006379947305E-3</v>
      </c>
      <c r="E73" s="134">
        <f t="shared" ref="E73" si="88">0.025*E72</f>
        <v>3.44913042432106E-3</v>
      </c>
      <c r="F73" s="134">
        <f t="shared" ref="F73" si="89">0.025*F72</f>
        <v>2.7875737650103569E-3</v>
      </c>
      <c r="G73" s="134">
        <f t="shared" ref="G73" si="90">0.025*G72</f>
        <v>2.7875737650103569E-3</v>
      </c>
      <c r="H73" s="134">
        <f t="shared" ref="H73:I73" si="91">0.025*H72</f>
        <v>2.7875737650103569E-3</v>
      </c>
      <c r="I73" s="134">
        <f t="shared" si="91"/>
        <v>2.7875737650103569E-3</v>
      </c>
      <c r="J73" s="138"/>
      <c r="K73" s="233"/>
      <c r="L73" s="39"/>
      <c r="M73" s="39"/>
      <c r="N73" s="39"/>
      <c r="O73" s="39"/>
      <c r="P73" s="39"/>
      <c r="Q73" s="39"/>
      <c r="R73" s="228"/>
      <c r="S73" s="228"/>
    </row>
    <row r="74" spans="1:19">
      <c r="A74" s="137">
        <f>NormStandard!E29</f>
        <v>126</v>
      </c>
      <c r="B74" s="137"/>
      <c r="C74" s="137"/>
      <c r="D74" s="137"/>
      <c r="E74" s="137"/>
      <c r="F74" s="137"/>
      <c r="G74" s="137"/>
      <c r="H74" s="137"/>
      <c r="I74" s="137"/>
      <c r="J74" s="137"/>
      <c r="K74" s="234"/>
      <c r="L74" s="39"/>
      <c r="M74" s="39"/>
      <c r="N74" s="39"/>
      <c r="O74" s="39"/>
      <c r="P74" s="39"/>
      <c r="Q74" s="39"/>
      <c r="R74" s="228"/>
      <c r="S74" s="228"/>
    </row>
    <row r="75" spans="1:19">
      <c r="A75">
        <v>0</v>
      </c>
      <c r="B75">
        <f>Conc1!$M29/SIN(RADIANS($A74))</f>
        <v>8.0080054307007376E-2</v>
      </c>
      <c r="C75">
        <f>Conc2!$M29/SIN(RADIANS($A74))</f>
        <v>0.11293340992013859</v>
      </c>
      <c r="D75">
        <f>Conc3!$M29/SIN(RADIANS($A74))</f>
        <v>0.14065342871871808</v>
      </c>
      <c r="E75">
        <f>Conc4!$M29/SIN(RADIANS($A74))</f>
        <v>0.16324011070274577</v>
      </c>
      <c r="F75">
        <f>Conc5!$M29/SIN(RADIANS($A74))</f>
        <v>-5.030670078260719E-2</v>
      </c>
      <c r="G75">
        <f>Conc6!$M29/SIN(RADIANS($A74))</f>
        <v>-5.030670078260719E-2</v>
      </c>
      <c r="H75">
        <f>Conc7!$M29/SIN(RADIANS($A74))</f>
        <v>-5.030670078260719E-2</v>
      </c>
      <c r="I75">
        <f>Conc8!$M29/SIN(RADIANS($A74))</f>
        <v>-5.030670078260719E-2</v>
      </c>
      <c r="J75" s="138"/>
      <c r="K75" s="233"/>
      <c r="L75" s="39"/>
      <c r="M75" s="39"/>
      <c r="N75" s="39"/>
      <c r="O75" s="39"/>
      <c r="P75" s="39"/>
      <c r="Q75" s="39"/>
      <c r="R75" s="228"/>
      <c r="S75" s="228"/>
    </row>
    <row r="76" spans="1:19">
      <c r="A76" s="134">
        <f>0.025*A75</f>
        <v>0</v>
      </c>
      <c r="B76" s="134">
        <f t="shared" ref="B76" si="92">0.025*B75</f>
        <v>2.0020013576751844E-3</v>
      </c>
      <c r="C76" s="134">
        <f t="shared" ref="C76" si="93">0.025*C75</f>
        <v>2.8233352480034647E-3</v>
      </c>
      <c r="D76" s="134">
        <f t="shared" ref="D76" si="94">0.025*D75</f>
        <v>3.5163357179679522E-3</v>
      </c>
      <c r="E76" s="134">
        <f t="shared" ref="E76" si="95">0.025*E75</f>
        <v>4.0810027675686443E-3</v>
      </c>
      <c r="F76" s="134">
        <f t="shared" ref="F76" si="96">0.025*F75</f>
        <v>-1.2576675195651798E-3</v>
      </c>
      <c r="G76" s="134">
        <f t="shared" ref="G76" si="97">0.025*G75</f>
        <v>-1.2576675195651798E-3</v>
      </c>
      <c r="H76" s="134">
        <f t="shared" ref="H76:I76" si="98">0.025*H75</f>
        <v>-1.2576675195651798E-3</v>
      </c>
      <c r="I76" s="134">
        <f t="shared" si="98"/>
        <v>-1.2576675195651798E-3</v>
      </c>
      <c r="J76" s="138"/>
      <c r="K76" s="233"/>
      <c r="L76" s="39"/>
      <c r="M76" s="39"/>
      <c r="N76" s="39"/>
      <c r="O76" s="39"/>
      <c r="P76" s="39"/>
      <c r="Q76" s="39"/>
      <c r="R76" s="228"/>
      <c r="S76" s="228"/>
    </row>
    <row r="77" spans="1:19">
      <c r="A77" s="137">
        <f>NormStandard!E30</f>
        <v>134</v>
      </c>
      <c r="B77" s="137"/>
      <c r="C77" s="137"/>
      <c r="D77" s="137"/>
      <c r="E77" s="137"/>
      <c r="F77" s="137"/>
      <c r="G77" s="137"/>
      <c r="H77" s="137"/>
      <c r="I77" s="137"/>
      <c r="J77" s="137"/>
      <c r="K77" s="234"/>
      <c r="L77" s="39"/>
      <c r="M77" s="39"/>
      <c r="N77" s="39"/>
      <c r="O77" s="39"/>
      <c r="P77" s="39"/>
      <c r="Q77" s="39"/>
      <c r="R77" s="228"/>
      <c r="S77" s="228"/>
    </row>
    <row r="78" spans="1:19">
      <c r="A78">
        <v>0</v>
      </c>
      <c r="B78">
        <f>Conc1!$M30/SIN(RADIANS($A77))</f>
        <v>0.10248061760478019</v>
      </c>
      <c r="C78">
        <f>Conc2!$M30/SIN(RADIANS($A77))</f>
        <v>0.20891535478818599</v>
      </c>
      <c r="D78">
        <f>Conc3!$M30/SIN(RADIANS($A77))</f>
        <v>0.23234427164028856</v>
      </c>
      <c r="E78">
        <f>Conc4!$M30/SIN(RADIANS($A77))</f>
        <v>0.25881479148594938</v>
      </c>
      <c r="F78">
        <f>Conc5!$M30/SIN(RADIANS($A77))</f>
        <v>0.10248061760478019</v>
      </c>
      <c r="G78">
        <f>Conc6!$M30/SIN(RADIANS($A77))</f>
        <v>0.10248061760478019</v>
      </c>
      <c r="H78">
        <f>Conc7!$M30/SIN(RADIANS($A77))</f>
        <v>0.10248061760478019</v>
      </c>
      <c r="I78">
        <f>Conc8!$M30/SIN(RADIANS($A77))</f>
        <v>0.10248061760478019</v>
      </c>
      <c r="J78" s="138"/>
      <c r="K78" s="233"/>
      <c r="L78" s="39"/>
      <c r="M78" s="39"/>
      <c r="N78" s="39"/>
      <c r="O78" s="39"/>
      <c r="P78" s="39"/>
      <c r="Q78" s="39"/>
      <c r="R78" s="228"/>
      <c r="S78" s="228"/>
    </row>
    <row r="79" spans="1:19">
      <c r="A79" s="134">
        <f>0.025*A78</f>
        <v>0</v>
      </c>
      <c r="B79" s="134">
        <f t="shared" ref="B79" si="99">0.025*B78</f>
        <v>2.562015440119505E-3</v>
      </c>
      <c r="C79" s="134">
        <f t="shared" ref="C79" si="100">0.025*C78</f>
        <v>5.2228838697046497E-3</v>
      </c>
      <c r="D79" s="134">
        <f t="shared" ref="D79" si="101">0.025*D78</f>
        <v>5.8086067910072146E-3</v>
      </c>
      <c r="E79" s="134">
        <f t="shared" ref="E79" si="102">0.025*E78</f>
        <v>6.4703697871487352E-3</v>
      </c>
      <c r="F79" s="134">
        <f t="shared" ref="F79" si="103">0.025*F78</f>
        <v>2.562015440119505E-3</v>
      </c>
      <c r="G79" s="134">
        <f t="shared" ref="G79" si="104">0.025*G78</f>
        <v>2.562015440119505E-3</v>
      </c>
      <c r="H79" s="134">
        <f t="shared" ref="H79:I79" si="105">0.025*H78</f>
        <v>2.562015440119505E-3</v>
      </c>
      <c r="I79" s="134">
        <f t="shared" si="105"/>
        <v>2.562015440119505E-3</v>
      </c>
      <c r="J79" s="138"/>
      <c r="K79" s="233"/>
      <c r="L79" s="39"/>
      <c r="M79" s="39"/>
      <c r="N79" s="39"/>
      <c r="O79" s="39"/>
      <c r="P79" s="39"/>
      <c r="Q79" s="39"/>
      <c r="R79" s="228"/>
      <c r="S79" s="228"/>
    </row>
    <row r="80" spans="1:19">
      <c r="A80" s="137">
        <f>NormStandard!E31</f>
        <v>141</v>
      </c>
      <c r="B80" s="137"/>
      <c r="C80" s="137"/>
      <c r="D80" s="137"/>
      <c r="E80" s="137"/>
      <c r="F80" s="137"/>
      <c r="G80" s="137"/>
      <c r="H80" s="137"/>
      <c r="I80" s="137"/>
      <c r="J80" s="137"/>
      <c r="K80" s="234"/>
      <c r="L80" s="39"/>
      <c r="M80" s="39"/>
      <c r="N80" s="39"/>
      <c r="O80" s="39"/>
      <c r="P80" s="39"/>
      <c r="Q80" s="39"/>
      <c r="R80" s="228"/>
      <c r="S80" s="228"/>
    </row>
    <row r="81" spans="1:19">
      <c r="A81">
        <v>0</v>
      </c>
      <c r="B81">
        <f>Conc1!$M31/SIN(RADIANS($A80))</f>
        <v>0.10860564557583165</v>
      </c>
      <c r="C81">
        <f>Conc2!$M31/SIN(RADIANS($A80))</f>
        <v>0.1496344450155902</v>
      </c>
      <c r="D81">
        <f>Conc3!$M31/SIN(RADIANS($A80))</f>
        <v>0.19066324445534882</v>
      </c>
      <c r="E81">
        <f>Conc4!$M31/SIN(RADIANS($A80))</f>
        <v>0.22445166752338533</v>
      </c>
      <c r="F81">
        <f>Conc5!$M31/SIN(RADIANS($A80))</f>
        <v>-6.0336469764350899E-2</v>
      </c>
      <c r="G81">
        <f>Conc6!$M31/SIN(RADIANS($A80))</f>
        <v>-6.0336469764350899E-2</v>
      </c>
      <c r="H81">
        <f>Conc7!$M31/SIN(RADIANS($A80))</f>
        <v>-6.0336469764350899E-2</v>
      </c>
      <c r="I81">
        <f>Conc8!$M31/SIN(RADIANS($A80))</f>
        <v>-6.0336469764350899E-2</v>
      </c>
      <c r="J81" s="138"/>
      <c r="K81" s="233"/>
      <c r="L81" s="39"/>
      <c r="M81" s="39"/>
      <c r="N81" s="39"/>
      <c r="O81" s="39"/>
      <c r="P81" s="39"/>
      <c r="Q81" s="39"/>
      <c r="R81" s="228"/>
      <c r="S81" s="228"/>
    </row>
    <row r="82" spans="1:19">
      <c r="A82" s="134">
        <f>0.025*A81</f>
        <v>0</v>
      </c>
      <c r="B82" s="134">
        <f t="shared" ref="B82" si="106">0.025*B81</f>
        <v>2.7151411393957913E-3</v>
      </c>
      <c r="C82" s="134">
        <f t="shared" ref="C82" si="107">0.025*C81</f>
        <v>3.7408611253897553E-3</v>
      </c>
      <c r="D82" s="134">
        <f t="shared" ref="D82" si="108">0.025*D81</f>
        <v>4.7665811113837206E-3</v>
      </c>
      <c r="E82" s="134">
        <f t="shared" ref="E82" si="109">0.025*E81</f>
        <v>5.6112916880846336E-3</v>
      </c>
      <c r="F82" s="134">
        <f t="shared" ref="F82" si="110">0.025*F81</f>
        <v>-1.5084117441087725E-3</v>
      </c>
      <c r="G82" s="134">
        <f t="shared" ref="G82" si="111">0.025*G81</f>
        <v>-1.5084117441087725E-3</v>
      </c>
      <c r="H82" s="134">
        <f t="shared" ref="H82:I82" si="112">0.025*H81</f>
        <v>-1.5084117441087725E-3</v>
      </c>
      <c r="I82" s="134">
        <f t="shared" si="112"/>
        <v>-1.5084117441087725E-3</v>
      </c>
      <c r="J82" s="138"/>
      <c r="K82" s="233"/>
      <c r="L82" s="39"/>
      <c r="M82" s="39"/>
      <c r="N82" s="39"/>
      <c r="O82" s="39"/>
      <c r="P82" s="39"/>
      <c r="Q82" s="39"/>
      <c r="R82" s="228"/>
      <c r="S82" s="228"/>
    </row>
    <row r="83" spans="1:19">
      <c r="A83" s="137">
        <f>NormStandard!E32</f>
        <v>147</v>
      </c>
      <c r="B83" s="137"/>
      <c r="C83" s="137"/>
      <c r="D83" s="137"/>
      <c r="E83" s="137"/>
      <c r="F83" s="137"/>
      <c r="G83" s="137"/>
      <c r="H83" s="137"/>
      <c r="I83" s="137"/>
      <c r="J83" s="137"/>
      <c r="K83" s="234"/>
      <c r="L83" s="39"/>
      <c r="M83" s="39"/>
      <c r="N83" s="39"/>
      <c r="O83" s="39"/>
      <c r="P83" s="39"/>
      <c r="Q83" s="39"/>
      <c r="R83" s="228"/>
      <c r="S83" s="228"/>
    </row>
    <row r="84" spans="1:19">
      <c r="A84">
        <v>0</v>
      </c>
      <c r="B84">
        <f>Conc1!$M32/SIN(RADIANS($A83))</f>
        <v>0.17087376696982429</v>
      </c>
      <c r="C84">
        <f>Conc2!$M32/SIN(RADIANS($A83))</f>
        <v>0.15719876445985548</v>
      </c>
      <c r="D84">
        <f>Conc3!$M32/SIN(RADIANS($A83))</f>
        <v>0.18474575480250069</v>
      </c>
      <c r="E84">
        <f>Conc4!$M32/SIN(RADIANS($A83))</f>
        <v>0.21420375860050453</v>
      </c>
      <c r="F84">
        <f>Conc5!$M32/SIN(RADIANS($A83))</f>
        <v>0.17087376696982429</v>
      </c>
      <c r="G84">
        <f>Conc6!$M32/SIN(RADIANS($A83))</f>
        <v>0.17087376696982429</v>
      </c>
      <c r="H84">
        <f>Conc7!$M32/SIN(RADIANS($A83))</f>
        <v>0.17087376696982429</v>
      </c>
      <c r="I84">
        <f>Conc8!$M32/SIN(RADIANS($A83))</f>
        <v>0.17087376696982429</v>
      </c>
      <c r="J84" s="138"/>
      <c r="K84" s="233"/>
      <c r="L84" s="39"/>
      <c r="M84" s="39"/>
      <c r="N84" s="39"/>
      <c r="O84" s="39"/>
      <c r="P84" s="39"/>
      <c r="Q84" s="39"/>
      <c r="R84" s="228"/>
      <c r="S84" s="228"/>
    </row>
    <row r="85" spans="1:19" ht="14.65" thickBot="1">
      <c r="A85" s="134">
        <f>0.025*A84</f>
        <v>0</v>
      </c>
      <c r="B85" s="134">
        <f t="shared" ref="B85" si="113">0.025*B84</f>
        <v>4.271844174245607E-3</v>
      </c>
      <c r="C85" s="134">
        <f t="shared" ref="C85" si="114">0.025*C84</f>
        <v>3.9299691114963869E-3</v>
      </c>
      <c r="D85" s="134">
        <f t="shared" ref="D85" si="115">0.025*D84</f>
        <v>4.6186438700625172E-3</v>
      </c>
      <c r="E85" s="134">
        <f t="shared" ref="E85" si="116">0.025*E84</f>
        <v>5.3550939650126132E-3</v>
      </c>
      <c r="F85" s="134">
        <f t="shared" ref="F85" si="117">0.025*F84</f>
        <v>4.271844174245607E-3</v>
      </c>
      <c r="G85" s="134">
        <f t="shared" ref="G85" si="118">0.025*G84</f>
        <v>4.271844174245607E-3</v>
      </c>
      <c r="H85" s="134">
        <f t="shared" ref="H85:I85" si="119">0.025*H84</f>
        <v>4.271844174245607E-3</v>
      </c>
      <c r="I85" s="134">
        <f t="shared" si="119"/>
        <v>4.271844174245607E-3</v>
      </c>
      <c r="J85" s="138"/>
      <c r="K85" s="215"/>
      <c r="L85" s="235"/>
      <c r="M85" s="235"/>
      <c r="N85" s="235"/>
      <c r="O85" s="235"/>
      <c r="P85" s="235"/>
      <c r="Q85" s="235"/>
      <c r="R85" s="236"/>
      <c r="S85" s="236"/>
    </row>
  </sheetData>
  <pageMargins left="0.7" right="0.7" top="0.75" bottom="0.75" header="0.3" footer="0.3"/>
  <pageSetup orientation="portrait" horizontalDpi="4294967293"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49BB0-AB7E-4BEB-9F13-207A1583037E}">
  <dimension ref="A1:K74"/>
  <sheetViews>
    <sheetView topLeftCell="A60" workbookViewId="0">
      <selection activeCell="K27" sqref="K27:K74"/>
    </sheetView>
  </sheetViews>
  <sheetFormatPr defaultRowHeight="14.25"/>
  <sheetData>
    <row r="1" spans="1:1">
      <c r="A1" t="s">
        <v>159</v>
      </c>
    </row>
    <row r="2" spans="1:1">
      <c r="A2" t="s">
        <v>160</v>
      </c>
    </row>
    <row r="3" spans="1:1">
      <c r="A3" t="s">
        <v>160</v>
      </c>
    </row>
    <row r="4" spans="1:1">
      <c r="A4" t="s">
        <v>160</v>
      </c>
    </row>
    <row r="5" spans="1:1">
      <c r="A5" t="s">
        <v>160</v>
      </c>
    </row>
    <row r="6" spans="1:1">
      <c r="A6" t="s">
        <v>210</v>
      </c>
    </row>
    <row r="7" spans="1:1">
      <c r="A7" t="s">
        <v>211</v>
      </c>
    </row>
    <row r="8" spans="1:1">
      <c r="A8" t="s">
        <v>167</v>
      </c>
    </row>
    <row r="9" spans="1:1">
      <c r="A9" t="s">
        <v>168</v>
      </c>
    </row>
    <row r="10" spans="1:1">
      <c r="A10" t="s">
        <v>170</v>
      </c>
    </row>
    <row r="11" spans="1:1">
      <c r="A11" t="s">
        <v>171</v>
      </c>
    </row>
    <row r="12" spans="1:1">
      <c r="A12" t="s">
        <v>172</v>
      </c>
    </row>
    <row r="13" spans="1:1">
      <c r="A13" t="s">
        <v>173</v>
      </c>
    </row>
    <row r="14" spans="1:1">
      <c r="A14" t="s">
        <v>174</v>
      </c>
    </row>
    <row r="15" spans="1:1">
      <c r="A15" t="s">
        <v>175</v>
      </c>
    </row>
    <row r="16" spans="1:1">
      <c r="A16">
        <v>0</v>
      </c>
    </row>
    <row r="17" spans="1:11">
      <c r="A17">
        <v>0.03</v>
      </c>
    </row>
    <row r="18" spans="1:11">
      <c r="A18" t="s">
        <v>178</v>
      </c>
    </row>
    <row r="19" spans="1:11">
      <c r="A19">
        <v>90</v>
      </c>
    </row>
    <row r="20" spans="1:11">
      <c r="A20">
        <v>16</v>
      </c>
    </row>
    <row r="21" spans="1:11">
      <c r="A21">
        <v>5</v>
      </c>
    </row>
    <row r="22" spans="1:11">
      <c r="A22">
        <v>0</v>
      </c>
    </row>
    <row r="23" spans="1:11">
      <c r="A23">
        <v>2.6010322208282468E-3</v>
      </c>
    </row>
    <row r="24" spans="1:11">
      <c r="A24">
        <v>4.8277485648007294E-3</v>
      </c>
    </row>
    <row r="25" spans="1:11">
      <c r="A25">
        <v>8.1757225152172316E-3</v>
      </c>
    </row>
    <row r="26" spans="1:11">
      <c r="A26">
        <v>1.0235076607238155E-2</v>
      </c>
    </row>
    <row r="27" spans="1:11">
      <c r="A27">
        <v>22.5</v>
      </c>
      <c r="K27" s="133">
        <v>22.5</v>
      </c>
    </row>
    <row r="28" spans="1:11">
      <c r="A28">
        <v>0</v>
      </c>
      <c r="B28">
        <v>0.1572179877222577</v>
      </c>
      <c r="C28">
        <v>0.45103521067860819</v>
      </c>
      <c r="D28">
        <v>0.98196808724885543</v>
      </c>
      <c r="E28">
        <v>1.3170228151815357</v>
      </c>
      <c r="F28">
        <v>-0.22165158924777312</v>
      </c>
      <c r="G28">
        <v>-0.22165158924777312</v>
      </c>
      <c r="H28">
        <v>-0.22165158924777312</v>
      </c>
      <c r="I28">
        <v>-0.22165158924777312</v>
      </c>
      <c r="K28" t="str">
        <f>A28&amp;"  "&amp;B28&amp;"  "&amp;C28&amp;"  "&amp;D28&amp;"  "&amp;E28&amp;"  "</f>
        <v xml:space="preserve">0  0.157217987722258  0.451035210678608  0.981968087248855  1.31702281518154  </v>
      </c>
    </row>
    <row r="29" spans="1:11">
      <c r="A29">
        <v>0</v>
      </c>
      <c r="B29">
        <v>3.9304496930564429E-3</v>
      </c>
      <c r="C29">
        <v>1.1275880266965205E-2</v>
      </c>
      <c r="D29">
        <v>2.4549202181221388E-2</v>
      </c>
      <c r="E29">
        <v>3.2925570379538395E-2</v>
      </c>
      <c r="F29">
        <v>-5.5412897311943286E-3</v>
      </c>
      <c r="G29">
        <v>-5.5412897311943286E-3</v>
      </c>
      <c r="H29">
        <v>-5.5412897311943286E-3</v>
      </c>
      <c r="I29">
        <v>-5.5412897311943286E-3</v>
      </c>
      <c r="K29" t="str">
        <f t="shared" ref="K29:K74" si="0">A29&amp;"  "&amp;B29&amp;"  "&amp;C29&amp;"  "&amp;D29&amp;"  "&amp;E29&amp;"  "</f>
        <v xml:space="preserve">0  0.00393044969305644  0.0112758802669652  0.0245492021812214  0.0329255703795384  </v>
      </c>
    </row>
    <row r="30" spans="1:11">
      <c r="A30">
        <v>28</v>
      </c>
      <c r="K30" t="str">
        <f t="shared" si="0"/>
        <v xml:space="preserve">28          </v>
      </c>
    </row>
    <row r="31" spans="1:11">
      <c r="A31">
        <v>0</v>
      </c>
      <c r="B31">
        <v>0.12669369495649158</v>
      </c>
      <c r="C31">
        <v>0.22004694387180121</v>
      </c>
      <c r="D31">
        <v>0.43675984313948424</v>
      </c>
      <c r="E31">
        <v>0.73682385751012236</v>
      </c>
      <c r="F31">
        <v>-0.16336818560179181</v>
      </c>
      <c r="G31">
        <v>-0.16336818560179181</v>
      </c>
      <c r="H31">
        <v>-0.16336818560179181</v>
      </c>
      <c r="I31">
        <v>-0.16336818560179181</v>
      </c>
      <c r="K31" t="str">
        <f t="shared" si="0"/>
        <v xml:space="preserve">0  0.126693694956492  0.220046943871801  0.436759843139484  0.736823857510122  </v>
      </c>
    </row>
    <row r="32" spans="1:11">
      <c r="A32">
        <v>0</v>
      </c>
      <c r="B32">
        <v>3.1673423739122897E-3</v>
      </c>
      <c r="C32">
        <v>5.5011735967950308E-3</v>
      </c>
      <c r="D32">
        <v>1.0918996078487106E-2</v>
      </c>
      <c r="E32">
        <v>1.842059643775306E-2</v>
      </c>
      <c r="F32">
        <v>-4.0842046400447951E-3</v>
      </c>
      <c r="G32">
        <v>-4.0842046400447951E-3</v>
      </c>
      <c r="H32">
        <v>-4.0842046400447951E-3</v>
      </c>
      <c r="I32">
        <v>-4.0842046400447951E-3</v>
      </c>
      <c r="K32" t="str">
        <f t="shared" si="0"/>
        <v xml:space="preserve">0  0.00316734237391229  0.00550117359679503  0.0109189960784871  0.0184205964377531  </v>
      </c>
    </row>
    <row r="33" spans="1:11">
      <c r="A33">
        <v>32</v>
      </c>
      <c r="K33" t="str">
        <f t="shared" si="0"/>
        <v xml:space="preserve">32          </v>
      </c>
    </row>
    <row r="34" spans="1:11">
      <c r="A34">
        <v>0</v>
      </c>
      <c r="B34">
        <v>0.16719376760746835</v>
      </c>
      <c r="C34">
        <v>0.23723439998356996</v>
      </c>
      <c r="D34">
        <v>0.39313129140134445</v>
      </c>
      <c r="E34">
        <v>0.47446879996713992</v>
      </c>
      <c r="F34">
        <v>-6.778125713816284E-2</v>
      </c>
      <c r="G34">
        <v>-6.778125713816284E-2</v>
      </c>
      <c r="H34">
        <v>-6.778125713816284E-2</v>
      </c>
      <c r="I34">
        <v>-6.778125713816284E-2</v>
      </c>
      <c r="K34" t="str">
        <f t="shared" si="0"/>
        <v xml:space="preserve">0  0.167193767607468  0.23723439998357  0.393131291401344  0.47446879996714  </v>
      </c>
    </row>
    <row r="35" spans="1:11">
      <c r="A35">
        <v>0</v>
      </c>
      <c r="B35">
        <v>4.1798441901867087E-3</v>
      </c>
      <c r="C35">
        <v>5.9308599995892492E-3</v>
      </c>
      <c r="D35">
        <v>9.828282285033612E-3</v>
      </c>
      <c r="E35">
        <v>1.1861719999178498E-2</v>
      </c>
      <c r="F35">
        <v>-1.694531428454071E-3</v>
      </c>
      <c r="G35">
        <v>-1.694531428454071E-3</v>
      </c>
      <c r="H35">
        <v>-1.694531428454071E-3</v>
      </c>
      <c r="I35">
        <v>-1.694531428454071E-3</v>
      </c>
      <c r="K35" t="str">
        <f t="shared" si="0"/>
        <v xml:space="preserve">0  0.00417984419018671  0.00593085999958925  0.00982828228503361  0.0118617199991785  </v>
      </c>
    </row>
    <row r="36" spans="1:11">
      <c r="A36">
        <v>44</v>
      </c>
      <c r="K36" t="str">
        <f t="shared" si="0"/>
        <v xml:space="preserve">44          </v>
      </c>
    </row>
    <row r="37" spans="1:11">
      <c r="A37">
        <v>0</v>
      </c>
      <c r="B37">
        <v>9.0165047914930602E-2</v>
      </c>
      <c r="C37">
        <v>0.25808033713340289</v>
      </c>
      <c r="D37">
        <v>0.35266756922037346</v>
      </c>
      <c r="E37">
        <v>0.35894164918527677</v>
      </c>
      <c r="F37">
        <v>9.0165047914930602E-2</v>
      </c>
      <c r="G37">
        <v>9.0165047914930602E-2</v>
      </c>
      <c r="H37">
        <v>9.0165047914930602E-2</v>
      </c>
      <c r="I37">
        <v>9.0165047914930602E-2</v>
      </c>
      <c r="K37" t="str">
        <f t="shared" si="0"/>
        <v xml:space="preserve">0  0.0901650479149306  0.258080337133403  0.352667569220373  0.358941649185277  </v>
      </c>
    </row>
    <row r="38" spans="1:11">
      <c r="A38">
        <v>0</v>
      </c>
      <c r="B38">
        <v>2.254126197873265E-3</v>
      </c>
      <c r="C38">
        <v>6.4520084283350727E-3</v>
      </c>
      <c r="D38">
        <v>8.8166892305093364E-3</v>
      </c>
      <c r="E38">
        <v>8.9735412296319192E-3</v>
      </c>
      <c r="F38">
        <v>2.254126197873265E-3</v>
      </c>
      <c r="G38">
        <v>2.254126197873265E-3</v>
      </c>
      <c r="H38">
        <v>2.254126197873265E-3</v>
      </c>
      <c r="I38">
        <v>2.254126197873265E-3</v>
      </c>
      <c r="K38" t="str">
        <f t="shared" si="0"/>
        <v xml:space="preserve">0  0.00225412619787327  0.00645200842833507  0.00881668923050934  0.00897354122963192  </v>
      </c>
    </row>
    <row r="39" spans="1:11">
      <c r="A39">
        <v>50</v>
      </c>
      <c r="K39" t="str">
        <f t="shared" si="0"/>
        <v xml:space="preserve">50          </v>
      </c>
    </row>
    <row r="40" spans="1:11">
      <c r="A40">
        <v>0</v>
      </c>
      <c r="B40">
        <v>0.10910649320993041</v>
      </c>
      <c r="C40">
        <v>0.12150080385334922</v>
      </c>
      <c r="D40">
        <v>0.15748649158182448</v>
      </c>
      <c r="E40">
        <v>0.15321780141514008</v>
      </c>
      <c r="F40">
        <v>0.10910649320993041</v>
      </c>
      <c r="G40">
        <v>0.10910649320993041</v>
      </c>
      <c r="H40">
        <v>0.10910649320993041</v>
      </c>
      <c r="I40">
        <v>0.10910649320993041</v>
      </c>
      <c r="K40" t="str">
        <f t="shared" si="0"/>
        <v xml:space="preserve">0  0.10910649320993  0.121500803853349  0.157486491581824  0.15321780141514  </v>
      </c>
    </row>
    <row r="41" spans="1:11">
      <c r="A41">
        <v>0</v>
      </c>
      <c r="B41">
        <v>2.7276623302482602E-3</v>
      </c>
      <c r="C41">
        <v>3.0375200963337306E-3</v>
      </c>
      <c r="D41">
        <v>3.9371622895456124E-3</v>
      </c>
      <c r="E41">
        <v>3.8304450353785022E-3</v>
      </c>
      <c r="F41">
        <v>2.7276623302482602E-3</v>
      </c>
      <c r="G41">
        <v>2.7276623302482602E-3</v>
      </c>
      <c r="H41">
        <v>2.7276623302482602E-3</v>
      </c>
      <c r="I41">
        <v>2.7276623302482602E-3</v>
      </c>
      <c r="K41" t="str">
        <f t="shared" si="0"/>
        <v xml:space="preserve">0  0.00272766233024826  0.00303752009633373  0.00393716228954561  0.0038304450353785  </v>
      </c>
    </row>
    <row r="42" spans="1:11">
      <c r="A42">
        <v>57</v>
      </c>
      <c r="K42" t="str">
        <f t="shared" si="0"/>
        <v xml:space="preserve">57          </v>
      </c>
    </row>
    <row r="43" spans="1:11">
      <c r="A43">
        <v>0</v>
      </c>
      <c r="B43">
        <v>8.2995819303965268E-2</v>
      </c>
      <c r="C43">
        <v>0.11661437902202713</v>
      </c>
      <c r="D43">
        <v>0.15233409872246786</v>
      </c>
      <c r="E43">
        <v>0.18490207844934031</v>
      </c>
      <c r="F43">
        <v>-5.3579579550661102E-2</v>
      </c>
      <c r="G43">
        <v>-5.3579579550661102E-2</v>
      </c>
      <c r="H43">
        <v>-5.3579579550661102E-2</v>
      </c>
      <c r="I43">
        <v>-5.3579579550661102E-2</v>
      </c>
      <c r="K43" t="str">
        <f t="shared" si="0"/>
        <v xml:space="preserve">0  0.0829958193039653  0.116614379022027  0.152334098722468  0.18490207844934  </v>
      </c>
    </row>
    <row r="44" spans="1:11">
      <c r="A44">
        <v>0</v>
      </c>
      <c r="B44">
        <v>2.0748954825991319E-3</v>
      </c>
      <c r="C44">
        <v>2.9153594755506784E-3</v>
      </c>
      <c r="D44">
        <v>3.8083524680616967E-3</v>
      </c>
      <c r="E44">
        <v>4.6225519612335076E-3</v>
      </c>
      <c r="F44">
        <v>-1.3394894887665276E-3</v>
      </c>
      <c r="G44">
        <v>-1.3394894887665276E-3</v>
      </c>
      <c r="H44">
        <v>-1.3394894887665276E-3</v>
      </c>
      <c r="I44">
        <v>-1.3394894887665276E-3</v>
      </c>
      <c r="K44" t="str">
        <f t="shared" si="0"/>
        <v xml:space="preserve">0  0.00207489548259913  0.00291535947555068  0.0038083524680617  0.00462255196123351  </v>
      </c>
    </row>
    <row r="45" spans="1:11">
      <c r="A45">
        <v>64</v>
      </c>
      <c r="K45" t="str">
        <f t="shared" si="0"/>
        <v xml:space="preserve">64          </v>
      </c>
    </row>
    <row r="46" spans="1:11">
      <c r="A46">
        <v>0</v>
      </c>
      <c r="B46">
        <v>8.0094404853898182E-2</v>
      </c>
      <c r="C46">
        <v>8.7772451026196602E-2</v>
      </c>
      <c r="D46">
        <v>0.106739401129263</v>
      </c>
      <c r="E46">
        <v>0.1205217521160141</v>
      </c>
      <c r="F46">
        <v>8.0094404853898182E-2</v>
      </c>
      <c r="G46">
        <v>8.0094404853898182E-2</v>
      </c>
      <c r="H46">
        <v>8.0094404853898182E-2</v>
      </c>
      <c r="I46">
        <v>8.0094404853898182E-2</v>
      </c>
      <c r="K46" t="str">
        <f t="shared" si="0"/>
        <v xml:space="preserve">0  0.0800944048538982  0.0877724510261966  0.106739401129263  0.120521752116014  </v>
      </c>
    </row>
    <row r="47" spans="1:11">
      <c r="A47">
        <v>0</v>
      </c>
      <c r="B47">
        <v>2.0023601213474546E-3</v>
      </c>
      <c r="C47">
        <v>2.1943112756549151E-3</v>
      </c>
      <c r="D47">
        <v>2.668485028231575E-3</v>
      </c>
      <c r="E47">
        <v>3.0130438029003525E-3</v>
      </c>
      <c r="F47">
        <v>2.0023601213474546E-3</v>
      </c>
      <c r="G47">
        <v>2.0023601213474546E-3</v>
      </c>
      <c r="H47">
        <v>2.0023601213474546E-3</v>
      </c>
      <c r="I47">
        <v>2.0023601213474546E-3</v>
      </c>
      <c r="K47" t="str">
        <f t="shared" si="0"/>
        <v xml:space="preserve">0  0.00200236012134745  0.00219431127565492  0.00266848502823158  0.00301304380290035  </v>
      </c>
    </row>
    <row r="48" spans="1:11">
      <c r="A48">
        <v>72</v>
      </c>
      <c r="K48" t="str">
        <f t="shared" si="0"/>
        <v xml:space="preserve">72          </v>
      </c>
    </row>
    <row r="49" spans="1:11">
      <c r="A49">
        <v>0</v>
      </c>
      <c r="B49">
        <v>8.223866534293027E-2</v>
      </c>
      <c r="C49">
        <v>0.10831433971995694</v>
      </c>
      <c r="D49">
        <v>0.13138128243809594</v>
      </c>
      <c r="E49">
        <v>0.14542203017957184</v>
      </c>
      <c r="F49">
        <v>-3.4098958800727192E-2</v>
      </c>
      <c r="G49">
        <v>-3.4098958800727192E-2</v>
      </c>
      <c r="H49">
        <v>-3.4098958800727192E-2</v>
      </c>
      <c r="I49">
        <v>-3.4098958800727192E-2</v>
      </c>
      <c r="K49" t="str">
        <f t="shared" si="0"/>
        <v xml:space="preserve">0  0.0822386653429303  0.108314339719957  0.131381282438096  0.145422030179572  </v>
      </c>
    </row>
    <row r="50" spans="1:11">
      <c r="A50">
        <v>0</v>
      </c>
      <c r="B50">
        <v>2.055966633573257E-3</v>
      </c>
      <c r="C50">
        <v>2.7078584929989234E-3</v>
      </c>
      <c r="D50">
        <v>3.2845320609523987E-3</v>
      </c>
      <c r="E50">
        <v>3.6355507544892961E-3</v>
      </c>
      <c r="F50">
        <v>-8.5247397001817979E-4</v>
      </c>
      <c r="G50">
        <v>-8.5247397001817979E-4</v>
      </c>
      <c r="H50">
        <v>-8.5247397001817979E-4</v>
      </c>
      <c r="I50">
        <v>-8.5247397001817979E-4</v>
      </c>
      <c r="K50" t="str">
        <f t="shared" si="0"/>
        <v xml:space="preserve">0  0.00205596663357326  0.00270785849299892  0.0032845320609524  0.0036355507544893  </v>
      </c>
    </row>
    <row r="51" spans="1:11">
      <c r="A51">
        <v>81</v>
      </c>
      <c r="K51" t="str">
        <f t="shared" si="0"/>
        <v xml:space="preserve">81          </v>
      </c>
    </row>
    <row r="52" spans="1:11">
      <c r="A52">
        <v>0</v>
      </c>
      <c r="B52">
        <v>6.5895349247915194E-2</v>
      </c>
      <c r="C52">
        <v>5.7634185993116552E-2</v>
      </c>
      <c r="D52">
        <v>6.4529747597661724E-2</v>
      </c>
      <c r="E52">
        <v>7.4776667269911792E-2</v>
      </c>
      <c r="F52">
        <v>6.5895349247915194E-2</v>
      </c>
      <c r="G52">
        <v>6.5895349247915194E-2</v>
      </c>
      <c r="H52">
        <v>6.5895349247915194E-2</v>
      </c>
      <c r="I52">
        <v>6.5895349247915194E-2</v>
      </c>
      <c r="K52" t="str">
        <f t="shared" si="0"/>
        <v xml:space="preserve">0  0.0658953492479152  0.0576341859931166  0.0645297475976617  0.0747766672699118  </v>
      </c>
    </row>
    <row r="53" spans="1:11">
      <c r="A53">
        <v>0</v>
      </c>
      <c r="B53">
        <v>1.6473837311978799E-3</v>
      </c>
      <c r="C53">
        <v>1.4408546498279138E-3</v>
      </c>
      <c r="D53">
        <v>1.6132436899415432E-3</v>
      </c>
      <c r="E53">
        <v>1.869416681747795E-3</v>
      </c>
      <c r="F53">
        <v>1.6473837311978799E-3</v>
      </c>
      <c r="G53">
        <v>1.6473837311978799E-3</v>
      </c>
      <c r="H53">
        <v>1.6473837311978799E-3</v>
      </c>
      <c r="I53">
        <v>1.6473837311978799E-3</v>
      </c>
      <c r="K53" t="str">
        <f t="shared" si="0"/>
        <v xml:space="preserve">0  0.00164738373119788  0.00144085464982791  0.00161324368994154  0.00186941668174779  </v>
      </c>
    </row>
    <row r="54" spans="1:11">
      <c r="A54">
        <v>90</v>
      </c>
      <c r="K54" t="str">
        <f t="shared" si="0"/>
        <v xml:space="preserve">90          </v>
      </c>
    </row>
    <row r="55" spans="1:11">
      <c r="A55">
        <v>0</v>
      </c>
      <c r="B55">
        <v>7.5293007012894111E-2</v>
      </c>
      <c r="C55">
        <v>0.10074416431302731</v>
      </c>
      <c r="D55">
        <v>0.12407439183814942</v>
      </c>
      <c r="E55">
        <v>0.13573950560071049</v>
      </c>
      <c r="F55">
        <v>-3.1813946625166518E-2</v>
      </c>
      <c r="G55">
        <v>-3.1813946625166518E-2</v>
      </c>
      <c r="H55">
        <v>-3.1813946625166518E-2</v>
      </c>
      <c r="I55">
        <v>-3.1813946625166518E-2</v>
      </c>
      <c r="K55" t="str">
        <f t="shared" si="0"/>
        <v xml:space="preserve">0  0.0752930070128941  0.100744164313027  0.124074391838149  0.13573950560071  </v>
      </c>
    </row>
    <row r="56" spans="1:11">
      <c r="A56">
        <v>0</v>
      </c>
      <c r="B56">
        <v>1.8823251753223528E-3</v>
      </c>
      <c r="C56">
        <v>2.5186041078256831E-3</v>
      </c>
      <c r="D56">
        <v>3.1018597959537354E-3</v>
      </c>
      <c r="E56">
        <v>3.3934876400177625E-3</v>
      </c>
      <c r="F56">
        <v>-7.9534866562916298E-4</v>
      </c>
      <c r="G56">
        <v>-7.9534866562916298E-4</v>
      </c>
      <c r="H56">
        <v>-7.9534866562916298E-4</v>
      </c>
      <c r="I56">
        <v>-7.9534866562916298E-4</v>
      </c>
      <c r="K56" t="str">
        <f t="shared" si="0"/>
        <v xml:space="preserve">0  0.00188232517532235  0.00251860410782568  0.00310185979595374  0.00339348764001776  </v>
      </c>
    </row>
    <row r="57" spans="1:11">
      <c r="A57">
        <v>99</v>
      </c>
      <c r="K57" t="str">
        <f t="shared" si="0"/>
        <v xml:space="preserve">99          </v>
      </c>
    </row>
    <row r="58" spans="1:11">
      <c r="A58">
        <v>0</v>
      </c>
      <c r="B58">
        <v>9.6896639238263763E-2</v>
      </c>
      <c r="C58">
        <v>5.3626680901952217E-2</v>
      </c>
      <c r="D58">
        <v>5.5781756288578628E-2</v>
      </c>
      <c r="E58">
        <v>6.1423787919355287E-2</v>
      </c>
      <c r="F58">
        <v>9.6896639238263763E-2</v>
      </c>
      <c r="G58">
        <v>9.6896639238263763E-2</v>
      </c>
      <c r="H58">
        <v>9.6896639238263763E-2</v>
      </c>
      <c r="I58">
        <v>9.6896639238263763E-2</v>
      </c>
      <c r="K58" t="str">
        <f t="shared" si="0"/>
        <v xml:space="preserve">0  0.0968966392382638  0.0536266809019522  0.0557817562885786  0.0614237879193553  </v>
      </c>
    </row>
    <row r="59" spans="1:11">
      <c r="A59">
        <v>0</v>
      </c>
      <c r="B59">
        <v>2.4224159809565944E-3</v>
      </c>
      <c r="C59">
        <v>1.3406670225488055E-3</v>
      </c>
      <c r="D59">
        <v>1.3945439072144657E-3</v>
      </c>
      <c r="E59">
        <v>1.5355946979838822E-3</v>
      </c>
      <c r="F59">
        <v>2.4224159809565944E-3</v>
      </c>
      <c r="G59">
        <v>2.4224159809565944E-3</v>
      </c>
      <c r="H59">
        <v>2.4224159809565944E-3</v>
      </c>
      <c r="I59">
        <v>2.4224159809565944E-3</v>
      </c>
      <c r="K59" t="str">
        <f t="shared" si="0"/>
        <v xml:space="preserve">0  0.00242241598095659  0.00134066702254881  0.00139454390721447  0.00153559469798388  </v>
      </c>
    </row>
    <row r="60" spans="1:11">
      <c r="A60">
        <v>117</v>
      </c>
      <c r="K60" t="str">
        <f t="shared" si="0"/>
        <v xml:space="preserve">117          </v>
      </c>
    </row>
    <row r="61" spans="1:11">
      <c r="A61">
        <v>0</v>
      </c>
      <c r="B61">
        <v>0.11150295060041428</v>
      </c>
      <c r="C61">
        <v>0.1157282137271001</v>
      </c>
      <c r="D61">
        <v>0.12820802551978921</v>
      </c>
      <c r="E61">
        <v>0.13796521697284239</v>
      </c>
      <c r="F61">
        <v>0.11150295060041428</v>
      </c>
      <c r="G61">
        <v>0.11150295060041428</v>
      </c>
      <c r="H61">
        <v>0.11150295060041428</v>
      </c>
      <c r="I61">
        <v>0.11150295060041428</v>
      </c>
      <c r="K61" t="str">
        <f t="shared" si="0"/>
        <v xml:space="preserve">0  0.111502950600414  0.1157282137271  0.128208025519789  0.137965216972842  </v>
      </c>
    </row>
    <row r="62" spans="1:11">
      <c r="A62">
        <v>0</v>
      </c>
      <c r="B62">
        <v>2.7875737650103569E-3</v>
      </c>
      <c r="C62">
        <v>2.8932053431775027E-3</v>
      </c>
      <c r="D62">
        <v>3.2052006379947305E-3</v>
      </c>
      <c r="E62">
        <v>3.44913042432106E-3</v>
      </c>
      <c r="F62">
        <v>2.7875737650103569E-3</v>
      </c>
      <c r="G62">
        <v>2.7875737650103569E-3</v>
      </c>
      <c r="H62">
        <v>2.7875737650103569E-3</v>
      </c>
      <c r="I62">
        <v>2.7875737650103569E-3</v>
      </c>
      <c r="K62" t="str">
        <f t="shared" si="0"/>
        <v xml:space="preserve">0  0.00278757376501036  0.0028932053431775  0.00320520063799473  0.00344913042432106  </v>
      </c>
    </row>
    <row r="63" spans="1:11">
      <c r="A63">
        <v>126</v>
      </c>
      <c r="K63" t="str">
        <f t="shared" si="0"/>
        <v xml:space="preserve">126          </v>
      </c>
    </row>
    <row r="64" spans="1:11">
      <c r="A64">
        <v>0</v>
      </c>
      <c r="B64">
        <v>8.0080054307007376E-2</v>
      </c>
      <c r="C64">
        <v>0.11293340992013859</v>
      </c>
      <c r="D64">
        <v>0.14065342871871808</v>
      </c>
      <c r="E64">
        <v>0.16324011070274577</v>
      </c>
      <c r="F64">
        <v>-5.030670078260719E-2</v>
      </c>
      <c r="G64">
        <v>-5.030670078260719E-2</v>
      </c>
      <c r="H64">
        <v>-5.030670078260719E-2</v>
      </c>
      <c r="I64">
        <v>-5.030670078260719E-2</v>
      </c>
      <c r="K64" t="str">
        <f t="shared" si="0"/>
        <v xml:space="preserve">0  0.0800800543070074  0.112933409920139  0.140653428718718  0.163240110702746  </v>
      </c>
    </row>
    <row r="65" spans="1:11">
      <c r="A65">
        <v>0</v>
      </c>
      <c r="B65">
        <v>2.0020013576751844E-3</v>
      </c>
      <c r="C65">
        <v>2.8233352480034647E-3</v>
      </c>
      <c r="D65">
        <v>3.5163357179679522E-3</v>
      </c>
      <c r="E65">
        <v>4.0810027675686443E-3</v>
      </c>
      <c r="F65">
        <v>-1.2576675195651798E-3</v>
      </c>
      <c r="G65">
        <v>-1.2576675195651798E-3</v>
      </c>
      <c r="H65">
        <v>-1.2576675195651798E-3</v>
      </c>
      <c r="I65">
        <v>-1.2576675195651798E-3</v>
      </c>
      <c r="K65" t="str">
        <f t="shared" si="0"/>
        <v xml:space="preserve">0  0.00200200135767518  0.00282333524800346  0.00351633571796795  0.00408100276756864  </v>
      </c>
    </row>
    <row r="66" spans="1:11">
      <c r="A66">
        <v>134</v>
      </c>
      <c r="K66" t="str">
        <f t="shared" si="0"/>
        <v xml:space="preserve">134          </v>
      </c>
    </row>
    <row r="67" spans="1:11">
      <c r="A67">
        <v>0</v>
      </c>
      <c r="B67">
        <v>0.10248061760478019</v>
      </c>
      <c r="C67">
        <v>0.20891535478818599</v>
      </c>
      <c r="D67">
        <v>0.23234427164028856</v>
      </c>
      <c r="E67">
        <v>0.25881479148594938</v>
      </c>
      <c r="F67">
        <v>0.10248061760478019</v>
      </c>
      <c r="G67">
        <v>0.10248061760478019</v>
      </c>
      <c r="H67">
        <v>0.10248061760478019</v>
      </c>
      <c r="I67">
        <v>0.10248061760478019</v>
      </c>
      <c r="K67" t="str">
        <f t="shared" si="0"/>
        <v xml:space="preserve">0  0.10248061760478  0.208915354788186  0.232344271640289  0.258814791485949  </v>
      </c>
    </row>
    <row r="68" spans="1:11">
      <c r="A68">
        <v>0</v>
      </c>
      <c r="B68">
        <v>2.562015440119505E-3</v>
      </c>
      <c r="C68">
        <v>5.2228838697046497E-3</v>
      </c>
      <c r="D68">
        <v>5.8086067910072146E-3</v>
      </c>
      <c r="E68">
        <v>6.4703697871487352E-3</v>
      </c>
      <c r="F68">
        <v>2.562015440119505E-3</v>
      </c>
      <c r="G68">
        <v>2.562015440119505E-3</v>
      </c>
      <c r="H68">
        <v>2.562015440119505E-3</v>
      </c>
      <c r="I68">
        <v>2.562015440119505E-3</v>
      </c>
      <c r="K68" t="str">
        <f t="shared" si="0"/>
        <v xml:space="preserve">0  0.00256201544011951  0.00522288386970465  0.00580860679100721  0.00647036978714874  </v>
      </c>
    </row>
    <row r="69" spans="1:11">
      <c r="A69">
        <v>141</v>
      </c>
      <c r="K69" t="str">
        <f t="shared" si="0"/>
        <v xml:space="preserve">141          </v>
      </c>
    </row>
    <row r="70" spans="1:11">
      <c r="A70">
        <v>0</v>
      </c>
      <c r="B70">
        <v>0.10860564557583165</v>
      </c>
      <c r="C70">
        <v>0.1496344450155902</v>
      </c>
      <c r="D70">
        <v>0.19066324445534882</v>
      </c>
      <c r="E70">
        <v>0.22445166752338533</v>
      </c>
      <c r="F70">
        <v>-6.0336469764350899E-2</v>
      </c>
      <c r="G70">
        <v>-6.0336469764350899E-2</v>
      </c>
      <c r="H70">
        <v>-6.0336469764350899E-2</v>
      </c>
      <c r="I70">
        <v>-6.0336469764350899E-2</v>
      </c>
      <c r="K70" t="str">
        <f t="shared" si="0"/>
        <v xml:space="preserve">0  0.108605645575832  0.14963444501559  0.190663244455349  0.224451667523385  </v>
      </c>
    </row>
    <row r="71" spans="1:11">
      <c r="A71">
        <v>0</v>
      </c>
      <c r="B71">
        <v>2.7151411393957913E-3</v>
      </c>
      <c r="C71">
        <v>3.7408611253897553E-3</v>
      </c>
      <c r="D71">
        <v>4.7665811113837206E-3</v>
      </c>
      <c r="E71">
        <v>5.6112916880846336E-3</v>
      </c>
      <c r="F71">
        <v>-1.5084117441087725E-3</v>
      </c>
      <c r="G71">
        <v>-1.5084117441087725E-3</v>
      </c>
      <c r="H71">
        <v>-1.5084117441087725E-3</v>
      </c>
      <c r="I71">
        <v>-1.5084117441087725E-3</v>
      </c>
      <c r="K71" t="str">
        <f t="shared" si="0"/>
        <v xml:space="preserve">0  0.00271514113939579  0.00374086112538976  0.00476658111138372  0.00561129168808463  </v>
      </c>
    </row>
    <row r="72" spans="1:11">
      <c r="A72">
        <v>147</v>
      </c>
      <c r="K72" t="str">
        <f t="shared" si="0"/>
        <v xml:space="preserve">147          </v>
      </c>
    </row>
    <row r="73" spans="1:11">
      <c r="A73">
        <v>0</v>
      </c>
      <c r="B73">
        <v>0.17087376696982429</v>
      </c>
      <c r="C73">
        <v>0.15719876445985548</v>
      </c>
      <c r="D73">
        <v>0.18474575480250069</v>
      </c>
      <c r="E73">
        <v>0.21420375860050453</v>
      </c>
      <c r="F73">
        <v>0.17087376696982429</v>
      </c>
      <c r="G73">
        <v>0.17087376696982429</v>
      </c>
      <c r="H73">
        <v>0.17087376696982429</v>
      </c>
      <c r="I73">
        <v>0.17087376696982429</v>
      </c>
      <c r="K73" t="str">
        <f t="shared" si="0"/>
        <v xml:space="preserve">0  0.170873766969824  0.157198764459855  0.184745754802501  0.214203758600505  </v>
      </c>
    </row>
    <row r="74" spans="1:11">
      <c r="A74">
        <v>0</v>
      </c>
      <c r="B74">
        <v>4.271844174245607E-3</v>
      </c>
      <c r="C74">
        <v>3.9299691114963869E-3</v>
      </c>
      <c r="D74">
        <v>4.6186438700625172E-3</v>
      </c>
      <c r="E74">
        <v>5.3550939650126132E-3</v>
      </c>
      <c r="F74">
        <v>4.271844174245607E-3</v>
      </c>
      <c r="G74">
        <v>4.271844174245607E-3</v>
      </c>
      <c r="H74">
        <v>4.271844174245607E-3</v>
      </c>
      <c r="I74">
        <v>4.271844174245607E-3</v>
      </c>
      <c r="K74" t="str">
        <f t="shared" si="0"/>
        <v xml:space="preserve">0  0.00427184417424561  0.00392996911149639  0.00461864387006252  0.00535509396501261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93"/>
  <sheetViews>
    <sheetView topLeftCell="A36" workbookViewId="0">
      <selection activeCell="C69" sqref="C69"/>
    </sheetView>
  </sheetViews>
  <sheetFormatPr defaultRowHeight="14.25"/>
  <cols>
    <col min="2" max="2" width="10" customWidth="1"/>
  </cols>
  <sheetData>
    <row r="1" spans="2:2">
      <c r="B1" s="11" t="s">
        <v>57</v>
      </c>
    </row>
    <row r="2" spans="2:2">
      <c r="B2" t="s">
        <v>58</v>
      </c>
    </row>
    <row r="3" spans="2:2" ht="15.75">
      <c r="B3" t="s">
        <v>243</v>
      </c>
    </row>
    <row r="4" spans="2:2" ht="15.75">
      <c r="B4" t="s">
        <v>131</v>
      </c>
    </row>
    <row r="5" spans="2:2">
      <c r="B5" t="s">
        <v>87</v>
      </c>
    </row>
    <row r="7" spans="2:2">
      <c r="B7" s="11" t="s">
        <v>59</v>
      </c>
    </row>
    <row r="8" spans="2:2">
      <c r="B8" t="s">
        <v>70</v>
      </c>
    </row>
    <row r="9" spans="2:2">
      <c r="B9" t="s">
        <v>39</v>
      </c>
    </row>
    <row r="10" spans="2:2">
      <c r="B10" t="s">
        <v>71</v>
      </c>
    </row>
    <row r="11" spans="2:2">
      <c r="B11" t="s">
        <v>44</v>
      </c>
    </row>
    <row r="12" spans="2:2">
      <c r="B12" t="s">
        <v>244</v>
      </c>
    </row>
    <row r="13" spans="2:2">
      <c r="B13" t="s">
        <v>245</v>
      </c>
    </row>
    <row r="14" spans="2:2">
      <c r="B14" t="s">
        <v>40</v>
      </c>
    </row>
    <row r="15" spans="2:2">
      <c r="B15" t="s">
        <v>123</v>
      </c>
    </row>
    <row r="16" spans="2:2">
      <c r="B16" t="s">
        <v>41</v>
      </c>
    </row>
    <row r="17" spans="1:17">
      <c r="B17" t="s">
        <v>86</v>
      </c>
    </row>
    <row r="18" spans="1:17">
      <c r="B18" t="s">
        <v>246</v>
      </c>
    </row>
    <row r="19" spans="1:17" ht="16.5">
      <c r="B19" t="s">
        <v>124</v>
      </c>
    </row>
    <row r="20" spans="1:17">
      <c r="B20" t="s">
        <v>42</v>
      </c>
    </row>
    <row r="21" spans="1:17">
      <c r="B21" t="s">
        <v>43</v>
      </c>
    </row>
    <row r="23" spans="1:17" ht="14.65" thickBot="1">
      <c r="B23" s="11" t="s">
        <v>255</v>
      </c>
    </row>
    <row r="24" spans="1:17" ht="14.65" thickBot="1">
      <c r="B24" s="170"/>
      <c r="C24" s="175" t="s">
        <v>258</v>
      </c>
      <c r="D24" s="172"/>
      <c r="E24" s="172"/>
      <c r="F24" s="172"/>
      <c r="G24" s="172"/>
      <c r="H24" s="172"/>
      <c r="I24" s="172"/>
      <c r="J24" s="172"/>
      <c r="K24" s="172"/>
      <c r="L24" s="172"/>
      <c r="M24" s="172"/>
      <c r="N24" s="172"/>
      <c r="O24" s="172"/>
      <c r="P24" s="172"/>
      <c r="Q24" s="173"/>
    </row>
    <row r="25" spans="1:17">
      <c r="A25" t="s">
        <v>254</v>
      </c>
      <c r="B25">
        <v>1</v>
      </c>
      <c r="C25" t="s">
        <v>259</v>
      </c>
    </row>
    <row r="26" spans="1:17" ht="15.75">
      <c r="B26">
        <v>2</v>
      </c>
      <c r="C26" t="s">
        <v>256</v>
      </c>
    </row>
    <row r="27" spans="1:17">
      <c r="B27">
        <v>3</v>
      </c>
      <c r="C27" t="s">
        <v>267</v>
      </c>
    </row>
    <row r="28" spans="1:17">
      <c r="B28">
        <v>4</v>
      </c>
      <c r="C28" t="s">
        <v>248</v>
      </c>
      <c r="F28" s="39"/>
    </row>
    <row r="29" spans="1:17">
      <c r="C29" t="s">
        <v>268</v>
      </c>
    </row>
    <row r="30" spans="1:17">
      <c r="B30">
        <v>5</v>
      </c>
      <c r="C30" t="s">
        <v>270</v>
      </c>
    </row>
    <row r="31" spans="1:17">
      <c r="C31" t="s">
        <v>271</v>
      </c>
    </row>
    <row r="32" spans="1:17" ht="15.75">
      <c r="B32">
        <v>6</v>
      </c>
      <c r="C32" t="s">
        <v>269</v>
      </c>
    </row>
    <row r="33" spans="2:17">
      <c r="B33">
        <v>7</v>
      </c>
      <c r="C33" t="s">
        <v>249</v>
      </c>
    </row>
    <row r="34" spans="2:17">
      <c r="B34">
        <v>8</v>
      </c>
      <c r="C34" t="s">
        <v>250</v>
      </c>
    </row>
    <row r="35" spans="2:17">
      <c r="B35">
        <v>9</v>
      </c>
      <c r="C35" t="s">
        <v>251</v>
      </c>
    </row>
    <row r="36" spans="2:17" ht="14.65" thickBot="1">
      <c r="B36">
        <v>10</v>
      </c>
      <c r="C36" t="s">
        <v>52</v>
      </c>
    </row>
    <row r="37" spans="2:17" ht="14.65" thickBot="1">
      <c r="B37" s="174"/>
      <c r="C37" s="175" t="s">
        <v>257</v>
      </c>
      <c r="D37" s="172"/>
      <c r="E37" s="172"/>
      <c r="F37" s="172"/>
      <c r="G37" s="172"/>
      <c r="H37" s="172"/>
      <c r="I37" s="172"/>
      <c r="J37" s="172"/>
      <c r="K37" s="172"/>
      <c r="L37" s="172"/>
      <c r="M37" s="172"/>
      <c r="N37" s="172"/>
      <c r="O37" s="172"/>
      <c r="P37" s="172"/>
      <c r="Q37" s="173"/>
    </row>
    <row r="38" spans="2:17">
      <c r="B38">
        <v>1</v>
      </c>
      <c r="C38" t="s">
        <v>272</v>
      </c>
    </row>
    <row r="39" spans="2:17">
      <c r="B39">
        <v>2</v>
      </c>
      <c r="C39" t="s">
        <v>273</v>
      </c>
    </row>
    <row r="40" spans="2:17" ht="15.75">
      <c r="B40">
        <v>3</v>
      </c>
      <c r="C40" t="s">
        <v>261</v>
      </c>
    </row>
    <row r="41" spans="2:17" ht="14.65">
      <c r="C41" t="s">
        <v>262</v>
      </c>
    </row>
    <row r="42" spans="2:17">
      <c r="B42">
        <v>4</v>
      </c>
      <c r="C42" t="s">
        <v>260</v>
      </c>
    </row>
    <row r="43" spans="2:17" ht="15.75">
      <c r="B43">
        <v>5</v>
      </c>
      <c r="C43" t="s">
        <v>274</v>
      </c>
    </row>
    <row r="44" spans="2:17" ht="14.65" thickBot="1"/>
    <row r="45" spans="2:17" ht="14.65" thickBot="1">
      <c r="B45" s="174"/>
      <c r="C45" s="171" t="s">
        <v>275</v>
      </c>
      <c r="D45" s="172"/>
      <c r="E45" s="172"/>
      <c r="F45" s="172"/>
      <c r="G45" s="172"/>
      <c r="H45" s="172"/>
      <c r="I45" s="172"/>
      <c r="J45" s="172"/>
      <c r="K45" s="172"/>
      <c r="L45" s="172"/>
      <c r="M45" s="172"/>
      <c r="N45" s="172"/>
      <c r="O45" s="172"/>
      <c r="P45" s="172"/>
      <c r="Q45" s="173"/>
    </row>
    <row r="46" spans="2:17" ht="14.65" thickBot="1">
      <c r="B46" s="177"/>
      <c r="C46" s="171"/>
      <c r="D46" s="172"/>
      <c r="E46" s="172"/>
      <c r="F46" s="172"/>
      <c r="G46" s="172"/>
      <c r="H46" s="172"/>
      <c r="I46" s="172"/>
      <c r="J46" s="172"/>
      <c r="K46" s="172"/>
      <c r="L46" s="172"/>
      <c r="M46" s="172"/>
      <c r="N46" s="172"/>
      <c r="O46" s="172"/>
      <c r="P46" s="172"/>
      <c r="Q46" s="173"/>
    </row>
    <row r="47" spans="2:17" ht="14.65" thickBot="1">
      <c r="B47" s="174"/>
      <c r="C47" s="171" t="s">
        <v>276</v>
      </c>
      <c r="D47" s="172"/>
      <c r="E47" s="172"/>
      <c r="F47" s="172"/>
      <c r="G47" s="172"/>
      <c r="H47" s="172"/>
      <c r="I47" s="172"/>
      <c r="J47" s="172"/>
      <c r="K47" s="172"/>
      <c r="L47" s="172"/>
      <c r="M47" s="172"/>
      <c r="N47" s="172"/>
      <c r="O47" s="172"/>
      <c r="P47" s="172"/>
      <c r="Q47" s="173"/>
    </row>
    <row r="48" spans="2:17">
      <c r="B48" s="176"/>
      <c r="C48" s="136"/>
      <c r="D48" s="39"/>
      <c r="E48" s="39"/>
      <c r="F48" s="39"/>
      <c r="G48" s="39"/>
      <c r="H48" s="39"/>
      <c r="I48" s="39"/>
      <c r="J48" s="39"/>
      <c r="K48" s="39"/>
      <c r="L48" s="39"/>
      <c r="M48" s="39"/>
      <c r="N48" s="39"/>
      <c r="O48" s="39"/>
      <c r="P48" s="39"/>
      <c r="Q48" s="39"/>
    </row>
    <row r="49" spans="2:3">
      <c r="B49" s="11" t="s">
        <v>125</v>
      </c>
      <c r="C49" t="s">
        <v>126</v>
      </c>
    </row>
    <row r="50" spans="2:3">
      <c r="C50" t="s">
        <v>127</v>
      </c>
    </row>
    <row r="51" spans="2:3">
      <c r="C51" t="s">
        <v>128</v>
      </c>
    </row>
    <row r="53" spans="2:3">
      <c r="B53" s="69" t="s">
        <v>132</v>
      </c>
      <c r="C53" t="s">
        <v>133</v>
      </c>
    </row>
    <row r="55" spans="2:3">
      <c r="B55" s="69" t="s">
        <v>145</v>
      </c>
      <c r="C55" t="s">
        <v>277</v>
      </c>
    </row>
    <row r="56" spans="2:3">
      <c r="C56" t="s">
        <v>138</v>
      </c>
    </row>
    <row r="57" spans="2:3">
      <c r="C57" t="s">
        <v>135</v>
      </c>
    </row>
    <row r="58" spans="2:3">
      <c r="C58" t="s">
        <v>136</v>
      </c>
    </row>
    <row r="59" spans="2:3">
      <c r="C59" t="s">
        <v>137</v>
      </c>
    </row>
    <row r="60" spans="2:3">
      <c r="C60" t="s">
        <v>278</v>
      </c>
    </row>
    <row r="61" spans="2:3">
      <c r="C61" t="s">
        <v>139</v>
      </c>
    </row>
    <row r="62" spans="2:3">
      <c r="C62" t="s">
        <v>142</v>
      </c>
    </row>
    <row r="63" spans="2:3">
      <c r="C63" t="s">
        <v>140</v>
      </c>
    </row>
    <row r="64" spans="2:3">
      <c r="C64" t="s">
        <v>141</v>
      </c>
    </row>
    <row r="65" spans="2:4">
      <c r="C65" t="s">
        <v>279</v>
      </c>
    </row>
    <row r="66" spans="2:4">
      <c r="C66" t="s">
        <v>143</v>
      </c>
    </row>
    <row r="67" spans="2:4">
      <c r="C67" s="133" t="s">
        <v>144</v>
      </c>
    </row>
    <row r="68" spans="2:4">
      <c r="C68">
        <v>6</v>
      </c>
    </row>
    <row r="69" spans="2:4">
      <c r="C69" s="133"/>
    </row>
    <row r="71" spans="2:4">
      <c r="B71" s="69" t="s">
        <v>134</v>
      </c>
      <c r="D71" t="s">
        <v>151</v>
      </c>
    </row>
    <row r="83" spans="4:4">
      <c r="D83" t="s">
        <v>152</v>
      </c>
    </row>
    <row r="84" spans="4:4">
      <c r="D84" t="s">
        <v>153</v>
      </c>
    </row>
    <row r="89" spans="4:4">
      <c r="D89" t="s">
        <v>154</v>
      </c>
    </row>
    <row r="90" spans="4:4">
      <c r="D90" t="s">
        <v>155</v>
      </c>
    </row>
    <row r="91" spans="4:4">
      <c r="D91" t="s">
        <v>219</v>
      </c>
    </row>
    <row r="92" spans="4:4">
      <c r="D92" t="s">
        <v>156</v>
      </c>
    </row>
    <row r="93" spans="4:4">
      <c r="D93" t="s">
        <v>157</v>
      </c>
    </row>
  </sheetData>
  <phoneticPr fontId="11" type="noConversion"/>
  <pageMargins left="0.7" right="0.7" top="0.75" bottom="0.75" header="0.3" footer="0.3"/>
  <pageSetup orientation="portrait" horizontalDpi="4294967293" verticalDpi="0" r:id="rId1"/>
  <drawing r:id="rId2"/>
  <legacyDrawing r:id="rId3"/>
  <oleObjects>
    <mc:AlternateContent xmlns:mc="http://schemas.openxmlformats.org/markup-compatibility/2006">
      <mc:Choice Requires="x14">
        <oleObject progId="Word.Document.12" shapeId="1027" r:id="rId4">
          <objectPr defaultSize="0" r:id="rId5">
            <anchor moveWithCells="1" sizeWithCells="1">
              <from>
                <xdr:col>3</xdr:col>
                <xdr:colOff>14288</xdr:colOff>
                <xdr:row>84</xdr:row>
                <xdr:rowOff>80963</xdr:rowOff>
              </from>
              <to>
                <xdr:col>6</xdr:col>
                <xdr:colOff>623888</xdr:colOff>
                <xdr:row>87</xdr:row>
                <xdr:rowOff>138113</xdr:rowOff>
              </to>
            </anchor>
          </objectPr>
        </oleObject>
      </mc:Choice>
      <mc:Fallback>
        <oleObject progId="Word.Document.12" shapeId="1027"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T28"/>
  <sheetViews>
    <sheetView topLeftCell="B1" zoomScale="84" workbookViewId="0">
      <selection activeCell="H10" sqref="H10"/>
    </sheetView>
  </sheetViews>
  <sheetFormatPr defaultRowHeight="14.25"/>
  <cols>
    <col min="1" max="1" width="33.33203125" customWidth="1"/>
    <col min="2" max="2" width="12.06640625" bestFit="1" customWidth="1"/>
    <col min="3" max="3" width="2.6640625" customWidth="1"/>
    <col min="6" max="6" width="17.796875" customWidth="1"/>
    <col min="7" max="7" width="11.265625" customWidth="1"/>
    <col min="8" max="8" width="20.46484375" customWidth="1"/>
    <col min="9" max="9" width="8.73046875" customWidth="1"/>
    <col min="10" max="10" width="22.265625" customWidth="1"/>
    <col min="11" max="11" width="9.1328125" bestFit="1" customWidth="1"/>
    <col min="12" max="12" width="12" bestFit="1" customWidth="1"/>
    <col min="13" max="13" width="13.796875" customWidth="1"/>
    <col min="14" max="14" width="14.86328125" customWidth="1"/>
    <col min="15" max="17" width="9.1328125" bestFit="1" customWidth="1"/>
    <col min="18" max="19" width="11.73046875" bestFit="1" customWidth="1"/>
  </cols>
  <sheetData>
    <row r="2" spans="1:20" ht="16.5">
      <c r="A2" s="67" t="s">
        <v>120</v>
      </c>
      <c r="B2" s="182" t="s">
        <v>119</v>
      </c>
      <c r="D2" s="192" t="s">
        <v>214</v>
      </c>
      <c r="E2" s="1"/>
      <c r="F2" s="1"/>
      <c r="G2" s="49" t="s">
        <v>119</v>
      </c>
      <c r="H2" t="s">
        <v>253</v>
      </c>
      <c r="J2" s="69" t="s">
        <v>309</v>
      </c>
    </row>
    <row r="3" spans="1:20" ht="15.75">
      <c r="A3" s="67" t="s">
        <v>8</v>
      </c>
      <c r="B3" s="182">
        <v>685</v>
      </c>
      <c r="D3" s="192" t="s">
        <v>215</v>
      </c>
      <c r="E3" s="1"/>
      <c r="F3" s="1"/>
      <c r="G3" s="193">
        <f>N13</f>
        <v>9.9583604155680655E-5</v>
      </c>
      <c r="H3" t="s">
        <v>297</v>
      </c>
      <c r="J3" s="146" t="s">
        <v>225</v>
      </c>
      <c r="K3" s="139" t="s">
        <v>226</v>
      </c>
      <c r="L3" s="139"/>
      <c r="M3" s="139"/>
      <c r="O3" s="139"/>
      <c r="P3" s="139"/>
    </row>
    <row r="4" spans="1:20" ht="14.65">
      <c r="A4" s="67" t="s">
        <v>9</v>
      </c>
      <c r="B4" s="56">
        <f>Lamnm/10000000</f>
        <v>6.8499999999999998E-5</v>
      </c>
      <c r="D4" s="192" t="s">
        <v>218</v>
      </c>
      <c r="E4" s="1"/>
      <c r="F4" s="1"/>
      <c r="G4" s="49">
        <v>0.03</v>
      </c>
      <c r="H4" t="s">
        <v>216</v>
      </c>
      <c r="I4" s="139"/>
      <c r="J4" s="139"/>
      <c r="K4" s="145" t="s">
        <v>222</v>
      </c>
      <c r="L4" s="139"/>
      <c r="M4" s="139"/>
      <c r="N4" s="139"/>
      <c r="O4" s="139"/>
      <c r="P4" s="139"/>
    </row>
    <row r="5" spans="1:20" ht="14.65">
      <c r="A5" s="67" t="s">
        <v>116</v>
      </c>
      <c r="B5" s="182">
        <v>1.4950000000000001</v>
      </c>
      <c r="D5" s="192" t="s">
        <v>217</v>
      </c>
      <c r="E5" s="1"/>
      <c r="F5" s="1"/>
      <c r="G5" s="49">
        <v>1</v>
      </c>
      <c r="I5" s="139"/>
      <c r="J5" s="139"/>
      <c r="K5" s="145" t="s">
        <v>223</v>
      </c>
      <c r="L5" s="139"/>
      <c r="M5" s="145"/>
      <c r="N5" s="139"/>
      <c r="O5" s="139"/>
      <c r="P5" s="139"/>
    </row>
    <row r="6" spans="1:20" ht="14.65">
      <c r="A6" s="67" t="s">
        <v>117</v>
      </c>
      <c r="B6" s="49">
        <v>1.4950000000000001</v>
      </c>
      <c r="D6" s="140"/>
      <c r="I6" s="139"/>
      <c r="J6" s="139"/>
      <c r="K6" s="145" t="s">
        <v>224</v>
      </c>
      <c r="L6" s="139"/>
      <c r="M6" s="139"/>
      <c r="N6" s="139"/>
      <c r="O6" s="139"/>
      <c r="P6" s="139"/>
    </row>
    <row r="7" spans="1:20">
      <c r="A7" s="67" t="s">
        <v>118</v>
      </c>
      <c r="B7" s="182">
        <v>1</v>
      </c>
    </row>
    <row r="8" spans="1:20" ht="16.149999999999999">
      <c r="A8" s="67" t="s">
        <v>121</v>
      </c>
      <c r="B8" s="183">
        <v>1</v>
      </c>
      <c r="C8" s="184" t="s">
        <v>290</v>
      </c>
      <c r="D8" s="185" t="s">
        <v>238</v>
      </c>
      <c r="E8" s="184"/>
      <c r="F8" s="184"/>
      <c r="G8" s="184"/>
      <c r="J8" s="69" t="s">
        <v>310</v>
      </c>
      <c r="K8" s="69"/>
      <c r="L8" s="69"/>
      <c r="M8" s="69"/>
      <c r="N8" s="69"/>
      <c r="O8" s="69"/>
    </row>
    <row r="9" spans="1:20">
      <c r="A9" s="67" t="s">
        <v>122</v>
      </c>
      <c r="B9" s="49">
        <v>0.11</v>
      </c>
      <c r="J9" s="69" t="s">
        <v>298</v>
      </c>
      <c r="K9" s="69"/>
      <c r="L9" s="69"/>
      <c r="M9" s="69"/>
      <c r="N9" s="69"/>
      <c r="O9" s="69"/>
    </row>
    <row r="10" spans="1:20" ht="15.75">
      <c r="A10" s="191" t="s">
        <v>311</v>
      </c>
      <c r="B10" s="134">
        <f>4*PI()^2*Refin^2*dndc^2/(6.022E+23*(Lamnm/10000000)^4)</f>
        <v>8.0523835916103452E-8</v>
      </c>
      <c r="J10" s="69" t="s">
        <v>299</v>
      </c>
      <c r="N10" s="69" t="s">
        <v>300</v>
      </c>
    </row>
    <row r="11" spans="1:20" ht="21.4">
      <c r="J11" s="190" t="s">
        <v>305</v>
      </c>
      <c r="K11" s="69" t="s">
        <v>306</v>
      </c>
      <c r="L11" s="69"/>
      <c r="M11" s="69"/>
      <c r="N11" s="190" t="s">
        <v>307</v>
      </c>
      <c r="O11" s="69"/>
      <c r="P11" s="69" t="s">
        <v>308</v>
      </c>
      <c r="Q11" s="69"/>
    </row>
    <row r="12" spans="1:20" ht="16.5">
      <c r="J12" s="150" t="s">
        <v>252</v>
      </c>
      <c r="K12" s="144" t="s">
        <v>221</v>
      </c>
      <c r="N12" t="s">
        <v>227</v>
      </c>
      <c r="S12" t="s">
        <v>240</v>
      </c>
    </row>
    <row r="13" spans="1:20" ht="16.5">
      <c r="J13">
        <v>685</v>
      </c>
      <c r="K13" s="142">
        <f>4900000/(J13)^4.17</f>
        <v>7.334430487942811E-6</v>
      </c>
      <c r="L13" t="s">
        <v>220</v>
      </c>
      <c r="N13" s="142">
        <f>66530000/J13^4.17</f>
        <v>9.9583604155680655E-5</v>
      </c>
      <c r="O13" t="s">
        <v>231</v>
      </c>
      <c r="P13" t="s">
        <v>232</v>
      </c>
      <c r="Q13" t="s">
        <v>233</v>
      </c>
      <c r="R13" t="s">
        <v>234</v>
      </c>
      <c r="S13" t="s">
        <v>235</v>
      </c>
    </row>
    <row r="14" spans="1:20">
      <c r="J14">
        <v>632.79999999999995</v>
      </c>
      <c r="K14" s="142">
        <f>4900000/(J14)^4.17</f>
        <v>1.0207394457268623E-5</v>
      </c>
      <c r="N14" s="142">
        <f t="shared" ref="N14:N17" si="0">66530000/J14^4.17</f>
        <v>1.3859141902899621E-4</v>
      </c>
      <c r="O14">
        <v>2.1616591239999998</v>
      </c>
      <c r="P14">
        <v>4.9518800000000003E-4</v>
      </c>
      <c r="Q14">
        <v>2.1381790000000001E-2</v>
      </c>
      <c r="R14">
        <v>5.8838000000000001E-5</v>
      </c>
      <c r="S14">
        <v>8.7632000000000004E-5</v>
      </c>
      <c r="T14" s="148"/>
    </row>
    <row r="15" spans="1:20" ht="15.75">
      <c r="J15">
        <v>532</v>
      </c>
      <c r="K15" s="142">
        <f t="shared" ref="K15:K17" si="1">4900000/(J15)^4.17</f>
        <v>2.104478888325769E-5</v>
      </c>
      <c r="N15" s="142">
        <f t="shared" si="0"/>
        <v>2.8573669477614984E-4</v>
      </c>
      <c r="O15" s="147" t="s">
        <v>228</v>
      </c>
    </row>
    <row r="16" spans="1:20">
      <c r="J16">
        <v>514.5</v>
      </c>
      <c r="K16" s="142">
        <f t="shared" si="1"/>
        <v>2.4194633576923557E-5</v>
      </c>
      <c r="N16" s="142">
        <f t="shared" si="0"/>
        <v>3.2850387181076004E-4</v>
      </c>
      <c r="O16" t="s">
        <v>229</v>
      </c>
      <c r="R16" s="148" t="s">
        <v>230</v>
      </c>
    </row>
    <row r="17" spans="10:15">
      <c r="J17">
        <v>488</v>
      </c>
      <c r="K17" s="142">
        <f t="shared" si="1"/>
        <v>3.0163756224498893E-5</v>
      </c>
      <c r="N17" s="142">
        <f t="shared" si="0"/>
        <v>4.0954993910528805E-4</v>
      </c>
      <c r="O17" t="s">
        <v>304</v>
      </c>
    </row>
    <row r="18" spans="10:15">
      <c r="J18" s="141" t="s">
        <v>239</v>
      </c>
    </row>
    <row r="19" spans="10:15" ht="15.75">
      <c r="J19" t="s">
        <v>301</v>
      </c>
    </row>
    <row r="21" spans="10:15">
      <c r="J21" t="s">
        <v>242</v>
      </c>
    </row>
    <row r="22" spans="10:15">
      <c r="J22" t="s">
        <v>302</v>
      </c>
    </row>
    <row r="23" spans="10:15">
      <c r="M23" s="147" t="s">
        <v>236</v>
      </c>
      <c r="N23" s="189">
        <f>(633/488)^4</f>
        <v>2.8309718572661389</v>
      </c>
    </row>
    <row r="24" spans="10:15">
      <c r="K24" s="46"/>
      <c r="L24" s="46"/>
      <c r="M24" s="147" t="s">
        <v>237</v>
      </c>
      <c r="N24" s="189">
        <f>(633/488)^4.17</f>
        <v>2.9589853367577508</v>
      </c>
    </row>
    <row r="25" spans="10:15">
      <c r="M25" t="s">
        <v>303</v>
      </c>
      <c r="N25" s="149">
        <f>100*(N24-N23)/N24</f>
        <v>4.3262627192292928</v>
      </c>
      <c r="O25" t="s">
        <v>241</v>
      </c>
    </row>
    <row r="27" spans="10:15">
      <c r="N27" s="143"/>
    </row>
    <row r="28" spans="10:15">
      <c r="N28" s="143"/>
    </row>
  </sheetData>
  <phoneticPr fontId="11" type="noConversion"/>
  <pageMargins left="0.7" right="0.7" top="0.75" bottom="0.75" header="0.3" footer="0.3"/>
  <pageSetup orientation="portrait" horizontalDpi="4294967293" verticalDpi="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B7315-58B4-4EF6-A556-D81894BFE3BF}">
  <dimension ref="A1:K29"/>
  <sheetViews>
    <sheetView topLeftCell="A19" zoomScale="115" zoomScaleNormal="115" workbookViewId="0">
      <selection activeCell="E34" sqref="E34"/>
    </sheetView>
  </sheetViews>
  <sheetFormatPr defaultRowHeight="14.25"/>
  <cols>
    <col min="1" max="1" width="22.73046875" customWidth="1"/>
    <col min="2" max="2" width="9.06640625" customWidth="1"/>
    <col min="3" max="3" width="16.6640625" customWidth="1"/>
  </cols>
  <sheetData>
    <row r="1" spans="1:11">
      <c r="A1" s="221" t="s">
        <v>344</v>
      </c>
      <c r="B1" s="134"/>
      <c r="C1" s="134"/>
      <c r="D1" s="134"/>
      <c r="E1" s="134"/>
      <c r="F1" s="134"/>
      <c r="G1" s="134"/>
      <c r="H1" s="134"/>
      <c r="I1" s="134"/>
      <c r="J1" s="134"/>
      <c r="K1" s="134"/>
    </row>
    <row r="2" spans="1:11">
      <c r="A2" s="219" t="s">
        <v>326</v>
      </c>
      <c r="B2" s="217" t="s">
        <v>324</v>
      </c>
      <c r="C2" s="217"/>
      <c r="D2" s="217"/>
      <c r="E2" s="217"/>
      <c r="F2" s="217"/>
      <c r="G2" s="217"/>
      <c r="H2" s="217"/>
      <c r="I2" s="217"/>
      <c r="J2" s="217"/>
      <c r="K2" s="217"/>
    </row>
    <row r="3" spans="1:11">
      <c r="A3" s="219" t="s">
        <v>327</v>
      </c>
      <c r="B3" s="217" t="s">
        <v>119</v>
      </c>
      <c r="C3" s="217"/>
      <c r="D3" s="217"/>
      <c r="E3" s="217"/>
      <c r="F3" s="217"/>
      <c r="G3" s="217"/>
      <c r="H3" s="217"/>
      <c r="I3" s="217"/>
      <c r="J3" s="217"/>
      <c r="K3" s="217"/>
    </row>
    <row r="4" spans="1:11">
      <c r="A4" s="219" t="s">
        <v>328</v>
      </c>
      <c r="B4" s="217" t="s">
        <v>325</v>
      </c>
      <c r="C4" s="217"/>
      <c r="D4" s="217"/>
      <c r="E4" s="217"/>
      <c r="F4" s="217"/>
      <c r="G4" s="217"/>
      <c r="H4" s="217"/>
      <c r="I4" s="217"/>
      <c r="J4" s="217"/>
      <c r="K4" s="217"/>
    </row>
    <row r="5" spans="1:11">
      <c r="A5" s="219" t="s">
        <v>329</v>
      </c>
      <c r="B5" s="217">
        <v>0.91800000000000004</v>
      </c>
      <c r="C5" s="217" t="s">
        <v>293</v>
      </c>
      <c r="D5" s="217"/>
      <c r="E5" s="217"/>
      <c r="F5" s="217"/>
      <c r="G5" s="217"/>
      <c r="H5" s="217"/>
      <c r="I5" s="217"/>
      <c r="J5" s="217"/>
      <c r="K5" s="217"/>
    </row>
    <row r="6" spans="1:11">
      <c r="A6" s="219" t="s">
        <v>337</v>
      </c>
      <c r="B6" s="217" t="s">
        <v>332</v>
      </c>
      <c r="C6" s="217"/>
      <c r="D6" s="217"/>
      <c r="E6" s="217"/>
      <c r="F6" s="217"/>
      <c r="G6" s="217"/>
      <c r="H6" s="217"/>
      <c r="I6" s="217"/>
      <c r="J6" s="217"/>
      <c r="K6" s="217"/>
    </row>
    <row r="7" spans="1:11">
      <c r="A7" s="219" t="s">
        <v>336</v>
      </c>
      <c r="B7" s="217">
        <v>0.86</v>
      </c>
      <c r="C7" s="217" t="s">
        <v>293</v>
      </c>
      <c r="D7" s="217"/>
      <c r="E7" s="217"/>
      <c r="F7" s="217"/>
      <c r="G7" s="217"/>
      <c r="H7" s="217"/>
      <c r="I7" s="217"/>
      <c r="J7" s="217"/>
      <c r="K7" s="217"/>
    </row>
    <row r="8" spans="1:11">
      <c r="A8" s="219" t="s">
        <v>338</v>
      </c>
      <c r="B8" s="217" t="s">
        <v>332</v>
      </c>
      <c r="C8" s="217"/>
      <c r="D8" s="217"/>
      <c r="E8" s="217"/>
      <c r="F8" s="217"/>
      <c r="G8" s="217"/>
      <c r="H8" s="217"/>
      <c r="I8" s="217"/>
      <c r="J8" s="217"/>
      <c r="K8" s="217"/>
    </row>
    <row r="9" spans="1:11" ht="15.75">
      <c r="A9" s="219" t="s">
        <v>339</v>
      </c>
      <c r="B9" s="217">
        <v>25</v>
      </c>
      <c r="C9" s="217" t="s">
        <v>340</v>
      </c>
      <c r="D9" s="217"/>
      <c r="E9" s="217"/>
      <c r="F9" s="217"/>
      <c r="G9" s="217"/>
      <c r="H9" s="217"/>
      <c r="I9" s="217"/>
      <c r="J9" s="217"/>
      <c r="K9" s="217"/>
    </row>
    <row r="10" spans="1:11">
      <c r="A10" s="69"/>
      <c r="C10" s="69" t="s">
        <v>333</v>
      </c>
      <c r="D10" s="69" t="s">
        <v>319</v>
      </c>
      <c r="E10" s="69" t="s">
        <v>183</v>
      </c>
      <c r="F10" s="69" t="s">
        <v>184</v>
      </c>
      <c r="G10" s="69" t="s">
        <v>185</v>
      </c>
      <c r="H10" s="69" t="s">
        <v>186</v>
      </c>
      <c r="I10" s="69" t="s">
        <v>187</v>
      </c>
      <c r="J10" s="69" t="s">
        <v>188</v>
      </c>
      <c r="K10" s="69" t="s">
        <v>189</v>
      </c>
    </row>
    <row r="11" spans="1:11">
      <c r="A11" s="69"/>
      <c r="C11" s="69" t="s">
        <v>330</v>
      </c>
      <c r="D11">
        <v>1</v>
      </c>
      <c r="E11">
        <v>2</v>
      </c>
      <c r="F11">
        <v>3</v>
      </c>
      <c r="G11">
        <v>4</v>
      </c>
      <c r="H11">
        <v>0</v>
      </c>
      <c r="I11">
        <v>0</v>
      </c>
      <c r="J11">
        <v>0</v>
      </c>
      <c r="K11">
        <v>0</v>
      </c>
    </row>
    <row r="12" spans="1:11">
      <c r="A12" s="69"/>
      <c r="C12" s="69" t="s">
        <v>331</v>
      </c>
      <c r="D12">
        <v>10</v>
      </c>
      <c r="E12">
        <v>10</v>
      </c>
      <c r="F12">
        <v>10</v>
      </c>
      <c r="G12">
        <v>10</v>
      </c>
      <c r="H12">
        <v>10</v>
      </c>
      <c r="I12">
        <v>10</v>
      </c>
      <c r="J12">
        <v>10</v>
      </c>
      <c r="K12">
        <v>10</v>
      </c>
    </row>
    <row r="13" spans="1:11">
      <c r="A13" s="69"/>
      <c r="C13" s="69"/>
    </row>
    <row r="14" spans="1:11">
      <c r="A14" s="69"/>
      <c r="C14" s="69" t="s">
        <v>320</v>
      </c>
      <c r="D14">
        <v>12.9162</v>
      </c>
      <c r="E14">
        <v>12.8436</v>
      </c>
      <c r="F14">
        <v>13.0953</v>
      </c>
      <c r="G14">
        <v>13.0998</v>
      </c>
      <c r="H14">
        <v>0</v>
      </c>
      <c r="I14">
        <v>0</v>
      </c>
      <c r="J14">
        <v>0</v>
      </c>
      <c r="K14">
        <v>0</v>
      </c>
    </row>
    <row r="15" spans="1:11">
      <c r="A15" s="69"/>
      <c r="C15" s="220" t="s">
        <v>321</v>
      </c>
      <c r="D15">
        <v>12.949199999999999</v>
      </c>
      <c r="E15">
        <v>12.902900000000001</v>
      </c>
      <c r="F15">
        <v>13.184799999999999</v>
      </c>
      <c r="G15">
        <v>13.2256</v>
      </c>
      <c r="H15">
        <v>0</v>
      </c>
      <c r="I15">
        <v>0</v>
      </c>
      <c r="J15">
        <v>0</v>
      </c>
      <c r="K15">
        <v>0</v>
      </c>
    </row>
    <row r="16" spans="1:11">
      <c r="A16" s="69"/>
      <c r="C16" s="69" t="s">
        <v>322</v>
      </c>
      <c r="D16">
        <v>23.834199999999999</v>
      </c>
      <c r="E16">
        <v>23.419599999999999</v>
      </c>
      <c r="F16">
        <v>22.528600000000001</v>
      </c>
      <c r="G16">
        <v>23.6966</v>
      </c>
      <c r="H16">
        <v>0</v>
      </c>
      <c r="I16">
        <v>0</v>
      </c>
      <c r="J16">
        <v>0</v>
      </c>
      <c r="K16">
        <v>0</v>
      </c>
    </row>
    <row r="17" spans="1:11">
      <c r="A17" s="69"/>
      <c r="C17" s="69" t="s">
        <v>334</v>
      </c>
      <c r="D17">
        <f>D15-D14</f>
        <v>3.2999999999999474E-2</v>
      </c>
      <c r="E17">
        <f t="shared" ref="E17:K17" si="0">E15-E14</f>
        <v>5.9300000000000352E-2</v>
      </c>
      <c r="F17">
        <f t="shared" si="0"/>
        <v>8.9499999999999247E-2</v>
      </c>
      <c r="G17">
        <f t="shared" si="0"/>
        <v>0.12579999999999991</v>
      </c>
      <c r="H17">
        <f t="shared" si="0"/>
        <v>0</v>
      </c>
      <c r="I17">
        <f t="shared" si="0"/>
        <v>0</v>
      </c>
      <c r="J17">
        <f t="shared" si="0"/>
        <v>0</v>
      </c>
      <c r="K17">
        <f t="shared" si="0"/>
        <v>0</v>
      </c>
    </row>
    <row r="18" spans="1:11">
      <c r="A18" s="69"/>
      <c r="C18" s="69" t="s">
        <v>335</v>
      </c>
      <c r="D18">
        <f>D16-D15</f>
        <v>10.885</v>
      </c>
      <c r="E18">
        <f t="shared" ref="E18:K18" si="1">E16-E15</f>
        <v>10.516699999999998</v>
      </c>
      <c r="F18">
        <f t="shared" si="1"/>
        <v>9.3438000000000017</v>
      </c>
      <c r="G18">
        <f t="shared" si="1"/>
        <v>10.471</v>
      </c>
      <c r="H18">
        <f t="shared" si="1"/>
        <v>0</v>
      </c>
      <c r="I18">
        <f t="shared" si="1"/>
        <v>0</v>
      </c>
      <c r="J18">
        <f t="shared" si="1"/>
        <v>0</v>
      </c>
      <c r="K18">
        <f t="shared" si="1"/>
        <v>0</v>
      </c>
    </row>
    <row r="19" spans="1:11" ht="15.75">
      <c r="A19" s="69"/>
      <c r="C19" s="69" t="s">
        <v>341</v>
      </c>
      <c r="D19" s="39">
        <f t="shared" ref="D19:K19" si="2">D17/(D17*v2bar+D18/Dens1)</f>
        <v>2.6010322208282468E-3</v>
      </c>
      <c r="E19" s="39">
        <f t="shared" si="2"/>
        <v>4.8277485648007294E-3</v>
      </c>
      <c r="F19" s="39">
        <f t="shared" si="2"/>
        <v>8.1757225152172316E-3</v>
      </c>
      <c r="G19" s="39">
        <f t="shared" si="2"/>
        <v>1.0235076607238155E-2</v>
      </c>
      <c r="H19" s="39" t="e">
        <f t="shared" si="2"/>
        <v>#DIV/0!</v>
      </c>
      <c r="I19" s="39" t="e">
        <f t="shared" si="2"/>
        <v>#DIV/0!</v>
      </c>
      <c r="J19" s="39" t="e">
        <f t="shared" si="2"/>
        <v>#DIV/0!</v>
      </c>
      <c r="K19" s="39" t="e">
        <f t="shared" si="2"/>
        <v>#DIV/0!</v>
      </c>
    </row>
    <row r="20" spans="1:11">
      <c r="A20" s="218" t="s">
        <v>342</v>
      </c>
      <c r="C20" s="217" t="s">
        <v>343</v>
      </c>
      <c r="D20" s="217"/>
      <c r="E20" s="217"/>
      <c r="F20" s="217"/>
      <c r="G20" s="217"/>
      <c r="H20" s="217"/>
      <c r="I20" s="217"/>
      <c r="J20" s="217"/>
      <c r="K20" s="217"/>
    </row>
    <row r="21" spans="1:11">
      <c r="A21" s="218"/>
      <c r="C21" s="217" t="s">
        <v>323</v>
      </c>
      <c r="D21" s="217"/>
      <c r="E21" s="217"/>
      <c r="F21" s="217"/>
      <c r="G21" s="217"/>
      <c r="H21" s="217"/>
      <c r="I21" s="217"/>
      <c r="J21" s="217"/>
      <c r="K21" s="217"/>
    </row>
    <row r="22" spans="1:11">
      <c r="A22" s="218"/>
      <c r="C22" s="217"/>
      <c r="D22" s="217"/>
      <c r="E22" s="217"/>
      <c r="F22" s="217"/>
      <c r="G22" s="217"/>
      <c r="H22" s="217"/>
      <c r="I22" s="217"/>
      <c r="J22" s="217"/>
      <c r="K22" s="217"/>
    </row>
    <row r="23" spans="1:11">
      <c r="A23" s="218"/>
      <c r="C23" s="217"/>
      <c r="D23" s="217"/>
      <c r="E23" s="217"/>
      <c r="F23" s="217"/>
      <c r="G23" s="217"/>
      <c r="H23" s="217"/>
      <c r="I23" s="217"/>
      <c r="J23" s="217"/>
      <c r="K23" s="217"/>
    </row>
    <row r="24" spans="1:11">
      <c r="A24" s="69"/>
    </row>
    <row r="25" spans="1:11">
      <c r="A25" s="218" t="s">
        <v>345</v>
      </c>
      <c r="B25" s="134"/>
      <c r="C25" s="134"/>
      <c r="D25" s="134"/>
      <c r="E25" s="134"/>
      <c r="F25" s="134"/>
    </row>
    <row r="26" spans="1:11">
      <c r="C26" s="217" t="s">
        <v>347</v>
      </c>
      <c r="D26" s="217"/>
      <c r="E26" s="217"/>
      <c r="F26" s="217"/>
      <c r="G26" s="217"/>
      <c r="H26" s="217"/>
      <c r="I26" s="217"/>
      <c r="J26" s="217"/>
      <c r="K26" s="217"/>
    </row>
    <row r="27" spans="1:11">
      <c r="A27" s="69"/>
      <c r="C27" s="217"/>
      <c r="D27" s="217"/>
      <c r="E27" s="217"/>
      <c r="F27" s="217"/>
      <c r="G27" s="217"/>
      <c r="H27" s="217"/>
      <c r="I27" s="217"/>
      <c r="J27" s="217"/>
      <c r="K27" s="217"/>
    </row>
    <row r="28" spans="1:11" ht="16.5">
      <c r="A28" s="69"/>
      <c r="C28" s="69" t="s">
        <v>346</v>
      </c>
      <c r="D28">
        <f>D19</f>
        <v>2.6010322208282468E-3</v>
      </c>
      <c r="E28">
        <f t="shared" ref="E28:K28" si="3">E19</f>
        <v>4.8277485648007294E-3</v>
      </c>
      <c r="F28">
        <f t="shared" si="3"/>
        <v>8.1757225152172316E-3</v>
      </c>
      <c r="G28">
        <f t="shared" si="3"/>
        <v>1.0235076607238155E-2</v>
      </c>
      <c r="H28" t="e">
        <f t="shared" si="3"/>
        <v>#DIV/0!</v>
      </c>
      <c r="I28" t="e">
        <f t="shared" si="3"/>
        <v>#DIV/0!</v>
      </c>
      <c r="J28" t="e">
        <f t="shared" si="3"/>
        <v>#DIV/0!</v>
      </c>
      <c r="K28" t="e">
        <f t="shared" si="3"/>
        <v>#DIV/0!</v>
      </c>
    </row>
    <row r="29" spans="1:11">
      <c r="A29" s="69"/>
    </row>
  </sheetData>
  <hyperlinks>
    <hyperlink ref="B6" r:id="rId1" xr:uid="{7FE424C4-1025-4234-B30F-C3FB858C98DA}"/>
    <hyperlink ref="B8" r:id="rId2" xr:uid="{393D1177-92C8-4BA5-8E1A-0AB72D50BF0F}"/>
  </hyperlinks>
  <pageMargins left="0.7" right="0.7" top="0.75" bottom="0.75" header="0.3" footer="0.3"/>
  <pageSetup orientation="portrait" horizontalDpi="4294967293" verticalDpi="0"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Z32"/>
  <sheetViews>
    <sheetView zoomScale="64" zoomScaleNormal="100" workbookViewId="0">
      <selection activeCell="U28" sqref="U28"/>
    </sheetView>
  </sheetViews>
  <sheetFormatPr defaultRowHeight="14.25"/>
  <cols>
    <col min="2" max="2" width="13.73046875" customWidth="1"/>
    <col min="3" max="3" width="8.86328125" customWidth="1"/>
    <col min="4" max="4" width="8.59765625" customWidth="1"/>
    <col min="5" max="5" width="13.796875" customWidth="1"/>
    <col min="6" max="6" width="2.46484375" customWidth="1"/>
    <col min="7" max="7" width="12.3984375" customWidth="1"/>
    <col min="8" max="8" width="13.265625" customWidth="1"/>
    <col min="9" max="9" width="14.59765625" customWidth="1"/>
    <col min="10" max="10" width="4" customWidth="1"/>
    <col min="11" max="11" width="12.73046875" customWidth="1"/>
    <col min="12" max="12" width="16.86328125" customWidth="1"/>
    <col min="13" max="13" width="7.86328125" customWidth="1"/>
    <col min="14" max="14" width="10.265625" customWidth="1"/>
    <col min="15" max="15" width="12.1328125" customWidth="1"/>
    <col min="16" max="16" width="0.86328125" customWidth="1"/>
    <col min="17" max="17" width="12.3984375" customWidth="1"/>
    <col min="19" max="19" width="0.73046875" customWidth="1"/>
    <col min="20" max="20" width="13.265625" customWidth="1"/>
    <col min="21" max="21" width="11.3984375" customWidth="1"/>
    <col min="23" max="23" width="9.06640625" customWidth="1"/>
    <col min="25" max="25" width="15" customWidth="1"/>
  </cols>
  <sheetData>
    <row r="1" spans="2:26" ht="14.65" thickBot="1"/>
    <row r="2" spans="2:26" ht="14.65" thickBot="1">
      <c r="B2" s="6" t="s">
        <v>24</v>
      </c>
      <c r="C2" s="6"/>
      <c r="D2" s="57"/>
      <c r="E2" s="127" t="s">
        <v>88</v>
      </c>
    </row>
    <row r="3" spans="2:26" ht="14.65" thickBot="1">
      <c r="B3" s="6" t="s">
        <v>18</v>
      </c>
      <c r="C3" s="6"/>
      <c r="D3" s="57"/>
      <c r="E3" s="127" t="s">
        <v>130</v>
      </c>
      <c r="H3" s="11"/>
      <c r="I3" s="11"/>
    </row>
    <row r="4" spans="2:26" ht="14.65" thickBot="1">
      <c r="B4" s="6" t="s">
        <v>55</v>
      </c>
      <c r="C4" s="1"/>
      <c r="D4" s="39"/>
      <c r="E4" s="45" t="s">
        <v>25</v>
      </c>
      <c r="F4" s="12"/>
      <c r="I4" s="11"/>
      <c r="J4" s="11"/>
    </row>
    <row r="5" spans="2:26" ht="15" thickBot="1">
      <c r="B5" s="6" t="s">
        <v>17</v>
      </c>
      <c r="C5" s="7" t="s">
        <v>16</v>
      </c>
      <c r="D5" s="7"/>
      <c r="E5" s="1"/>
      <c r="F5" s="11"/>
    </row>
    <row r="6" spans="2:26" ht="14.65" thickBot="1">
      <c r="B6" s="1"/>
      <c r="C6" s="5" t="s">
        <v>5</v>
      </c>
      <c r="D6" s="58"/>
      <c r="E6" s="17" t="s">
        <v>6</v>
      </c>
      <c r="F6" s="129" t="s">
        <v>7</v>
      </c>
      <c r="G6" s="43">
        <v>1.4999999999999999E-2</v>
      </c>
      <c r="H6" s="14"/>
      <c r="I6" s="1" t="s">
        <v>56</v>
      </c>
      <c r="J6" s="1"/>
    </row>
    <row r="7" spans="2:26" ht="16.149999999999999" thickBot="1">
      <c r="B7" s="1"/>
      <c r="C7" s="5" t="s">
        <v>10</v>
      </c>
      <c r="D7" s="5"/>
      <c r="E7" s="1"/>
      <c r="F7" s="18"/>
      <c r="G7" s="44">
        <v>4.9800000000000004</v>
      </c>
      <c r="H7" s="14"/>
      <c r="I7" s="1" t="s">
        <v>21</v>
      </c>
      <c r="J7" s="13"/>
      <c r="K7" s="129">
        <v>4.76</v>
      </c>
      <c r="L7" s="14" t="s">
        <v>19</v>
      </c>
    </row>
    <row r="8" spans="2:26" ht="15.75">
      <c r="B8" s="1"/>
      <c r="C8" s="5" t="s">
        <v>11</v>
      </c>
      <c r="D8" s="5"/>
      <c r="E8" s="1"/>
      <c r="F8" s="13"/>
      <c r="G8" s="44">
        <v>14.99</v>
      </c>
      <c r="H8" s="14"/>
      <c r="I8" s="1" t="s">
        <v>22</v>
      </c>
      <c r="J8" s="1"/>
      <c r="K8" s="128">
        <f>K7*SQRT(3/5)</f>
        <v>3.6870801455894608</v>
      </c>
      <c r="L8" s="1" t="s">
        <v>19</v>
      </c>
    </row>
    <row r="9" spans="2:26" ht="15.75">
      <c r="B9" s="1"/>
      <c r="C9" s="5" t="s">
        <v>12</v>
      </c>
      <c r="D9" s="5"/>
      <c r="E9" s="1"/>
      <c r="F9" s="13"/>
      <c r="G9" s="44">
        <v>-14.8</v>
      </c>
      <c r="H9" s="14"/>
      <c r="I9" s="1" t="s">
        <v>20</v>
      </c>
      <c r="J9" s="1"/>
      <c r="K9" s="10">
        <f>Lamnm/(Refin*NormStandard!K7)</f>
        <v>96.25923948174588</v>
      </c>
      <c r="L9" s="1"/>
    </row>
    <row r="10" spans="2:26" ht="15.75">
      <c r="B10" s="1"/>
      <c r="C10" s="5" t="s">
        <v>13</v>
      </c>
      <c r="D10" s="5"/>
      <c r="E10" s="1"/>
      <c r="F10" s="13"/>
      <c r="G10" s="44">
        <v>79.400000000000006</v>
      </c>
      <c r="H10" s="14"/>
      <c r="I10" s="1" t="s">
        <v>45</v>
      </c>
      <c r="J10" s="1"/>
      <c r="K10" s="9">
        <f>K8*(4*PI()*Refin/Lamnm)*SIN(RADIANS(E32/2))</f>
        <v>9.695719157686139E-2</v>
      </c>
      <c r="L10" s="1"/>
    </row>
    <row r="11" spans="2:26" ht="16.5">
      <c r="B11" s="1"/>
      <c r="C11" s="5" t="s">
        <v>14</v>
      </c>
      <c r="D11" s="5"/>
      <c r="E11" s="33"/>
      <c r="F11" s="13"/>
      <c r="G11" s="44">
        <v>4.92</v>
      </c>
      <c r="I11" s="1" t="s">
        <v>46</v>
      </c>
      <c r="J11" s="1"/>
      <c r="K11" s="8">
        <f>1-K10^2/3</f>
        <v>0.99686643433384259</v>
      </c>
      <c r="L11" s="1"/>
    </row>
    <row r="12" spans="2:26">
      <c r="O12" s="37" t="s">
        <v>47</v>
      </c>
    </row>
    <row r="13" spans="2:26" ht="15" thickBot="1">
      <c r="B13" s="6" t="s">
        <v>17</v>
      </c>
      <c r="C13" s="7" t="s">
        <v>15</v>
      </c>
      <c r="D13" s="7" t="s">
        <v>85</v>
      </c>
      <c r="E13" s="7" t="s">
        <v>36</v>
      </c>
      <c r="F13" s="13"/>
      <c r="G13" s="24" t="s">
        <v>38</v>
      </c>
      <c r="H13" s="15" t="s">
        <v>49</v>
      </c>
      <c r="I13" s="6"/>
      <c r="J13" s="34"/>
      <c r="K13" s="7" t="s">
        <v>107</v>
      </c>
      <c r="L13" s="1"/>
      <c r="M13" s="7" t="s">
        <v>23</v>
      </c>
      <c r="N13" s="36" t="s">
        <v>50</v>
      </c>
      <c r="O13" s="38" t="s">
        <v>48</v>
      </c>
    </row>
    <row r="14" spans="2:26">
      <c r="B14" s="1"/>
      <c r="C14" s="23" t="s">
        <v>37</v>
      </c>
      <c r="D14" s="59"/>
      <c r="E14">
        <v>0</v>
      </c>
      <c r="F14" s="1"/>
      <c r="G14" s="16" t="s">
        <v>0</v>
      </c>
      <c r="H14" s="6" t="s">
        <v>3</v>
      </c>
      <c r="I14" s="6" t="s">
        <v>26</v>
      </c>
      <c r="J14" s="34"/>
      <c r="K14" s="6" t="s">
        <v>3</v>
      </c>
      <c r="L14" s="6" t="s">
        <v>4</v>
      </c>
      <c r="M14" s="1"/>
      <c r="N14" s="6">
        <f>1-((4*PI()*Refin*SIN(RADIANS(E14/2)/Lamnm)*Rgyration)^2/3)</f>
        <v>1</v>
      </c>
      <c r="O14" s="16">
        <v>1</v>
      </c>
      <c r="Q14" s="27" t="s">
        <v>247</v>
      </c>
      <c r="R14" s="28"/>
      <c r="S14" s="11"/>
      <c r="T14" s="27" t="s">
        <v>51</v>
      </c>
      <c r="U14" s="28"/>
    </row>
    <row r="15" spans="2:26">
      <c r="B15" s="1"/>
      <c r="C15" s="5">
        <v>1</v>
      </c>
      <c r="D15" s="5">
        <v>1</v>
      </c>
      <c r="E15" s="1">
        <v>22.5</v>
      </c>
      <c r="F15" s="1"/>
      <c r="G15" s="2" t="s">
        <v>2</v>
      </c>
      <c r="H15" s="2">
        <f>(1.03+1.031+1.035+1.039)/4</f>
        <v>1.0337499999999999</v>
      </c>
      <c r="I15" s="4"/>
      <c r="J15" s="35"/>
      <c r="K15" s="2">
        <v>0.02</v>
      </c>
      <c r="L15" s="4"/>
      <c r="M15" s="2">
        <f>H15+I15-K15-L15</f>
        <v>1.0137499999999999</v>
      </c>
      <c r="N15" s="2">
        <f>1-((4*PI()*Refin*SIN(RADIANS(E15/2)/Lamnm)*Rgyration)^2/3)</f>
        <v>0.9998685911424352</v>
      </c>
      <c r="O15" s="25">
        <f>N15/M15</f>
        <v>0.98630687165714948</v>
      </c>
      <c r="Q15" s="29" t="s">
        <v>35</v>
      </c>
      <c r="R15" s="30"/>
      <c r="S15" s="11"/>
      <c r="T15" s="29" t="s">
        <v>35</v>
      </c>
      <c r="U15" s="30"/>
      <c r="W15" t="s">
        <v>295</v>
      </c>
      <c r="Y15" t="s">
        <v>296</v>
      </c>
    </row>
    <row r="16" spans="2:26">
      <c r="B16" s="1"/>
      <c r="C16" s="5">
        <v>2</v>
      </c>
      <c r="D16" s="5">
        <v>2</v>
      </c>
      <c r="E16" s="1">
        <v>28</v>
      </c>
      <c r="F16" s="1"/>
      <c r="G16" s="2" t="s">
        <v>2</v>
      </c>
      <c r="H16" s="2">
        <f>(0.715+0.694+0.692+0.694)/4</f>
        <v>0.69874999999999998</v>
      </c>
      <c r="I16" s="4"/>
      <c r="J16" s="35"/>
      <c r="K16" s="2">
        <v>0.06</v>
      </c>
      <c r="L16" s="4"/>
      <c r="M16" s="2">
        <f>H16+I16-K16-L16</f>
        <v>0.63874999999999993</v>
      </c>
      <c r="N16" s="2">
        <f>1-((4*PI()*Refin*SIN(RADIANS(E16/2)/Lamnm)*Rgyration)^2/3)</f>
        <v>0.99979649473030563</v>
      </c>
      <c r="O16" s="25">
        <f>N16/M16</f>
        <v>1.5652391306932381</v>
      </c>
      <c r="Q16" s="19" t="s">
        <v>27</v>
      </c>
      <c r="R16" s="20">
        <v>261.94101000000001</v>
      </c>
      <c r="T16" s="19" t="s">
        <v>27</v>
      </c>
      <c r="U16" s="20">
        <v>1.9109</v>
      </c>
      <c r="W16" t="s">
        <v>27</v>
      </c>
      <c r="X16">
        <v>489.13528000000002</v>
      </c>
      <c r="Y16" t="s">
        <v>27</v>
      </c>
      <c r="Z16">
        <v>2.2986800000000001</v>
      </c>
    </row>
    <row r="17" spans="2:26">
      <c r="B17" s="1"/>
      <c r="C17" s="5">
        <v>3</v>
      </c>
      <c r="D17" s="5">
        <v>3</v>
      </c>
      <c r="E17" s="1">
        <v>32</v>
      </c>
      <c r="F17" s="1"/>
      <c r="G17" s="2" t="s">
        <v>2</v>
      </c>
      <c r="H17" s="2">
        <f>(0.85+0.856+0.845+0.849)/4</f>
        <v>0.85000000000000009</v>
      </c>
      <c r="I17" s="4"/>
      <c r="J17" s="35"/>
      <c r="K17" s="2">
        <v>1.4999999999999999E-2</v>
      </c>
      <c r="L17" s="4"/>
      <c r="M17" s="2">
        <f>H17+I17-K17-L17</f>
        <v>0.83500000000000008</v>
      </c>
      <c r="N17" s="2">
        <f>1-((4*PI()*Refin*SIN(RADIANS(E17/2)/Lamnm)*Rgyration)^2/3)</f>
        <v>0.99973419720221768</v>
      </c>
      <c r="O17" s="25">
        <f t="shared" ref="O17:O32" si="0">N17/M17</f>
        <v>1.1972864637152307</v>
      </c>
      <c r="Q17" s="19" t="s">
        <v>28</v>
      </c>
      <c r="R17" s="20">
        <v>872.99010999999996</v>
      </c>
      <c r="T17" s="19" t="s">
        <v>28</v>
      </c>
      <c r="U17" s="20">
        <v>3.1774200000000001</v>
      </c>
      <c r="W17" t="s">
        <v>28</v>
      </c>
      <c r="X17">
        <v>793.15197999999998</v>
      </c>
      <c r="Y17" t="s">
        <v>28</v>
      </c>
      <c r="Z17">
        <v>3.5894300000000001</v>
      </c>
    </row>
    <row r="18" spans="2:26">
      <c r="B18" s="1"/>
      <c r="C18" s="55">
        <v>4</v>
      </c>
      <c r="D18" s="55"/>
      <c r="E18" s="56">
        <v>38</v>
      </c>
      <c r="F18" s="56"/>
      <c r="G18" s="31" t="s">
        <v>53</v>
      </c>
      <c r="H18" s="32" t="s">
        <v>54</v>
      </c>
      <c r="I18" s="56"/>
      <c r="J18" s="56"/>
      <c r="K18" s="60" t="s">
        <v>54</v>
      </c>
      <c r="L18" s="56"/>
      <c r="M18" s="60" t="s">
        <v>54</v>
      </c>
      <c r="N18" s="32" t="s">
        <v>54</v>
      </c>
      <c r="O18" s="32" t="s">
        <v>54</v>
      </c>
      <c r="Q18" s="19" t="s">
        <v>29</v>
      </c>
      <c r="R18" s="20">
        <v>796.78638000000001</v>
      </c>
      <c r="T18" s="19" t="s">
        <v>29</v>
      </c>
      <c r="U18" s="20">
        <v>3.1847099999999999</v>
      </c>
      <c r="W18" t="s">
        <v>29</v>
      </c>
      <c r="X18">
        <v>746.47442999999998</v>
      </c>
      <c r="Y18" t="s">
        <v>29</v>
      </c>
      <c r="Z18">
        <v>1.64838</v>
      </c>
    </row>
    <row r="19" spans="2:26">
      <c r="B19" s="1"/>
      <c r="C19" s="5">
        <v>5</v>
      </c>
      <c r="D19" s="5">
        <v>4</v>
      </c>
      <c r="E19" s="1">
        <v>44</v>
      </c>
      <c r="F19" s="1"/>
      <c r="G19" s="3" t="s">
        <v>1</v>
      </c>
      <c r="H19" s="4"/>
      <c r="I19" s="3">
        <f>R16</f>
        <v>261.94101000000001</v>
      </c>
      <c r="J19" s="35"/>
      <c r="K19" s="4"/>
      <c r="L19" s="3">
        <f>U16</f>
        <v>1.9109</v>
      </c>
      <c r="M19" s="3">
        <f t="shared" ref="M19:M26" si="1">H19+I19-K19-L19</f>
        <v>260.03010999999998</v>
      </c>
      <c r="N19" s="3">
        <f t="shared" ref="N19:N26" si="2">1-((4*PI()*Refin*SIN(RADIANS(E19/2)/Lamnm)*Rgyration)^2/3)</f>
        <v>0.9994974666102372</v>
      </c>
      <c r="O19" s="26">
        <f t="shared" si="0"/>
        <v>3.8437758866088135E-3</v>
      </c>
      <c r="Q19" s="19" t="s">
        <v>30</v>
      </c>
      <c r="R19" s="20">
        <v>819.81164999999999</v>
      </c>
      <c r="T19" s="19" t="s">
        <v>30</v>
      </c>
      <c r="U19" s="20">
        <v>10.36139</v>
      </c>
      <c r="W19" t="s">
        <v>30</v>
      </c>
      <c r="X19">
        <v>666.21753000000001</v>
      </c>
      <c r="Y19" t="s">
        <v>30</v>
      </c>
      <c r="Z19">
        <v>13.620279999999999</v>
      </c>
    </row>
    <row r="20" spans="2:26">
      <c r="B20" s="1"/>
      <c r="C20" s="5">
        <v>6</v>
      </c>
      <c r="D20" s="5">
        <v>5</v>
      </c>
      <c r="E20" s="1">
        <v>50</v>
      </c>
      <c r="F20" s="1"/>
      <c r="G20" s="3" t="s">
        <v>1</v>
      </c>
      <c r="H20" s="4"/>
      <c r="I20" s="3">
        <f>R17</f>
        <v>872.99010999999996</v>
      </c>
      <c r="J20" s="35"/>
      <c r="K20" s="4"/>
      <c r="L20" s="3">
        <f>U17</f>
        <v>3.1774200000000001</v>
      </c>
      <c r="M20" s="3">
        <f t="shared" si="1"/>
        <v>869.81268999999998</v>
      </c>
      <c r="N20" s="3">
        <f t="shared" si="2"/>
        <v>0.99935106744004454</v>
      </c>
      <c r="O20" s="26">
        <f t="shared" si="0"/>
        <v>1.1489267504708911E-3</v>
      </c>
      <c r="Q20" s="19" t="s">
        <v>31</v>
      </c>
      <c r="R20" s="20">
        <v>352.52938999999998</v>
      </c>
      <c r="T20" s="19" t="s">
        <v>31</v>
      </c>
      <c r="U20" s="20">
        <v>1.2126600000000001</v>
      </c>
      <c r="W20" t="s">
        <v>31</v>
      </c>
      <c r="X20">
        <v>188.63036</v>
      </c>
      <c r="Y20" t="s">
        <v>31</v>
      </c>
      <c r="Z20">
        <v>1.24438</v>
      </c>
    </row>
    <row r="21" spans="2:26">
      <c r="B21" s="1"/>
      <c r="C21" s="5">
        <v>7</v>
      </c>
      <c r="D21" s="5">
        <v>6</v>
      </c>
      <c r="E21" s="1">
        <v>57</v>
      </c>
      <c r="F21" s="1"/>
      <c r="G21" s="2" t="s">
        <v>2</v>
      </c>
      <c r="H21" s="2">
        <v>1.161</v>
      </c>
      <c r="I21" s="4"/>
      <c r="J21" s="35"/>
      <c r="K21" s="2">
        <v>2.7E-2</v>
      </c>
      <c r="L21" s="4"/>
      <c r="M21" s="2">
        <f t="shared" si="1"/>
        <v>1.1340000000000001</v>
      </c>
      <c r="N21" s="2">
        <f t="shared" si="2"/>
        <v>0.99915664727925502</v>
      </c>
      <c r="O21" s="25">
        <f t="shared" si="0"/>
        <v>0.88109051788294079</v>
      </c>
      <c r="Q21" s="19" t="s">
        <v>32</v>
      </c>
      <c r="R21" s="20">
        <v>328.77881000000002</v>
      </c>
      <c r="T21" s="19" t="s">
        <v>32</v>
      </c>
      <c r="U21" s="20">
        <v>1.228</v>
      </c>
      <c r="W21" t="s">
        <v>32</v>
      </c>
      <c r="X21">
        <v>322.43961000000002</v>
      </c>
      <c r="Y21" t="s">
        <v>32</v>
      </c>
      <c r="Z21">
        <v>1.5229200000000001</v>
      </c>
    </row>
    <row r="22" spans="2:26">
      <c r="B22" s="1"/>
      <c r="C22" s="5">
        <v>8</v>
      </c>
      <c r="D22" s="5">
        <v>7</v>
      </c>
      <c r="E22" s="1">
        <v>64</v>
      </c>
      <c r="F22" s="1"/>
      <c r="G22" s="3" t="s">
        <v>1</v>
      </c>
      <c r="H22" s="4"/>
      <c r="I22" s="3">
        <f>R18</f>
        <v>796.78638000000001</v>
      </c>
      <c r="J22" s="35"/>
      <c r="K22" s="4"/>
      <c r="L22" s="3">
        <f>U18</f>
        <v>3.1847099999999999</v>
      </c>
      <c r="M22" s="3">
        <f t="shared" si="1"/>
        <v>793.60167000000001</v>
      </c>
      <c r="N22" s="3">
        <f t="shared" si="2"/>
        <v>0.99893678898556948</v>
      </c>
      <c r="O22" s="26">
        <f t="shared" si="0"/>
        <v>1.2587382647337038E-3</v>
      </c>
      <c r="Q22" s="19" t="s">
        <v>33</v>
      </c>
      <c r="R22" s="20">
        <v>311.91138000000001</v>
      </c>
      <c r="T22" s="19" t="s">
        <v>33</v>
      </c>
      <c r="U22" s="20">
        <v>1.7291399999999999</v>
      </c>
      <c r="W22" t="s">
        <v>33</v>
      </c>
      <c r="X22">
        <v>497.82062000000002</v>
      </c>
      <c r="Y22" t="s">
        <v>33</v>
      </c>
      <c r="Z22">
        <v>2.6058300000000001</v>
      </c>
    </row>
    <row r="23" spans="2:26" ht="14.65" thickBot="1">
      <c r="B23" s="1"/>
      <c r="C23" s="5">
        <v>9</v>
      </c>
      <c r="D23" s="5">
        <v>9</v>
      </c>
      <c r="E23" s="1">
        <v>72</v>
      </c>
      <c r="F23" s="1"/>
      <c r="G23" s="2" t="s">
        <v>2</v>
      </c>
      <c r="H23" s="2">
        <v>1.056</v>
      </c>
      <c r="I23" s="4"/>
      <c r="J23" s="35"/>
      <c r="K23" s="2">
        <v>8.9999999999999993E-3</v>
      </c>
      <c r="L23" s="4"/>
      <c r="M23" s="2">
        <f t="shared" si="1"/>
        <v>1.0470000000000002</v>
      </c>
      <c r="N23" s="2">
        <f t="shared" si="2"/>
        <v>0.99865437363906517</v>
      </c>
      <c r="O23" s="25">
        <f t="shared" si="0"/>
        <v>0.95382461665622253</v>
      </c>
      <c r="Q23" s="21" t="s">
        <v>34</v>
      </c>
      <c r="R23" s="22">
        <v>572.80609000000004</v>
      </c>
      <c r="T23" s="21" t="s">
        <v>34</v>
      </c>
      <c r="U23" s="22">
        <v>1.85985</v>
      </c>
      <c r="W23" t="s">
        <v>34</v>
      </c>
      <c r="X23">
        <v>557.64251999999999</v>
      </c>
      <c r="Y23" t="s">
        <v>34</v>
      </c>
      <c r="Z23">
        <v>2.7940999999999998</v>
      </c>
    </row>
    <row r="24" spans="2:26">
      <c r="B24" s="1"/>
      <c r="C24" s="5">
        <v>10</v>
      </c>
      <c r="D24" s="5">
        <v>9</v>
      </c>
      <c r="E24" s="1">
        <v>81</v>
      </c>
      <c r="F24" s="1"/>
      <c r="G24" s="3" t="s">
        <v>1</v>
      </c>
      <c r="H24" s="4"/>
      <c r="I24" s="3">
        <f>R19</f>
        <v>819.81164999999999</v>
      </c>
      <c r="J24" s="35"/>
      <c r="K24" s="4"/>
      <c r="L24" s="3">
        <f>U19</f>
        <v>10.36139</v>
      </c>
      <c r="M24" s="3">
        <f t="shared" si="1"/>
        <v>809.45025999999996</v>
      </c>
      <c r="N24" s="3">
        <f t="shared" si="2"/>
        <v>0.9982969417638109</v>
      </c>
      <c r="O24" s="26">
        <f t="shared" si="0"/>
        <v>1.2333023918774341E-3</v>
      </c>
    </row>
    <row r="25" spans="2:26">
      <c r="B25" s="1"/>
      <c r="C25" s="5">
        <v>11</v>
      </c>
      <c r="D25" s="5">
        <v>10</v>
      </c>
      <c r="E25" s="1">
        <v>90</v>
      </c>
      <c r="F25" s="1"/>
      <c r="G25" s="2" t="s">
        <v>2</v>
      </c>
      <c r="H25" s="2">
        <v>0.94799999999999995</v>
      </c>
      <c r="I25" s="4"/>
      <c r="J25" s="35"/>
      <c r="K25" s="2">
        <v>7.0000000000000001E-3</v>
      </c>
      <c r="L25" s="4"/>
      <c r="M25" s="2">
        <f t="shared" si="1"/>
        <v>0.94099999999999995</v>
      </c>
      <c r="N25" s="2">
        <f t="shared" si="2"/>
        <v>0.99789745914272321</v>
      </c>
      <c r="O25" s="25">
        <f t="shared" si="0"/>
        <v>1.0604648875055507</v>
      </c>
    </row>
    <row r="26" spans="2:26">
      <c r="B26" s="1"/>
      <c r="C26" s="5">
        <v>12</v>
      </c>
      <c r="D26" s="5">
        <v>11</v>
      </c>
      <c r="E26" s="1">
        <v>99</v>
      </c>
      <c r="F26" s="1"/>
      <c r="G26" s="3" t="s">
        <v>1</v>
      </c>
      <c r="H26" s="4"/>
      <c r="I26" s="3">
        <f>R20</f>
        <v>352.52938999999998</v>
      </c>
      <c r="J26" s="35"/>
      <c r="K26" s="4"/>
      <c r="L26" s="3">
        <f>U20</f>
        <v>1.2126600000000001</v>
      </c>
      <c r="M26" s="3">
        <f t="shared" si="1"/>
        <v>351.31672999999995</v>
      </c>
      <c r="N26" s="3">
        <f t="shared" si="2"/>
        <v>0.99745592579680853</v>
      </c>
      <c r="O26" s="26">
        <f t="shared" si="0"/>
        <v>2.8391927870807881E-3</v>
      </c>
    </row>
    <row r="27" spans="2:26">
      <c r="B27" s="1"/>
      <c r="C27" s="55">
        <v>13</v>
      </c>
      <c r="D27" s="55"/>
      <c r="E27" s="56">
        <v>108</v>
      </c>
      <c r="F27" s="56"/>
      <c r="G27" s="31" t="s">
        <v>53</v>
      </c>
      <c r="H27" s="60" t="s">
        <v>54</v>
      </c>
      <c r="I27" s="56"/>
      <c r="J27" s="56"/>
      <c r="K27" s="60" t="s">
        <v>54</v>
      </c>
      <c r="L27" s="56"/>
      <c r="M27" s="60" t="s">
        <v>54</v>
      </c>
      <c r="N27" s="32" t="s">
        <v>54</v>
      </c>
      <c r="O27" s="32" t="s">
        <v>54</v>
      </c>
    </row>
    <row r="28" spans="2:26">
      <c r="B28" s="1"/>
      <c r="C28" s="5">
        <v>14</v>
      </c>
      <c r="D28" s="5">
        <v>12</v>
      </c>
      <c r="E28" s="1">
        <v>117</v>
      </c>
      <c r="F28" s="1"/>
      <c r="G28" s="3" t="s">
        <v>1</v>
      </c>
      <c r="H28" s="4"/>
      <c r="I28" s="3">
        <f>R21</f>
        <v>328.77881000000002</v>
      </c>
      <c r="J28" s="35"/>
      <c r="K28" s="4"/>
      <c r="L28" s="3">
        <f>U21</f>
        <v>1.228</v>
      </c>
      <c r="M28" s="3">
        <f>H28+I28-K28-L28</f>
        <v>327.55081000000001</v>
      </c>
      <c r="N28" s="3">
        <f>1-((4*PI()*Refin*SIN(RADIANS(E28/2)/Lamnm)*Rgyration)^2/3)</f>
        <v>0.99644670702558136</v>
      </c>
      <c r="O28" s="26">
        <f t="shared" si="0"/>
        <v>3.0421133961646479E-3</v>
      </c>
    </row>
    <row r="29" spans="2:26">
      <c r="B29" s="1"/>
      <c r="C29" s="5">
        <v>15</v>
      </c>
      <c r="D29" s="5">
        <v>13</v>
      </c>
      <c r="E29" s="1">
        <v>126</v>
      </c>
      <c r="F29" s="1"/>
      <c r="G29" s="2" t="s">
        <v>2</v>
      </c>
      <c r="H29" s="2">
        <v>1.216</v>
      </c>
      <c r="I29" s="4"/>
      <c r="J29" s="35"/>
      <c r="K29" s="2">
        <v>1.7000000000000001E-2</v>
      </c>
      <c r="L29" s="4"/>
      <c r="M29" s="2">
        <f>H29+I29-K29-L29</f>
        <v>1.1990000000000001</v>
      </c>
      <c r="N29" s="2">
        <f>1-((4*PI()*Refin*SIN(RADIANS(E29/2)/Lamnm)*Rgyration)^2/3)</f>
        <v>0.99587902165333808</v>
      </c>
      <c r="O29" s="25">
        <f t="shared" si="0"/>
        <v>0.83059134416458547</v>
      </c>
    </row>
    <row r="30" spans="2:26">
      <c r="B30" s="1"/>
      <c r="C30" s="5">
        <v>16</v>
      </c>
      <c r="D30" s="5">
        <v>14</v>
      </c>
      <c r="E30" s="1">
        <v>134</v>
      </c>
      <c r="F30" s="1"/>
      <c r="G30" s="3" t="s">
        <v>1</v>
      </c>
      <c r="H30" s="4"/>
      <c r="I30" s="3">
        <f>R22</f>
        <v>311.91138000000001</v>
      </c>
      <c r="J30" s="35"/>
      <c r="K30" s="4"/>
      <c r="L30" s="3">
        <f>U22</f>
        <v>1.7291399999999999</v>
      </c>
      <c r="M30" s="3">
        <f>H30+I30-K30-L30</f>
        <v>310.18224000000004</v>
      </c>
      <c r="N30" s="3">
        <f>1-((4*PI()*Refin*SIN(RADIANS(E30/2)/Lamnm)*Rgyration)^2/3)</f>
        <v>0.99533911067862813</v>
      </c>
      <c r="O30" s="26">
        <f t="shared" si="0"/>
        <v>3.2088849144897144E-3</v>
      </c>
    </row>
    <row r="31" spans="2:26">
      <c r="B31" s="1"/>
      <c r="C31" s="5">
        <v>17</v>
      </c>
      <c r="D31" s="5">
        <v>15</v>
      </c>
      <c r="E31" s="1">
        <v>141</v>
      </c>
      <c r="F31" s="1"/>
      <c r="G31" s="2" t="s">
        <v>2</v>
      </c>
      <c r="H31" s="2">
        <v>0.66700000000000004</v>
      </c>
      <c r="I31" s="4"/>
      <c r="J31" s="35"/>
      <c r="K31" s="2">
        <v>1.2E-2</v>
      </c>
      <c r="L31" s="4"/>
      <c r="M31" s="2">
        <f>H31+I31-K31-L31</f>
        <v>0.65500000000000003</v>
      </c>
      <c r="N31" s="2">
        <f>1-((4*PI()*Refin*SIN(RADIANS(E31/2)/Lamnm)*Rgyration)^2/3)</f>
        <v>0.99483943356270155</v>
      </c>
      <c r="O31" s="25">
        <f>N31/M31</f>
        <v>1.5188388298667199</v>
      </c>
    </row>
    <row r="32" spans="2:26">
      <c r="B32" s="1"/>
      <c r="C32" s="5">
        <v>18</v>
      </c>
      <c r="D32" s="5">
        <v>16</v>
      </c>
      <c r="E32" s="1">
        <v>147</v>
      </c>
      <c r="F32" s="1"/>
      <c r="G32" s="3" t="s">
        <v>1</v>
      </c>
      <c r="H32" s="4"/>
      <c r="I32" s="3">
        <f>R23</f>
        <v>572.80609000000004</v>
      </c>
      <c r="J32" s="35"/>
      <c r="K32" s="4"/>
      <c r="L32" s="3">
        <f>U23</f>
        <v>1.85985</v>
      </c>
      <c r="M32" s="3">
        <f>H32+I32-K32-L32</f>
        <v>570.94623999999999</v>
      </c>
      <c r="N32" s="3">
        <f>1-((4*PI()*Refin*SIN(RADIANS(E32/2)/Lamnm)*Rgyration)^2/3)</f>
        <v>0.99439089232338562</v>
      </c>
      <c r="O32" s="26">
        <f t="shared" si="0"/>
        <v>1.7416541570067711E-3</v>
      </c>
    </row>
  </sheetData>
  <phoneticPr fontId="1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S32"/>
  <sheetViews>
    <sheetView topLeftCell="B4" zoomScale="67" zoomScaleNormal="10" workbookViewId="0">
      <selection activeCell="T31" sqref="T31"/>
    </sheetView>
  </sheetViews>
  <sheetFormatPr defaultRowHeight="14.25"/>
  <cols>
    <col min="2" max="2" width="11" customWidth="1"/>
    <col min="4" max="4" width="13.59765625" customWidth="1"/>
    <col min="5" max="5" width="2" customWidth="1"/>
    <col min="6" max="6" width="11.86328125" customWidth="1"/>
    <col min="7" max="7" width="12.59765625" customWidth="1"/>
    <col min="8" max="8" width="20.33203125" customWidth="1"/>
    <col min="9" max="9" width="4" customWidth="1"/>
    <col min="10" max="10" width="12.3984375" customWidth="1"/>
    <col min="11" max="11" width="11" customWidth="1"/>
    <col min="13" max="13" width="10.3984375" customWidth="1"/>
    <col min="14" max="14" width="2.73046875" customWidth="1"/>
    <col min="16" max="16" width="12.59765625" customWidth="1"/>
    <col min="17" max="17" width="2.3984375" customWidth="1"/>
    <col min="19" max="19" width="12.265625" customWidth="1"/>
  </cols>
  <sheetData>
    <row r="1" spans="2:19" ht="14.65" thickBot="1"/>
    <row r="2" spans="2:19" ht="14.65" thickBot="1">
      <c r="B2" s="6" t="s">
        <v>68</v>
      </c>
      <c r="C2" s="6"/>
      <c r="D2" s="197">
        <v>45387</v>
      </c>
    </row>
    <row r="3" spans="2:19" ht="14.65" thickBot="1">
      <c r="B3" s="6" t="s">
        <v>69</v>
      </c>
      <c r="C3" s="6"/>
      <c r="D3" s="41" t="s">
        <v>89</v>
      </c>
      <c r="G3" s="11"/>
      <c r="H3" s="11"/>
    </row>
    <row r="4" spans="2:19" ht="14.65" thickBot="1">
      <c r="B4" s="6" t="s">
        <v>55</v>
      </c>
      <c r="C4" s="1"/>
      <c r="D4" s="42" t="s">
        <v>25</v>
      </c>
      <c r="E4" s="12"/>
      <c r="H4" s="11"/>
      <c r="I4" s="11"/>
    </row>
    <row r="5" spans="2:19" ht="15" thickBot="1">
      <c r="B5" s="6" t="s">
        <v>17</v>
      </c>
      <c r="C5" s="7" t="s">
        <v>16</v>
      </c>
      <c r="D5" s="1"/>
    </row>
    <row r="6" spans="2:19" ht="14.65" thickBot="1">
      <c r="B6" s="1"/>
      <c r="C6" s="5" t="s">
        <v>5</v>
      </c>
      <c r="D6" s="17" t="s">
        <v>6</v>
      </c>
      <c r="E6" s="45" t="s">
        <v>314</v>
      </c>
      <c r="F6" s="43">
        <v>6.0000000000000001E-3</v>
      </c>
      <c r="G6" s="151"/>
      <c r="H6" s="152" t="s">
        <v>266</v>
      </c>
      <c r="I6" s="153"/>
      <c r="J6" s="154"/>
      <c r="K6" s="155"/>
    </row>
    <row r="7" spans="2:19" ht="15.75">
      <c r="B7" s="1"/>
      <c r="C7" s="5" t="s">
        <v>10</v>
      </c>
      <c r="D7" s="1"/>
      <c r="E7" s="18"/>
      <c r="F7" s="44">
        <v>4.9800000000000004</v>
      </c>
      <c r="G7" s="151"/>
      <c r="H7" s="156" t="s">
        <v>313</v>
      </c>
      <c r="I7" s="157"/>
      <c r="J7" s="169">
        <v>1</v>
      </c>
      <c r="K7" s="158" t="s">
        <v>19</v>
      </c>
    </row>
    <row r="8" spans="2:19" ht="15.75">
      <c r="B8" s="1"/>
      <c r="C8" s="5" t="s">
        <v>11</v>
      </c>
      <c r="D8" s="1"/>
      <c r="E8" s="13"/>
      <c r="F8" s="44">
        <v>15.04</v>
      </c>
      <c r="G8" s="151"/>
      <c r="H8" s="156" t="s">
        <v>263</v>
      </c>
      <c r="I8" s="159"/>
      <c r="J8" s="160">
        <f>J7*SQRT(3/5)</f>
        <v>0.7745966692414834</v>
      </c>
      <c r="K8" s="161" t="s">
        <v>19</v>
      </c>
    </row>
    <row r="9" spans="2:19" ht="15.75">
      <c r="B9" s="1"/>
      <c r="C9" s="5" t="s">
        <v>12</v>
      </c>
      <c r="D9" s="1"/>
      <c r="E9" s="13"/>
      <c r="F9" s="44">
        <v>14.89</v>
      </c>
      <c r="G9" s="151"/>
      <c r="H9" s="156" t="s">
        <v>20</v>
      </c>
      <c r="I9" s="159"/>
      <c r="J9" s="162">
        <f>Lamnm/(Refin*J7)</f>
        <v>458.19397993311031</v>
      </c>
      <c r="K9" s="161"/>
      <c r="O9" s="168"/>
      <c r="P9" s="168"/>
    </row>
    <row r="10" spans="2:19" ht="15.75">
      <c r="B10" s="1"/>
      <c r="C10" s="5" t="s">
        <v>13</v>
      </c>
      <c r="D10" s="1"/>
      <c r="E10" s="13"/>
      <c r="F10" s="44">
        <v>79.2</v>
      </c>
      <c r="G10" s="151"/>
      <c r="H10" s="156" t="s">
        <v>264</v>
      </c>
      <c r="I10" s="159"/>
      <c r="J10" s="163">
        <f>J8*(4*PI()*Refin/Lamnm)*SIN(RADIANS(D32/2))</f>
        <v>2.036915789429861E-2</v>
      </c>
      <c r="K10" s="161"/>
      <c r="O10" s="168"/>
      <c r="P10" s="168"/>
    </row>
    <row r="11" spans="2:19" ht="16.899999999999999" thickBot="1">
      <c r="B11" s="1"/>
      <c r="C11" s="5" t="s">
        <v>14</v>
      </c>
      <c r="D11" s="33"/>
      <c r="E11" s="13"/>
      <c r="F11" s="44">
        <v>4.92</v>
      </c>
      <c r="G11" s="151"/>
      <c r="H11" s="164" t="s">
        <v>265</v>
      </c>
      <c r="I11" s="165"/>
      <c r="J11" s="166">
        <f>1-J10^2/3</f>
        <v>0.999861699135559</v>
      </c>
      <c r="K11" s="167"/>
      <c r="M11" s="39"/>
      <c r="O11" s="39"/>
    </row>
    <row r="12" spans="2:19">
      <c r="M12" s="246" t="s">
        <v>110</v>
      </c>
    </row>
    <row r="13" spans="2:19" ht="15" thickBot="1">
      <c r="B13" s="6" t="s">
        <v>17</v>
      </c>
      <c r="C13" s="7" t="s">
        <v>15</v>
      </c>
      <c r="D13" s="7" t="s">
        <v>36</v>
      </c>
      <c r="E13" s="13"/>
      <c r="F13" s="24" t="s">
        <v>38</v>
      </c>
      <c r="G13" s="15" t="s">
        <v>108</v>
      </c>
      <c r="H13" s="6"/>
      <c r="I13" s="34"/>
      <c r="J13" s="6" t="s">
        <v>109</v>
      </c>
      <c r="K13" s="1"/>
      <c r="L13" s="7" t="s">
        <v>23</v>
      </c>
      <c r="M13" s="247"/>
    </row>
    <row r="14" spans="2:19">
      <c r="B14" s="1"/>
      <c r="C14" s="23" t="s">
        <v>37</v>
      </c>
      <c r="D14">
        <v>0</v>
      </c>
      <c r="E14" s="1"/>
      <c r="F14" s="16" t="s">
        <v>0</v>
      </c>
      <c r="G14" s="6" t="s">
        <v>111</v>
      </c>
      <c r="H14" s="6" t="s">
        <v>112</v>
      </c>
      <c r="I14" s="34"/>
      <c r="J14" s="6" t="s">
        <v>111</v>
      </c>
      <c r="K14" s="6" t="s">
        <v>113</v>
      </c>
      <c r="L14" s="1"/>
      <c r="M14" s="16"/>
      <c r="O14" s="27" t="s">
        <v>129</v>
      </c>
      <c r="P14" s="131"/>
      <c r="Q14" s="132"/>
      <c r="R14" s="131" t="s">
        <v>51</v>
      </c>
      <c r="S14" s="28"/>
    </row>
    <row r="15" spans="2:19">
      <c r="B15" s="1"/>
      <c r="C15" s="5">
        <v>1</v>
      </c>
      <c r="D15" s="1">
        <v>22.5</v>
      </c>
      <c r="E15" s="1"/>
      <c r="F15" s="2" t="s">
        <v>2</v>
      </c>
      <c r="G15" s="2">
        <v>0.14699999999999999</v>
      </c>
      <c r="H15" s="4"/>
      <c r="I15" s="35"/>
      <c r="J15" s="2">
        <v>8.5999999999999993E-2</v>
      </c>
      <c r="K15" s="4"/>
      <c r="L15" s="2">
        <f>G15+H15-J15-K15</f>
        <v>6.0999999999999999E-2</v>
      </c>
      <c r="M15" s="25">
        <f>NormStandard!O15*L15</f>
        <v>6.0164719171086116E-2</v>
      </c>
      <c r="O15" s="29" t="s">
        <v>35</v>
      </c>
      <c r="P15" s="30"/>
      <c r="Q15" s="11"/>
      <c r="R15" s="29" t="s">
        <v>35</v>
      </c>
      <c r="S15" s="30"/>
    </row>
    <row r="16" spans="2:19">
      <c r="B16" s="1"/>
      <c r="C16" s="5">
        <v>2</v>
      </c>
      <c r="D16" s="1">
        <v>28</v>
      </c>
      <c r="E16" s="1"/>
      <c r="F16" s="2" t="s">
        <v>2</v>
      </c>
      <c r="G16" s="2">
        <v>8.6999999999999994E-2</v>
      </c>
      <c r="H16" s="4"/>
      <c r="I16" s="35"/>
      <c r="J16" s="2">
        <v>4.9000000000000002E-2</v>
      </c>
      <c r="K16" s="4"/>
      <c r="L16" s="2">
        <f>G16+H16-J16-K16</f>
        <v>3.7999999999999992E-2</v>
      </c>
      <c r="M16" s="25">
        <f>NormStandard!O16*L16</f>
        <v>5.9479086966343034E-2</v>
      </c>
      <c r="O16" s="19" t="s">
        <v>27</v>
      </c>
      <c r="P16" s="211">
        <v>30.435230000000001</v>
      </c>
      <c r="R16" s="19" t="s">
        <v>27</v>
      </c>
      <c r="S16" s="211">
        <v>14.14034</v>
      </c>
    </row>
    <row r="17" spans="2:19">
      <c r="B17" s="1"/>
      <c r="C17" s="5">
        <v>3</v>
      </c>
      <c r="D17" s="1">
        <v>32</v>
      </c>
      <c r="E17" s="1"/>
      <c r="F17" s="2" t="s">
        <v>2</v>
      </c>
      <c r="G17" s="2">
        <v>0.104</v>
      </c>
      <c r="H17" s="4"/>
      <c r="I17" s="35"/>
      <c r="J17" s="2">
        <v>0.03</v>
      </c>
      <c r="K17" s="4"/>
      <c r="L17" s="2">
        <f>G17+H17-J17-K17</f>
        <v>7.3999999999999996E-2</v>
      </c>
      <c r="M17" s="25">
        <f>NormStandard!O17*L17</f>
        <v>8.8599198314927075E-2</v>
      </c>
      <c r="O17" s="19" t="s">
        <v>28</v>
      </c>
      <c r="P17" s="211">
        <v>93.743780000000001</v>
      </c>
      <c r="R17" s="19" t="s">
        <v>28</v>
      </c>
      <c r="S17" s="211">
        <v>20.997260000000001</v>
      </c>
    </row>
    <row r="18" spans="2:19">
      <c r="B18" s="1"/>
      <c r="C18" s="5">
        <v>4</v>
      </c>
      <c r="D18" s="1">
        <v>38</v>
      </c>
      <c r="E18" s="1"/>
      <c r="F18" s="31" t="s">
        <v>53</v>
      </c>
      <c r="G18" s="32" t="s">
        <v>54</v>
      </c>
      <c r="H18" s="4"/>
      <c r="I18" s="35"/>
      <c r="J18" s="32" t="s">
        <v>54</v>
      </c>
      <c r="K18" s="4"/>
      <c r="L18" s="32" t="s">
        <v>54</v>
      </c>
      <c r="M18" s="32" t="str">
        <f>NormStandard!O18</f>
        <v>---</v>
      </c>
      <c r="O18" s="19" t="s">
        <v>29</v>
      </c>
      <c r="P18" s="211">
        <v>82.246570000000006</v>
      </c>
      <c r="R18" s="19" t="s">
        <v>29</v>
      </c>
      <c r="S18" s="211">
        <v>25.055669999999999</v>
      </c>
    </row>
    <row r="19" spans="2:19">
      <c r="B19" s="1"/>
      <c r="C19" s="5">
        <v>5</v>
      </c>
      <c r="D19" s="1">
        <v>44</v>
      </c>
      <c r="E19" s="1"/>
      <c r="F19" s="3" t="s">
        <v>1</v>
      </c>
      <c r="G19" s="4"/>
      <c r="H19" s="3">
        <f>P16</f>
        <v>30.435230000000001</v>
      </c>
      <c r="I19" s="35"/>
      <c r="J19" s="4"/>
      <c r="K19" s="3">
        <f>S16</f>
        <v>14.14034</v>
      </c>
      <c r="L19" s="3">
        <f t="shared" ref="L19:L26" si="0">G19+H19-J19-K19</f>
        <v>16.294890000000002</v>
      </c>
      <c r="M19" s="66">
        <f>NormStandard!O19*L19</f>
        <v>6.2633905256943095E-2</v>
      </c>
      <c r="O19" s="19" t="s">
        <v>30</v>
      </c>
      <c r="P19" s="211">
        <v>96.08278</v>
      </c>
      <c r="R19" s="19" t="s">
        <v>30</v>
      </c>
      <c r="S19" s="211">
        <v>43.310589999999998</v>
      </c>
    </row>
    <row r="20" spans="2:19">
      <c r="B20" s="1"/>
      <c r="C20" s="5">
        <v>6</v>
      </c>
      <c r="D20" s="1">
        <v>50</v>
      </c>
      <c r="E20" s="1"/>
      <c r="F20" s="3" t="s">
        <v>1</v>
      </c>
      <c r="G20" s="4"/>
      <c r="H20" s="3">
        <f>P17</f>
        <v>93.743780000000001</v>
      </c>
      <c r="I20" s="35"/>
      <c r="J20" s="4"/>
      <c r="K20" s="3">
        <f>S17</f>
        <v>20.997260000000001</v>
      </c>
      <c r="L20" s="3">
        <f t="shared" si="0"/>
        <v>72.746520000000004</v>
      </c>
      <c r="M20" s="66">
        <f>NormStandard!O20*L20</f>
        <v>8.3580422831665696E-2</v>
      </c>
      <c r="O20" s="19" t="s">
        <v>31</v>
      </c>
      <c r="P20" s="211">
        <v>36.891210000000001</v>
      </c>
      <c r="R20" s="19" t="s">
        <v>31</v>
      </c>
      <c r="S20" s="211">
        <v>3.1831499999999999</v>
      </c>
    </row>
    <row r="21" spans="2:19">
      <c r="B21" s="1"/>
      <c r="C21" s="5">
        <v>7</v>
      </c>
      <c r="D21" s="1">
        <v>57</v>
      </c>
      <c r="E21" s="1"/>
      <c r="F21" s="2" t="s">
        <v>2</v>
      </c>
      <c r="G21" s="2">
        <v>0.13</v>
      </c>
      <c r="H21" s="4"/>
      <c r="I21" s="35"/>
      <c r="J21" s="2">
        <v>5.0999999999999997E-2</v>
      </c>
      <c r="K21" s="4"/>
      <c r="L21" s="2">
        <f t="shared" si="0"/>
        <v>7.9000000000000015E-2</v>
      </c>
      <c r="M21" s="25">
        <f>NormStandard!O21*L21</f>
        <v>6.9606150912752338E-2</v>
      </c>
      <c r="O21" s="19" t="s">
        <v>32</v>
      </c>
      <c r="P21" s="211">
        <v>37.875830000000001</v>
      </c>
      <c r="R21" s="19" t="s">
        <v>32</v>
      </c>
      <c r="S21" s="211">
        <v>5.2176600000000004</v>
      </c>
    </row>
    <row r="22" spans="2:19">
      <c r="B22" s="1"/>
      <c r="C22" s="5">
        <v>8</v>
      </c>
      <c r="D22" s="1">
        <v>64</v>
      </c>
      <c r="E22" s="1"/>
      <c r="F22" s="3" t="s">
        <v>1</v>
      </c>
      <c r="G22" s="4"/>
      <c r="H22" s="3">
        <f>P18</f>
        <v>82.246570000000006</v>
      </c>
      <c r="I22" s="35"/>
      <c r="J22" s="4"/>
      <c r="K22" s="3">
        <f>S18</f>
        <v>25.055669999999999</v>
      </c>
      <c r="L22" s="3">
        <f t="shared" si="0"/>
        <v>57.190900000000006</v>
      </c>
      <c r="M22" s="66">
        <f>NormStandard!O22*L22</f>
        <v>7.1988374224558796E-2</v>
      </c>
      <c r="O22" s="19" t="s">
        <v>33</v>
      </c>
      <c r="P22" s="211">
        <v>32.152859999999997</v>
      </c>
      <c r="R22" s="19" t="s">
        <v>33</v>
      </c>
      <c r="S22" s="211">
        <v>9.1796500000000005</v>
      </c>
    </row>
    <row r="23" spans="2:19" ht="14.65" thickBot="1">
      <c r="B23" s="1"/>
      <c r="C23" s="5">
        <v>9</v>
      </c>
      <c r="D23" s="1">
        <v>72</v>
      </c>
      <c r="E23" s="1"/>
      <c r="F23" s="2" t="s">
        <v>2</v>
      </c>
      <c r="G23" s="2">
        <v>0.11600000000000001</v>
      </c>
      <c r="H23" s="4"/>
      <c r="I23" s="35"/>
      <c r="J23" s="2">
        <v>3.4000000000000002E-2</v>
      </c>
      <c r="K23" s="4"/>
      <c r="L23" s="2">
        <f t="shared" si="0"/>
        <v>8.2000000000000003E-2</v>
      </c>
      <c r="M23" s="25">
        <f>NormStandard!O23*L23</f>
        <v>7.8213618565810245E-2</v>
      </c>
      <c r="O23" s="21" t="s">
        <v>34</v>
      </c>
      <c r="P23" s="212">
        <v>67.028660000000002</v>
      </c>
      <c r="R23" s="21" t="s">
        <v>34</v>
      </c>
      <c r="S23" s="212">
        <v>13.594099999999999</v>
      </c>
    </row>
    <row r="24" spans="2:19">
      <c r="B24" s="1"/>
      <c r="C24" s="5">
        <v>10</v>
      </c>
      <c r="D24" s="1">
        <v>81</v>
      </c>
      <c r="E24" s="1"/>
      <c r="F24" s="3" t="s">
        <v>1</v>
      </c>
      <c r="G24" s="4"/>
      <c r="H24" s="3">
        <f>P19</f>
        <v>96.08278</v>
      </c>
      <c r="I24" s="35"/>
      <c r="J24" s="4"/>
      <c r="K24" s="3">
        <f>S19</f>
        <v>43.310589999999998</v>
      </c>
      <c r="L24" s="3">
        <f t="shared" si="0"/>
        <v>52.772190000000002</v>
      </c>
      <c r="M24" s="66">
        <f>NormStandard!O24*L24</f>
        <v>6.5084068151610414E-2</v>
      </c>
    </row>
    <row r="25" spans="2:19">
      <c r="B25" s="1"/>
      <c r="C25" s="5">
        <v>11</v>
      </c>
      <c r="D25" s="1">
        <v>90</v>
      </c>
      <c r="E25" s="1"/>
      <c r="F25" s="2" t="s">
        <v>2</v>
      </c>
      <c r="G25" s="2">
        <v>0.10100000000000001</v>
      </c>
      <c r="H25" s="4"/>
      <c r="I25" s="35"/>
      <c r="J25" s="2">
        <v>0.03</v>
      </c>
      <c r="K25" s="4"/>
      <c r="L25" s="2">
        <f t="shared" si="0"/>
        <v>7.1000000000000008E-2</v>
      </c>
      <c r="M25" s="25">
        <f>NormStandard!O25*L25</f>
        <v>7.5293007012894111E-2</v>
      </c>
    </row>
    <row r="26" spans="2:19">
      <c r="B26" s="1"/>
      <c r="C26" s="5">
        <v>12</v>
      </c>
      <c r="D26" s="1">
        <v>99</v>
      </c>
      <c r="E26" s="1"/>
      <c r="F26" s="3" t="s">
        <v>1</v>
      </c>
      <c r="G26" s="4"/>
      <c r="H26" s="3">
        <f>P20</f>
        <v>36.891210000000001</v>
      </c>
      <c r="I26" s="35"/>
      <c r="J26" s="4"/>
      <c r="K26" s="3">
        <f>S20</f>
        <v>3.1831499999999999</v>
      </c>
      <c r="L26" s="3">
        <f t="shared" si="0"/>
        <v>33.708060000000003</v>
      </c>
      <c r="M26" s="66">
        <f>NormStandard!O26*L26</f>
        <v>9.5703680818486445E-2</v>
      </c>
    </row>
    <row r="27" spans="2:19">
      <c r="B27" s="1"/>
      <c r="C27" s="5">
        <v>13</v>
      </c>
      <c r="D27" s="1">
        <v>108</v>
      </c>
      <c r="E27" s="1"/>
      <c r="F27" s="31" t="s">
        <v>53</v>
      </c>
      <c r="G27" s="32"/>
      <c r="H27" s="4"/>
      <c r="I27" s="35"/>
      <c r="J27" s="32" t="s">
        <v>54</v>
      </c>
      <c r="K27" s="32" t="s">
        <v>54</v>
      </c>
      <c r="L27" s="32" t="s">
        <v>54</v>
      </c>
      <c r="M27" s="32" t="str">
        <f>NormStandard!O27</f>
        <v>---</v>
      </c>
    </row>
    <row r="28" spans="2:19">
      <c r="B28" s="1"/>
      <c r="C28" s="5">
        <v>14</v>
      </c>
      <c r="D28" s="1">
        <v>117</v>
      </c>
      <c r="E28" s="1"/>
      <c r="F28" s="3" t="s">
        <v>1</v>
      </c>
      <c r="G28" s="4"/>
      <c r="H28" s="3">
        <f>P21</f>
        <v>37.875830000000001</v>
      </c>
      <c r="I28" s="35"/>
      <c r="J28" s="4"/>
      <c r="K28" s="3">
        <f>S21</f>
        <v>5.2176600000000004</v>
      </c>
      <c r="L28" s="3">
        <f>G28+H28-J28-K28</f>
        <v>32.658169999999998</v>
      </c>
      <c r="M28" s="66">
        <f>NormStandard!O28*L28</f>
        <v>9.9349856451222421E-2</v>
      </c>
    </row>
    <row r="29" spans="2:19">
      <c r="B29" s="1"/>
      <c r="C29" s="5">
        <v>15</v>
      </c>
      <c r="D29" s="1">
        <v>126</v>
      </c>
      <c r="E29" s="1"/>
      <c r="F29" s="2" t="s">
        <v>2</v>
      </c>
      <c r="G29" s="2">
        <v>0.127</v>
      </c>
      <c r="H29" s="4"/>
      <c r="I29" s="35"/>
      <c r="J29" s="2">
        <v>4.9000000000000002E-2</v>
      </c>
      <c r="K29" s="4"/>
      <c r="L29" s="2">
        <f>G29+H29-J29-K29</f>
        <v>7.8E-2</v>
      </c>
      <c r="M29" s="25">
        <f>NormStandard!O29*L29</f>
        <v>6.4786124844837673E-2</v>
      </c>
    </row>
    <row r="30" spans="2:19">
      <c r="B30" s="1"/>
      <c r="C30" s="5">
        <v>16</v>
      </c>
      <c r="D30" s="1">
        <v>134</v>
      </c>
      <c r="E30" s="1"/>
      <c r="F30" s="3" t="s">
        <v>1</v>
      </c>
      <c r="G30" s="4"/>
      <c r="H30" s="3">
        <f>P22</f>
        <v>32.152859999999997</v>
      </c>
      <c r="I30" s="35"/>
      <c r="J30" s="4"/>
      <c r="K30" s="3">
        <f>S22</f>
        <v>9.1796500000000005</v>
      </c>
      <c r="L30" s="3">
        <f>G30+H30-J30-K30</f>
        <v>22.973209999999995</v>
      </c>
      <c r="M30" s="66">
        <f>NormStandard!O30*L30</f>
        <v>7.3718387006404235E-2</v>
      </c>
    </row>
    <row r="31" spans="2:19">
      <c r="B31" s="1"/>
      <c r="C31" s="5">
        <v>17</v>
      </c>
      <c r="D31" s="1">
        <v>141</v>
      </c>
      <c r="E31" s="1"/>
      <c r="F31" s="2" t="s">
        <v>2</v>
      </c>
      <c r="G31" s="2">
        <v>7.0000000000000007E-2</v>
      </c>
      <c r="H31" s="4"/>
      <c r="I31" s="35"/>
      <c r="J31" s="2">
        <v>2.5000000000000001E-2</v>
      </c>
      <c r="K31" s="4"/>
      <c r="L31" s="2">
        <f>G31+H31-J31-K31</f>
        <v>4.5000000000000005E-2</v>
      </c>
      <c r="M31" s="25">
        <f>NormStandard!O31*L31</f>
        <v>6.834774734400241E-2</v>
      </c>
    </row>
    <row r="32" spans="2:19">
      <c r="B32" s="1"/>
      <c r="C32" s="5">
        <v>18</v>
      </c>
      <c r="D32" s="1">
        <v>147</v>
      </c>
      <c r="E32" s="1"/>
      <c r="F32" s="3" t="s">
        <v>1</v>
      </c>
      <c r="G32" s="4"/>
      <c r="H32" s="3">
        <f>P23</f>
        <v>67.028660000000002</v>
      </c>
      <c r="I32" s="35"/>
      <c r="J32" s="4"/>
      <c r="K32" s="3">
        <f>S23</f>
        <v>13.594099999999999</v>
      </c>
      <c r="L32" s="3">
        <f>G32+H32-J32-K32</f>
        <v>53.434560000000005</v>
      </c>
      <c r="M32" s="66">
        <f>NormStandard!O32*L32</f>
        <v>9.3064523551827746E-2</v>
      </c>
    </row>
  </sheetData>
  <mergeCells count="1">
    <mergeCell ref="M12:M13"/>
  </mergeCells>
  <phoneticPr fontId="11" type="noConversion"/>
  <pageMargins left="0.7" right="0.7" top="0.75" bottom="0.75" header="0.3" footer="0.3"/>
  <pageSetup orientation="portrait" horizontalDpi="4294967293" verticalDpi="4294967293"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A769B-E8D0-4B12-BC4F-B4796A537870}">
  <dimension ref="B1:S32"/>
  <sheetViews>
    <sheetView topLeftCell="A7" zoomScale="70" zoomScaleNormal="70" workbookViewId="0">
      <selection activeCell="J15" sqref="J15"/>
    </sheetView>
  </sheetViews>
  <sheetFormatPr defaultRowHeight="14.25"/>
  <cols>
    <col min="2" max="2" width="11" customWidth="1"/>
    <col min="4" max="4" width="13.59765625" customWidth="1"/>
    <col min="5" max="5" width="2" customWidth="1"/>
    <col min="6" max="6" width="11.86328125" customWidth="1"/>
    <col min="7" max="7" width="12.59765625" customWidth="1"/>
    <col min="8" max="8" width="14.86328125" customWidth="1"/>
    <col min="9" max="9" width="4" customWidth="1"/>
    <col min="10" max="10" width="12.3984375" customWidth="1"/>
    <col min="11" max="11" width="11" customWidth="1"/>
    <col min="13" max="13" width="10.3984375" customWidth="1"/>
    <col min="14" max="14" width="2.73046875" customWidth="1"/>
    <col min="16" max="16" width="12.59765625" customWidth="1"/>
    <col min="17" max="17" width="2.3984375" customWidth="1"/>
    <col min="19" max="19" width="12.265625" customWidth="1"/>
  </cols>
  <sheetData>
    <row r="1" spans="2:19" ht="14.65" thickBot="1"/>
    <row r="2" spans="2:19" ht="14.65" thickBot="1">
      <c r="B2" s="6" t="s">
        <v>68</v>
      </c>
      <c r="C2" s="6"/>
      <c r="D2" s="200">
        <f>Conc1!D2</f>
        <v>45387</v>
      </c>
      <c r="G2" s="184" t="s">
        <v>318</v>
      </c>
      <c r="H2" s="184"/>
      <c r="I2" s="184"/>
      <c r="J2" s="184"/>
      <c r="K2" s="184"/>
      <c r="L2" s="184"/>
    </row>
    <row r="3" spans="2:19" ht="14.65" thickBot="1">
      <c r="B3" s="6" t="s">
        <v>69</v>
      </c>
      <c r="C3" s="6"/>
      <c r="D3" s="41" t="s">
        <v>89</v>
      </c>
      <c r="G3" s="11"/>
      <c r="H3" s="11"/>
    </row>
    <row r="4" spans="2:19" ht="14.65" thickBot="1">
      <c r="B4" s="6" t="s">
        <v>55</v>
      </c>
      <c r="C4" s="1"/>
      <c r="D4" s="199" t="str">
        <f>Conc1!D4</f>
        <v>Russo</v>
      </c>
      <c r="E4" s="12"/>
      <c r="H4" s="11"/>
      <c r="I4" s="11"/>
    </row>
    <row r="5" spans="2:19" ht="15" thickBot="1">
      <c r="B5" s="6" t="s">
        <v>17</v>
      </c>
      <c r="C5" s="7" t="s">
        <v>16</v>
      </c>
      <c r="D5" s="1"/>
    </row>
    <row r="6" spans="2:19" ht="14.65" thickBot="1">
      <c r="B6" s="1"/>
      <c r="C6" s="5" t="s">
        <v>5</v>
      </c>
      <c r="D6" s="17" t="s">
        <v>6</v>
      </c>
      <c r="E6" s="201" t="str">
        <f>Conc1!E6</f>
        <v>Y</v>
      </c>
      <c r="F6" s="202">
        <f>Conc1!F6</f>
        <v>6.0000000000000001E-3</v>
      </c>
      <c r="G6" s="14"/>
      <c r="H6" s="67" t="s">
        <v>56</v>
      </c>
      <c r="I6" s="1"/>
    </row>
    <row r="7" spans="2:19" ht="16.149999999999999" thickBot="1">
      <c r="B7" s="1"/>
      <c r="C7" s="5" t="s">
        <v>10</v>
      </c>
      <c r="D7" s="1"/>
      <c r="E7" s="18"/>
      <c r="F7" s="202">
        <f>Conc1!F7</f>
        <v>4.9800000000000004</v>
      </c>
      <c r="G7" s="14"/>
      <c r="H7" s="1" t="s">
        <v>21</v>
      </c>
      <c r="I7" s="13"/>
      <c r="J7" s="203">
        <f>Conc1!J7</f>
        <v>1</v>
      </c>
      <c r="K7" s="14" t="s">
        <v>19</v>
      </c>
    </row>
    <row r="8" spans="2:19" ht="16.149999999999999" thickBot="1">
      <c r="B8" s="1"/>
      <c r="C8" s="5" t="s">
        <v>11</v>
      </c>
      <c r="D8" s="1"/>
      <c r="E8" s="13"/>
      <c r="F8" s="202">
        <f>Conc1!F8</f>
        <v>15.04</v>
      </c>
      <c r="G8" s="14"/>
      <c r="H8" s="1" t="s">
        <v>22</v>
      </c>
      <c r="I8" s="1"/>
      <c r="J8" s="204">
        <f>J7*SQRT(3/5)</f>
        <v>0.7745966692414834</v>
      </c>
      <c r="K8" s="1" t="s">
        <v>19</v>
      </c>
    </row>
    <row r="9" spans="2:19" ht="16.149999999999999" thickBot="1">
      <c r="B9" s="1"/>
      <c r="C9" s="5" t="s">
        <v>12</v>
      </c>
      <c r="D9" s="1"/>
      <c r="E9" s="13"/>
      <c r="F9" s="202">
        <f>Conc1!F9</f>
        <v>14.89</v>
      </c>
      <c r="G9" s="14"/>
      <c r="H9" s="1" t="s">
        <v>20</v>
      </c>
      <c r="I9" s="1"/>
      <c r="J9" s="205">
        <f>Lamnm/(Refin*J7)</f>
        <v>458.19397993311031</v>
      </c>
      <c r="K9" s="1"/>
    </row>
    <row r="10" spans="2:19" ht="16.149999999999999" thickBot="1">
      <c r="B10" s="1"/>
      <c r="C10" s="5" t="s">
        <v>13</v>
      </c>
      <c r="D10" s="1"/>
      <c r="E10" s="13"/>
      <c r="F10" s="202">
        <f>Conc1!F10</f>
        <v>79.2</v>
      </c>
      <c r="G10" s="14"/>
      <c r="H10" s="1" t="s">
        <v>45</v>
      </c>
      <c r="I10" s="1"/>
      <c r="J10" s="206">
        <f>J8*(4*PI()*Refin/Lamnm)*SIN(RADIANS(D32/2))</f>
        <v>2.036915789429861E-2</v>
      </c>
      <c r="K10" s="1"/>
    </row>
    <row r="11" spans="2:19" ht="16.5">
      <c r="B11" s="1"/>
      <c r="C11" s="5" t="s">
        <v>14</v>
      </c>
      <c r="D11" s="33"/>
      <c r="E11" s="13"/>
      <c r="F11" s="202">
        <f>Conc1!F11</f>
        <v>4.92</v>
      </c>
      <c r="G11" s="14"/>
      <c r="H11" s="1" t="s">
        <v>46</v>
      </c>
      <c r="I11" s="1"/>
      <c r="J11" s="207">
        <f>1-J10^2/3</f>
        <v>0.999861699135559</v>
      </c>
      <c r="K11" s="1"/>
      <c r="M11" s="39"/>
      <c r="O11" s="39"/>
    </row>
    <row r="12" spans="2:19">
      <c r="M12" s="246" t="s">
        <v>110</v>
      </c>
    </row>
    <row r="13" spans="2:19" ht="15" thickBot="1">
      <c r="B13" s="6" t="s">
        <v>17</v>
      </c>
      <c r="C13" s="7" t="s">
        <v>15</v>
      </c>
      <c r="D13" s="7" t="s">
        <v>36</v>
      </c>
      <c r="E13" s="13"/>
      <c r="F13" s="24" t="s">
        <v>38</v>
      </c>
      <c r="G13" s="15" t="s">
        <v>108</v>
      </c>
      <c r="H13" s="6"/>
      <c r="I13" s="34"/>
      <c r="J13" s="6" t="s">
        <v>109</v>
      </c>
      <c r="K13" s="1"/>
      <c r="L13" s="7" t="s">
        <v>23</v>
      </c>
      <c r="M13" s="247"/>
    </row>
    <row r="14" spans="2:19">
      <c r="B14" s="1"/>
      <c r="C14" s="23" t="s">
        <v>37</v>
      </c>
      <c r="D14">
        <v>0</v>
      </c>
      <c r="E14" s="1"/>
      <c r="F14" s="16" t="s">
        <v>0</v>
      </c>
      <c r="G14" s="6" t="s">
        <v>111</v>
      </c>
      <c r="H14" s="6" t="s">
        <v>112</v>
      </c>
      <c r="I14" s="34"/>
      <c r="J14" s="6" t="s">
        <v>111</v>
      </c>
      <c r="K14" s="6" t="s">
        <v>113</v>
      </c>
      <c r="L14" s="1"/>
      <c r="M14" s="16"/>
      <c r="O14" s="27" t="s">
        <v>129</v>
      </c>
      <c r="P14" s="131"/>
      <c r="Q14" s="132"/>
      <c r="R14" s="198" t="s">
        <v>312</v>
      </c>
      <c r="S14" s="194"/>
    </row>
    <row r="15" spans="2:19">
      <c r="B15" s="1"/>
      <c r="C15" s="5">
        <v>1</v>
      </c>
      <c r="D15" s="1">
        <v>22.5</v>
      </c>
      <c r="E15" s="1"/>
      <c r="F15" s="2" t="s">
        <v>2</v>
      </c>
      <c r="G15" s="2">
        <v>0.26100000000000001</v>
      </c>
      <c r="H15" s="4"/>
      <c r="I15" s="35"/>
      <c r="J15" s="208">
        <f>Conc1!J15</f>
        <v>8.5999999999999993E-2</v>
      </c>
      <c r="K15" s="4"/>
      <c r="L15" s="2">
        <f>G15+H15-J15-K15</f>
        <v>0.17500000000000002</v>
      </c>
      <c r="M15" s="25">
        <f>NormStandard!O15*L15</f>
        <v>0.17260370254000118</v>
      </c>
      <c r="O15" s="29" t="s">
        <v>35</v>
      </c>
      <c r="P15" s="30"/>
      <c r="Q15" s="11"/>
      <c r="R15" s="195"/>
      <c r="S15" s="196"/>
    </row>
    <row r="16" spans="2:19">
      <c r="B16" s="1"/>
      <c r="C16" s="5">
        <v>2</v>
      </c>
      <c r="D16" s="1">
        <v>28</v>
      </c>
      <c r="E16" s="1"/>
      <c r="F16" s="2" t="s">
        <v>2</v>
      </c>
      <c r="G16" s="2">
        <v>0.115</v>
      </c>
      <c r="H16" s="4"/>
      <c r="I16" s="35"/>
      <c r="J16" s="208">
        <f>Conc1!J16</f>
        <v>4.9000000000000002E-2</v>
      </c>
      <c r="K16" s="4"/>
      <c r="L16" s="2">
        <f>G16+H16-J16-K16</f>
        <v>6.6000000000000003E-2</v>
      </c>
      <c r="M16" s="25">
        <f>NormStandard!O16*L16</f>
        <v>0.10330578262575371</v>
      </c>
      <c r="O16" s="19" t="s">
        <v>27</v>
      </c>
      <c r="P16" s="211">
        <v>60.781370000000003</v>
      </c>
      <c r="R16" s="19" t="s">
        <v>27</v>
      </c>
      <c r="S16" s="209">
        <f>Conc1!S16</f>
        <v>14.14034</v>
      </c>
    </row>
    <row r="17" spans="2:19">
      <c r="B17" s="1"/>
      <c r="C17" s="5">
        <v>3</v>
      </c>
      <c r="D17" s="1">
        <v>32</v>
      </c>
      <c r="E17" s="1"/>
      <c r="F17" s="2" t="s">
        <v>2</v>
      </c>
      <c r="G17" s="2">
        <v>0.13500000000000001</v>
      </c>
      <c r="H17" s="4"/>
      <c r="I17" s="35"/>
      <c r="J17" s="208">
        <f>Conc1!J17</f>
        <v>0.03</v>
      </c>
      <c r="K17" s="4"/>
      <c r="L17" s="2">
        <f>G17+H17-J17-K17</f>
        <v>0.10500000000000001</v>
      </c>
      <c r="M17" s="25">
        <f>NormStandard!O17*L17</f>
        <v>0.12571507869009924</v>
      </c>
      <c r="O17" s="19" t="s">
        <v>28</v>
      </c>
      <c r="P17" s="211">
        <v>102.00766</v>
      </c>
      <c r="R17" s="19" t="s">
        <v>28</v>
      </c>
      <c r="S17" s="209">
        <f>Conc1!S17</f>
        <v>20.997260000000001</v>
      </c>
    </row>
    <row r="18" spans="2:19">
      <c r="B18" s="1"/>
      <c r="C18" s="5">
        <v>4</v>
      </c>
      <c r="D18" s="1">
        <v>38</v>
      </c>
      <c r="E18" s="1"/>
      <c r="F18" s="31" t="s">
        <v>53</v>
      </c>
      <c r="G18" s="32"/>
      <c r="H18" s="4"/>
      <c r="I18" s="35"/>
      <c r="J18" s="32" t="s">
        <v>54</v>
      </c>
      <c r="K18" s="4"/>
      <c r="L18" s="32" t="s">
        <v>54</v>
      </c>
      <c r="M18" s="32" t="str">
        <f>NormStandard!O18</f>
        <v>---</v>
      </c>
      <c r="O18" s="19" t="s">
        <v>29</v>
      </c>
      <c r="P18" s="211">
        <v>87.729029999999995</v>
      </c>
      <c r="R18" s="19" t="s">
        <v>29</v>
      </c>
      <c r="S18" s="209">
        <f>Conc1!S18</f>
        <v>25.055669999999999</v>
      </c>
    </row>
    <row r="19" spans="2:19">
      <c r="B19" s="1"/>
      <c r="C19" s="5">
        <v>5</v>
      </c>
      <c r="D19" s="1">
        <v>44</v>
      </c>
      <c r="E19" s="1"/>
      <c r="F19" s="3" t="s">
        <v>1</v>
      </c>
      <c r="G19" s="4"/>
      <c r="H19" s="3">
        <f>P16</f>
        <v>60.781370000000003</v>
      </c>
      <c r="I19" s="35"/>
      <c r="J19" s="4"/>
      <c r="K19" s="3">
        <f>S16</f>
        <v>14.14034</v>
      </c>
      <c r="L19" s="3">
        <f t="shared" ref="L19:L26" si="0">G19+H19-J19-K19</f>
        <v>46.641030000000001</v>
      </c>
      <c r="M19" s="66">
        <f>NormStandard!O19*L19</f>
        <v>0.17927766644059828</v>
      </c>
      <c r="O19" s="19" t="s">
        <v>30</v>
      </c>
      <c r="P19" s="211">
        <v>89.466840000000005</v>
      </c>
      <c r="R19" s="19" t="s">
        <v>30</v>
      </c>
      <c r="S19" s="209">
        <f>Conc1!S19</f>
        <v>43.310589999999998</v>
      </c>
    </row>
    <row r="20" spans="2:19">
      <c r="B20" s="1"/>
      <c r="C20" s="5">
        <v>6</v>
      </c>
      <c r="D20" s="1">
        <v>50</v>
      </c>
      <c r="E20" s="1"/>
      <c r="F20" s="3" t="s">
        <v>1</v>
      </c>
      <c r="G20" s="4"/>
      <c r="H20" s="3">
        <f>P17</f>
        <v>102.00766</v>
      </c>
      <c r="I20" s="35"/>
      <c r="J20" s="4"/>
      <c r="K20" s="3">
        <f>S17</f>
        <v>20.997260000000001</v>
      </c>
      <c r="L20" s="3">
        <f t="shared" si="0"/>
        <v>81.010400000000004</v>
      </c>
      <c r="M20" s="66">
        <f>NormStandard!O20*L20</f>
        <v>9.3075015626347082E-2</v>
      </c>
      <c r="O20" s="19" t="s">
        <v>31</v>
      </c>
      <c r="P20" s="211">
        <v>21.838609999999999</v>
      </c>
      <c r="R20" s="19" t="s">
        <v>31</v>
      </c>
      <c r="S20" s="209">
        <f>Conc1!S20</f>
        <v>3.1831499999999999</v>
      </c>
    </row>
    <row r="21" spans="2:19">
      <c r="B21" s="1"/>
      <c r="C21" s="5">
        <v>7</v>
      </c>
      <c r="D21" s="1">
        <v>57</v>
      </c>
      <c r="E21" s="1"/>
      <c r="F21" s="2" t="s">
        <v>2</v>
      </c>
      <c r="G21" s="2">
        <v>0.16200000000000001</v>
      </c>
      <c r="H21" s="4"/>
      <c r="I21" s="35"/>
      <c r="J21" s="208">
        <f>Conc1!J21</f>
        <v>5.0999999999999997E-2</v>
      </c>
      <c r="K21" s="4"/>
      <c r="L21" s="2">
        <f t="shared" si="0"/>
        <v>0.11100000000000002</v>
      </c>
      <c r="M21" s="25">
        <f>NormStandard!O21*L21</f>
        <v>9.780104748500644E-2</v>
      </c>
      <c r="O21" s="19" t="s">
        <v>32</v>
      </c>
      <c r="P21" s="211">
        <v>39.113370000000003</v>
      </c>
      <c r="R21" s="19" t="s">
        <v>32</v>
      </c>
      <c r="S21" s="209">
        <f>Conc1!S21</f>
        <v>5.2176600000000004</v>
      </c>
    </row>
    <row r="22" spans="2:19">
      <c r="B22" s="1"/>
      <c r="C22" s="5">
        <v>8</v>
      </c>
      <c r="D22" s="1">
        <v>64</v>
      </c>
      <c r="E22" s="1"/>
      <c r="F22" s="3" t="s">
        <v>1</v>
      </c>
      <c r="G22" s="4"/>
      <c r="H22" s="3">
        <f>P18</f>
        <v>87.729029999999995</v>
      </c>
      <c r="I22" s="35"/>
      <c r="J22" s="4"/>
      <c r="K22" s="3">
        <f>S18</f>
        <v>25.055669999999999</v>
      </c>
      <c r="L22" s="3">
        <f t="shared" si="0"/>
        <v>62.673359999999995</v>
      </c>
      <c r="M22" s="66">
        <f>NormStandard!O22*L22</f>
        <v>7.8889356411430717E-2</v>
      </c>
      <c r="O22" s="19" t="s">
        <v>33</v>
      </c>
      <c r="P22" s="211">
        <v>56.01247</v>
      </c>
      <c r="R22" s="19" t="s">
        <v>33</v>
      </c>
      <c r="S22" s="209">
        <f>Conc1!S22</f>
        <v>9.1796500000000005</v>
      </c>
    </row>
    <row r="23" spans="2:19" ht="14.65" thickBot="1">
      <c r="B23" s="1"/>
      <c r="C23" s="5">
        <v>9</v>
      </c>
      <c r="D23" s="1">
        <v>72</v>
      </c>
      <c r="E23" s="1"/>
      <c r="F23" s="2" t="s">
        <v>2</v>
      </c>
      <c r="G23" s="2">
        <v>0.14199999999999999</v>
      </c>
      <c r="H23" s="4"/>
      <c r="I23" s="35"/>
      <c r="J23" s="208">
        <f>Conc1!J23</f>
        <v>3.4000000000000002E-2</v>
      </c>
      <c r="K23" s="4"/>
      <c r="L23" s="2">
        <f t="shared" si="0"/>
        <v>0.10799999999999998</v>
      </c>
      <c r="M23" s="25">
        <f>NormStandard!O23*L23</f>
        <v>0.10301305859887203</v>
      </c>
      <c r="O23" s="21" t="s">
        <v>34</v>
      </c>
      <c r="P23" s="212">
        <v>62.752299999999998</v>
      </c>
      <c r="R23" s="21" t="s">
        <v>34</v>
      </c>
      <c r="S23" s="210">
        <f>Conc1!S23</f>
        <v>13.594099999999999</v>
      </c>
    </row>
    <row r="24" spans="2:19">
      <c r="B24" s="1"/>
      <c r="C24" s="5">
        <v>10</v>
      </c>
      <c r="D24" s="1">
        <v>81</v>
      </c>
      <c r="E24" s="1"/>
      <c r="F24" s="3" t="s">
        <v>1</v>
      </c>
      <c r="G24" s="4"/>
      <c r="H24" s="3">
        <f>P19</f>
        <v>89.466840000000005</v>
      </c>
      <c r="I24" s="35"/>
      <c r="J24" s="4"/>
      <c r="K24" s="3">
        <f>S19</f>
        <v>43.310589999999998</v>
      </c>
      <c r="L24" s="3">
        <f t="shared" si="0"/>
        <v>46.156250000000007</v>
      </c>
      <c r="M24" s="66">
        <f>NormStandard!O24*L24</f>
        <v>5.6924613525092822E-2</v>
      </c>
    </row>
    <row r="25" spans="2:19">
      <c r="B25" s="1"/>
      <c r="C25" s="5">
        <v>11</v>
      </c>
      <c r="D25" s="1">
        <v>90</v>
      </c>
      <c r="E25" s="1"/>
      <c r="F25" s="2" t="s">
        <v>2</v>
      </c>
      <c r="G25" s="2">
        <v>0.125</v>
      </c>
      <c r="H25" s="4"/>
      <c r="I25" s="35"/>
      <c r="J25" s="208">
        <f>Conc1!J25</f>
        <v>0.03</v>
      </c>
      <c r="K25" s="4"/>
      <c r="L25" s="2">
        <f t="shared" si="0"/>
        <v>9.5000000000000001E-2</v>
      </c>
      <c r="M25" s="25">
        <f>NormStandard!O25*L25</f>
        <v>0.10074416431302731</v>
      </c>
    </row>
    <row r="26" spans="2:19">
      <c r="B26" s="1"/>
      <c r="C26" s="5">
        <v>12</v>
      </c>
      <c r="D26" s="1">
        <v>99</v>
      </c>
      <c r="E26" s="1"/>
      <c r="F26" s="3" t="s">
        <v>1</v>
      </c>
      <c r="G26" s="4"/>
      <c r="H26" s="3">
        <f>P20</f>
        <v>21.838609999999999</v>
      </c>
      <c r="I26" s="35"/>
      <c r="J26" s="4"/>
      <c r="K26" s="3">
        <f>S20</f>
        <v>3.1831499999999999</v>
      </c>
      <c r="L26" s="3">
        <f t="shared" si="0"/>
        <v>18.655459999999998</v>
      </c>
      <c r="M26" s="66">
        <f>NormStandard!O26*L26</f>
        <v>5.2966447471674151E-2</v>
      </c>
    </row>
    <row r="27" spans="2:19">
      <c r="B27" s="1"/>
      <c r="C27" s="5">
        <v>13</v>
      </c>
      <c r="D27" s="1">
        <v>108</v>
      </c>
      <c r="E27" s="1"/>
      <c r="F27" s="31" t="s">
        <v>53</v>
      </c>
      <c r="G27" s="32"/>
      <c r="H27" s="4"/>
      <c r="I27" s="35"/>
      <c r="J27" s="32" t="s">
        <v>54</v>
      </c>
      <c r="K27" s="32" t="s">
        <v>54</v>
      </c>
      <c r="L27" s="32" t="s">
        <v>54</v>
      </c>
      <c r="M27" s="32" t="str">
        <f>NormStandard!O27</f>
        <v>---</v>
      </c>
    </row>
    <row r="28" spans="2:19">
      <c r="B28" s="1"/>
      <c r="C28" s="5">
        <v>14</v>
      </c>
      <c r="D28" s="1">
        <v>117</v>
      </c>
      <c r="E28" s="1"/>
      <c r="F28" s="3" t="s">
        <v>1</v>
      </c>
      <c r="G28" s="4"/>
      <c r="H28" s="3">
        <f>P21</f>
        <v>39.113370000000003</v>
      </c>
      <c r="I28" s="35"/>
      <c r="J28" s="4"/>
      <c r="K28" s="3">
        <f>S21</f>
        <v>5.2176600000000004</v>
      </c>
      <c r="L28" s="3">
        <f>G28+H28-J28-K28</f>
        <v>33.895710000000001</v>
      </c>
      <c r="M28" s="66">
        <f>NormStandard!O28*L28</f>
        <v>0.10311459346351202</v>
      </c>
    </row>
    <row r="29" spans="2:19">
      <c r="B29" s="1"/>
      <c r="C29" s="5">
        <v>15</v>
      </c>
      <c r="D29" s="1">
        <v>126</v>
      </c>
      <c r="E29" s="1"/>
      <c r="F29" s="2" t="s">
        <v>2</v>
      </c>
      <c r="G29" s="2">
        <v>0.159</v>
      </c>
      <c r="H29" s="4"/>
      <c r="I29" s="35"/>
      <c r="J29" s="208">
        <f>Conc1!J29</f>
        <v>4.9000000000000002E-2</v>
      </c>
      <c r="K29" s="4"/>
      <c r="L29" s="2">
        <f>G29+H29-J29-K29</f>
        <v>0.11</v>
      </c>
      <c r="M29" s="25">
        <f>NormStandard!O29*L29</f>
        <v>9.1365047858104398E-2</v>
      </c>
    </row>
    <row r="30" spans="2:19">
      <c r="B30" s="1"/>
      <c r="C30" s="5">
        <v>16</v>
      </c>
      <c r="D30" s="1">
        <v>134</v>
      </c>
      <c r="E30" s="1"/>
      <c r="F30" s="3" t="s">
        <v>1</v>
      </c>
      <c r="G30" s="4"/>
      <c r="H30" s="3">
        <f>P22</f>
        <v>56.01247</v>
      </c>
      <c r="I30" s="35"/>
      <c r="J30" s="4"/>
      <c r="K30" s="3">
        <f>S22</f>
        <v>9.1796500000000005</v>
      </c>
      <c r="L30" s="3">
        <f>G30+H30-J30-K30</f>
        <v>46.832819999999998</v>
      </c>
      <c r="M30" s="66">
        <f>NormStandard!O30*L30</f>
        <v>0.15028112960101217</v>
      </c>
    </row>
    <row r="31" spans="2:19">
      <c r="B31" s="1"/>
      <c r="C31" s="5">
        <v>17</v>
      </c>
      <c r="D31" s="1">
        <v>141</v>
      </c>
      <c r="E31" s="1"/>
      <c r="F31" s="2" t="s">
        <v>2</v>
      </c>
      <c r="G31" s="2">
        <v>8.6999999999999994E-2</v>
      </c>
      <c r="H31" s="4"/>
      <c r="I31" s="35"/>
      <c r="J31" s="208">
        <f>Conc1!J31</f>
        <v>2.5000000000000001E-2</v>
      </c>
      <c r="K31" s="4"/>
      <c r="L31" s="2">
        <f>G31+H31-J31-K31</f>
        <v>6.1999999999999993E-2</v>
      </c>
      <c r="M31" s="25">
        <f>NormStandard!O31*L31</f>
        <v>9.4168007451736618E-2</v>
      </c>
    </row>
    <row r="32" spans="2:19">
      <c r="B32" s="1"/>
      <c r="C32" s="5">
        <v>18</v>
      </c>
      <c r="D32" s="1">
        <v>147</v>
      </c>
      <c r="E32" s="1"/>
      <c r="F32" s="3" t="s">
        <v>1</v>
      </c>
      <c r="G32" s="4"/>
      <c r="H32" s="3">
        <f>P23</f>
        <v>62.752299999999998</v>
      </c>
      <c r="I32" s="35"/>
      <c r="J32" s="4"/>
      <c r="K32" s="3">
        <f>S23</f>
        <v>13.594099999999999</v>
      </c>
      <c r="L32" s="3">
        <f>G32+H32-J32-K32</f>
        <v>49.158200000000001</v>
      </c>
      <c r="M32" s="66">
        <f>NormStandard!O32*L32</f>
        <v>8.5616583380970251E-2</v>
      </c>
    </row>
  </sheetData>
  <mergeCells count="1">
    <mergeCell ref="M12:M13"/>
  </mergeCells>
  <pageMargins left="0.7" right="0.7" top="0.75" bottom="0.75" header="0.3" footer="0.3"/>
  <pageSetup orientation="portrait" horizontalDpi="4294967293" verticalDpi="4294967293"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A2FE2-7AAD-4C91-BDAA-33C221330A16}">
  <dimension ref="B1:S32"/>
  <sheetViews>
    <sheetView zoomScale="70" zoomScaleNormal="70" workbookViewId="0">
      <selection activeCell="O27" sqref="O27"/>
    </sheetView>
  </sheetViews>
  <sheetFormatPr defaultRowHeight="14.25"/>
  <cols>
    <col min="2" max="2" width="11" customWidth="1"/>
    <col min="4" max="4" width="13.59765625" customWidth="1"/>
    <col min="5" max="5" width="2" customWidth="1"/>
    <col min="6" max="6" width="11.86328125" customWidth="1"/>
    <col min="7" max="7" width="12.59765625" customWidth="1"/>
    <col min="8" max="8" width="14.86328125" customWidth="1"/>
    <col min="9" max="9" width="4" customWidth="1"/>
    <col min="10" max="10" width="12.3984375" customWidth="1"/>
    <col min="11" max="11" width="11" customWidth="1"/>
    <col min="13" max="13" width="10.3984375" customWidth="1"/>
    <col min="14" max="14" width="2.73046875" customWidth="1"/>
    <col min="16" max="16" width="12.59765625" customWidth="1"/>
    <col min="17" max="17" width="2.3984375" customWidth="1"/>
    <col min="19" max="19" width="12.265625" customWidth="1"/>
  </cols>
  <sheetData>
    <row r="1" spans="2:19" ht="14.65" thickBot="1"/>
    <row r="2" spans="2:19" ht="14.65" thickBot="1">
      <c r="B2" s="6" t="s">
        <v>68</v>
      </c>
      <c r="C2" s="6"/>
      <c r="D2" s="200">
        <f>Conc1!D2</f>
        <v>45387</v>
      </c>
      <c r="G2" s="184" t="s">
        <v>318</v>
      </c>
      <c r="H2" s="184"/>
      <c r="I2" s="184"/>
      <c r="J2" s="184"/>
      <c r="K2" s="184"/>
      <c r="L2" s="184"/>
    </row>
    <row r="3" spans="2:19" ht="14.65" thickBot="1">
      <c r="B3" s="6" t="s">
        <v>69</v>
      </c>
      <c r="C3" s="6"/>
      <c r="D3" s="41" t="s">
        <v>89</v>
      </c>
      <c r="G3" s="11"/>
      <c r="H3" s="11"/>
    </row>
    <row r="4" spans="2:19" ht="14.65" thickBot="1">
      <c r="B4" s="6" t="s">
        <v>55</v>
      </c>
      <c r="C4" s="1"/>
      <c r="D4" s="199" t="str">
        <f>Conc1!D4</f>
        <v>Russo</v>
      </c>
      <c r="E4" s="12"/>
      <c r="H4" s="11"/>
      <c r="I4" s="11"/>
    </row>
    <row r="5" spans="2:19" ht="15" thickBot="1">
      <c r="B5" s="6" t="s">
        <v>17</v>
      </c>
      <c r="C5" s="7" t="s">
        <v>16</v>
      </c>
      <c r="D5" s="1"/>
    </row>
    <row r="6" spans="2:19" ht="14.65" thickBot="1">
      <c r="B6" s="1"/>
      <c r="C6" s="5" t="s">
        <v>5</v>
      </c>
      <c r="D6" s="17" t="s">
        <v>6</v>
      </c>
      <c r="E6" s="201" t="str">
        <f>Conc1!E6</f>
        <v>Y</v>
      </c>
      <c r="F6" s="202">
        <f>Conc1!F6</f>
        <v>6.0000000000000001E-3</v>
      </c>
      <c r="G6" s="14"/>
      <c r="H6" s="67" t="s">
        <v>56</v>
      </c>
      <c r="I6" s="1"/>
    </row>
    <row r="7" spans="2:19" ht="16.149999999999999" thickBot="1">
      <c r="B7" s="1"/>
      <c r="C7" s="5" t="s">
        <v>10</v>
      </c>
      <c r="D7" s="1"/>
      <c r="E7" s="18"/>
      <c r="F7" s="202">
        <f>Conc1!F7</f>
        <v>4.9800000000000004</v>
      </c>
      <c r="G7" s="14"/>
      <c r="H7" s="1" t="s">
        <v>21</v>
      </c>
      <c r="I7" s="13"/>
      <c r="J7" s="203">
        <f>Conc1!J7</f>
        <v>1</v>
      </c>
      <c r="K7" s="14" t="s">
        <v>19</v>
      </c>
    </row>
    <row r="8" spans="2:19" ht="16.149999999999999" thickBot="1">
      <c r="B8" s="1"/>
      <c r="C8" s="5" t="s">
        <v>11</v>
      </c>
      <c r="D8" s="1"/>
      <c r="E8" s="13"/>
      <c r="F8" s="202">
        <f>Conc1!F8</f>
        <v>15.04</v>
      </c>
      <c r="G8" s="14"/>
      <c r="H8" s="1" t="s">
        <v>22</v>
      </c>
      <c r="I8" s="1"/>
      <c r="J8" s="204">
        <f>J7*SQRT(3/5)</f>
        <v>0.7745966692414834</v>
      </c>
      <c r="K8" s="1" t="s">
        <v>19</v>
      </c>
    </row>
    <row r="9" spans="2:19" ht="16.149999999999999" thickBot="1">
      <c r="B9" s="1"/>
      <c r="C9" s="5" t="s">
        <v>12</v>
      </c>
      <c r="D9" s="1"/>
      <c r="E9" s="13"/>
      <c r="F9" s="202">
        <f>Conc1!F9</f>
        <v>14.89</v>
      </c>
      <c r="G9" s="14"/>
      <c r="H9" s="1" t="s">
        <v>20</v>
      </c>
      <c r="I9" s="1"/>
      <c r="J9" s="205">
        <f>Lamnm/(Refin*J7)</f>
        <v>458.19397993311031</v>
      </c>
      <c r="K9" s="1"/>
    </row>
    <row r="10" spans="2:19" ht="16.149999999999999" thickBot="1">
      <c r="B10" s="1"/>
      <c r="C10" s="5" t="s">
        <v>13</v>
      </c>
      <c r="D10" s="1"/>
      <c r="E10" s="13"/>
      <c r="F10" s="202">
        <f>Conc1!F10</f>
        <v>79.2</v>
      </c>
      <c r="G10" s="14"/>
      <c r="H10" s="1" t="s">
        <v>45</v>
      </c>
      <c r="I10" s="1"/>
      <c r="J10" s="206">
        <f>J8*(4*PI()*Refin/Lamnm)*SIN(RADIANS(D32/2))</f>
        <v>2.036915789429861E-2</v>
      </c>
      <c r="K10" s="1"/>
    </row>
    <row r="11" spans="2:19" ht="16.5">
      <c r="B11" s="1"/>
      <c r="C11" s="5" t="s">
        <v>14</v>
      </c>
      <c r="D11" s="33"/>
      <c r="E11" s="13"/>
      <c r="F11" s="202">
        <f>Conc1!F11</f>
        <v>4.92</v>
      </c>
      <c r="G11" s="14"/>
      <c r="H11" s="1" t="s">
        <v>46</v>
      </c>
      <c r="I11" s="1"/>
      <c r="J11" s="207">
        <f>1-J10^2/3</f>
        <v>0.999861699135559</v>
      </c>
      <c r="K11" s="1"/>
      <c r="M11" s="39"/>
      <c r="O11" s="39"/>
    </row>
    <row r="12" spans="2:19">
      <c r="M12" s="246" t="s">
        <v>110</v>
      </c>
    </row>
    <row r="13" spans="2:19" ht="15" thickBot="1">
      <c r="B13" s="6" t="s">
        <v>17</v>
      </c>
      <c r="C13" s="7" t="s">
        <v>15</v>
      </c>
      <c r="D13" s="7" t="s">
        <v>36</v>
      </c>
      <c r="E13" s="13"/>
      <c r="F13" s="24" t="s">
        <v>38</v>
      </c>
      <c r="G13" s="15" t="s">
        <v>108</v>
      </c>
      <c r="H13" s="6"/>
      <c r="I13" s="34"/>
      <c r="J13" s="6" t="s">
        <v>109</v>
      </c>
      <c r="K13" s="1"/>
      <c r="L13" s="7" t="s">
        <v>23</v>
      </c>
      <c r="M13" s="247"/>
    </row>
    <row r="14" spans="2:19">
      <c r="B14" s="1"/>
      <c r="C14" s="23" t="s">
        <v>37</v>
      </c>
      <c r="D14">
        <v>0</v>
      </c>
      <c r="E14" s="1"/>
      <c r="F14" s="16" t="s">
        <v>0</v>
      </c>
      <c r="G14" s="6" t="s">
        <v>111</v>
      </c>
      <c r="H14" s="6" t="s">
        <v>112</v>
      </c>
      <c r="I14" s="34"/>
      <c r="J14" s="6" t="s">
        <v>111</v>
      </c>
      <c r="K14" s="6" t="s">
        <v>113</v>
      </c>
      <c r="L14" s="1"/>
      <c r="M14" s="16"/>
      <c r="O14" s="27" t="s">
        <v>129</v>
      </c>
      <c r="P14" s="131"/>
      <c r="Q14" s="132"/>
      <c r="R14" s="198" t="s">
        <v>312</v>
      </c>
      <c r="S14" s="194"/>
    </row>
    <row r="15" spans="2:19">
      <c r="B15" s="1"/>
      <c r="C15" s="5">
        <v>1</v>
      </c>
      <c r="D15" s="1">
        <v>22.5</v>
      </c>
      <c r="E15" s="1"/>
      <c r="F15" s="2" t="s">
        <v>2</v>
      </c>
      <c r="G15" s="2">
        <v>0.46700000000000003</v>
      </c>
      <c r="H15" s="4"/>
      <c r="I15" s="35"/>
      <c r="J15" s="208">
        <f>Conc1!J15</f>
        <v>8.5999999999999993E-2</v>
      </c>
      <c r="K15" s="4"/>
      <c r="L15" s="2">
        <f>G15+H15-J15-K15</f>
        <v>0.38100000000000001</v>
      </c>
      <c r="M15" s="25">
        <f>NormStandard!O15*L15</f>
        <v>0.37578291810137393</v>
      </c>
      <c r="O15" s="29" t="s">
        <v>35</v>
      </c>
      <c r="P15" s="30"/>
      <c r="Q15" s="11"/>
      <c r="R15" s="195"/>
      <c r="S15" s="196"/>
    </row>
    <row r="16" spans="2:19">
      <c r="B16" s="1"/>
      <c r="C16" s="5">
        <v>2</v>
      </c>
      <c r="D16" s="1">
        <v>28</v>
      </c>
      <c r="E16" s="1"/>
      <c r="F16" s="2" t="s">
        <v>2</v>
      </c>
      <c r="G16" s="2">
        <v>0.18</v>
      </c>
      <c r="H16" s="4"/>
      <c r="I16" s="35"/>
      <c r="J16" s="208">
        <f>Conc1!J16</f>
        <v>4.9000000000000002E-2</v>
      </c>
      <c r="K16" s="4"/>
      <c r="L16" s="2">
        <f>G16+H16-J16-K16</f>
        <v>0.13100000000000001</v>
      </c>
      <c r="M16" s="25">
        <f>NormStandard!O16*L16</f>
        <v>0.20504632612081419</v>
      </c>
      <c r="O16" s="19" t="s">
        <v>27</v>
      </c>
      <c r="P16" s="211">
        <v>77.875450000000001</v>
      </c>
      <c r="R16" s="19" t="s">
        <v>27</v>
      </c>
      <c r="S16" s="209">
        <f>Conc1!S16</f>
        <v>14.14034</v>
      </c>
    </row>
    <row r="17" spans="2:19">
      <c r="B17" s="1"/>
      <c r="C17" s="5">
        <v>3</v>
      </c>
      <c r="D17" s="1">
        <v>32</v>
      </c>
      <c r="E17" s="1"/>
      <c r="F17" s="2" t="s">
        <v>2</v>
      </c>
      <c r="G17" s="2">
        <v>0.20399999999999999</v>
      </c>
      <c r="H17" s="4"/>
      <c r="I17" s="35"/>
      <c r="J17" s="208">
        <f>Conc1!J17</f>
        <v>0.03</v>
      </c>
      <c r="K17" s="4"/>
      <c r="L17" s="2">
        <f>G17+H17-J17-K17</f>
        <v>0.17399999999999999</v>
      </c>
      <c r="M17" s="25">
        <f>NormStandard!O17*L17</f>
        <v>0.20832784468645013</v>
      </c>
      <c r="O17" s="19" t="s">
        <v>28</v>
      </c>
      <c r="P17" s="211">
        <v>126.00104</v>
      </c>
      <c r="R17" s="19" t="s">
        <v>28</v>
      </c>
      <c r="S17" s="209">
        <f>Conc1!S17</f>
        <v>20.997260000000001</v>
      </c>
    </row>
    <row r="18" spans="2:19">
      <c r="B18" s="1"/>
      <c r="C18" s="5">
        <v>4</v>
      </c>
      <c r="D18" s="1">
        <v>38</v>
      </c>
      <c r="E18" s="1"/>
      <c r="F18" s="31" t="s">
        <v>53</v>
      </c>
      <c r="G18" s="32"/>
      <c r="H18" s="4"/>
      <c r="I18" s="35"/>
      <c r="J18" s="32" t="s">
        <v>54</v>
      </c>
      <c r="K18" s="4"/>
      <c r="L18" s="32" t="s">
        <v>54</v>
      </c>
      <c r="M18" s="32" t="str">
        <f>NormStandard!O18</f>
        <v>---</v>
      </c>
      <c r="O18" s="19" t="s">
        <v>29</v>
      </c>
      <c r="P18" s="211">
        <v>101.27226</v>
      </c>
      <c r="R18" s="19" t="s">
        <v>29</v>
      </c>
      <c r="S18" s="209">
        <f>Conc1!S18</f>
        <v>25.055669999999999</v>
      </c>
    </row>
    <row r="19" spans="2:19">
      <c r="B19" s="1"/>
      <c r="C19" s="5">
        <v>5</v>
      </c>
      <c r="D19" s="1">
        <v>44</v>
      </c>
      <c r="E19" s="1"/>
      <c r="F19" s="3" t="s">
        <v>1</v>
      </c>
      <c r="G19" s="4"/>
      <c r="H19" s="3">
        <f>P16</f>
        <v>77.875450000000001</v>
      </c>
      <c r="I19" s="35"/>
      <c r="J19" s="4"/>
      <c r="K19" s="3">
        <f>S16</f>
        <v>14.14034</v>
      </c>
      <c r="L19" s="3">
        <f t="shared" ref="L19:L26" si="0">G19+H19-J19-K19</f>
        <v>63.735109999999999</v>
      </c>
      <c r="M19" s="66">
        <f>NormStandard!O19*L19</f>
        <v>0.24498347894836026</v>
      </c>
      <c r="O19" s="19" t="s">
        <v>30</v>
      </c>
      <c r="P19" s="211">
        <v>94.989140000000006</v>
      </c>
      <c r="R19" s="19" t="s">
        <v>30</v>
      </c>
      <c r="S19" s="209">
        <f>Conc1!S19</f>
        <v>43.310589999999998</v>
      </c>
    </row>
    <row r="20" spans="2:19">
      <c r="B20" s="1"/>
      <c r="C20" s="5">
        <v>6</v>
      </c>
      <c r="D20" s="1">
        <v>50</v>
      </c>
      <c r="E20" s="1"/>
      <c r="F20" s="3" t="s">
        <v>1</v>
      </c>
      <c r="G20" s="4"/>
      <c r="H20" s="3">
        <f>P17</f>
        <v>126.00104</v>
      </c>
      <c r="I20" s="35"/>
      <c r="J20" s="4"/>
      <c r="K20" s="3">
        <f>S17</f>
        <v>20.997260000000001</v>
      </c>
      <c r="L20" s="3">
        <f t="shared" si="0"/>
        <v>105.00378000000001</v>
      </c>
      <c r="M20" s="66">
        <f>NormStandard!O20*L20</f>
        <v>0.12064165174256036</v>
      </c>
      <c r="O20" s="19" t="s">
        <v>31</v>
      </c>
      <c r="P20" s="211">
        <v>22.58831</v>
      </c>
      <c r="R20" s="19" t="s">
        <v>31</v>
      </c>
      <c r="S20" s="209">
        <f>Conc1!S20</f>
        <v>3.1831499999999999</v>
      </c>
    </row>
    <row r="21" spans="2:19">
      <c r="B21" s="1"/>
      <c r="C21" s="5">
        <v>7</v>
      </c>
      <c r="D21" s="1">
        <v>57</v>
      </c>
      <c r="E21" s="1"/>
      <c r="F21" s="2" t="s">
        <v>2</v>
      </c>
      <c r="G21" s="2">
        <v>0.19600000000000001</v>
      </c>
      <c r="H21" s="4"/>
      <c r="I21" s="35"/>
      <c r="J21" s="208">
        <f>Conc1!J21</f>
        <v>5.0999999999999997E-2</v>
      </c>
      <c r="K21" s="4"/>
      <c r="L21" s="2">
        <f t="shared" si="0"/>
        <v>0.14500000000000002</v>
      </c>
      <c r="M21" s="25">
        <f>NormStandard!O21*L21</f>
        <v>0.12775812509302642</v>
      </c>
      <c r="O21" s="19" t="s">
        <v>32</v>
      </c>
      <c r="P21" s="211">
        <v>42.768590000000003</v>
      </c>
      <c r="R21" s="19" t="s">
        <v>32</v>
      </c>
      <c r="S21" s="209">
        <f>Conc1!S21</f>
        <v>5.2176600000000004</v>
      </c>
    </row>
    <row r="22" spans="2:19">
      <c r="B22" s="1"/>
      <c r="C22" s="5">
        <v>8</v>
      </c>
      <c r="D22" s="1">
        <v>64</v>
      </c>
      <c r="E22" s="1"/>
      <c r="F22" s="3" t="s">
        <v>1</v>
      </c>
      <c r="G22" s="4"/>
      <c r="H22" s="3">
        <f>P18</f>
        <v>101.27226</v>
      </c>
      <c r="I22" s="35"/>
      <c r="J22" s="4"/>
      <c r="K22" s="3">
        <f>S18</f>
        <v>25.055669999999999</v>
      </c>
      <c r="L22" s="3">
        <f t="shared" si="0"/>
        <v>76.216589999999997</v>
      </c>
      <c r="M22" s="66">
        <f>NormStandard!O22*L22</f>
        <v>9.5936738240520167E-2</v>
      </c>
      <c r="O22" s="19" t="s">
        <v>33</v>
      </c>
      <c r="P22" s="211">
        <v>61.264560000000003</v>
      </c>
      <c r="R22" s="19" t="s">
        <v>33</v>
      </c>
      <c r="S22" s="209">
        <f>Conc1!S22</f>
        <v>9.1796500000000005</v>
      </c>
    </row>
    <row r="23" spans="2:19" ht="14.65" thickBot="1">
      <c r="B23" s="1"/>
      <c r="C23" s="5">
        <v>9</v>
      </c>
      <c r="D23" s="1">
        <v>72</v>
      </c>
      <c r="E23" s="1"/>
      <c r="F23" s="2" t="s">
        <v>2</v>
      </c>
      <c r="G23" s="2">
        <v>0.16500000000000001</v>
      </c>
      <c r="H23" s="4"/>
      <c r="I23" s="35"/>
      <c r="J23" s="208">
        <f>Conc1!J23</f>
        <v>3.4000000000000002E-2</v>
      </c>
      <c r="K23" s="4"/>
      <c r="L23" s="2">
        <f t="shared" si="0"/>
        <v>0.13100000000000001</v>
      </c>
      <c r="M23" s="25">
        <f>NormStandard!O23*L23</f>
        <v>0.12495102478196515</v>
      </c>
      <c r="O23" s="21" t="s">
        <v>34</v>
      </c>
      <c r="P23" s="212">
        <v>71.366619999999998</v>
      </c>
      <c r="R23" s="21" t="s">
        <v>34</v>
      </c>
      <c r="S23" s="210">
        <f>Conc1!S23</f>
        <v>13.594099999999999</v>
      </c>
    </row>
    <row r="24" spans="2:19">
      <c r="B24" s="1"/>
      <c r="C24" s="5">
        <v>10</v>
      </c>
      <c r="D24" s="1">
        <v>81</v>
      </c>
      <c r="E24" s="1"/>
      <c r="F24" s="3" t="s">
        <v>1</v>
      </c>
      <c r="G24" s="4"/>
      <c r="H24" s="3">
        <f>P19</f>
        <v>94.989140000000006</v>
      </c>
      <c r="I24" s="35"/>
      <c r="J24" s="4"/>
      <c r="K24" s="3">
        <f>S19</f>
        <v>43.310589999999998</v>
      </c>
      <c r="L24" s="3">
        <f t="shared" si="0"/>
        <v>51.678550000000008</v>
      </c>
      <c r="M24" s="66">
        <f>NormStandard!O24*L24</f>
        <v>6.3735279323757582E-2</v>
      </c>
    </row>
    <row r="25" spans="2:19">
      <c r="B25" s="1"/>
      <c r="C25" s="5">
        <v>11</v>
      </c>
      <c r="D25" s="1">
        <v>90</v>
      </c>
      <c r="E25" s="1"/>
      <c r="F25" s="2" t="s">
        <v>2</v>
      </c>
      <c r="G25" s="2">
        <v>0.14699999999999999</v>
      </c>
      <c r="H25" s="4"/>
      <c r="I25" s="35"/>
      <c r="J25" s="208">
        <f>Conc1!J25</f>
        <v>0.03</v>
      </c>
      <c r="K25" s="4"/>
      <c r="L25" s="2">
        <f t="shared" si="0"/>
        <v>0.11699999999999999</v>
      </c>
      <c r="M25" s="25">
        <f>NormStandard!O25*L25</f>
        <v>0.12407439183814942</v>
      </c>
    </row>
    <row r="26" spans="2:19">
      <c r="B26" s="1"/>
      <c r="C26" s="5">
        <v>12</v>
      </c>
      <c r="D26" s="1">
        <v>99</v>
      </c>
      <c r="E26" s="1"/>
      <c r="F26" s="3" t="s">
        <v>1</v>
      </c>
      <c r="G26" s="4"/>
      <c r="H26" s="3">
        <f>P20</f>
        <v>22.58831</v>
      </c>
      <c r="I26" s="35"/>
      <c r="J26" s="4"/>
      <c r="K26" s="3">
        <f>S20</f>
        <v>3.1831499999999999</v>
      </c>
      <c r="L26" s="3">
        <f t="shared" si="0"/>
        <v>19.405159999999999</v>
      </c>
      <c r="M26" s="66">
        <f>NormStandard!O26*L26</f>
        <v>5.5094990304148619E-2</v>
      </c>
    </row>
    <row r="27" spans="2:19">
      <c r="B27" s="1"/>
      <c r="C27" s="5">
        <v>13</v>
      </c>
      <c r="D27" s="1">
        <v>108</v>
      </c>
      <c r="E27" s="1"/>
      <c r="F27" s="31" t="s">
        <v>53</v>
      </c>
      <c r="G27" s="32"/>
      <c r="H27" s="4"/>
      <c r="I27" s="35"/>
      <c r="J27" s="32" t="s">
        <v>54</v>
      </c>
      <c r="K27" s="32" t="s">
        <v>54</v>
      </c>
      <c r="L27" s="32" t="s">
        <v>54</v>
      </c>
      <c r="M27" s="32" t="str">
        <f>NormStandard!O27</f>
        <v>---</v>
      </c>
    </row>
    <row r="28" spans="2:19">
      <c r="B28" s="1"/>
      <c r="C28" s="5">
        <v>14</v>
      </c>
      <c r="D28" s="1">
        <v>117</v>
      </c>
      <c r="E28" s="1"/>
      <c r="F28" s="3" t="s">
        <v>1</v>
      </c>
      <c r="G28" s="4"/>
      <c r="H28" s="3">
        <f>P21</f>
        <v>42.768590000000003</v>
      </c>
      <c r="I28" s="35"/>
      <c r="J28" s="4"/>
      <c r="K28" s="3">
        <f>S21</f>
        <v>5.2176600000000004</v>
      </c>
      <c r="L28" s="3">
        <f>G28+H28-J28-K28</f>
        <v>37.550930000000001</v>
      </c>
      <c r="M28" s="66">
        <f>NormStandard!O28*L28</f>
        <v>0.11423418719144096</v>
      </c>
    </row>
    <row r="29" spans="2:19">
      <c r="B29" s="1"/>
      <c r="C29" s="5">
        <v>15</v>
      </c>
      <c r="D29" s="1">
        <v>126</v>
      </c>
      <c r="E29" s="1"/>
      <c r="F29" s="2" t="s">
        <v>2</v>
      </c>
      <c r="G29" s="2">
        <v>0.186</v>
      </c>
      <c r="H29" s="4"/>
      <c r="I29" s="35"/>
      <c r="J29" s="208">
        <f>Conc1!J29</f>
        <v>4.9000000000000002E-2</v>
      </c>
      <c r="K29" s="4"/>
      <c r="L29" s="2">
        <f>G29+H29-J29-K29</f>
        <v>0.13700000000000001</v>
      </c>
      <c r="M29" s="25">
        <f>NormStandard!O29*L29</f>
        <v>0.11379101415054822</v>
      </c>
    </row>
    <row r="30" spans="2:19">
      <c r="B30" s="1"/>
      <c r="C30" s="5">
        <v>16</v>
      </c>
      <c r="D30" s="1">
        <v>134</v>
      </c>
      <c r="E30" s="1"/>
      <c r="F30" s="3" t="s">
        <v>1</v>
      </c>
      <c r="G30" s="4"/>
      <c r="H30" s="3">
        <f>P22</f>
        <v>61.264560000000003</v>
      </c>
      <c r="I30" s="35"/>
      <c r="J30" s="4"/>
      <c r="K30" s="3">
        <f>S22</f>
        <v>9.1796500000000005</v>
      </c>
      <c r="L30" s="3">
        <f>G30+H30-J30-K30</f>
        <v>52.084910000000001</v>
      </c>
      <c r="M30" s="66">
        <f>NormStandard!O30*L30</f>
        <v>0.16713448197155448</v>
      </c>
    </row>
    <row r="31" spans="2:19">
      <c r="B31" s="1"/>
      <c r="C31" s="5">
        <v>17</v>
      </c>
      <c r="D31" s="1">
        <v>141</v>
      </c>
      <c r="E31" s="1"/>
      <c r="F31" s="2" t="s">
        <v>2</v>
      </c>
      <c r="G31" s="2">
        <v>0.104</v>
      </c>
      <c r="H31" s="4"/>
      <c r="I31" s="35"/>
      <c r="J31" s="208">
        <f>Conc1!J31</f>
        <v>2.5000000000000001E-2</v>
      </c>
      <c r="K31" s="4"/>
      <c r="L31" s="2">
        <f>G31+H31-J31-K31</f>
        <v>7.8999999999999987E-2</v>
      </c>
      <c r="M31" s="25">
        <f>NormStandard!O31*L31</f>
        <v>0.11998826755947085</v>
      </c>
    </row>
    <row r="32" spans="2:19">
      <c r="B32" s="1"/>
      <c r="C32" s="5">
        <v>18</v>
      </c>
      <c r="D32" s="1">
        <v>147</v>
      </c>
      <c r="E32" s="1"/>
      <c r="F32" s="3" t="s">
        <v>1</v>
      </c>
      <c r="G32" s="4"/>
      <c r="H32" s="3">
        <f>P23</f>
        <v>71.366619999999998</v>
      </c>
      <c r="I32" s="35"/>
      <c r="J32" s="4"/>
      <c r="K32" s="3">
        <f>S23</f>
        <v>13.594099999999999</v>
      </c>
      <c r="L32" s="3">
        <f>G32+H32-J32-K32</f>
        <v>57.77252</v>
      </c>
      <c r="M32" s="66">
        <f>NormStandard!O32*L32</f>
        <v>0.10061974961875682</v>
      </c>
    </row>
  </sheetData>
  <mergeCells count="1">
    <mergeCell ref="M12:M13"/>
  </mergeCells>
  <pageMargins left="0.7" right="0.7" top="0.75" bottom="0.75" header="0.3" footer="0.3"/>
  <pageSetup orientation="portrait" horizontalDpi="4294967293" verticalDpi="4294967293"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61B6C-1C83-42ED-80E7-7B6C70A3D3F5}">
  <dimension ref="B1:S32"/>
  <sheetViews>
    <sheetView topLeftCell="A13" zoomScale="70" zoomScaleNormal="70" workbookViewId="0">
      <selection activeCell="T27" sqref="T27"/>
    </sheetView>
  </sheetViews>
  <sheetFormatPr defaultRowHeight="14.25"/>
  <cols>
    <col min="2" max="2" width="11" customWidth="1"/>
    <col min="4" max="4" width="13.59765625" customWidth="1"/>
    <col min="5" max="5" width="2" customWidth="1"/>
    <col min="6" max="6" width="11.86328125" customWidth="1"/>
    <col min="7" max="7" width="12.59765625" customWidth="1"/>
    <col min="8" max="8" width="14.86328125" customWidth="1"/>
    <col min="9" max="9" width="4" customWidth="1"/>
    <col min="10" max="10" width="12.3984375" customWidth="1"/>
    <col min="11" max="11" width="11" customWidth="1"/>
    <col min="13" max="13" width="10.3984375" customWidth="1"/>
    <col min="14" max="14" width="2.73046875" customWidth="1"/>
    <col min="16" max="16" width="12.59765625" customWidth="1"/>
    <col min="17" max="17" width="2.3984375" customWidth="1"/>
    <col min="19" max="19" width="12.265625" customWidth="1"/>
  </cols>
  <sheetData>
    <row r="1" spans="2:19" ht="14.65" thickBot="1"/>
    <row r="2" spans="2:19" ht="14.65" thickBot="1">
      <c r="B2" s="6" t="s">
        <v>68</v>
      </c>
      <c r="C2" s="6"/>
      <c r="D2" s="200">
        <f>Conc1!D2</f>
        <v>45387</v>
      </c>
      <c r="G2" s="184" t="s">
        <v>318</v>
      </c>
      <c r="H2" s="184"/>
      <c r="I2" s="184"/>
      <c r="J2" s="184"/>
      <c r="K2" s="184"/>
      <c r="L2" s="184"/>
    </row>
    <row r="3" spans="2:19" ht="14.65" thickBot="1">
      <c r="B3" s="6" t="s">
        <v>69</v>
      </c>
      <c r="C3" s="6"/>
      <c r="D3" s="41" t="s">
        <v>89</v>
      </c>
      <c r="G3" s="11"/>
      <c r="H3" s="11"/>
    </row>
    <row r="4" spans="2:19" ht="14.65" thickBot="1">
      <c r="B4" s="6" t="s">
        <v>55</v>
      </c>
      <c r="C4" s="1"/>
      <c r="D4" s="199" t="str">
        <f>Conc1!D4</f>
        <v>Russo</v>
      </c>
      <c r="E4" s="12"/>
      <c r="H4" s="11"/>
      <c r="I4" s="11"/>
    </row>
    <row r="5" spans="2:19" ht="15" thickBot="1">
      <c r="B5" s="6" t="s">
        <v>17</v>
      </c>
      <c r="C5" s="7" t="s">
        <v>16</v>
      </c>
      <c r="D5" s="1"/>
    </row>
    <row r="6" spans="2:19" ht="14.65" thickBot="1">
      <c r="B6" s="1"/>
      <c r="C6" s="5" t="s">
        <v>5</v>
      </c>
      <c r="D6" s="17" t="s">
        <v>6</v>
      </c>
      <c r="E6" s="201" t="str">
        <f>Conc1!E6</f>
        <v>Y</v>
      </c>
      <c r="F6" s="202">
        <f>Conc1!F6</f>
        <v>6.0000000000000001E-3</v>
      </c>
      <c r="G6" s="14"/>
      <c r="H6" s="67" t="s">
        <v>56</v>
      </c>
      <c r="I6" s="1"/>
    </row>
    <row r="7" spans="2:19" ht="16.149999999999999" thickBot="1">
      <c r="B7" s="1"/>
      <c r="C7" s="5" t="s">
        <v>10</v>
      </c>
      <c r="D7" s="1"/>
      <c r="E7" s="18"/>
      <c r="F7" s="202">
        <f>Conc1!F7</f>
        <v>4.9800000000000004</v>
      </c>
      <c r="G7" s="14"/>
      <c r="H7" s="1" t="s">
        <v>21</v>
      </c>
      <c r="I7" s="13"/>
      <c r="J7" s="203">
        <f>Conc1!J7</f>
        <v>1</v>
      </c>
      <c r="K7" s="14" t="s">
        <v>19</v>
      </c>
    </row>
    <row r="8" spans="2:19" ht="16.149999999999999" thickBot="1">
      <c r="B8" s="1"/>
      <c r="C8" s="5" t="s">
        <v>11</v>
      </c>
      <c r="D8" s="1"/>
      <c r="E8" s="13"/>
      <c r="F8" s="202">
        <f>Conc1!F8</f>
        <v>15.04</v>
      </c>
      <c r="G8" s="14"/>
      <c r="H8" s="1" t="s">
        <v>22</v>
      </c>
      <c r="I8" s="1"/>
      <c r="J8" s="204">
        <f>J7*SQRT(3/5)</f>
        <v>0.7745966692414834</v>
      </c>
      <c r="K8" s="1" t="s">
        <v>19</v>
      </c>
    </row>
    <row r="9" spans="2:19" ht="16.149999999999999" thickBot="1">
      <c r="B9" s="1"/>
      <c r="C9" s="5" t="s">
        <v>12</v>
      </c>
      <c r="D9" s="1"/>
      <c r="E9" s="13"/>
      <c r="F9" s="202">
        <f>Conc1!F9</f>
        <v>14.89</v>
      </c>
      <c r="G9" s="14"/>
      <c r="H9" s="1" t="s">
        <v>20</v>
      </c>
      <c r="I9" s="1"/>
      <c r="J9" s="205">
        <f>Lamnm/(Refin*J7)</f>
        <v>458.19397993311031</v>
      </c>
      <c r="K9" s="1"/>
    </row>
    <row r="10" spans="2:19" ht="16.149999999999999" thickBot="1">
      <c r="B10" s="1"/>
      <c r="C10" s="5" t="s">
        <v>13</v>
      </c>
      <c r="D10" s="1"/>
      <c r="E10" s="13"/>
      <c r="F10" s="202">
        <f>Conc1!F10</f>
        <v>79.2</v>
      </c>
      <c r="G10" s="14"/>
      <c r="H10" s="1" t="s">
        <v>45</v>
      </c>
      <c r="I10" s="1"/>
      <c r="J10" s="206">
        <f>J8*(4*PI()*Refin/Lamnm)*SIN(RADIANS(D32/2))</f>
        <v>2.036915789429861E-2</v>
      </c>
      <c r="K10" s="1"/>
    </row>
    <row r="11" spans="2:19" ht="16.5">
      <c r="B11" s="1"/>
      <c r="C11" s="5" t="s">
        <v>14</v>
      </c>
      <c r="D11" s="33"/>
      <c r="E11" s="13"/>
      <c r="F11" s="202">
        <f>Conc1!F11</f>
        <v>4.92</v>
      </c>
      <c r="G11" s="14"/>
      <c r="H11" s="1" t="s">
        <v>46</v>
      </c>
      <c r="I11" s="1"/>
      <c r="J11" s="207">
        <f>1-J10^2/3</f>
        <v>0.999861699135559</v>
      </c>
      <c r="K11" s="1"/>
      <c r="M11" s="39"/>
      <c r="O11" s="39"/>
    </row>
    <row r="12" spans="2:19">
      <c r="M12" s="246" t="s">
        <v>110</v>
      </c>
    </row>
    <row r="13" spans="2:19" ht="15" thickBot="1">
      <c r="B13" s="6" t="s">
        <v>17</v>
      </c>
      <c r="C13" s="7" t="s">
        <v>15</v>
      </c>
      <c r="D13" s="7" t="s">
        <v>36</v>
      </c>
      <c r="E13" s="13"/>
      <c r="F13" s="24" t="s">
        <v>38</v>
      </c>
      <c r="G13" s="15" t="s">
        <v>108</v>
      </c>
      <c r="H13" s="6"/>
      <c r="I13" s="34"/>
      <c r="J13" s="6" t="s">
        <v>109</v>
      </c>
      <c r="K13" s="1"/>
      <c r="L13" s="7" t="s">
        <v>23</v>
      </c>
      <c r="M13" s="247"/>
    </row>
    <row r="14" spans="2:19">
      <c r="B14" s="1"/>
      <c r="C14" s="23" t="s">
        <v>37</v>
      </c>
      <c r="D14">
        <v>0</v>
      </c>
      <c r="E14" s="1"/>
      <c r="F14" s="16" t="s">
        <v>0</v>
      </c>
      <c r="G14" s="6" t="s">
        <v>111</v>
      </c>
      <c r="H14" s="6" t="s">
        <v>112</v>
      </c>
      <c r="I14" s="34"/>
      <c r="J14" s="6" t="s">
        <v>111</v>
      </c>
      <c r="K14" s="6" t="s">
        <v>113</v>
      </c>
      <c r="L14" s="1"/>
      <c r="M14" s="16"/>
      <c r="O14" s="27" t="s">
        <v>129</v>
      </c>
      <c r="P14" s="131"/>
      <c r="Q14" s="132"/>
      <c r="R14" s="198" t="s">
        <v>312</v>
      </c>
      <c r="S14" s="194"/>
    </row>
    <row r="15" spans="2:19">
      <c r="B15" s="1"/>
      <c r="C15" s="5">
        <v>1</v>
      </c>
      <c r="D15" s="1">
        <v>22.5</v>
      </c>
      <c r="E15" s="1"/>
      <c r="F15" s="2" t="s">
        <v>2</v>
      </c>
      <c r="G15" s="2">
        <v>0.59699999999999998</v>
      </c>
      <c r="H15" s="4"/>
      <c r="I15" s="35"/>
      <c r="J15" s="208">
        <f>Conc1!J15</f>
        <v>8.5999999999999993E-2</v>
      </c>
      <c r="K15" s="4"/>
      <c r="L15" s="2">
        <f>G15+H15-J15-K15</f>
        <v>0.51100000000000001</v>
      </c>
      <c r="M15" s="25">
        <f>NormStandard!O15*L15</f>
        <v>0.50400281141680336</v>
      </c>
      <c r="O15" s="29" t="s">
        <v>35</v>
      </c>
      <c r="P15" s="30"/>
      <c r="Q15" s="11"/>
      <c r="R15" s="195"/>
      <c r="S15" s="196"/>
    </row>
    <row r="16" spans="2:19">
      <c r="B16" s="1"/>
      <c r="C16" s="5">
        <v>2</v>
      </c>
      <c r="D16" s="1">
        <v>28</v>
      </c>
      <c r="E16" s="1"/>
      <c r="F16" s="2" t="s">
        <v>2</v>
      </c>
      <c r="G16" s="2">
        <v>0.27</v>
      </c>
      <c r="H16" s="4"/>
      <c r="I16" s="35"/>
      <c r="J16" s="208">
        <f>Conc1!J16</f>
        <v>4.9000000000000002E-2</v>
      </c>
      <c r="K16" s="4"/>
      <c r="L16" s="2">
        <f>G16+H16-J16-K16</f>
        <v>0.22100000000000003</v>
      </c>
      <c r="M16" s="25">
        <f>NormStandard!O16*L16</f>
        <v>0.34591784788320568</v>
      </c>
      <c r="O16" s="19" t="s">
        <v>27</v>
      </c>
      <c r="P16" s="211">
        <v>79.009320000000002</v>
      </c>
      <c r="R16" s="19" t="s">
        <v>27</v>
      </c>
      <c r="S16" s="209">
        <f>Conc1!S16</f>
        <v>14.14034</v>
      </c>
    </row>
    <row r="17" spans="2:19">
      <c r="B17" s="1"/>
      <c r="C17" s="5">
        <v>3</v>
      </c>
      <c r="D17" s="1">
        <v>32</v>
      </c>
      <c r="E17" s="1"/>
      <c r="F17" s="2" t="s">
        <v>2</v>
      </c>
      <c r="G17" s="2">
        <v>0.24</v>
      </c>
      <c r="H17" s="4"/>
      <c r="I17" s="35"/>
      <c r="J17" s="208">
        <f>Conc1!J17</f>
        <v>0.03</v>
      </c>
      <c r="K17" s="4"/>
      <c r="L17" s="2">
        <f>G17+H17-J17-K17</f>
        <v>0.21</v>
      </c>
      <c r="M17" s="25">
        <f>NormStandard!O17*L17</f>
        <v>0.25143015738019847</v>
      </c>
      <c r="O17" s="19" t="s">
        <v>28</v>
      </c>
      <c r="P17" s="211">
        <v>123.1549</v>
      </c>
      <c r="R17" s="19" t="s">
        <v>28</v>
      </c>
      <c r="S17" s="209">
        <f>Conc1!S17</f>
        <v>20.997260000000001</v>
      </c>
    </row>
    <row r="18" spans="2:19">
      <c r="B18" s="1"/>
      <c r="C18" s="5">
        <v>4</v>
      </c>
      <c r="D18" s="1">
        <v>38</v>
      </c>
      <c r="E18" s="1"/>
      <c r="F18" s="31" t="s">
        <v>53</v>
      </c>
      <c r="G18" s="32"/>
      <c r="H18" s="4"/>
      <c r="I18" s="35"/>
      <c r="J18" s="32" t="s">
        <v>54</v>
      </c>
      <c r="K18" s="4"/>
      <c r="L18" s="32" t="s">
        <v>54</v>
      </c>
      <c r="M18" s="32" t="str">
        <f>NormStandard!O18</f>
        <v>---</v>
      </c>
      <c r="O18" s="19" t="s">
        <v>29</v>
      </c>
      <c r="P18" s="211">
        <v>111.11346</v>
      </c>
      <c r="R18" s="19" t="s">
        <v>29</v>
      </c>
      <c r="S18" s="209">
        <f>Conc1!S18</f>
        <v>25.055669999999999</v>
      </c>
    </row>
    <row r="19" spans="2:19">
      <c r="B19" s="1"/>
      <c r="C19" s="5">
        <v>5</v>
      </c>
      <c r="D19" s="1">
        <v>44</v>
      </c>
      <c r="E19" s="1"/>
      <c r="F19" s="3" t="s">
        <v>1</v>
      </c>
      <c r="G19" s="4"/>
      <c r="H19" s="3">
        <f>P16</f>
        <v>79.009320000000002</v>
      </c>
      <c r="I19" s="35"/>
      <c r="J19" s="4"/>
      <c r="K19" s="3">
        <f>S16</f>
        <v>14.14034</v>
      </c>
      <c r="L19" s="3">
        <f t="shared" ref="L19:L26" si="0">G19+H19-J19-K19</f>
        <v>64.868980000000008</v>
      </c>
      <c r="M19" s="66">
        <f>NormStandard!O19*L19</f>
        <v>0.24934182111290942</v>
      </c>
      <c r="O19" s="19" t="s">
        <v>30</v>
      </c>
      <c r="P19" s="211">
        <v>103.19537</v>
      </c>
      <c r="R19" s="19" t="s">
        <v>30</v>
      </c>
      <c r="S19" s="209">
        <f>Conc1!S19</f>
        <v>43.310589999999998</v>
      </c>
    </row>
    <row r="20" spans="2:19">
      <c r="B20" s="1"/>
      <c r="C20" s="5">
        <v>6</v>
      </c>
      <c r="D20" s="1">
        <v>50</v>
      </c>
      <c r="E20" s="1"/>
      <c r="F20" s="3" t="s">
        <v>1</v>
      </c>
      <c r="G20" s="4"/>
      <c r="H20" s="3">
        <f>P17</f>
        <v>123.1549</v>
      </c>
      <c r="I20" s="35"/>
      <c r="J20" s="4"/>
      <c r="K20" s="3">
        <f>S17</f>
        <v>20.997260000000001</v>
      </c>
      <c r="L20" s="3">
        <f t="shared" si="0"/>
        <v>102.15764</v>
      </c>
      <c r="M20" s="66">
        <f>NormStandard!O20*L20</f>
        <v>0.11737164536097514</v>
      </c>
      <c r="O20" s="19" t="s">
        <v>31</v>
      </c>
      <c r="P20" s="211">
        <v>24.55104</v>
      </c>
      <c r="R20" s="19" t="s">
        <v>31</v>
      </c>
      <c r="S20" s="209">
        <f>Conc1!S20</f>
        <v>3.1831499999999999</v>
      </c>
    </row>
    <row r="21" spans="2:19">
      <c r="B21" s="1"/>
      <c r="C21" s="5">
        <v>7</v>
      </c>
      <c r="D21" s="1">
        <v>57</v>
      </c>
      <c r="E21" s="1"/>
      <c r="F21" s="2" t="s">
        <v>2</v>
      </c>
      <c r="G21" s="2">
        <v>0.22700000000000001</v>
      </c>
      <c r="H21" s="4"/>
      <c r="I21" s="35"/>
      <c r="J21" s="208">
        <f>Conc1!J21</f>
        <v>5.0999999999999997E-2</v>
      </c>
      <c r="K21" s="4"/>
      <c r="L21" s="2">
        <f t="shared" si="0"/>
        <v>0.17600000000000002</v>
      </c>
      <c r="M21" s="25">
        <f>NormStandard!O21*L21</f>
        <v>0.15507193114739759</v>
      </c>
      <c r="O21" s="19" t="s">
        <v>32</v>
      </c>
      <c r="P21" s="211">
        <v>45.626379999999997</v>
      </c>
      <c r="R21" s="19" t="s">
        <v>32</v>
      </c>
      <c r="S21" s="209">
        <f>Conc1!S21</f>
        <v>5.2176600000000004</v>
      </c>
    </row>
    <row r="22" spans="2:19">
      <c r="B22" s="1"/>
      <c r="C22" s="5">
        <v>8</v>
      </c>
      <c r="D22" s="1">
        <v>64</v>
      </c>
      <c r="E22" s="1"/>
      <c r="F22" s="3" t="s">
        <v>1</v>
      </c>
      <c r="G22" s="4"/>
      <c r="H22" s="3">
        <f>P18</f>
        <v>111.11346</v>
      </c>
      <c r="I22" s="35"/>
      <c r="J22" s="4"/>
      <c r="K22" s="3">
        <f>S18</f>
        <v>25.055669999999999</v>
      </c>
      <c r="L22" s="3">
        <f t="shared" si="0"/>
        <v>86.057790000000011</v>
      </c>
      <c r="M22" s="66">
        <f>NormStandard!O22*L22</f>
        <v>0.1083242332514175</v>
      </c>
      <c r="O22" s="19" t="s">
        <v>33</v>
      </c>
      <c r="P22" s="211">
        <v>67.198490000000007</v>
      </c>
      <c r="R22" s="19" t="s">
        <v>33</v>
      </c>
      <c r="S22" s="209">
        <f>Conc1!S22</f>
        <v>9.1796500000000005</v>
      </c>
    </row>
    <row r="23" spans="2:19" ht="14.65" thickBot="1">
      <c r="B23" s="1"/>
      <c r="C23" s="5">
        <v>9</v>
      </c>
      <c r="D23" s="1">
        <v>72</v>
      </c>
      <c r="E23" s="1"/>
      <c r="F23" s="2" t="s">
        <v>2</v>
      </c>
      <c r="G23" s="2">
        <v>0.17899999999999999</v>
      </c>
      <c r="H23" s="4"/>
      <c r="I23" s="35"/>
      <c r="J23" s="208">
        <f>Conc1!J23</f>
        <v>3.4000000000000002E-2</v>
      </c>
      <c r="K23" s="4"/>
      <c r="L23" s="2">
        <f t="shared" si="0"/>
        <v>0.14499999999999999</v>
      </c>
      <c r="M23" s="25">
        <f>NormStandard!O23*L23</f>
        <v>0.13830456941515226</v>
      </c>
      <c r="O23" s="21" t="s">
        <v>34</v>
      </c>
      <c r="P23" s="212">
        <v>80.578540000000004</v>
      </c>
      <c r="R23" s="21" t="s">
        <v>34</v>
      </c>
      <c r="S23" s="210">
        <f>Conc1!S23</f>
        <v>13.594099999999999</v>
      </c>
    </row>
    <row r="24" spans="2:19">
      <c r="B24" s="1"/>
      <c r="C24" s="5">
        <v>10</v>
      </c>
      <c r="D24" s="1">
        <v>81</v>
      </c>
      <c r="E24" s="1"/>
      <c r="F24" s="3" t="s">
        <v>1</v>
      </c>
      <c r="G24" s="4"/>
      <c r="H24" s="3">
        <f>P19</f>
        <v>103.19537</v>
      </c>
      <c r="I24" s="35"/>
      <c r="J24" s="4"/>
      <c r="K24" s="3">
        <f>S19</f>
        <v>43.310589999999998</v>
      </c>
      <c r="L24" s="3">
        <f t="shared" si="0"/>
        <v>59.884779999999999</v>
      </c>
      <c r="M24" s="66">
        <f>NormStandard!O24*L24</f>
        <v>7.3856042411053924E-2</v>
      </c>
    </row>
    <row r="25" spans="2:19">
      <c r="B25" s="1"/>
      <c r="C25" s="5">
        <v>11</v>
      </c>
      <c r="D25" s="1">
        <v>90</v>
      </c>
      <c r="E25" s="1"/>
      <c r="F25" s="2" t="s">
        <v>2</v>
      </c>
      <c r="G25" s="2">
        <v>0.158</v>
      </c>
      <c r="H25" s="4"/>
      <c r="I25" s="35"/>
      <c r="J25" s="208">
        <f>Conc1!J25</f>
        <v>0.03</v>
      </c>
      <c r="K25" s="4"/>
      <c r="L25" s="2">
        <f t="shared" si="0"/>
        <v>0.128</v>
      </c>
      <c r="M25" s="25">
        <f>NormStandard!O25*L25</f>
        <v>0.13573950560071049</v>
      </c>
    </row>
    <row r="26" spans="2:19">
      <c r="B26" s="1"/>
      <c r="C26" s="5">
        <v>12</v>
      </c>
      <c r="D26" s="1">
        <v>99</v>
      </c>
      <c r="E26" s="1"/>
      <c r="F26" s="3" t="s">
        <v>1</v>
      </c>
      <c r="G26" s="4"/>
      <c r="H26" s="3">
        <f>P20</f>
        <v>24.55104</v>
      </c>
      <c r="I26" s="35"/>
      <c r="J26" s="4"/>
      <c r="K26" s="3">
        <f>S20</f>
        <v>3.1831499999999999</v>
      </c>
      <c r="L26" s="3">
        <f t="shared" si="0"/>
        <v>21.367889999999999</v>
      </c>
      <c r="M26" s="66">
        <f>NormStandard!O26*L26</f>
        <v>6.0667559163135695E-2</v>
      </c>
    </row>
    <row r="27" spans="2:19">
      <c r="B27" s="1"/>
      <c r="C27" s="5">
        <v>13</v>
      </c>
      <c r="D27" s="1">
        <v>108</v>
      </c>
      <c r="E27" s="1"/>
      <c r="F27" s="31" t="s">
        <v>53</v>
      </c>
      <c r="G27" s="32"/>
      <c r="H27" s="4"/>
      <c r="I27" s="35"/>
      <c r="J27" s="32" t="s">
        <v>54</v>
      </c>
      <c r="K27" s="32" t="s">
        <v>54</v>
      </c>
      <c r="L27" s="32" t="s">
        <v>54</v>
      </c>
      <c r="M27" s="32" t="str">
        <f>NormStandard!O27</f>
        <v>---</v>
      </c>
    </row>
    <row r="28" spans="2:19">
      <c r="B28" s="1"/>
      <c r="C28" s="5">
        <v>14</v>
      </c>
      <c r="D28" s="1">
        <v>117</v>
      </c>
      <c r="E28" s="1"/>
      <c r="F28" s="3" t="s">
        <v>1</v>
      </c>
      <c r="G28" s="4"/>
      <c r="H28" s="3">
        <f>P21</f>
        <v>45.626379999999997</v>
      </c>
      <c r="I28" s="35"/>
      <c r="J28" s="4"/>
      <c r="K28" s="3">
        <f>S21</f>
        <v>5.2176600000000004</v>
      </c>
      <c r="L28" s="3">
        <f>G28+H28-J28-K28</f>
        <v>40.408719999999995</v>
      </c>
      <c r="M28" s="66">
        <f>NormStandard!O28*L28</f>
        <v>0.12292790843386632</v>
      </c>
    </row>
    <row r="29" spans="2:19">
      <c r="B29" s="1"/>
      <c r="C29" s="5">
        <v>15</v>
      </c>
      <c r="D29" s="1">
        <v>126</v>
      </c>
      <c r="E29" s="1"/>
      <c r="F29" s="2" t="s">
        <v>2</v>
      </c>
      <c r="G29" s="2">
        <v>0.20799999999999999</v>
      </c>
      <c r="H29" s="4"/>
      <c r="I29" s="35"/>
      <c r="J29" s="208">
        <f>Conc1!J29</f>
        <v>4.9000000000000002E-2</v>
      </c>
      <c r="K29" s="4"/>
      <c r="L29" s="2">
        <f>G29+H29-J29-K29</f>
        <v>0.15899999999999997</v>
      </c>
      <c r="M29" s="25">
        <f>NormStandard!O29*L29</f>
        <v>0.13206402372216908</v>
      </c>
    </row>
    <row r="30" spans="2:19">
      <c r="B30" s="1"/>
      <c r="C30" s="5">
        <v>16</v>
      </c>
      <c r="D30" s="1">
        <v>134</v>
      </c>
      <c r="E30" s="1"/>
      <c r="F30" s="3" t="s">
        <v>1</v>
      </c>
      <c r="G30" s="4"/>
      <c r="H30" s="3">
        <f>P22</f>
        <v>67.198490000000007</v>
      </c>
      <c r="I30" s="35"/>
      <c r="J30" s="4"/>
      <c r="K30" s="3">
        <f>S22</f>
        <v>9.1796500000000005</v>
      </c>
      <c r="L30" s="3">
        <f>G30+H30-J30-K30</f>
        <v>58.018840000000004</v>
      </c>
      <c r="M30" s="66">
        <f>NormStandard!O30*L30</f>
        <v>0.18617578043219243</v>
      </c>
    </row>
    <row r="31" spans="2:19">
      <c r="B31" s="1"/>
      <c r="C31" s="5">
        <v>17</v>
      </c>
      <c r="D31" s="1">
        <v>141</v>
      </c>
      <c r="E31" s="1"/>
      <c r="F31" s="2" t="s">
        <v>2</v>
      </c>
      <c r="G31" s="2">
        <v>0.11799999999999999</v>
      </c>
      <c r="H31" s="4"/>
      <c r="I31" s="35"/>
      <c r="J31" s="208">
        <f>Conc1!J31</f>
        <v>2.5000000000000001E-2</v>
      </c>
      <c r="K31" s="4"/>
      <c r="L31" s="2">
        <f>G31+H31-J31-K31</f>
        <v>9.2999999999999999E-2</v>
      </c>
      <c r="M31" s="25">
        <f>NormStandard!O31*L31</f>
        <v>0.14125201117760494</v>
      </c>
    </row>
    <row r="32" spans="2:19">
      <c r="B32" s="1"/>
      <c r="C32" s="5">
        <v>18</v>
      </c>
      <c r="D32" s="1">
        <v>147</v>
      </c>
      <c r="E32" s="1"/>
      <c r="F32" s="3" t="s">
        <v>1</v>
      </c>
      <c r="G32" s="4"/>
      <c r="H32" s="3">
        <f>P23</f>
        <v>80.578540000000004</v>
      </c>
      <c r="I32" s="35"/>
      <c r="J32" s="4"/>
      <c r="K32" s="3">
        <f>S23</f>
        <v>13.594099999999999</v>
      </c>
      <c r="L32" s="3">
        <f>G32+H32-J32-K32</f>
        <v>66.984440000000006</v>
      </c>
      <c r="M32" s="66">
        <f>NormStandard!O32*L32</f>
        <v>0.11666372838077065</v>
      </c>
    </row>
  </sheetData>
  <mergeCells count="1">
    <mergeCell ref="M12:M13"/>
  </mergeCells>
  <pageMargins left="0.7" right="0.7" top="0.75" bottom="0.75" header="0.3" footer="0.3"/>
  <pageSetup orientation="portrait"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27</vt:i4>
      </vt:variant>
    </vt:vector>
  </HeadingPairs>
  <TitlesOfParts>
    <vt:vector size="44" baseType="lpstr">
      <vt:lpstr>Development notes</vt:lpstr>
      <vt:lpstr>Instructions &amp; Notes</vt:lpstr>
      <vt:lpstr>Parameters</vt:lpstr>
      <vt:lpstr>ConcData</vt:lpstr>
      <vt:lpstr>NormStandard</vt:lpstr>
      <vt:lpstr>Conc1</vt:lpstr>
      <vt:lpstr>Conc2</vt:lpstr>
      <vt:lpstr>Conc3</vt:lpstr>
      <vt:lpstr>Conc4</vt:lpstr>
      <vt:lpstr>Conc5</vt:lpstr>
      <vt:lpstr>Conc6</vt:lpstr>
      <vt:lpstr>Conc7</vt:lpstr>
      <vt:lpstr>Conc8</vt:lpstr>
      <vt:lpstr>Guinier+SphereFit1</vt:lpstr>
      <vt:lpstr>ZimmPrep</vt:lpstr>
      <vt:lpstr>ForNonZimm</vt:lpstr>
      <vt:lpstr>ExportForNonZimm</vt:lpstr>
      <vt:lpstr>CalStd</vt:lpstr>
      <vt:lpstr>Dens1</vt:lpstr>
      <vt:lpstr>dndc</vt:lpstr>
      <vt:lpstr>Exponentm</vt:lpstr>
      <vt:lpstr>Guinslope</vt:lpstr>
      <vt:lpstr>Guintercept</vt:lpstr>
      <vt:lpstr>I90Std</vt:lpstr>
      <vt:lpstr>Izero</vt:lpstr>
      <vt:lpstr>Koptical</vt:lpstr>
      <vt:lpstr>kscale</vt:lpstr>
      <vt:lpstr>'Guinier+SphereFit1'!Lamcm</vt:lpstr>
      <vt:lpstr>Lamcm</vt:lpstr>
      <vt:lpstr>'Guinier+SphereFit1'!Lamnm</vt:lpstr>
      <vt:lpstr>Lamnm</vt:lpstr>
      <vt:lpstr>mExponent</vt:lpstr>
      <vt:lpstr>RayFacToluene</vt:lpstr>
      <vt:lpstr>RayFactorStd</vt:lpstr>
      <vt:lpstr>'Guinier+SphereFit1'!Refin</vt:lpstr>
      <vt:lpstr>Refin</vt:lpstr>
      <vt:lpstr>RefinRayleigh</vt:lpstr>
      <vt:lpstr>'Guinier+SphereFit1'!Rgyration</vt:lpstr>
      <vt:lpstr>Rgyration</vt:lpstr>
      <vt:lpstr>Rhydro</vt:lpstr>
      <vt:lpstr>Rsphere</vt:lpstr>
      <vt:lpstr>Solvent</vt:lpstr>
      <vt:lpstr>v2bar</vt:lpstr>
      <vt:lpstr>VolExponent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2024-05-14T02:40:40Z</dcterms:modified>
</cp:coreProperties>
</file>