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99476BD8-D45B-4337-A0F0-E977A3CF0A1B}" xr6:coauthVersionLast="36" xr6:coauthVersionMax="36" xr10:uidLastSave="{00000000-0000-0000-0000-000000000000}"/>
  <bookViews>
    <workbookView xWindow="0" yWindow="0" windowWidth="22260" windowHeight="12647" xr2:uid="{00000000-000D-0000-FFFF-FFFF00000000}"/>
  </bookViews>
  <sheets>
    <sheet name="Instructions" sheetId="3" r:id="rId1"/>
    <sheet name="Data readings" sheetId="1" r:id="rId2"/>
    <sheet name="Parameters" sheetId="2" r:id="rId3"/>
  </sheets>
  <definedNames>
    <definedName name="Lamcm">Parameters!$B$4</definedName>
    <definedName name="Lamnm">Parameters!$B$3</definedName>
    <definedName name="Refin">Parameters!$B$5</definedName>
    <definedName name="Rgyration">'Data readings'!$H$5</definedName>
    <definedName name="Rhydro">'Data readings'!$H$4</definedName>
    <definedName name="Solvent">Parameters!$B$2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K14" i="1"/>
  <c r="K15" i="1"/>
  <c r="K18" i="1"/>
  <c r="K19" i="1"/>
  <c r="L19" i="1" s="1"/>
  <c r="K22" i="1"/>
  <c r="K23" i="1"/>
  <c r="L23" i="1" s="1"/>
  <c r="K26" i="1"/>
  <c r="K27" i="1"/>
  <c r="L27" i="1" s="1"/>
  <c r="G28" i="1"/>
  <c r="G26" i="1"/>
  <c r="J26" i="1" s="1"/>
  <c r="G24" i="1"/>
  <c r="G22" i="1"/>
  <c r="J22" i="1" s="1"/>
  <c r="G20" i="1"/>
  <c r="J20" i="1" s="1"/>
  <c r="G18" i="1"/>
  <c r="J18" i="1" s="1"/>
  <c r="G16" i="1"/>
  <c r="J16" i="1" s="1"/>
  <c r="G15" i="1"/>
  <c r="J15" i="1" s="1"/>
  <c r="J12" i="1"/>
  <c r="J13" i="1"/>
  <c r="J14" i="1"/>
  <c r="J17" i="1"/>
  <c r="J19" i="1"/>
  <c r="J21" i="1"/>
  <c r="J23" i="1"/>
  <c r="J24" i="1"/>
  <c r="J25" i="1"/>
  <c r="J27" i="1"/>
  <c r="J28" i="1"/>
  <c r="J11" i="1"/>
  <c r="L14" i="1"/>
  <c r="H5" i="1"/>
  <c r="K12" i="1" s="1"/>
  <c r="L12" i="1" s="1"/>
  <c r="H6" i="1"/>
  <c r="B4" i="2"/>
  <c r="K11" i="1" l="1"/>
  <c r="L11" i="1" s="1"/>
  <c r="K25" i="1"/>
  <c r="L25" i="1" s="1"/>
  <c r="K21" i="1"/>
  <c r="L21" i="1" s="1"/>
  <c r="K17" i="1"/>
  <c r="L17" i="1" s="1"/>
  <c r="K13" i="1"/>
  <c r="L13" i="1" s="1"/>
  <c r="H7" i="1"/>
  <c r="H8" i="1" s="1"/>
  <c r="K28" i="1"/>
  <c r="L28" i="1" s="1"/>
  <c r="K24" i="1"/>
  <c r="L24" i="1" s="1"/>
  <c r="K20" i="1"/>
  <c r="K16" i="1"/>
  <c r="L16" i="1" s="1"/>
  <c r="L26" i="1"/>
  <c r="L22" i="1"/>
  <c r="L18" i="1"/>
  <c r="L15" i="1"/>
  <c r="L20" i="1"/>
</calcChain>
</file>

<file path=xl/sharedStrings.xml><?xml version="1.0" encoding="utf-8"?>
<sst xmlns="http://schemas.openxmlformats.org/spreadsheetml/2006/main" count="109" uniqueCount="83">
  <si>
    <t>Detector type</t>
  </si>
  <si>
    <t>Fiber/APD</t>
  </si>
  <si>
    <t>Wyatt diode</t>
  </si>
  <si>
    <t>???</t>
  </si>
  <si>
    <t>Wyatt Reading</t>
  </si>
  <si>
    <t>ALV Reading</t>
  </si>
  <si>
    <t>Front</t>
  </si>
  <si>
    <t>beam stop (y/n)</t>
  </si>
  <si>
    <t>y</t>
  </si>
  <si>
    <t>Wavelength/nm</t>
  </si>
  <si>
    <t>Refractive index</t>
  </si>
  <si>
    <t>Solvent</t>
  </si>
  <si>
    <t>Wavelength/cm</t>
  </si>
  <si>
    <t>Water</t>
  </si>
  <si>
    <t>p1</t>
  </si>
  <si>
    <t>p2</t>
  </si>
  <si>
    <t>p3</t>
  </si>
  <si>
    <t>LC</t>
  </si>
  <si>
    <t>L</t>
  </si>
  <si>
    <t>Port #</t>
  </si>
  <si>
    <t>Monitors</t>
  </si>
  <si>
    <r>
      <t>Comment</t>
    </r>
    <r>
      <rPr>
        <b/>
        <sz val="11"/>
        <color theme="1"/>
        <rFont val="Symbol"/>
        <family val="1"/>
        <charset val="2"/>
      </rPr>
      <t>¯</t>
    </r>
  </si>
  <si>
    <t>Normalizing standard</t>
  </si>
  <si>
    <t>Name</t>
  </si>
  <si>
    <t>nm</t>
  </si>
  <si>
    <r>
      <rPr>
        <sz val="11"/>
        <color theme="1"/>
        <rFont val="Symbol"/>
        <family val="1"/>
        <charset val="2"/>
      </rPr>
      <t>l</t>
    </r>
    <r>
      <rPr>
        <vertAlign val="subscript"/>
        <sz val="11"/>
        <color theme="1"/>
        <rFont val="Symbol"/>
        <family val="1"/>
        <charset val="2"/>
      </rPr>
      <t>o</t>
    </r>
    <r>
      <rPr>
        <sz val="11"/>
        <color theme="1"/>
        <rFont val="Calibri"/>
        <family val="2"/>
        <scheme val="minor"/>
      </rPr>
      <t>/(n*DLS radius)</t>
    </r>
  </si>
  <si>
    <r>
      <t>R</t>
    </r>
    <r>
      <rPr>
        <vertAlign val="subscript"/>
        <sz val="11"/>
        <color theme="1"/>
        <rFont val="Calibri"/>
        <family val="2"/>
        <scheme val="minor"/>
      </rPr>
      <t>h</t>
    </r>
  </si>
  <si>
    <r>
      <t>R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(sphere)</t>
    </r>
  </si>
  <si>
    <t>Brij microemulsion</t>
  </si>
  <si>
    <t>Signal</t>
  </si>
  <si>
    <t>Date of normalization</t>
  </si>
  <si>
    <t>Operator</t>
  </si>
  <si>
    <t>Russo</t>
  </si>
  <si>
    <t>ALV Reading/kHz</t>
  </si>
  <si>
    <t>MeanCR1 [kHz]   :</t>
  </si>
  <si>
    <t>MeanCR2 [kHz]   :</t>
  </si>
  <si>
    <t>MeanCR3 [kHz]   :</t>
  </si>
  <si>
    <t>MeanCR4 [kHz]   :</t>
  </si>
  <si>
    <t>MeanCR5 [kHz]   :</t>
  </si>
  <si>
    <t>MeanCR6 [kHz]   :</t>
  </si>
  <si>
    <t>MeanCR7 [kHz]   :</t>
  </si>
  <si>
    <t>MeanCR8 [kHz]   :</t>
  </si>
  <si>
    <t>here from .ASC file</t>
  </si>
  <si>
    <t>Angle/degrees</t>
  </si>
  <si>
    <t>Zero-ref</t>
  </si>
  <si>
    <t>----</t>
  </si>
  <si>
    <t xml:space="preserve">The purpose of the workbook is to normalize detectors to a standard of finite size </t>
  </si>
  <si>
    <t xml:space="preserve">(there is no such thing as a perfect Rayleigh scatterer). Typically, we might use </t>
  </si>
  <si>
    <t>a small latex particle, bovine serum albumen, or Brij-97 microemulsion.</t>
  </si>
  <si>
    <t xml:space="preserve">The instrument has two kinds of detectors: Wyatt pin photodiodes plus </t>
  </si>
  <si>
    <t xml:space="preserve">avalanche photodiode light sensors. </t>
  </si>
  <si>
    <t>The Wyatt detectors can most easily be read from the front panel display.</t>
  </si>
  <si>
    <t xml:space="preserve">The unit of measurement is probably in volts, but it does not matter. </t>
  </si>
  <si>
    <t xml:space="preserve">The APD detectors measure in kHz, a totally different thing. </t>
  </si>
  <si>
    <t xml:space="preserve">The objective is to figure out what factor puts the measured intensities on the </t>
  </si>
  <si>
    <t>That will be good enough for any sensible normalization standard, but the equation</t>
  </si>
  <si>
    <t xml:space="preserve">could be replaced with a detailed expression for, say, a larger latex sphere. </t>
  </si>
  <si>
    <t xml:space="preserve">The idea is something small that scatters a lot, well above solvent level and any </t>
  </si>
  <si>
    <t xml:space="preserve">stray light. </t>
  </si>
  <si>
    <t xml:space="preserve">To use: </t>
  </si>
  <si>
    <t>Make a DLS run on your normalization standard, save as .ASC file</t>
  </si>
  <si>
    <t>Drop those data into the green-shaded cells at the top right; the results are copied where they need to go.</t>
  </si>
  <si>
    <t>Repeat the previous 2 steps for the solvent (likely a much weaker scatterer).</t>
  </si>
  <si>
    <t xml:space="preserve">Enter the type of normalization standard. </t>
  </si>
  <si>
    <t xml:space="preserve">Enter your name and date. </t>
  </si>
  <si>
    <r>
      <t>q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R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</t>
    </r>
  </si>
  <si>
    <r>
      <t>1-(q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R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/3</t>
    </r>
  </si>
  <si>
    <t>Normalization</t>
  </si>
  <si>
    <t>Factor</t>
  </si>
  <si>
    <t xml:space="preserve">       Solvent background</t>
  </si>
  <si>
    <t xml:space="preserve">          Normalizing solution</t>
  </si>
  <si>
    <r>
      <t>P(</t>
    </r>
    <r>
      <rPr>
        <b/>
        <sz val="11"/>
        <color theme="1"/>
        <rFont val="Symbol"/>
        <family val="1"/>
        <charset val="2"/>
      </rPr>
      <t>q</t>
    </r>
    <r>
      <rPr>
        <b/>
        <sz val="11"/>
        <color theme="1"/>
        <rFont val="Calibri"/>
        <family val="2"/>
        <scheme val="minor"/>
      </rPr>
      <t>)</t>
    </r>
  </si>
  <si>
    <r>
      <t xml:space="preserve">Drop </t>
    </r>
    <r>
      <rPr>
        <b/>
        <u/>
        <sz val="11"/>
        <color theme="0" tint="-0.14999847407452621"/>
        <rFont val="Calibri"/>
        <family val="2"/>
        <scheme val="minor"/>
      </rPr>
      <t>solution</t>
    </r>
    <r>
      <rPr>
        <b/>
        <sz val="11"/>
        <color theme="0" tint="-0.14999847407452621"/>
        <rFont val="Calibri"/>
        <family val="2"/>
        <scheme val="minor"/>
      </rPr>
      <t xml:space="preserve"> count rates </t>
    </r>
  </si>
  <si>
    <r>
      <t xml:space="preserve">Drop </t>
    </r>
    <r>
      <rPr>
        <b/>
        <u/>
        <sz val="11"/>
        <color theme="7" tint="0.59999389629810485"/>
        <rFont val="Calibri"/>
        <family val="2"/>
        <scheme val="minor"/>
      </rPr>
      <t>solvent</t>
    </r>
    <r>
      <rPr>
        <b/>
        <sz val="11"/>
        <color theme="0" tint="-0.14999847407452621"/>
        <rFont val="Calibri"/>
        <family val="2"/>
        <scheme val="minor"/>
      </rPr>
      <t xml:space="preserve"> count rates </t>
    </r>
  </si>
  <si>
    <r>
      <t>Enter the R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value from the DLS run.</t>
    </r>
  </si>
  <si>
    <t>At this point, your normalization constants should be ready.</t>
  </si>
  <si>
    <r>
      <t>correct P(</t>
    </r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>) curve. We calculate the curve from the low-order P(</t>
    </r>
    <r>
      <rPr>
        <sz val="11"/>
        <color theme="1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>) expansion, 1-q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R</t>
    </r>
    <r>
      <rPr>
        <vertAlign val="subscript"/>
        <sz val="11"/>
        <color theme="1"/>
        <rFont val="Calibri"/>
        <family val="2"/>
        <scheme val="minor"/>
      </rPr>
      <t>g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/3.</t>
    </r>
  </si>
  <si>
    <t xml:space="preserve">Normally, this will give you a cumulants Gamma value and Rh value. </t>
  </si>
  <si>
    <t>Read the ALV's red panel display for all the laser and angles by gently pressing the selection button; type the results into the appropriate cells (color-coded).</t>
  </si>
  <si>
    <t xml:space="preserve"> button; type the results into the appropriate cells.</t>
  </si>
  <si>
    <t xml:space="preserve">Apply the normalization factors to the intensities. </t>
  </si>
  <si>
    <t xml:space="preserve">You can then measure something known, preferably in a solvent with the same refractive index (subtract the solvent). </t>
  </si>
  <si>
    <r>
      <t>A Guinier plot or similar should give you the size expected for the known (if it's a sphere, don't forget to convert the DLS results to R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</si>
</sst>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8" formatCode="0.000"/>
    <numFmt numFmtId="169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theme="1"/>
      <name val="Symbol"/>
      <family val="1"/>
      <charset val="2"/>
    </font>
    <font>
      <vertAlign val="subscript"/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u/>
      <sz val="11"/>
      <color theme="0" tint="-0.14999847407452621"/>
      <name val="Calibri"/>
      <family val="2"/>
      <scheme val="minor"/>
    </font>
    <font>
      <b/>
      <u/>
      <sz val="11"/>
      <color theme="7" tint="0.5999938962981048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0" xfId="0" applyFont="1"/>
    <xf numFmtId="0" fontId="0" fillId="0" borderId="0" xfId="0" applyFont="1"/>
    <xf numFmtId="0" fontId="0" fillId="0" borderId="3" xfId="0" applyBorder="1"/>
    <xf numFmtId="15" fontId="0" fillId="6" borderId="2" xfId="0" applyNumberFormat="1" applyFont="1" applyFill="1" applyBorder="1"/>
    <xf numFmtId="0" fontId="0" fillId="0" borderId="4" xfId="0" applyBorder="1"/>
    <xf numFmtId="0" fontId="0" fillId="0" borderId="5" xfId="0" applyBorder="1"/>
    <xf numFmtId="0" fontId="1" fillId="0" borderId="5" xfId="0" applyFont="1" applyBorder="1"/>
    <xf numFmtId="0" fontId="0" fillId="0" borderId="6" xfId="0" applyBorder="1"/>
    <xf numFmtId="0" fontId="1" fillId="0" borderId="3" xfId="0" applyFont="1" applyBorder="1"/>
    <xf numFmtId="0" fontId="0" fillId="6" borderId="7" xfId="0" applyFill="1" applyBorder="1"/>
    <xf numFmtId="0" fontId="0" fillId="6" borderId="8" xfId="0" applyFill="1" applyBorder="1"/>
    <xf numFmtId="0" fontId="1" fillId="0" borderId="4" xfId="0" applyFont="1" applyBorder="1"/>
    <xf numFmtId="0" fontId="0" fillId="0" borderId="9" xfId="0" applyBorder="1"/>
    <xf numFmtId="0" fontId="0" fillId="0" borderId="10" xfId="0" applyBorder="1"/>
    <xf numFmtId="0" fontId="0" fillId="6" borderId="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0" fillId="0" borderId="6" xfId="0" applyFill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" xfId="0" applyFill="1" applyBorder="1"/>
    <xf numFmtId="164" fontId="0" fillId="2" borderId="1" xfId="0" applyNumberFormat="1" applyFill="1" applyBorder="1"/>
    <xf numFmtId="164" fontId="0" fillId="8" borderId="1" xfId="0" applyNumberFormat="1" applyFill="1" applyBorder="1"/>
    <xf numFmtId="164" fontId="0" fillId="3" borderId="1" xfId="0" applyNumberFormat="1" applyFill="1" applyBorder="1"/>
    <xf numFmtId="0" fontId="7" fillId="7" borderId="11" xfId="0" applyFont="1" applyFill="1" applyBorder="1"/>
    <xf numFmtId="0" fontId="7" fillId="7" borderId="12" xfId="0" applyFont="1" applyFill="1" applyBorder="1"/>
    <xf numFmtId="0" fontId="7" fillId="7" borderId="13" xfId="0" applyFont="1" applyFill="1" applyBorder="1"/>
    <xf numFmtId="0" fontId="7" fillId="7" borderId="1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E683E-C593-4700-A566-3EED9DC26317}">
  <dimension ref="B2:C30"/>
  <sheetViews>
    <sheetView tabSelected="1" topLeftCell="A16" workbookViewId="0">
      <selection activeCell="K32" sqref="K32"/>
    </sheetView>
  </sheetViews>
  <sheetFormatPr defaultRowHeight="14.35" x14ac:dyDescent="0.5"/>
  <sheetData>
    <row r="2" spans="2:2" x14ac:dyDescent="0.5">
      <c r="B2" t="s">
        <v>46</v>
      </c>
    </row>
    <row r="3" spans="2:2" x14ac:dyDescent="0.5">
      <c r="B3" t="s">
        <v>47</v>
      </c>
    </row>
    <row r="4" spans="2:2" x14ac:dyDescent="0.5">
      <c r="B4" t="s">
        <v>48</v>
      </c>
    </row>
    <row r="5" spans="2:2" x14ac:dyDescent="0.5">
      <c r="B5" t="s">
        <v>57</v>
      </c>
    </row>
    <row r="6" spans="2:2" x14ac:dyDescent="0.5">
      <c r="B6" t="s">
        <v>58</v>
      </c>
    </row>
    <row r="7" spans="2:2" x14ac:dyDescent="0.5">
      <c r="B7" t="s">
        <v>49</v>
      </c>
    </row>
    <row r="8" spans="2:2" x14ac:dyDescent="0.5">
      <c r="B8" t="s">
        <v>50</v>
      </c>
    </row>
    <row r="9" spans="2:2" x14ac:dyDescent="0.5">
      <c r="B9" t="s">
        <v>51</v>
      </c>
    </row>
    <row r="10" spans="2:2" x14ac:dyDescent="0.5">
      <c r="B10" t="s">
        <v>52</v>
      </c>
    </row>
    <row r="11" spans="2:2" x14ac:dyDescent="0.5">
      <c r="B11" t="s">
        <v>53</v>
      </c>
    </row>
    <row r="12" spans="2:2" x14ac:dyDescent="0.5">
      <c r="B12" t="s">
        <v>54</v>
      </c>
    </row>
    <row r="13" spans="2:2" ht="17.350000000000001" x14ac:dyDescent="0.65">
      <c r="B13" t="s">
        <v>76</v>
      </c>
    </row>
    <row r="14" spans="2:2" x14ac:dyDescent="0.5">
      <c r="B14" t="s">
        <v>55</v>
      </c>
    </row>
    <row r="15" spans="2:2" x14ac:dyDescent="0.5">
      <c r="B15" t="s">
        <v>56</v>
      </c>
    </row>
    <row r="17" spans="2:3" x14ac:dyDescent="0.5">
      <c r="B17" t="s">
        <v>59</v>
      </c>
    </row>
    <row r="18" spans="2:3" x14ac:dyDescent="0.5">
      <c r="B18">
        <v>1</v>
      </c>
      <c r="C18" t="s">
        <v>60</v>
      </c>
    </row>
    <row r="19" spans="2:3" x14ac:dyDescent="0.5">
      <c r="B19">
        <v>2</v>
      </c>
      <c r="C19" t="s">
        <v>77</v>
      </c>
    </row>
    <row r="20" spans="2:3" x14ac:dyDescent="0.5">
      <c r="B20">
        <v>3</v>
      </c>
      <c r="C20" t="s">
        <v>61</v>
      </c>
    </row>
    <row r="21" spans="2:3" x14ac:dyDescent="0.5">
      <c r="B21">
        <v>4</v>
      </c>
      <c r="C21" t="s">
        <v>78</v>
      </c>
    </row>
    <row r="22" spans="2:3" x14ac:dyDescent="0.5">
      <c r="C22" t="s">
        <v>79</v>
      </c>
    </row>
    <row r="23" spans="2:3" x14ac:dyDescent="0.5">
      <c r="B23">
        <v>5</v>
      </c>
      <c r="C23" t="s">
        <v>62</v>
      </c>
    </row>
    <row r="24" spans="2:3" ht="16.350000000000001" x14ac:dyDescent="0.65">
      <c r="B24">
        <v>6</v>
      </c>
      <c r="C24" t="s">
        <v>74</v>
      </c>
    </row>
    <row r="25" spans="2:3" x14ac:dyDescent="0.5">
      <c r="B25">
        <v>7</v>
      </c>
      <c r="C25" t="s">
        <v>64</v>
      </c>
    </row>
    <row r="26" spans="2:3" x14ac:dyDescent="0.5">
      <c r="B26">
        <v>8</v>
      </c>
      <c r="C26" t="s">
        <v>63</v>
      </c>
    </row>
    <row r="27" spans="2:3" x14ac:dyDescent="0.5">
      <c r="B27" t="s">
        <v>75</v>
      </c>
    </row>
    <row r="28" spans="2:3" x14ac:dyDescent="0.5">
      <c r="B28" t="s">
        <v>81</v>
      </c>
    </row>
    <row r="29" spans="2:3" x14ac:dyDescent="0.5">
      <c r="B29" t="s">
        <v>80</v>
      </c>
    </row>
    <row r="30" spans="2:3" ht="16.350000000000001" x14ac:dyDescent="0.65">
      <c r="B30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topLeftCell="D5" workbookViewId="0">
      <selection activeCell="N6" sqref="N6"/>
    </sheetView>
  </sheetViews>
  <sheetFormatPr defaultRowHeight="14.35" x14ac:dyDescent="0.5"/>
  <cols>
    <col min="1" max="1" width="13.76171875" customWidth="1"/>
    <col min="2" max="2" width="8.8203125" customWidth="1"/>
    <col min="3" max="3" width="13.703125" customWidth="1"/>
    <col min="4" max="4" width="1.76171875" customWidth="1"/>
    <col min="5" max="5" width="12.46875" customWidth="1"/>
    <col min="6" max="6" width="13.3515625" customWidth="1"/>
    <col min="7" max="7" width="14.5859375" customWidth="1"/>
    <col min="8" max="8" width="12.76171875" customWidth="1"/>
    <col min="9" max="9" width="10.41015625" customWidth="1"/>
    <col min="10" max="10" width="6.703125" customWidth="1"/>
    <col min="11" max="11" width="7" customWidth="1"/>
    <col min="12" max="12" width="12.17578125" customWidth="1"/>
    <col min="13" max="13" width="0.8203125" customWidth="1"/>
    <col min="14" max="14" width="12.41015625" customWidth="1"/>
    <col min="16" max="16" width="0.64453125" customWidth="1"/>
    <col min="17" max="17" width="13.29296875" customWidth="1"/>
    <col min="18" max="18" width="11.46875" customWidth="1"/>
  </cols>
  <sheetData>
    <row r="1" spans="1:18" ht="14.7" thickBot="1" x14ac:dyDescent="0.55000000000000004">
      <c r="B1" s="14" t="s">
        <v>30</v>
      </c>
      <c r="C1" s="14"/>
      <c r="D1" s="15"/>
      <c r="E1" s="17">
        <v>44707</v>
      </c>
      <c r="G1" s="14" t="s">
        <v>31</v>
      </c>
      <c r="H1" s="28" t="s">
        <v>32</v>
      </c>
    </row>
    <row r="2" spans="1:18" ht="14.7" thickBot="1" x14ac:dyDescent="0.55000000000000004">
      <c r="A2" s="7" t="s">
        <v>21</v>
      </c>
      <c r="B2" s="8" t="s">
        <v>20</v>
      </c>
      <c r="C2" s="1"/>
      <c r="D2" s="26"/>
      <c r="E2" s="21"/>
      <c r="F2" s="1"/>
      <c r="G2" s="7" t="s">
        <v>22</v>
      </c>
      <c r="H2" s="16"/>
      <c r="I2" s="1"/>
    </row>
    <row r="3" spans="1:18" ht="14.7" thickBot="1" x14ac:dyDescent="0.55000000000000004">
      <c r="A3" s="1"/>
      <c r="B3" s="6" t="s">
        <v>6</v>
      </c>
      <c r="C3" s="25" t="s">
        <v>7</v>
      </c>
      <c r="D3" s="28" t="s">
        <v>8</v>
      </c>
      <c r="E3" s="23">
        <v>1E-3</v>
      </c>
      <c r="F3" s="19"/>
      <c r="G3" s="1" t="s">
        <v>23</v>
      </c>
      <c r="H3" s="13" t="s">
        <v>28</v>
      </c>
      <c r="I3" s="1"/>
    </row>
    <row r="4" spans="1:18" ht="16.350000000000001" x14ac:dyDescent="0.65">
      <c r="A4" s="1"/>
      <c r="B4" s="6" t="s">
        <v>14</v>
      </c>
      <c r="C4" s="1"/>
      <c r="D4" s="27"/>
      <c r="E4" s="24">
        <v>4.9800000000000004</v>
      </c>
      <c r="F4" s="19"/>
      <c r="G4" s="1" t="s">
        <v>26</v>
      </c>
      <c r="H4" s="35">
        <v>5.5</v>
      </c>
      <c r="I4" s="1" t="s">
        <v>24</v>
      </c>
    </row>
    <row r="5" spans="1:18" ht="16.350000000000001" x14ac:dyDescent="0.65">
      <c r="A5" s="1"/>
      <c r="B5" s="6" t="s">
        <v>15</v>
      </c>
      <c r="C5" s="1"/>
      <c r="D5" s="18"/>
      <c r="E5" s="24">
        <v>15.04</v>
      </c>
      <c r="F5" s="19"/>
      <c r="G5" s="1" t="s">
        <v>27</v>
      </c>
      <c r="H5" s="11">
        <f>H4*SQRT(3/5)</f>
        <v>4.2602816808281592</v>
      </c>
      <c r="I5" s="1" t="s">
        <v>24</v>
      </c>
    </row>
    <row r="6" spans="1:18" ht="16.350000000000001" x14ac:dyDescent="0.6">
      <c r="A6" s="1"/>
      <c r="B6" s="6" t="s">
        <v>16</v>
      </c>
      <c r="C6" s="1"/>
      <c r="D6" s="18"/>
      <c r="E6" s="24">
        <v>14.89</v>
      </c>
      <c r="F6" s="19"/>
      <c r="G6" s="1" t="s">
        <v>25</v>
      </c>
      <c r="H6" s="12">
        <f>Lamnm/(Refin*'Data readings'!H4)</f>
        <v>93.643198906356801</v>
      </c>
      <c r="I6" s="1"/>
    </row>
    <row r="7" spans="1:18" ht="16.350000000000001" x14ac:dyDescent="0.65">
      <c r="A7" s="1"/>
      <c r="B7" s="6" t="s">
        <v>17</v>
      </c>
      <c r="C7" s="1"/>
      <c r="D7" s="18"/>
      <c r="E7" s="24">
        <v>79.2</v>
      </c>
      <c r="F7" s="19"/>
      <c r="G7" s="1" t="s">
        <v>65</v>
      </c>
      <c r="H7" s="10">
        <f>H5*(4*PI()*Refin/Lamnm)*SIN(RADIANS(C28/2))</f>
        <v>9.9665812706885876E-2</v>
      </c>
      <c r="I7" s="1"/>
    </row>
    <row r="8" spans="1:18" ht="17.350000000000001" x14ac:dyDescent="0.65">
      <c r="A8" s="1"/>
      <c r="B8" s="6" t="s">
        <v>18</v>
      </c>
      <c r="C8" s="1"/>
      <c r="D8" s="18"/>
      <c r="E8" s="24">
        <v>4.92</v>
      </c>
      <c r="G8" s="1" t="s">
        <v>66</v>
      </c>
      <c r="H8" s="9">
        <f>1-H7^2/3</f>
        <v>0.99668890859249193</v>
      </c>
      <c r="I8" s="1"/>
      <c r="J8" s="6"/>
      <c r="K8" s="6"/>
      <c r="L8" s="8" t="s">
        <v>67</v>
      </c>
    </row>
    <row r="9" spans="1:18" ht="14.7" thickBot="1" x14ac:dyDescent="0.55000000000000004">
      <c r="A9" s="1"/>
      <c r="B9" s="8" t="s">
        <v>19</v>
      </c>
      <c r="C9" s="8" t="s">
        <v>43</v>
      </c>
      <c r="D9" s="18"/>
      <c r="E9" s="34" t="s">
        <v>45</v>
      </c>
      <c r="F9" s="20" t="s">
        <v>70</v>
      </c>
      <c r="G9" s="7"/>
      <c r="H9" s="7" t="s">
        <v>69</v>
      </c>
      <c r="I9" s="1"/>
      <c r="J9" s="8" t="s">
        <v>29</v>
      </c>
      <c r="K9" s="8" t="s">
        <v>71</v>
      </c>
      <c r="L9" s="8" t="s">
        <v>68</v>
      </c>
    </row>
    <row r="10" spans="1:18" x14ac:dyDescent="0.5">
      <c r="A10" s="1"/>
      <c r="B10" s="33" t="s">
        <v>44</v>
      </c>
      <c r="C10">
        <v>0</v>
      </c>
      <c r="D10" s="1"/>
      <c r="E10" s="22" t="s">
        <v>0</v>
      </c>
      <c r="F10" s="7" t="s">
        <v>4</v>
      </c>
      <c r="G10" s="7" t="s">
        <v>33</v>
      </c>
      <c r="H10" s="7" t="s">
        <v>4</v>
      </c>
      <c r="I10" s="7" t="s">
        <v>5</v>
      </c>
      <c r="J10" s="1"/>
      <c r="K10" s="7">
        <f>1-((4*PI()*Refin*SIN(RADIANS(C10/2)/Lamnm)*Rgyration)^2/3)</f>
        <v>1</v>
      </c>
      <c r="L10" s="7">
        <v>1</v>
      </c>
      <c r="N10" s="40" t="s">
        <v>72</v>
      </c>
      <c r="O10" s="41"/>
      <c r="P10" s="14"/>
      <c r="Q10" s="40" t="s">
        <v>73</v>
      </c>
      <c r="R10" s="41"/>
    </row>
    <row r="11" spans="1:18" x14ac:dyDescent="0.5">
      <c r="A11" s="1"/>
      <c r="B11" s="6">
        <v>1</v>
      </c>
      <c r="C11" s="1">
        <v>22.5</v>
      </c>
      <c r="D11" s="1"/>
      <c r="E11" s="2" t="s">
        <v>2</v>
      </c>
      <c r="F11" s="2">
        <v>1.08</v>
      </c>
      <c r="G11" s="5"/>
      <c r="H11" s="2">
        <v>0</v>
      </c>
      <c r="I11" s="5"/>
      <c r="J11" s="2">
        <f>F11+G11-H11-I11</f>
        <v>1.08</v>
      </c>
      <c r="K11" s="2">
        <f>1-((4*PI()*Refin*SIN(RADIANS(C11/2)/Lamnm)*Rgyration)^2/3)</f>
        <v>0.9998611464428997</v>
      </c>
      <c r="L11" s="37">
        <f>K11/J11</f>
        <v>0.92579735781749961</v>
      </c>
      <c r="N11" s="42" t="s">
        <v>42</v>
      </c>
      <c r="O11" s="43"/>
      <c r="P11" s="14"/>
      <c r="Q11" s="42" t="s">
        <v>42</v>
      </c>
      <c r="R11" s="43"/>
    </row>
    <row r="12" spans="1:18" x14ac:dyDescent="0.5">
      <c r="A12" s="1"/>
      <c r="B12" s="6">
        <v>2</v>
      </c>
      <c r="C12" s="1">
        <v>28</v>
      </c>
      <c r="D12" s="1"/>
      <c r="E12" s="2" t="s">
        <v>2</v>
      </c>
      <c r="F12" s="2">
        <v>0.72</v>
      </c>
      <c r="G12" s="5"/>
      <c r="H12" s="2">
        <v>0</v>
      </c>
      <c r="I12" s="5"/>
      <c r="J12" s="2">
        <f t="shared" ref="J12:J28" si="0">F12+G12-H12-I12</f>
        <v>0.72</v>
      </c>
      <c r="K12" s="2">
        <f>1-((4*PI()*Refin*SIN(RADIANS(C12/2)/Lamnm)*Rgyration)^2/3)</f>
        <v>0.99978496555628471</v>
      </c>
      <c r="L12" s="37">
        <f>K12/J12</f>
        <v>1.3885902299392843</v>
      </c>
      <c r="N12" s="29" t="s">
        <v>34</v>
      </c>
      <c r="O12" s="30">
        <v>763.51862000000006</v>
      </c>
      <c r="Q12" s="29" t="s">
        <v>34</v>
      </c>
      <c r="R12" s="30">
        <v>0</v>
      </c>
    </row>
    <row r="13" spans="1:18" x14ac:dyDescent="0.5">
      <c r="A13" s="1"/>
      <c r="B13" s="6">
        <v>3</v>
      </c>
      <c r="C13" s="1">
        <v>32</v>
      </c>
      <c r="D13" s="1"/>
      <c r="E13" s="2" t="s">
        <v>2</v>
      </c>
      <c r="F13" s="2">
        <v>0.90100000000000002</v>
      </c>
      <c r="G13" s="5"/>
      <c r="H13" s="2">
        <v>0</v>
      </c>
      <c r="I13" s="5"/>
      <c r="J13" s="2">
        <f t="shared" si="0"/>
        <v>0.90100000000000002</v>
      </c>
      <c r="K13" s="2">
        <f>1-((4*PI()*Refin*SIN(RADIANS(C13/2)/Lamnm)*Rgyration)^2/3)</f>
        <v>0.99971913868940632</v>
      </c>
      <c r="L13" s="37">
        <f>K13/J13</f>
        <v>1.1095661916641579</v>
      </c>
      <c r="N13" s="29" t="s">
        <v>35</v>
      </c>
      <c r="O13" s="30">
        <v>707.81946000000005</v>
      </c>
      <c r="Q13" s="29" t="s">
        <v>35</v>
      </c>
      <c r="R13" s="30">
        <v>0</v>
      </c>
    </row>
    <row r="14" spans="1:18" x14ac:dyDescent="0.5">
      <c r="A14" s="1"/>
      <c r="B14" s="6">
        <v>4</v>
      </c>
      <c r="C14" s="1"/>
      <c r="D14" s="1"/>
      <c r="E14" s="4" t="s">
        <v>3</v>
      </c>
      <c r="F14" s="4"/>
      <c r="G14" s="5"/>
      <c r="H14" s="4"/>
      <c r="I14" s="5"/>
      <c r="J14" s="36">
        <f t="shared" si="0"/>
        <v>0</v>
      </c>
      <c r="K14" s="36">
        <f>1-((4*PI()*Refin*SIN(RADIANS(C14/2)/Lamnm)*Rgyration)^2/3)</f>
        <v>1</v>
      </c>
      <c r="L14" s="38" t="e">
        <f>K14/J14</f>
        <v>#DIV/0!</v>
      </c>
      <c r="N14" s="29" t="s">
        <v>36</v>
      </c>
      <c r="O14" s="30">
        <v>680.90466000000004</v>
      </c>
      <c r="Q14" s="29" t="s">
        <v>36</v>
      </c>
      <c r="R14" s="30">
        <v>0</v>
      </c>
    </row>
    <row r="15" spans="1:18" x14ac:dyDescent="0.5">
      <c r="A15" s="1"/>
      <c r="B15" s="6">
        <v>5</v>
      </c>
      <c r="C15" s="1">
        <v>44</v>
      </c>
      <c r="D15" s="1"/>
      <c r="E15" s="3" t="s">
        <v>1</v>
      </c>
      <c r="F15" s="5"/>
      <c r="G15" s="3">
        <f>O12</f>
        <v>763.51862000000006</v>
      </c>
      <c r="H15" s="5"/>
      <c r="I15" s="3">
        <v>0</v>
      </c>
      <c r="J15" s="3">
        <f t="shared" si="0"/>
        <v>763.51862000000006</v>
      </c>
      <c r="K15" s="3">
        <f>1-((4*PI()*Refin*SIN(RADIANS(C15/2)/Lamnm)*Rgyration)^2/3)</f>
        <v>0.99946899661085775</v>
      </c>
      <c r="L15" s="39">
        <f>K15/J15</f>
        <v>1.3090302848290166E-3</v>
      </c>
      <c r="N15" s="29" t="s">
        <v>37</v>
      </c>
      <c r="O15" s="30">
        <v>680.11095999999998</v>
      </c>
      <c r="Q15" s="29" t="s">
        <v>37</v>
      </c>
      <c r="R15" s="30">
        <v>0</v>
      </c>
    </row>
    <row r="16" spans="1:18" x14ac:dyDescent="0.5">
      <c r="A16" s="1"/>
      <c r="B16" s="6">
        <v>6</v>
      </c>
      <c r="C16" s="1">
        <v>50</v>
      </c>
      <c r="D16" s="1"/>
      <c r="E16" s="3" t="s">
        <v>1</v>
      </c>
      <c r="F16" s="5"/>
      <c r="G16" s="3">
        <f>O13</f>
        <v>707.81946000000005</v>
      </c>
      <c r="H16" s="5"/>
      <c r="I16" s="3">
        <v>0</v>
      </c>
      <c r="J16" s="3">
        <f t="shared" si="0"/>
        <v>707.81946000000005</v>
      </c>
      <c r="K16" s="3">
        <f>1-((4*PI()*Refin*SIN(RADIANS(C16/2)/Lamnm)*Rgyration)^2/3)</f>
        <v>0.99931430349568662</v>
      </c>
      <c r="L16" s="39">
        <f>K16/J16</f>
        <v>1.411820894971843E-3</v>
      </c>
      <c r="N16" s="29" t="s">
        <v>38</v>
      </c>
      <c r="O16" s="30">
        <v>163.31816000000001</v>
      </c>
      <c r="Q16" s="29" t="s">
        <v>38</v>
      </c>
      <c r="R16" s="30">
        <v>0</v>
      </c>
    </row>
    <row r="17" spans="1:18" x14ac:dyDescent="0.5">
      <c r="A17" s="1"/>
      <c r="B17" s="6">
        <v>7</v>
      </c>
      <c r="C17" s="1">
        <v>57</v>
      </c>
      <c r="D17" s="1"/>
      <c r="E17" s="2" t="s">
        <v>2</v>
      </c>
      <c r="F17" s="2">
        <v>1.23</v>
      </c>
      <c r="G17" s="5"/>
      <c r="H17" s="2">
        <v>0</v>
      </c>
      <c r="I17" s="5"/>
      <c r="J17" s="2">
        <f t="shared" si="0"/>
        <v>1.23</v>
      </c>
      <c r="K17" s="2">
        <f>1-((4*PI()*Refin*SIN(RADIANS(C17/2)/Lamnm)*Rgyration)^2/3)</f>
        <v>0.99910886885910333</v>
      </c>
      <c r="L17" s="37">
        <f>K17/J17</f>
        <v>0.81228363321878316</v>
      </c>
      <c r="N17" s="29" t="s">
        <v>39</v>
      </c>
      <c r="O17" s="30">
        <v>333.06646999999998</v>
      </c>
      <c r="Q17" s="29" t="s">
        <v>39</v>
      </c>
      <c r="R17" s="30">
        <v>0</v>
      </c>
    </row>
    <row r="18" spans="1:18" x14ac:dyDescent="0.5">
      <c r="A18" s="1"/>
      <c r="B18" s="6">
        <v>8</v>
      </c>
      <c r="C18" s="1">
        <v>64</v>
      </c>
      <c r="D18" s="1"/>
      <c r="E18" s="3" t="s">
        <v>1</v>
      </c>
      <c r="F18" s="5"/>
      <c r="G18" s="3">
        <f>O14</f>
        <v>680.90466000000004</v>
      </c>
      <c r="H18" s="5"/>
      <c r="I18" s="3">
        <v>0</v>
      </c>
      <c r="J18" s="3">
        <f t="shared" si="0"/>
        <v>680.90466000000004</v>
      </c>
      <c r="K18" s="3">
        <f>1-((4*PI()*Refin*SIN(RADIANS(C18/2)/Lamnm)*Rgyration)^2/3)</f>
        <v>0.99887655494433414</v>
      </c>
      <c r="L18" s="39">
        <f>K18/J18</f>
        <v>1.4669844599746668E-3</v>
      </c>
      <c r="N18" s="29" t="s">
        <v>40</v>
      </c>
      <c r="O18" s="30">
        <v>417.58285999999998</v>
      </c>
      <c r="Q18" s="29" t="s">
        <v>40</v>
      </c>
      <c r="R18" s="30">
        <v>0</v>
      </c>
    </row>
    <row r="19" spans="1:18" ht="14.7" thickBot="1" x14ac:dyDescent="0.55000000000000004">
      <c r="A19" s="1"/>
      <c r="B19" s="6">
        <v>9</v>
      </c>
      <c r="C19" s="1">
        <v>72</v>
      </c>
      <c r="D19" s="1"/>
      <c r="E19" s="2" t="s">
        <v>2</v>
      </c>
      <c r="F19" s="2">
        <v>1.117</v>
      </c>
      <c r="G19" s="5"/>
      <c r="H19" s="2">
        <v>0</v>
      </c>
      <c r="I19" s="5"/>
      <c r="J19" s="2">
        <f t="shared" si="0"/>
        <v>1.117</v>
      </c>
      <c r="K19" s="2">
        <f>1-((4*PI()*Refin*SIN(RADIANS(C19/2)/Lamnm)*Rgyration)^2/3)</f>
        <v>0.9985781399351138</v>
      </c>
      <c r="L19" s="37">
        <f>K19/J19</f>
        <v>0.89398222017467666</v>
      </c>
      <c r="N19" s="31" t="s">
        <v>41</v>
      </c>
      <c r="O19" s="32">
        <v>567.71167000000003</v>
      </c>
      <c r="Q19" s="31" t="s">
        <v>41</v>
      </c>
      <c r="R19" s="32">
        <v>0</v>
      </c>
    </row>
    <row r="20" spans="1:18" x14ac:dyDescent="0.5">
      <c r="A20" s="1"/>
      <c r="B20" s="6">
        <v>10</v>
      </c>
      <c r="C20" s="1">
        <v>81</v>
      </c>
      <c r="D20" s="1"/>
      <c r="E20" s="3" t="s">
        <v>1</v>
      </c>
      <c r="F20" s="5"/>
      <c r="G20" s="3">
        <f>O15</f>
        <v>680.11095999999998</v>
      </c>
      <c r="H20" s="5"/>
      <c r="I20" s="3">
        <v>0</v>
      </c>
      <c r="J20" s="3">
        <f t="shared" si="0"/>
        <v>680.11095999999998</v>
      </c>
      <c r="K20" s="3">
        <f>1-((4*PI()*Refin*SIN(RADIANS(C20/2)/Lamnm)*Rgyration)^2/3)</f>
        <v>0.99820045848943506</v>
      </c>
      <c r="L20" s="39">
        <f>K20/J20</f>
        <v>1.4677023562293938E-3</v>
      </c>
    </row>
    <row r="21" spans="1:18" x14ac:dyDescent="0.5">
      <c r="A21" s="1"/>
      <c r="B21" s="6">
        <v>11</v>
      </c>
      <c r="C21" s="1">
        <v>90</v>
      </c>
      <c r="D21" s="1"/>
      <c r="E21" s="2" t="s">
        <v>2</v>
      </c>
      <c r="F21" s="2">
        <v>1.0029999999999999</v>
      </c>
      <c r="G21" s="5"/>
      <c r="H21" s="2">
        <v>0</v>
      </c>
      <c r="I21" s="5"/>
      <c r="J21" s="2">
        <f t="shared" si="0"/>
        <v>1.0029999999999999</v>
      </c>
      <c r="K21" s="2">
        <f>1-((4*PI()*Refin*SIN(RADIANS(C21/2)/Lamnm)*Rgyration)^2/3)</f>
        <v>0.99777834399909004</v>
      </c>
      <c r="L21" s="37">
        <f>K21/J21</f>
        <v>0.99479396211275195</v>
      </c>
    </row>
    <row r="22" spans="1:18" x14ac:dyDescent="0.5">
      <c r="A22" s="1"/>
      <c r="B22" s="6">
        <v>12</v>
      </c>
      <c r="C22" s="1">
        <v>99</v>
      </c>
      <c r="D22" s="1"/>
      <c r="E22" s="3" t="s">
        <v>1</v>
      </c>
      <c r="F22" s="5"/>
      <c r="G22" s="3">
        <f>O16</f>
        <v>163.31816000000001</v>
      </c>
      <c r="H22" s="5"/>
      <c r="I22" s="3">
        <v>0</v>
      </c>
      <c r="J22" s="3">
        <f t="shared" si="0"/>
        <v>163.31816000000001</v>
      </c>
      <c r="K22" s="3">
        <f>1-((4*PI()*Refin*SIN(RADIANS(C22/2)/Lamnm)*Rgyration)^2/3)</f>
        <v>0.99731179648627577</v>
      </c>
      <c r="L22" s="39">
        <f>K22/J22</f>
        <v>6.106557877496757E-3</v>
      </c>
    </row>
    <row r="23" spans="1:18" x14ac:dyDescent="0.5">
      <c r="A23" s="1"/>
      <c r="B23" s="6">
        <v>13</v>
      </c>
      <c r="C23" s="1"/>
      <c r="D23" s="1"/>
      <c r="E23" s="4" t="s">
        <v>3</v>
      </c>
      <c r="F23" s="4"/>
      <c r="G23" s="5"/>
      <c r="H23" s="4"/>
      <c r="I23" s="5"/>
      <c r="J23" s="36">
        <f t="shared" si="0"/>
        <v>0</v>
      </c>
      <c r="K23" s="36">
        <f>1-((4*PI()*Refin*SIN(RADIANS(C23/2)/Lamnm)*Rgyration)^2/3)</f>
        <v>1</v>
      </c>
      <c r="L23" s="38" t="e">
        <f>K23/J23</f>
        <v>#DIV/0!</v>
      </c>
    </row>
    <row r="24" spans="1:18" x14ac:dyDescent="0.5">
      <c r="A24" s="1"/>
      <c r="B24" s="6">
        <v>14</v>
      </c>
      <c r="C24" s="1">
        <v>117</v>
      </c>
      <c r="D24" s="1"/>
      <c r="E24" s="3" t="s">
        <v>1</v>
      </c>
      <c r="F24" s="5"/>
      <c r="G24" s="3">
        <f>O17</f>
        <v>333.06646999999998</v>
      </c>
      <c r="H24" s="5"/>
      <c r="I24" s="3">
        <v>0</v>
      </c>
      <c r="J24" s="3">
        <f t="shared" si="0"/>
        <v>333.06646999999998</v>
      </c>
      <c r="K24" s="3">
        <f>1-((4*PI()*Refin*SIN(RADIANS(C24/2)/Lamnm)*Rgyration)^2/3)</f>
        <v>0.99624540249370819</v>
      </c>
      <c r="L24" s="39">
        <f>K24/J24</f>
        <v>2.9911308769499018E-3</v>
      </c>
    </row>
    <row r="25" spans="1:18" x14ac:dyDescent="0.5">
      <c r="A25" s="1"/>
      <c r="B25" s="6">
        <v>15</v>
      </c>
      <c r="C25" s="1">
        <v>126</v>
      </c>
      <c r="D25" s="1"/>
      <c r="E25" s="2" t="s">
        <v>2</v>
      </c>
      <c r="F25" s="2">
        <v>1.2849999999999999</v>
      </c>
      <c r="G25" s="5"/>
      <c r="H25" s="2">
        <v>0</v>
      </c>
      <c r="I25" s="5"/>
      <c r="J25" s="2">
        <f t="shared" si="0"/>
        <v>1.2849999999999999</v>
      </c>
      <c r="K25" s="2">
        <f>1-((4*PI()*Refin*SIN(RADIANS(C25/2)/Lamnm)*Rgyration)^2/3)</f>
        <v>0.99564555607003091</v>
      </c>
      <c r="L25" s="37">
        <f>K25/J25</f>
        <v>0.77482144441247547</v>
      </c>
    </row>
    <row r="26" spans="1:18" x14ac:dyDescent="0.5">
      <c r="A26" s="1"/>
      <c r="B26" s="6">
        <v>16</v>
      </c>
      <c r="C26" s="1">
        <v>134</v>
      </c>
      <c r="D26" s="1"/>
      <c r="E26" s="3" t="s">
        <v>1</v>
      </c>
      <c r="F26" s="5"/>
      <c r="G26" s="3">
        <f>O18</f>
        <v>417.58285999999998</v>
      </c>
      <c r="H26" s="5"/>
      <c r="I26" s="3">
        <v>0</v>
      </c>
      <c r="J26" s="3">
        <f t="shared" si="0"/>
        <v>417.58285999999998</v>
      </c>
      <c r="K26" s="3">
        <f>1-((4*PI()*Refin*SIN(RADIANS(C26/2)/Lamnm)*Rgyration)^2/3)</f>
        <v>0.99507505754546233</v>
      </c>
      <c r="L26" s="39">
        <f>K26/J26</f>
        <v>2.3829403763015139E-3</v>
      </c>
    </row>
    <row r="27" spans="1:18" x14ac:dyDescent="0.5">
      <c r="A27" s="1"/>
      <c r="B27" s="6">
        <v>17</v>
      </c>
      <c r="C27" s="1">
        <v>141</v>
      </c>
      <c r="D27" s="1"/>
      <c r="E27" s="2" t="s">
        <v>2</v>
      </c>
      <c r="F27" s="2">
        <v>0.70899999999999996</v>
      </c>
      <c r="G27" s="5"/>
      <c r="H27" s="2">
        <v>0</v>
      </c>
      <c r="I27" s="5"/>
      <c r="J27" s="2">
        <f t="shared" si="0"/>
        <v>0.70899999999999996</v>
      </c>
      <c r="K27" s="2">
        <f>1-((4*PI()*Refin*SIN(RADIANS(C27/2)/Lamnm)*Rgyration)^2/3)</f>
        <v>0.99454707224649719</v>
      </c>
      <c r="L27" s="37">
        <f>K27/J27</f>
        <v>1.402746223196752</v>
      </c>
    </row>
    <row r="28" spans="1:18" x14ac:dyDescent="0.5">
      <c r="A28" s="1"/>
      <c r="B28" s="6">
        <v>18</v>
      </c>
      <c r="C28" s="1">
        <v>147</v>
      </c>
      <c r="D28" s="1"/>
      <c r="E28" s="3" t="s">
        <v>1</v>
      </c>
      <c r="F28" s="5"/>
      <c r="G28" s="3">
        <f>O19</f>
        <v>567.71167000000003</v>
      </c>
      <c r="H28" s="5"/>
      <c r="I28" s="3">
        <v>0</v>
      </c>
      <c r="J28" s="3">
        <f t="shared" si="0"/>
        <v>567.71167000000003</v>
      </c>
      <c r="K28" s="3">
        <f>1-((4*PI()*Refin*SIN(RADIANS(C28/2)/Lamnm)*Rgyration)^2/3)</f>
        <v>0.99407311982244184</v>
      </c>
      <c r="L28" s="39">
        <f>K28/J28</f>
        <v>1.751017589302756E-3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ABE51-A7A9-4956-A4B6-A2E9FAB2230C}">
  <dimension ref="A2:B5"/>
  <sheetViews>
    <sheetView workbookViewId="0">
      <selection activeCell="B6" sqref="B6"/>
    </sheetView>
  </sheetViews>
  <sheetFormatPr defaultRowHeight="14.35" x14ac:dyDescent="0.5"/>
  <cols>
    <col min="1" max="1" width="15.29296875" customWidth="1"/>
    <col min="2" max="2" width="9.76171875" bestFit="1" customWidth="1"/>
  </cols>
  <sheetData>
    <row r="2" spans="1:2" x14ac:dyDescent="0.5">
      <c r="A2" t="s">
        <v>11</v>
      </c>
      <c r="B2" t="s">
        <v>13</v>
      </c>
    </row>
    <row r="3" spans="1:2" x14ac:dyDescent="0.5">
      <c r="A3" t="s">
        <v>9</v>
      </c>
      <c r="B3">
        <v>685</v>
      </c>
    </row>
    <row r="4" spans="1:2" x14ac:dyDescent="0.5">
      <c r="A4" t="s">
        <v>12</v>
      </c>
      <c r="B4">
        <f>Lamnm/10000000</f>
        <v>6.8499999999999998E-5</v>
      </c>
    </row>
    <row r="5" spans="1:2" x14ac:dyDescent="0.5">
      <c r="A5" t="s">
        <v>10</v>
      </c>
      <c r="B5">
        <v>1.33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Instructions</vt:lpstr>
      <vt:lpstr>Data readings</vt:lpstr>
      <vt:lpstr>Parameters</vt:lpstr>
      <vt:lpstr>Lamcm</vt:lpstr>
      <vt:lpstr>Lamnm</vt:lpstr>
      <vt:lpstr>Refin</vt:lpstr>
      <vt:lpstr>Rgyration</vt:lpstr>
      <vt:lpstr>Rhydro</vt:lpstr>
      <vt:lpstr>Solvent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2022-06-05T06:16:15Z</dcterms:modified>
</cp:coreProperties>
</file>