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B2FACF41-7B37-472F-AF3A-BE368DBC220F}" xr6:coauthVersionLast="36" xr6:coauthVersionMax="36" xr10:uidLastSave="{00000000-0000-0000-0000-000000000000}"/>
  <bookViews>
    <workbookView xWindow="0" yWindow="0" windowWidth="22260" windowHeight="12647" xr2:uid="{00000000-000D-0000-FFFF-FFFF00000000}"/>
  </bookViews>
  <sheets>
    <sheet name="Development notes" sheetId="6" r:id="rId1"/>
    <sheet name="Instructions" sheetId="3" r:id="rId2"/>
    <sheet name="Normalize" sheetId="1" r:id="rId3"/>
    <sheet name="Measure Unknown " sheetId="4" r:id="rId4"/>
    <sheet name="Guinier" sheetId="5" r:id="rId5"/>
    <sheet name="Parameters" sheetId="2" r:id="rId6"/>
  </sheets>
  <definedNames>
    <definedName name="Guinslope">Guinier!$K$24</definedName>
    <definedName name="Guintercept">Guinier!$K$23</definedName>
    <definedName name="Lamcm">Parameters!$B$4</definedName>
    <definedName name="Lamnm">Parameters!$B$3</definedName>
    <definedName name="Refin">Parameters!$B$5</definedName>
    <definedName name="Rgyration">Normalize!$J$8</definedName>
    <definedName name="Rhydro">Normalize!$J$7</definedName>
    <definedName name="Solvent">Parameters!$B$2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5" l="1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7" i="5"/>
  <c r="K27" i="5"/>
  <c r="K25" i="5"/>
  <c r="K26" i="5" s="1"/>
  <c r="C22" i="5"/>
  <c r="D22" i="5" s="1"/>
  <c r="E22" i="5" s="1"/>
  <c r="B22" i="5"/>
  <c r="C10" i="5"/>
  <c r="D10" i="5" s="1"/>
  <c r="E10" i="5" s="1"/>
  <c r="C11" i="5"/>
  <c r="D11" i="5" s="1"/>
  <c r="E11" i="5" s="1"/>
  <c r="C12" i="5"/>
  <c r="D12" i="5" s="1"/>
  <c r="E12" i="5" s="1"/>
  <c r="C13" i="5"/>
  <c r="D13" i="5" s="1"/>
  <c r="E13" i="5" s="1"/>
  <c r="C14" i="5"/>
  <c r="D14" i="5" s="1"/>
  <c r="E14" i="5" s="1"/>
  <c r="C15" i="5"/>
  <c r="D15" i="5" s="1"/>
  <c r="E15" i="5" s="1"/>
  <c r="C16" i="5"/>
  <c r="D16" i="5" s="1"/>
  <c r="E16" i="5" s="1"/>
  <c r="C17" i="5"/>
  <c r="D17" i="5" s="1"/>
  <c r="E17" i="5" s="1"/>
  <c r="C18" i="5"/>
  <c r="D18" i="5" s="1"/>
  <c r="E18" i="5" s="1"/>
  <c r="C19" i="5"/>
  <c r="D19" i="5" s="1"/>
  <c r="E19" i="5" s="1"/>
  <c r="C20" i="5"/>
  <c r="D20" i="5" s="1"/>
  <c r="E20" i="5" s="1"/>
  <c r="C21" i="5"/>
  <c r="D21" i="5" s="1"/>
  <c r="E21" i="5" s="1"/>
  <c r="B11" i="5"/>
  <c r="B12" i="5"/>
  <c r="B13" i="5"/>
  <c r="B14" i="5"/>
  <c r="B15" i="5"/>
  <c r="B16" i="5"/>
  <c r="B17" i="5"/>
  <c r="B18" i="5"/>
  <c r="B19" i="5"/>
  <c r="B20" i="5"/>
  <c r="B21" i="5"/>
  <c r="C8" i="5"/>
  <c r="D8" i="5" s="1"/>
  <c r="E8" i="5" s="1"/>
  <c r="C9" i="5"/>
  <c r="D9" i="5" s="1"/>
  <c r="E9" i="5" s="1"/>
  <c r="C7" i="5"/>
  <c r="D7" i="5" s="1"/>
  <c r="E7" i="5" s="1"/>
  <c r="B10" i="5"/>
  <c r="B8" i="5"/>
  <c r="B9" i="5"/>
  <c r="B7" i="5"/>
  <c r="M18" i="4"/>
  <c r="M27" i="4"/>
  <c r="H32" i="4"/>
  <c r="L32" i="4" s="1"/>
  <c r="L31" i="4"/>
  <c r="H30" i="4"/>
  <c r="L30" i="4" s="1"/>
  <c r="L29" i="4"/>
  <c r="H28" i="4"/>
  <c r="L28" i="4" s="1"/>
  <c r="H26" i="4"/>
  <c r="L26" i="4" s="1"/>
  <c r="L25" i="4"/>
  <c r="H24" i="4"/>
  <c r="L24" i="4" s="1"/>
  <c r="L23" i="4"/>
  <c r="H22" i="4"/>
  <c r="L22" i="4" s="1"/>
  <c r="L21" i="4"/>
  <c r="H20" i="4"/>
  <c r="L20" i="4" s="1"/>
  <c r="H19" i="4"/>
  <c r="L19" i="4" s="1"/>
  <c r="L17" i="4"/>
  <c r="L16" i="4"/>
  <c r="L15" i="4"/>
  <c r="J9" i="4"/>
  <c r="J8" i="4"/>
  <c r="J10" i="4" s="1"/>
  <c r="J11" i="4" s="1"/>
  <c r="H22" i="1"/>
  <c r="H20" i="1"/>
  <c r="H19" i="1"/>
  <c r="F9" i="5" l="1"/>
  <c r="F17" i="5"/>
  <c r="F16" i="5"/>
  <c r="F11" i="5"/>
  <c r="F21" i="5"/>
  <c r="F13" i="5"/>
  <c r="F20" i="5"/>
  <c r="F12" i="5"/>
  <c r="F8" i="5"/>
  <c r="F7" i="5"/>
  <c r="F19" i="5"/>
  <c r="F15" i="5"/>
  <c r="F22" i="5"/>
  <c r="F18" i="5"/>
  <c r="F14" i="5"/>
  <c r="F10" i="5"/>
  <c r="H32" i="1"/>
  <c r="L32" i="1" s="1"/>
  <c r="H30" i="1"/>
  <c r="L30" i="1" s="1"/>
  <c r="H28" i="1"/>
  <c r="L28" i="1" s="1"/>
  <c r="H26" i="1"/>
  <c r="L26" i="1" s="1"/>
  <c r="H24" i="1"/>
  <c r="L24" i="1" s="1"/>
  <c r="L22" i="1"/>
  <c r="L20" i="1"/>
  <c r="L19" i="1"/>
  <c r="L16" i="1"/>
  <c r="L17" i="1"/>
  <c r="L21" i="1"/>
  <c r="L23" i="1"/>
  <c r="L25" i="1"/>
  <c r="L29" i="1"/>
  <c r="L31" i="1"/>
  <c r="L15" i="1"/>
  <c r="J8" i="1"/>
  <c r="M16" i="1" s="1"/>
  <c r="J9" i="1"/>
  <c r="B4" i="2"/>
  <c r="M31" i="1" l="1"/>
  <c r="M23" i="1"/>
  <c r="N23" i="1" s="1"/>
  <c r="M23" i="4" s="1"/>
  <c r="G14" i="5" s="1"/>
  <c r="H14" i="5" s="1"/>
  <c r="N16" i="1"/>
  <c r="M16" i="4" s="1"/>
  <c r="G8" i="5" s="1"/>
  <c r="H8" i="5" s="1"/>
  <c r="M22" i="1"/>
  <c r="N22" i="1" s="1"/>
  <c r="M22" i="4" s="1"/>
  <c r="G13" i="5" s="1"/>
  <c r="H13" i="5" s="1"/>
  <c r="M30" i="1"/>
  <c r="M19" i="1"/>
  <c r="N19" i="1" s="1"/>
  <c r="M19" i="4" s="1"/>
  <c r="G10" i="5" s="1"/>
  <c r="H10" i="5" s="1"/>
  <c r="M26" i="1"/>
  <c r="N26" i="1" s="1"/>
  <c r="M26" i="4" s="1"/>
  <c r="G17" i="5" s="1"/>
  <c r="H17" i="5" s="1"/>
  <c r="M14" i="1"/>
  <c r="N31" i="1"/>
  <c r="M31" i="4" s="1"/>
  <c r="G21" i="5" s="1"/>
  <c r="H21" i="5" s="1"/>
  <c r="M15" i="1"/>
  <c r="N15" i="1" s="1"/>
  <c r="M15" i="4" s="1"/>
  <c r="G7" i="5" s="1"/>
  <c r="H7" i="5" s="1"/>
  <c r="M29" i="1"/>
  <c r="N29" i="1" s="1"/>
  <c r="M29" i="4" s="1"/>
  <c r="G19" i="5" s="1"/>
  <c r="H19" i="5" s="1"/>
  <c r="M25" i="1"/>
  <c r="N25" i="1" s="1"/>
  <c r="M25" i="4" s="1"/>
  <c r="G16" i="5" s="1"/>
  <c r="H16" i="5" s="1"/>
  <c r="M21" i="1"/>
  <c r="N21" i="1" s="1"/>
  <c r="M21" i="4" s="1"/>
  <c r="G12" i="5" s="1"/>
  <c r="H12" i="5" s="1"/>
  <c r="M17" i="1"/>
  <c r="N17" i="1" s="1"/>
  <c r="M17" i="4" s="1"/>
  <c r="G9" i="5" s="1"/>
  <c r="H9" i="5" s="1"/>
  <c r="J10" i="1"/>
  <c r="J11" i="1" s="1"/>
  <c r="M32" i="1"/>
  <c r="N32" i="1" s="1"/>
  <c r="M32" i="4" s="1"/>
  <c r="G22" i="5" s="1"/>
  <c r="H22" i="5" s="1"/>
  <c r="M28" i="1"/>
  <c r="N28" i="1" s="1"/>
  <c r="M28" i="4" s="1"/>
  <c r="G18" i="5" s="1"/>
  <c r="H18" i="5" s="1"/>
  <c r="M24" i="1"/>
  <c r="N24" i="1" s="1"/>
  <c r="M24" i="4" s="1"/>
  <c r="G15" i="5" s="1"/>
  <c r="H15" i="5" s="1"/>
  <c r="M20" i="1"/>
  <c r="N20" i="1" s="1"/>
  <c r="M20" i="4" s="1"/>
  <c r="G11" i="5" s="1"/>
  <c r="H11" i="5" s="1"/>
  <c r="N30" i="1"/>
  <c r="M30" i="4" s="1"/>
  <c r="G20" i="5" s="1"/>
  <c r="H20" i="5" s="1"/>
</calcChain>
</file>

<file path=xl/sharedStrings.xml><?xml version="1.0" encoding="utf-8"?>
<sst xmlns="http://schemas.openxmlformats.org/spreadsheetml/2006/main" count="230" uniqueCount="110">
  <si>
    <t>Detector type</t>
  </si>
  <si>
    <t>Fiber/APD</t>
  </si>
  <si>
    <t>Wyatt diode</t>
  </si>
  <si>
    <t>Wyatt Reading</t>
  </si>
  <si>
    <t>ALV Reading</t>
  </si>
  <si>
    <t>Front</t>
  </si>
  <si>
    <t>beam stop (y/n)</t>
  </si>
  <si>
    <t>y</t>
  </si>
  <si>
    <t>Wavelength/nm</t>
  </si>
  <si>
    <t>Refractive index</t>
  </si>
  <si>
    <t>Solvent</t>
  </si>
  <si>
    <t>Wavelength/cm</t>
  </si>
  <si>
    <t>Water</t>
  </si>
  <si>
    <t>p1</t>
  </si>
  <si>
    <t>p2</t>
  </si>
  <si>
    <t>p3</t>
  </si>
  <si>
    <t>LC</t>
  </si>
  <si>
    <t>L</t>
  </si>
  <si>
    <t>Port #</t>
  </si>
  <si>
    <t>Monitors</t>
  </si>
  <si>
    <r>
      <t>Comment</t>
    </r>
    <r>
      <rPr>
        <b/>
        <sz val="11"/>
        <color theme="1"/>
        <rFont val="Symbol"/>
        <family val="1"/>
        <charset val="2"/>
      </rPr>
      <t>¯</t>
    </r>
  </si>
  <si>
    <t>Normalizing standard</t>
  </si>
  <si>
    <t>nm</t>
  </si>
  <si>
    <r>
      <rPr>
        <sz val="11"/>
        <color theme="1"/>
        <rFont val="Symbol"/>
        <family val="1"/>
        <charset val="2"/>
      </rPr>
      <t>l</t>
    </r>
    <r>
      <rPr>
        <vertAlign val="subscript"/>
        <sz val="11"/>
        <color theme="1"/>
        <rFont val="Symbol"/>
        <family val="1"/>
        <charset val="2"/>
      </rPr>
      <t>o</t>
    </r>
    <r>
      <rPr>
        <sz val="11"/>
        <color theme="1"/>
        <rFont val="Calibri"/>
        <family val="2"/>
        <scheme val="minor"/>
      </rPr>
      <t>/(n*DLS radius)</t>
    </r>
  </si>
  <si>
    <r>
      <t>R</t>
    </r>
    <r>
      <rPr>
        <vertAlign val="subscript"/>
        <sz val="11"/>
        <color theme="1"/>
        <rFont val="Calibri"/>
        <family val="2"/>
        <scheme val="minor"/>
      </rPr>
      <t>h</t>
    </r>
  </si>
  <si>
    <r>
      <t>R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(sphere)</t>
    </r>
  </si>
  <si>
    <t>Brij microemulsion</t>
  </si>
  <si>
    <t>Signal</t>
  </si>
  <si>
    <t>Date of normalization</t>
  </si>
  <si>
    <t>Russo</t>
  </si>
  <si>
    <t>ALV Reading/kHz</t>
  </si>
  <si>
    <t>MeanCR1 [kHz]   :</t>
  </si>
  <si>
    <t>MeanCR2 [kHz]   :</t>
  </si>
  <si>
    <t>MeanCR3 [kHz]   :</t>
  </si>
  <si>
    <t>MeanCR4 [kHz]   :</t>
  </si>
  <si>
    <t>MeanCR5 [kHz]   :</t>
  </si>
  <si>
    <t>MeanCR6 [kHz]   :</t>
  </si>
  <si>
    <t>MeanCR7 [kHz]   :</t>
  </si>
  <si>
    <t>MeanCR8 [kHz]   :</t>
  </si>
  <si>
    <t>here from .ASC file</t>
  </si>
  <si>
    <t>Angle/degrees</t>
  </si>
  <si>
    <t>Zero-ref</t>
  </si>
  <si>
    <t>----</t>
  </si>
  <si>
    <t xml:space="preserve">(there is no such thing as a perfect Rayleigh scatterer). Typically, we might use </t>
  </si>
  <si>
    <t>a small latex particle, bovine serum albumen, or Brij-97 microemulsion.</t>
  </si>
  <si>
    <t xml:space="preserve">The instrument has two kinds of detectors: Wyatt pin photodiodes plus </t>
  </si>
  <si>
    <t xml:space="preserve">avalanche photodiode light sensors. </t>
  </si>
  <si>
    <t>The Wyatt detectors can most easily be read from the front panel display.</t>
  </si>
  <si>
    <t xml:space="preserve">The unit of measurement is probably in volts, but it does not matter. </t>
  </si>
  <si>
    <t xml:space="preserve">The APD detectors measure in kHz, a totally different thing. </t>
  </si>
  <si>
    <t xml:space="preserve">The objective is to figure out what factor puts the measured intensities on the </t>
  </si>
  <si>
    <t>That will be good enough for any sensible normalization standard, but the equation</t>
  </si>
  <si>
    <t xml:space="preserve">could be replaced with a detailed expression for, say, a larger latex sphere. </t>
  </si>
  <si>
    <t xml:space="preserve">The idea is something small that scatters a lot, well above solvent level and any </t>
  </si>
  <si>
    <t xml:space="preserve">stray light. </t>
  </si>
  <si>
    <t xml:space="preserve">To use: </t>
  </si>
  <si>
    <t>Make a DLS run on your normalization standard, save as .ASC file</t>
  </si>
  <si>
    <t>Drop those data into the green-shaded cells at the top right; the results are copied where they need to go.</t>
  </si>
  <si>
    <t>Repeat the previous 2 steps for the solvent (likely a much weaker scatterer).</t>
  </si>
  <si>
    <t xml:space="preserve">Enter the type of normalization standard. </t>
  </si>
  <si>
    <t xml:space="preserve">Enter your name and date. </t>
  </si>
  <si>
    <r>
      <t>q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</si>
  <si>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t>1-(q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/3</t>
    </r>
  </si>
  <si>
    <t>Normalization</t>
  </si>
  <si>
    <t>Factor</t>
  </si>
  <si>
    <t xml:space="preserve">       Solvent background</t>
  </si>
  <si>
    <t xml:space="preserve">          Normalizing solution</t>
  </si>
  <si>
    <r>
      <t>P(</t>
    </r>
    <r>
      <rPr>
        <b/>
        <sz val="11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>)</t>
    </r>
  </si>
  <si>
    <r>
      <t xml:space="preserve">Drop </t>
    </r>
    <r>
      <rPr>
        <b/>
        <u/>
        <sz val="11"/>
        <color theme="0" tint="-0.14999847407452621"/>
        <rFont val="Calibri"/>
        <family val="2"/>
        <scheme val="minor"/>
      </rPr>
      <t>solution</t>
    </r>
    <r>
      <rPr>
        <b/>
        <sz val="11"/>
        <color theme="0" tint="-0.14999847407452621"/>
        <rFont val="Calibri"/>
        <family val="2"/>
        <scheme val="minor"/>
      </rPr>
      <t xml:space="preserve"> count rates </t>
    </r>
  </si>
  <si>
    <r>
      <t xml:space="preserve">Drop </t>
    </r>
    <r>
      <rPr>
        <b/>
        <u/>
        <sz val="11"/>
        <color theme="7" tint="0.59999389629810485"/>
        <rFont val="Calibri"/>
        <family val="2"/>
        <scheme val="minor"/>
      </rPr>
      <t>solvent</t>
    </r>
    <r>
      <rPr>
        <b/>
        <sz val="11"/>
        <color theme="0" tint="-0.14999847407452621"/>
        <rFont val="Calibri"/>
        <family val="2"/>
        <scheme val="minor"/>
      </rPr>
      <t xml:space="preserve"> count rates </t>
    </r>
  </si>
  <si>
    <r>
      <t>Enter the R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value from the DLS run.</t>
    </r>
  </si>
  <si>
    <t>At this point, your normalization constants should be ready.</t>
  </si>
  <si>
    <r>
      <t>correct P(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) curve. We calculate the curve from the low-order P(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) expansion, 1-q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g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/3.</t>
    </r>
  </si>
  <si>
    <t xml:space="preserve">Normally, this will give you a cumulants Gamma value and Rh value. </t>
  </si>
  <si>
    <t>Read the ALV's red panel display for all the laser and angles by gently pressing the selection button; type the results into the appropriate cells (color-coded).</t>
  </si>
  <si>
    <t xml:space="preserve"> button; type the results into the appropriate cells.</t>
  </si>
  <si>
    <t xml:space="preserve">Apply the normalization factors to the intensities. </t>
  </si>
  <si>
    <t xml:space="preserve">You can then measure something known, preferably in a solvent with the same refractive index (subtract the solvent). </t>
  </si>
  <si>
    <r>
      <t>A Guinier plot or similar should give you the size expected for the known (if it's a sphere, don't forget to convert the DLS results to R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).</t>
    </r>
  </si>
  <si>
    <t>Empty</t>
  </si>
  <si>
    <t>---</t>
  </si>
  <si>
    <t xml:space="preserve">Operator                           </t>
  </si>
  <si>
    <t>Parameter</t>
  </si>
  <si>
    <t>Purpose:</t>
  </si>
  <si>
    <t>This workbook permits us to normalize detectors to a standard of finite size.</t>
  </si>
  <si>
    <t xml:space="preserve">Using the normalization, you can then push ahead to measure an Rg using Guinier </t>
  </si>
  <si>
    <t>Principle:</t>
  </si>
  <si>
    <t xml:space="preserve"> </t>
  </si>
  <si>
    <t>You can include the Rh value from DLS, but be careful about single-angle DLS (see Gather program for multiangle)</t>
  </si>
  <si>
    <t>Then you can get Rg/Rh for shape analysis (e.g., should be sqrt(3/5) for solid, uniform spheres)</t>
  </si>
  <si>
    <t>Port</t>
  </si>
  <si>
    <t>Normalized</t>
  </si>
  <si>
    <t>Intensity</t>
  </si>
  <si>
    <r>
      <t>q/cm</t>
    </r>
    <r>
      <rPr>
        <vertAlign val="superscript"/>
        <sz val="11"/>
        <color theme="1"/>
        <rFont val="Calibri"/>
        <family val="2"/>
        <scheme val="minor"/>
      </rPr>
      <t>-1</t>
    </r>
  </si>
  <si>
    <t>intensity, I</t>
  </si>
  <si>
    <r>
      <t xml:space="preserve"> </t>
    </r>
    <r>
      <rPr>
        <sz val="11"/>
        <color theme="1"/>
        <rFont val="Script MT Bold"/>
        <family val="4"/>
      </rPr>
      <t xml:space="preserve"> </t>
    </r>
    <r>
      <rPr>
        <b/>
        <sz val="11"/>
        <color theme="1"/>
        <rFont val="Script MT Bold"/>
        <family val="4"/>
      </rPr>
      <t>ln</t>
    </r>
    <r>
      <rPr>
        <b/>
        <sz val="11"/>
        <color theme="1"/>
        <rFont val="script"/>
      </rPr>
      <t xml:space="preserve"> </t>
    </r>
    <r>
      <rPr>
        <sz val="11"/>
        <color theme="1"/>
        <rFont val="Calibri"/>
        <family val="2"/>
        <scheme val="minor"/>
      </rPr>
      <t>(I)</t>
    </r>
  </si>
  <si>
    <r>
      <t>q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/10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cm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</si>
  <si>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q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nm</t>
    </r>
    <r>
      <rPr>
        <vertAlign val="superscript"/>
        <sz val="11"/>
        <color theme="1"/>
        <rFont val="Calibri"/>
        <family val="2"/>
        <scheme val="minor"/>
      </rPr>
      <t>-2</t>
    </r>
  </si>
  <si>
    <t>Intercept</t>
  </si>
  <si>
    <t>Slope</t>
  </si>
  <si>
    <r>
      <t>R</t>
    </r>
    <r>
      <rPr>
        <vertAlign val="subscript"/>
        <sz val="11"/>
        <color theme="1"/>
        <rFont val="Calibri"/>
        <family val="2"/>
        <scheme val="minor"/>
      </rPr>
      <t>g,Guinier</t>
    </r>
  </si>
  <si>
    <t>R if sphere</t>
  </si>
  <si>
    <r>
      <t>R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from DLS</t>
    </r>
  </si>
  <si>
    <t>Testing</t>
  </si>
  <si>
    <t xml:space="preserve">the measured intensities and come up with smallish errors that might trace to the validity of Rh. </t>
  </si>
  <si>
    <t xml:space="preserve">measurement in DLS (i.e., given the viscosity of the microemulsion,  the true Rh of Brij blobs might be </t>
  </si>
  <si>
    <t xml:space="preserve">smaller than measured. </t>
  </si>
  <si>
    <t xml:space="preserve">"Circular logic" tests with Brij microemulsion suggest the normalization factors were determined well enough to feed back into </t>
  </si>
  <si>
    <t xml:space="preserve">Thus, Brij is probably perfect for getting the fudge factors right, but agreement between SLS and DLS might be imperfect. </t>
  </si>
  <si>
    <t>Developed May-June 2022 by Paul Russo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</si>
</sst>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"/>
    <numFmt numFmtId="166" formatCode="0.0"/>
    <numFmt numFmtId="169" formatCode="[$-409]d\-mmm\-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u/>
      <sz val="11"/>
      <color theme="0" tint="-0.14999847407452621"/>
      <name val="Calibri"/>
      <family val="2"/>
      <scheme val="minor"/>
    </font>
    <font>
      <b/>
      <u/>
      <sz val="11"/>
      <color theme="7" tint="0.59999389629810485"/>
      <name val="Calibri"/>
      <family val="2"/>
      <scheme val="minor"/>
    </font>
    <font>
      <b/>
      <sz val="11"/>
      <color theme="1"/>
      <name val="script"/>
    </font>
    <font>
      <sz val="11"/>
      <color theme="1"/>
      <name val="Script MT Bold"/>
      <family val="4"/>
    </font>
    <font>
      <b/>
      <sz val="11"/>
      <color theme="1"/>
      <name val="Script MT Bold"/>
      <family val="4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3" xfId="0" applyFont="1" applyBorder="1"/>
    <xf numFmtId="0" fontId="0" fillId="5" borderId="7" xfId="0" applyFill="1" applyBorder="1"/>
    <xf numFmtId="0" fontId="0" fillId="5" borderId="8" xfId="0" applyFill="1" applyBorder="1"/>
    <xf numFmtId="0" fontId="1" fillId="0" borderId="4" xfId="0" applyFont="1" applyBorder="1"/>
    <xf numFmtId="0" fontId="0" fillId="0" borderId="10" xfId="0" applyBorder="1"/>
    <xf numFmtId="0" fontId="0" fillId="5" borderId="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6" xfId="0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2" borderId="1" xfId="0" applyNumberFormat="1" applyFill="1" applyBorder="1"/>
    <xf numFmtId="164" fontId="0" fillId="3" borderId="1" xfId="0" applyNumberFormat="1" applyFill="1" applyBorder="1"/>
    <xf numFmtId="0" fontId="7" fillId="6" borderId="11" xfId="0" applyFont="1" applyFill="1" applyBorder="1"/>
    <xf numFmtId="0" fontId="7" fillId="6" borderId="12" xfId="0" applyFont="1" applyFill="1" applyBorder="1"/>
    <xf numFmtId="0" fontId="7" fillId="6" borderId="13" xfId="0" applyFont="1" applyFill="1" applyBorder="1"/>
    <xf numFmtId="0" fontId="7" fillId="6" borderId="14" xfId="0" applyFont="1" applyFill="1" applyBorder="1"/>
    <xf numFmtId="0" fontId="0" fillId="7" borderId="1" xfId="0" applyFill="1" applyBorder="1"/>
    <xf numFmtId="0" fontId="0" fillId="7" borderId="1" xfId="0" quotePrefix="1" applyFill="1" applyBorder="1" applyAlignment="1">
      <alignment horizontal="center"/>
    </xf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0" fillId="5" borderId="1" xfId="0" applyFill="1" applyBorder="1"/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9" fontId="0" fillId="5" borderId="17" xfId="0" applyNumberFormat="1" applyFont="1" applyFill="1" applyBorder="1"/>
    <xf numFmtId="15" fontId="0" fillId="5" borderId="17" xfId="0" applyNumberFormat="1" applyFont="1" applyFill="1" applyBorder="1"/>
    <xf numFmtId="0" fontId="0" fillId="5" borderId="17" xfId="0" applyFill="1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0" borderId="1" xfId="0" applyFill="1" applyBorder="1"/>
    <xf numFmtId="11" fontId="0" fillId="5" borderId="1" xfId="0" applyNumberFormat="1" applyFill="1" applyBorder="1"/>
    <xf numFmtId="2" fontId="0" fillId="1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Guinier plot</a:t>
            </a:r>
          </a:p>
        </c:rich>
      </c:tx>
      <c:layout>
        <c:manualLayout>
          <c:xMode val="edge"/>
          <c:yMode val="edge"/>
          <c:x val="2.05421845301684E-2"/>
          <c:y val="2.189779763331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22000000000000003"/>
            <c:dispRSqr val="1"/>
            <c:dispEq val="1"/>
            <c:trendlineLbl>
              <c:layout>
                <c:manualLayout>
                  <c:x val="-9.1092975453110639E-2"/>
                  <c:y val="-0.44480777929318965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Guinier!$F$7:$F$22</c:f>
              <c:numCache>
                <c:formatCode>General</c:formatCode>
                <c:ptCount val="16"/>
                <c:pt idx="0">
                  <c:v>0.22657569360064439</c:v>
                </c:pt>
                <c:pt idx="1">
                  <c:v>0.34841129082064676</c:v>
                </c:pt>
                <c:pt idx="2">
                  <c:v>0.45229107417661507</c:v>
                </c:pt>
                <c:pt idx="3">
                  <c:v>0.83539659571578939</c:v>
                </c:pt>
                <c:pt idx="4">
                  <c:v>1.0632573310196394</c:v>
                </c:pt>
                <c:pt idx="5">
                  <c:v>1.3554005891441361</c:v>
                </c:pt>
                <c:pt idx="6">
                  <c:v>1.6717113170812763</c:v>
                </c:pt>
                <c:pt idx="7">
                  <c:v>2.0567392572696455</c:v>
                </c:pt>
                <c:pt idx="8">
                  <c:v>2.5109074140860774</c:v>
                </c:pt>
                <c:pt idx="9">
                  <c:v>2.9765410155191163</c:v>
                </c:pt>
                <c:pt idx="10">
                  <c:v>3.4421746169521548</c:v>
                </c:pt>
                <c:pt idx="11">
                  <c:v>4.3278623586498988</c:v>
                </c:pt>
                <c:pt idx="12">
                  <c:v>4.7261079272849127</c:v>
                </c:pt>
                <c:pt idx="13">
                  <c:v>5.0442201469639949</c:v>
                </c:pt>
                <c:pt idx="14">
                  <c:v>5.2897478448408304</c:v>
                </c:pt>
                <c:pt idx="15">
                  <c:v>5.4728783595173853</c:v>
                </c:pt>
              </c:numCache>
            </c:numRef>
          </c:xVal>
          <c:yVal>
            <c:numRef>
              <c:f>Guinier!$J$7:$J$10</c:f>
              <c:numCache>
                <c:formatCode>General</c:formatCode>
                <c:ptCount val="4"/>
                <c:pt idx="0">
                  <c:v>-6.0307520695086986E-5</c:v>
                </c:pt>
                <c:pt idx="1">
                  <c:v>-9.3398314611930992E-5</c:v>
                </c:pt>
                <c:pt idx="2">
                  <c:v>-1.2199364982118713E-4</c:v>
                </c:pt>
                <c:pt idx="3">
                  <c:v>-2.306730912946109E-4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5B-4A97-B11F-B19551047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728048"/>
        <c:axId val="1274586544"/>
      </c:scatterChart>
      <c:valAx>
        <c:axId val="127072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30000"/>
                  <a:t>2</a:t>
                </a:r>
                <a:r>
                  <a:rPr lang="en-US"/>
                  <a:t>/nm</a:t>
                </a:r>
                <a:r>
                  <a:rPr lang="en-US" baseline="30000"/>
                  <a:t>-2</a:t>
                </a:r>
              </a:p>
            </c:rich>
          </c:tx>
          <c:layout>
            <c:manualLayout>
              <c:xMode val="edge"/>
              <c:yMode val="edge"/>
              <c:x val="0.47025899322508402"/>
              <c:y val="3.427522600423817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86544"/>
        <c:crosses val="autoZero"/>
        <c:crossBetween val="midCat"/>
      </c:valAx>
      <c:valAx>
        <c:axId val="127458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latin typeface="Script MT Bold" panose="03040602040607080904" pitchFamily="66" charset="0"/>
                  </a:rPr>
                  <a:t>ln</a:t>
                </a:r>
                <a:r>
                  <a:rPr lang="en-US"/>
                  <a:t>(Intensity)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72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230717</xdr:colOff>
      <xdr:row>1</xdr:row>
      <xdr:rowOff>118532</xdr:rowOff>
    </xdr:from>
    <xdr:to>
      <xdr:col>18</xdr:col>
      <xdr:colOff>262468</xdr:colOff>
      <xdr:row>20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85EB7-1ED3-4605-8F25-EF2E7B00C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1F0B-FAE7-40E5-A2A4-AA91364C33D4}">
  <dimension ref="B2"/>
  <sheetViews>
    <sheetView tabSelected="1" workbookViewId="0">
      <selection activeCell="B2" sqref="B2"/>
    </sheetView>
  </sheetViews>
  <sheetFormatPr defaultRowHeight="14.35"/>
  <sheetData>
    <row r="2" spans="2:2">
      <c r="B2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683E-C593-4700-A566-3EED9DC26317}">
  <dimension ref="B1:C43"/>
  <sheetViews>
    <sheetView topLeftCell="A32" workbookViewId="0">
      <selection activeCell="C43" sqref="C43"/>
    </sheetView>
  </sheetViews>
  <sheetFormatPr defaultRowHeight="14.35"/>
  <sheetData>
    <row r="1" spans="2:2">
      <c r="B1" s="12" t="s">
        <v>83</v>
      </c>
    </row>
    <row r="2" spans="2:2">
      <c r="B2" t="s">
        <v>84</v>
      </c>
    </row>
    <row r="3" spans="2:2">
      <c r="B3" t="s">
        <v>85</v>
      </c>
    </row>
    <row r="5" spans="2:2">
      <c r="B5" s="12" t="s">
        <v>86</v>
      </c>
    </row>
    <row r="6" spans="2:2">
      <c r="B6" t="s">
        <v>43</v>
      </c>
    </row>
    <row r="7" spans="2:2">
      <c r="B7" t="s">
        <v>44</v>
      </c>
    </row>
    <row r="8" spans="2:2">
      <c r="B8" t="s">
        <v>53</v>
      </c>
    </row>
    <row r="9" spans="2:2">
      <c r="B9" t="s">
        <v>54</v>
      </c>
    </row>
    <row r="10" spans="2:2">
      <c r="B10" t="s">
        <v>45</v>
      </c>
    </row>
    <row r="11" spans="2:2">
      <c r="B11" t="s">
        <v>46</v>
      </c>
    </row>
    <row r="12" spans="2:2">
      <c r="B12" t="s">
        <v>47</v>
      </c>
    </row>
    <row r="13" spans="2:2">
      <c r="B13" t="s">
        <v>48</v>
      </c>
    </row>
    <row r="14" spans="2:2">
      <c r="B14" t="s">
        <v>49</v>
      </c>
    </row>
    <row r="15" spans="2:2">
      <c r="B15" t="s">
        <v>50</v>
      </c>
    </row>
    <row r="16" spans="2:2" ht="17.350000000000001">
      <c r="B16" t="s">
        <v>72</v>
      </c>
    </row>
    <row r="17" spans="2:3">
      <c r="B17" t="s">
        <v>51</v>
      </c>
    </row>
    <row r="18" spans="2:3">
      <c r="B18" t="s">
        <v>52</v>
      </c>
    </row>
    <row r="20" spans="2:3">
      <c r="B20" s="12" t="s">
        <v>55</v>
      </c>
    </row>
    <row r="21" spans="2:3">
      <c r="B21">
        <v>1</v>
      </c>
      <c r="C21" t="s">
        <v>56</v>
      </c>
    </row>
    <row r="22" spans="2:3">
      <c r="B22">
        <v>2</v>
      </c>
      <c r="C22" t="s">
        <v>73</v>
      </c>
    </row>
    <row r="23" spans="2:3">
      <c r="B23">
        <v>3</v>
      </c>
      <c r="C23" t="s">
        <v>57</v>
      </c>
    </row>
    <row r="24" spans="2:3">
      <c r="B24">
        <v>4</v>
      </c>
      <c r="C24" t="s">
        <v>74</v>
      </c>
    </row>
    <row r="25" spans="2:3">
      <c r="C25" t="s">
        <v>75</v>
      </c>
    </row>
    <row r="26" spans="2:3">
      <c r="B26">
        <v>5</v>
      </c>
      <c r="C26" t="s">
        <v>58</v>
      </c>
    </row>
    <row r="27" spans="2:3" ht="16.350000000000001">
      <c r="B27">
        <v>6</v>
      </c>
      <c r="C27" t="s">
        <v>70</v>
      </c>
    </row>
    <row r="28" spans="2:3">
      <c r="B28">
        <v>7</v>
      </c>
      <c r="C28" t="s">
        <v>60</v>
      </c>
    </row>
    <row r="29" spans="2:3">
      <c r="B29">
        <v>8</v>
      </c>
      <c r="C29" t="s">
        <v>59</v>
      </c>
    </row>
    <row r="30" spans="2:3">
      <c r="B30">
        <v>9</v>
      </c>
      <c r="C30" t="s">
        <v>71</v>
      </c>
    </row>
    <row r="32" spans="2:3">
      <c r="B32">
        <v>10</v>
      </c>
      <c r="C32" t="s">
        <v>77</v>
      </c>
    </row>
    <row r="33" spans="2:3">
      <c r="C33" t="s">
        <v>88</v>
      </c>
    </row>
    <row r="34" spans="2:3">
      <c r="C34" t="s">
        <v>76</v>
      </c>
    </row>
    <row r="35" spans="2:3" ht="16.350000000000001">
      <c r="C35" t="s">
        <v>78</v>
      </c>
    </row>
    <row r="36" spans="2:3">
      <c r="B36">
        <v>11</v>
      </c>
      <c r="C36" t="s">
        <v>89</v>
      </c>
    </row>
    <row r="38" spans="2:3">
      <c r="B38" s="12" t="s">
        <v>103</v>
      </c>
    </row>
    <row r="39" spans="2:3">
      <c r="C39" t="s">
        <v>107</v>
      </c>
    </row>
    <row r="40" spans="2:3">
      <c r="C40" t="s">
        <v>104</v>
      </c>
    </row>
    <row r="41" spans="2:3">
      <c r="C41" t="s">
        <v>105</v>
      </c>
    </row>
    <row r="42" spans="2:3">
      <c r="C42" t="s">
        <v>106</v>
      </c>
    </row>
    <row r="43" spans="2:3">
      <c r="C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2"/>
  <sheetViews>
    <sheetView topLeftCell="B18" workbookViewId="0">
      <selection activeCell="J11" sqref="J11"/>
    </sheetView>
  </sheetViews>
  <sheetFormatPr defaultRowHeight="14.35"/>
  <cols>
    <col min="2" max="2" width="13.76171875" customWidth="1"/>
    <col min="3" max="3" width="8.8203125" customWidth="1"/>
    <col min="4" max="4" width="15.703125" customWidth="1"/>
    <col min="5" max="5" width="1.76171875" customWidth="1"/>
    <col min="6" max="6" width="12.46875" customWidth="1"/>
    <col min="7" max="7" width="13.3515625" customWidth="1"/>
    <col min="8" max="8" width="14.5859375" customWidth="1"/>
    <col min="9" max="9" width="4" customWidth="1"/>
    <col min="10" max="10" width="12.76171875" customWidth="1"/>
    <col min="11" max="11" width="10.41015625" customWidth="1"/>
    <col min="12" max="12" width="7.87890625" customWidth="1"/>
    <col min="13" max="13" width="10.3515625" customWidth="1"/>
    <col min="14" max="14" width="12.17578125" customWidth="1"/>
    <col min="15" max="15" width="0.8203125" customWidth="1"/>
    <col min="16" max="16" width="12.41015625" customWidth="1"/>
    <col min="18" max="18" width="0.64453125" customWidth="1"/>
    <col min="19" max="19" width="13.29296875" customWidth="1"/>
    <col min="20" max="20" width="11.46875" customWidth="1"/>
  </cols>
  <sheetData>
    <row r="1" spans="2:20" ht="14.7" thickBot="1"/>
    <row r="2" spans="2:20" ht="14.7" thickBot="1">
      <c r="B2" s="6" t="s">
        <v>28</v>
      </c>
      <c r="C2" s="6"/>
      <c r="D2" s="46">
        <v>44707</v>
      </c>
    </row>
    <row r="3" spans="2:20" ht="14.7" thickBot="1">
      <c r="B3" s="6" t="s">
        <v>21</v>
      </c>
      <c r="C3" s="6"/>
      <c r="D3" s="46" t="s">
        <v>26</v>
      </c>
      <c r="G3" s="12"/>
      <c r="H3" s="12"/>
    </row>
    <row r="4" spans="2:20" ht="14.7" thickBot="1">
      <c r="B4" s="6" t="s">
        <v>81</v>
      </c>
      <c r="C4" s="1"/>
      <c r="D4" s="47" t="s">
        <v>29</v>
      </c>
      <c r="E4" s="13"/>
      <c r="H4" s="12"/>
      <c r="I4" s="12"/>
    </row>
    <row r="5" spans="2:20" ht="14.7" thickBot="1">
      <c r="B5" s="6" t="s">
        <v>20</v>
      </c>
      <c r="C5" s="7" t="s">
        <v>19</v>
      </c>
      <c r="D5" s="1"/>
      <c r="E5" s="12"/>
    </row>
    <row r="6" spans="2:20" ht="14.7" thickBot="1">
      <c r="B6" s="1"/>
      <c r="C6" s="5" t="s">
        <v>5</v>
      </c>
      <c r="D6" s="20" t="s">
        <v>6</v>
      </c>
      <c r="E6" s="22" t="s">
        <v>7</v>
      </c>
      <c r="F6" s="18">
        <v>1E-3</v>
      </c>
      <c r="G6" s="15"/>
      <c r="H6" s="1" t="s">
        <v>82</v>
      </c>
      <c r="I6" s="1"/>
    </row>
    <row r="7" spans="2:20" ht="16.350000000000001">
      <c r="B7" s="1"/>
      <c r="C7" s="5" t="s">
        <v>13</v>
      </c>
      <c r="D7" s="1"/>
      <c r="E7" s="21"/>
      <c r="F7" s="19">
        <v>4.9800000000000004</v>
      </c>
      <c r="G7" s="15"/>
      <c r="H7" s="1" t="s">
        <v>24</v>
      </c>
      <c r="I7" s="1"/>
      <c r="J7" s="29">
        <v>5.5</v>
      </c>
      <c r="K7" s="1" t="s">
        <v>22</v>
      </c>
    </row>
    <row r="8" spans="2:20" ht="16.350000000000001">
      <c r="B8" s="1"/>
      <c r="C8" s="5" t="s">
        <v>14</v>
      </c>
      <c r="D8" s="1"/>
      <c r="E8" s="14"/>
      <c r="F8" s="19">
        <v>15.04</v>
      </c>
      <c r="G8" s="15"/>
      <c r="H8" s="1" t="s">
        <v>25</v>
      </c>
      <c r="I8" s="1"/>
      <c r="J8" s="10">
        <f>J7*SQRT(3/5)</f>
        <v>4.2602816808281592</v>
      </c>
      <c r="K8" s="1" t="s">
        <v>22</v>
      </c>
    </row>
    <row r="9" spans="2:20" ht="16.350000000000001">
      <c r="B9" s="1"/>
      <c r="C9" s="5" t="s">
        <v>15</v>
      </c>
      <c r="D9" s="1"/>
      <c r="E9" s="14"/>
      <c r="F9" s="19">
        <v>14.89</v>
      </c>
      <c r="G9" s="15"/>
      <c r="H9" s="1" t="s">
        <v>23</v>
      </c>
      <c r="I9" s="1"/>
      <c r="J9" s="11">
        <f>Lamnm/(Refin*Normalize!J7)</f>
        <v>93.643198906356801</v>
      </c>
      <c r="K9" s="1"/>
    </row>
    <row r="10" spans="2:20" ht="16.350000000000001">
      <c r="B10" s="1"/>
      <c r="C10" s="5" t="s">
        <v>16</v>
      </c>
      <c r="D10" s="1"/>
      <c r="E10" s="14"/>
      <c r="F10" s="19">
        <v>79.2</v>
      </c>
      <c r="G10" s="15"/>
      <c r="H10" s="1" t="s">
        <v>61</v>
      </c>
      <c r="I10" s="1"/>
      <c r="J10" s="9">
        <f>J8*(4*PI()*Refin/Lamnm)*SIN(RADIANS(D32/2))</f>
        <v>9.9665812706885876E-2</v>
      </c>
      <c r="K10" s="1"/>
    </row>
    <row r="11" spans="2:20" ht="17.350000000000001">
      <c r="B11" s="1"/>
      <c r="C11" s="5" t="s">
        <v>17</v>
      </c>
      <c r="D11" s="38"/>
      <c r="E11" s="14"/>
      <c r="F11" s="19">
        <v>4.92</v>
      </c>
      <c r="H11" s="1" t="s">
        <v>62</v>
      </c>
      <c r="I11" s="1"/>
      <c r="J11" s="8">
        <f>1-J10^2/3</f>
        <v>0.99668890859249193</v>
      </c>
      <c r="K11" s="1"/>
    </row>
    <row r="12" spans="2:20">
      <c r="N12" s="43" t="s">
        <v>63</v>
      </c>
    </row>
    <row r="13" spans="2:20" ht="14.7" thickBot="1">
      <c r="B13" s="6" t="s">
        <v>20</v>
      </c>
      <c r="C13" s="7" t="s">
        <v>18</v>
      </c>
      <c r="D13" s="7" t="s">
        <v>40</v>
      </c>
      <c r="E13" s="14"/>
      <c r="F13" s="28" t="s">
        <v>42</v>
      </c>
      <c r="G13" s="16" t="s">
        <v>66</v>
      </c>
      <c r="H13" s="6"/>
      <c r="I13" s="39"/>
      <c r="J13" s="6" t="s">
        <v>65</v>
      </c>
      <c r="K13" s="1"/>
      <c r="L13" s="7" t="s">
        <v>27</v>
      </c>
      <c r="M13" s="42" t="s">
        <v>67</v>
      </c>
      <c r="N13" s="44" t="s">
        <v>64</v>
      </c>
    </row>
    <row r="14" spans="2:20">
      <c r="B14" s="1"/>
      <c r="C14" s="27" t="s">
        <v>41</v>
      </c>
      <c r="D14">
        <v>0</v>
      </c>
      <c r="E14" s="1"/>
      <c r="F14" s="17" t="s">
        <v>0</v>
      </c>
      <c r="G14" s="6" t="s">
        <v>3</v>
      </c>
      <c r="H14" s="6" t="s">
        <v>30</v>
      </c>
      <c r="I14" s="39"/>
      <c r="J14" s="6" t="s">
        <v>3</v>
      </c>
      <c r="K14" s="6" t="s">
        <v>4</v>
      </c>
      <c r="L14" s="1"/>
      <c r="M14" s="6">
        <f>1-((4*PI()*Refin*SIN(RADIANS(D14/2)/Lamnm)*Rgyration)^2/3)</f>
        <v>1</v>
      </c>
      <c r="N14" s="17">
        <v>1</v>
      </c>
      <c r="P14" s="32" t="s">
        <v>68</v>
      </c>
      <c r="Q14" s="33"/>
      <c r="R14" s="12"/>
      <c r="S14" s="32" t="s">
        <v>69</v>
      </c>
      <c r="T14" s="33"/>
    </row>
    <row r="15" spans="2:20">
      <c r="B15" s="1"/>
      <c r="C15" s="5">
        <v>1</v>
      </c>
      <c r="D15" s="1">
        <v>22.5</v>
      </c>
      <c r="E15" s="1"/>
      <c r="F15" s="2" t="s">
        <v>2</v>
      </c>
      <c r="G15" s="2">
        <v>1.08</v>
      </c>
      <c r="H15" s="4"/>
      <c r="I15" s="40"/>
      <c r="J15" s="2">
        <v>0</v>
      </c>
      <c r="K15" s="4"/>
      <c r="L15" s="2">
        <f>G15+H15-J15-K15</f>
        <v>1.08</v>
      </c>
      <c r="M15" s="2">
        <f>1-((4*PI()*Refin*SIN(RADIANS(D15/2)/Lamnm)*Rgyration)^2/3)</f>
        <v>0.9998611464428997</v>
      </c>
      <c r="N15" s="30">
        <f t="shared" ref="N15:N32" si="0">M15/L15</f>
        <v>0.92579735781749961</v>
      </c>
      <c r="P15" s="34" t="s">
        <v>39</v>
      </c>
      <c r="Q15" s="35"/>
      <c r="R15" s="12"/>
      <c r="S15" s="34" t="s">
        <v>39</v>
      </c>
      <c r="T15" s="35"/>
    </row>
    <row r="16" spans="2:20">
      <c r="B16" s="1"/>
      <c r="C16" s="5">
        <v>2</v>
      </c>
      <c r="D16" s="1">
        <v>28</v>
      </c>
      <c r="E16" s="1"/>
      <c r="F16" s="2" t="s">
        <v>2</v>
      </c>
      <c r="G16" s="2">
        <v>0.72</v>
      </c>
      <c r="H16" s="4"/>
      <c r="I16" s="40"/>
      <c r="J16" s="2">
        <v>0</v>
      </c>
      <c r="K16" s="4"/>
      <c r="L16" s="2">
        <f>G16+H16-J16-K16</f>
        <v>0.72</v>
      </c>
      <c r="M16" s="2">
        <f>1-((4*PI()*Refin*SIN(RADIANS(D16/2)/Lamnm)*Rgyration)^2/3)</f>
        <v>0.99978496555628471</v>
      </c>
      <c r="N16" s="30">
        <f>M16/L16</f>
        <v>1.3885902299392843</v>
      </c>
      <c r="P16" s="23" t="s">
        <v>31</v>
      </c>
      <c r="Q16" s="24">
        <v>763.51862000000006</v>
      </c>
      <c r="S16" s="23" t="s">
        <v>31</v>
      </c>
      <c r="T16" s="24">
        <v>0</v>
      </c>
    </row>
    <row r="17" spans="2:20">
      <c r="B17" s="1"/>
      <c r="C17" s="5">
        <v>3</v>
      </c>
      <c r="D17" s="1">
        <v>32</v>
      </c>
      <c r="E17" s="1"/>
      <c r="F17" s="2" t="s">
        <v>2</v>
      </c>
      <c r="G17" s="2">
        <v>0.90100000000000002</v>
      </c>
      <c r="H17" s="4"/>
      <c r="I17" s="40"/>
      <c r="J17" s="2">
        <v>0</v>
      </c>
      <c r="K17" s="4"/>
      <c r="L17" s="2">
        <f>G17+H17-J17-K17</f>
        <v>0.90100000000000002</v>
      </c>
      <c r="M17" s="2">
        <f>1-((4*PI()*Refin*SIN(RADIANS(D17/2)/Lamnm)*Rgyration)^2/3)</f>
        <v>0.99971913868940632</v>
      </c>
      <c r="N17" s="30">
        <f t="shared" si="0"/>
        <v>1.1095661916641579</v>
      </c>
      <c r="P17" s="23" t="s">
        <v>32</v>
      </c>
      <c r="Q17" s="24">
        <v>707.81946000000005</v>
      </c>
      <c r="S17" s="23" t="s">
        <v>32</v>
      </c>
      <c r="T17" s="24">
        <v>0</v>
      </c>
    </row>
    <row r="18" spans="2:20">
      <c r="B18" s="1"/>
      <c r="C18" s="5">
        <v>4</v>
      </c>
      <c r="D18" s="1">
        <v>38</v>
      </c>
      <c r="E18" s="1"/>
      <c r="F18" s="36" t="s">
        <v>79</v>
      </c>
      <c r="G18" s="37" t="s">
        <v>80</v>
      </c>
      <c r="H18" s="4"/>
      <c r="I18" s="40"/>
      <c r="J18" s="37" t="s">
        <v>80</v>
      </c>
      <c r="K18" s="4"/>
      <c r="L18" s="37" t="s">
        <v>80</v>
      </c>
      <c r="M18" s="37" t="s">
        <v>80</v>
      </c>
      <c r="N18" s="37" t="s">
        <v>80</v>
      </c>
      <c r="P18" s="23" t="s">
        <v>33</v>
      </c>
      <c r="Q18" s="24">
        <v>680.90466000000004</v>
      </c>
      <c r="S18" s="23" t="s">
        <v>33</v>
      </c>
      <c r="T18" s="24">
        <v>0</v>
      </c>
    </row>
    <row r="19" spans="2:20">
      <c r="B19" s="1"/>
      <c r="C19" s="5">
        <v>5</v>
      </c>
      <c r="D19" s="1">
        <v>44</v>
      </c>
      <c r="E19" s="1"/>
      <c r="F19" s="3" t="s">
        <v>1</v>
      </c>
      <c r="G19" s="4"/>
      <c r="H19" s="3">
        <f>Q16</f>
        <v>763.51862000000006</v>
      </c>
      <c r="I19" s="40"/>
      <c r="J19" s="4"/>
      <c r="K19" s="3">
        <v>0</v>
      </c>
      <c r="L19" s="3">
        <f>G19+H19-J19-K19</f>
        <v>763.51862000000006</v>
      </c>
      <c r="M19" s="3">
        <f>1-((4*PI()*Refin*SIN(RADIANS(D19/2)/Lamnm)*Rgyration)^2/3)</f>
        <v>0.99946899661085775</v>
      </c>
      <c r="N19" s="31">
        <f t="shared" si="0"/>
        <v>1.3090302848290166E-3</v>
      </c>
      <c r="P19" s="23" t="s">
        <v>34</v>
      </c>
      <c r="Q19" s="24">
        <v>680.11095999999998</v>
      </c>
      <c r="S19" s="23" t="s">
        <v>34</v>
      </c>
      <c r="T19" s="24">
        <v>0</v>
      </c>
    </row>
    <row r="20" spans="2:20">
      <c r="B20" s="1"/>
      <c r="C20" s="5">
        <v>6</v>
      </c>
      <c r="D20" s="1">
        <v>50</v>
      </c>
      <c r="E20" s="1"/>
      <c r="F20" s="3" t="s">
        <v>1</v>
      </c>
      <c r="G20" s="4"/>
      <c r="H20" s="3">
        <f>Q17</f>
        <v>707.81946000000005</v>
      </c>
      <c r="I20" s="40"/>
      <c r="J20" s="4"/>
      <c r="K20" s="3">
        <v>0</v>
      </c>
      <c r="L20" s="3">
        <f>G20+H20-J20-K20</f>
        <v>707.81946000000005</v>
      </c>
      <c r="M20" s="3">
        <f>1-((4*PI()*Refin*SIN(RADIANS(D20/2)/Lamnm)*Rgyration)^2/3)</f>
        <v>0.99931430349568662</v>
      </c>
      <c r="N20" s="31">
        <f t="shared" si="0"/>
        <v>1.411820894971843E-3</v>
      </c>
      <c r="P20" s="23" t="s">
        <v>35</v>
      </c>
      <c r="Q20" s="24">
        <v>163.31816000000001</v>
      </c>
      <c r="S20" s="23" t="s">
        <v>35</v>
      </c>
      <c r="T20" s="24">
        <v>0</v>
      </c>
    </row>
    <row r="21" spans="2:20">
      <c r="B21" s="1"/>
      <c r="C21" s="5">
        <v>7</v>
      </c>
      <c r="D21" s="1">
        <v>57</v>
      </c>
      <c r="E21" s="1"/>
      <c r="F21" s="2" t="s">
        <v>2</v>
      </c>
      <c r="G21" s="2">
        <v>1.23</v>
      </c>
      <c r="H21" s="4"/>
      <c r="I21" s="40"/>
      <c r="J21" s="2">
        <v>0</v>
      </c>
      <c r="K21" s="4"/>
      <c r="L21" s="2">
        <f>G21+H21-J21-K21</f>
        <v>1.23</v>
      </c>
      <c r="M21" s="2">
        <f>1-((4*PI()*Refin*SIN(RADIANS(D21/2)/Lamnm)*Rgyration)^2/3)</f>
        <v>0.99910886885910333</v>
      </c>
      <c r="N21" s="30">
        <f t="shared" si="0"/>
        <v>0.81228363321878316</v>
      </c>
      <c r="P21" s="23" t="s">
        <v>36</v>
      </c>
      <c r="Q21" s="24">
        <v>333.06646999999998</v>
      </c>
      <c r="S21" s="23" t="s">
        <v>36</v>
      </c>
      <c r="T21" s="24">
        <v>0</v>
      </c>
    </row>
    <row r="22" spans="2:20">
      <c r="B22" s="1"/>
      <c r="C22" s="5">
        <v>8</v>
      </c>
      <c r="D22" s="1">
        <v>64</v>
      </c>
      <c r="E22" s="1"/>
      <c r="F22" s="3" t="s">
        <v>1</v>
      </c>
      <c r="G22" s="4"/>
      <c r="H22" s="3">
        <f>Q18</f>
        <v>680.90466000000004</v>
      </c>
      <c r="I22" s="40"/>
      <c r="J22" s="4"/>
      <c r="K22" s="3">
        <v>0</v>
      </c>
      <c r="L22" s="3">
        <f>G22+H22-J22-K22</f>
        <v>680.90466000000004</v>
      </c>
      <c r="M22" s="3">
        <f>1-((4*PI()*Refin*SIN(RADIANS(D22/2)/Lamnm)*Rgyration)^2/3)</f>
        <v>0.99887655494433414</v>
      </c>
      <c r="N22" s="31">
        <f t="shared" si="0"/>
        <v>1.4669844599746668E-3</v>
      </c>
      <c r="P22" s="23" t="s">
        <v>37</v>
      </c>
      <c r="Q22" s="24">
        <v>417.58285999999998</v>
      </c>
      <c r="S22" s="23" t="s">
        <v>37</v>
      </c>
      <c r="T22" s="24">
        <v>0</v>
      </c>
    </row>
    <row r="23" spans="2:20" ht="14.7" thickBot="1">
      <c r="B23" s="1"/>
      <c r="C23" s="5">
        <v>9</v>
      </c>
      <c r="D23" s="1">
        <v>72</v>
      </c>
      <c r="E23" s="1"/>
      <c r="F23" s="2" t="s">
        <v>2</v>
      </c>
      <c r="G23" s="2">
        <v>1.117</v>
      </c>
      <c r="H23" s="4"/>
      <c r="I23" s="40"/>
      <c r="J23" s="2">
        <v>0</v>
      </c>
      <c r="K23" s="4"/>
      <c r="L23" s="2">
        <f>G23+H23-J23-K23</f>
        <v>1.117</v>
      </c>
      <c r="M23" s="2">
        <f>1-((4*PI()*Refin*SIN(RADIANS(D23/2)/Lamnm)*Rgyration)^2/3)</f>
        <v>0.9985781399351138</v>
      </c>
      <c r="N23" s="30">
        <f t="shared" si="0"/>
        <v>0.89398222017467666</v>
      </c>
      <c r="P23" s="25" t="s">
        <v>38</v>
      </c>
      <c r="Q23" s="26">
        <v>567.71167000000003</v>
      </c>
      <c r="S23" s="25" t="s">
        <v>38</v>
      </c>
      <c r="T23" s="26">
        <v>0</v>
      </c>
    </row>
    <row r="24" spans="2:20">
      <c r="B24" s="1"/>
      <c r="C24" s="5">
        <v>10</v>
      </c>
      <c r="D24" s="1">
        <v>81</v>
      </c>
      <c r="E24" s="1"/>
      <c r="F24" s="3" t="s">
        <v>1</v>
      </c>
      <c r="G24" s="4"/>
      <c r="H24" s="3">
        <f>Q19</f>
        <v>680.11095999999998</v>
      </c>
      <c r="I24" s="40"/>
      <c r="J24" s="4"/>
      <c r="K24" s="3">
        <v>0</v>
      </c>
      <c r="L24" s="3">
        <f>G24+H24-J24-K24</f>
        <v>680.11095999999998</v>
      </c>
      <c r="M24" s="3">
        <f>1-((4*PI()*Refin*SIN(RADIANS(D24/2)/Lamnm)*Rgyration)^2/3)</f>
        <v>0.99820045848943506</v>
      </c>
      <c r="N24" s="31">
        <f t="shared" si="0"/>
        <v>1.4677023562293938E-3</v>
      </c>
    </row>
    <row r="25" spans="2:20">
      <c r="B25" s="1"/>
      <c r="C25" s="5">
        <v>11</v>
      </c>
      <c r="D25" s="1">
        <v>90</v>
      </c>
      <c r="E25" s="1"/>
      <c r="F25" s="2" t="s">
        <v>2</v>
      </c>
      <c r="G25" s="2">
        <v>1.0029999999999999</v>
      </c>
      <c r="H25" s="4"/>
      <c r="I25" s="40"/>
      <c r="J25" s="2">
        <v>0</v>
      </c>
      <c r="K25" s="4"/>
      <c r="L25" s="2">
        <f>G25+H25-J25-K25</f>
        <v>1.0029999999999999</v>
      </c>
      <c r="M25" s="2">
        <f>1-((4*PI()*Refin*SIN(RADIANS(D25/2)/Lamnm)*Rgyration)^2/3)</f>
        <v>0.99777834399909004</v>
      </c>
      <c r="N25" s="30">
        <f t="shared" si="0"/>
        <v>0.99479396211275195</v>
      </c>
    </row>
    <row r="26" spans="2:20">
      <c r="B26" s="1"/>
      <c r="C26" s="5">
        <v>12</v>
      </c>
      <c r="D26" s="1">
        <v>99</v>
      </c>
      <c r="E26" s="1"/>
      <c r="F26" s="3" t="s">
        <v>1</v>
      </c>
      <c r="G26" s="4"/>
      <c r="H26" s="3">
        <f>Q20</f>
        <v>163.31816000000001</v>
      </c>
      <c r="I26" s="40"/>
      <c r="J26" s="4"/>
      <c r="K26" s="3">
        <v>0</v>
      </c>
      <c r="L26" s="3">
        <f>G26+H26-J26-K26</f>
        <v>163.31816000000001</v>
      </c>
      <c r="M26" s="3">
        <f>1-((4*PI()*Refin*SIN(RADIANS(D26/2)/Lamnm)*Rgyration)^2/3)</f>
        <v>0.99731179648627577</v>
      </c>
      <c r="N26" s="31">
        <f t="shared" si="0"/>
        <v>6.106557877496757E-3</v>
      </c>
    </row>
    <row r="27" spans="2:20">
      <c r="B27" s="1"/>
      <c r="C27" s="5">
        <v>13</v>
      </c>
      <c r="D27" s="1">
        <v>108</v>
      </c>
      <c r="E27" s="1"/>
      <c r="F27" s="36" t="s">
        <v>79</v>
      </c>
      <c r="G27" s="37" t="s">
        <v>80</v>
      </c>
      <c r="H27" s="4"/>
      <c r="I27" s="40"/>
      <c r="J27" s="37" t="s">
        <v>80</v>
      </c>
      <c r="K27" s="4"/>
      <c r="L27" s="37" t="s">
        <v>80</v>
      </c>
      <c r="M27" s="37" t="s">
        <v>80</v>
      </c>
      <c r="N27" s="37" t="s">
        <v>80</v>
      </c>
    </row>
    <row r="28" spans="2:20">
      <c r="B28" s="1"/>
      <c r="C28" s="5">
        <v>14</v>
      </c>
      <c r="D28" s="1">
        <v>117</v>
      </c>
      <c r="E28" s="1"/>
      <c r="F28" s="3" t="s">
        <v>1</v>
      </c>
      <c r="G28" s="4"/>
      <c r="H28" s="3">
        <f>Q21</f>
        <v>333.06646999999998</v>
      </c>
      <c r="I28" s="40"/>
      <c r="J28" s="4"/>
      <c r="K28" s="3">
        <v>0</v>
      </c>
      <c r="L28" s="3">
        <f>G28+H28-J28-K28</f>
        <v>333.06646999999998</v>
      </c>
      <c r="M28" s="3">
        <f>1-((4*PI()*Refin*SIN(RADIANS(D28/2)/Lamnm)*Rgyration)^2/3)</f>
        <v>0.99624540249370819</v>
      </c>
      <c r="N28" s="31">
        <f t="shared" si="0"/>
        <v>2.9911308769499018E-3</v>
      </c>
    </row>
    <row r="29" spans="2:20">
      <c r="B29" s="1"/>
      <c r="C29" s="5">
        <v>15</v>
      </c>
      <c r="D29" s="1">
        <v>126</v>
      </c>
      <c r="E29" s="1"/>
      <c r="F29" s="2" t="s">
        <v>2</v>
      </c>
      <c r="G29" s="2">
        <v>1.2849999999999999</v>
      </c>
      <c r="H29" s="4"/>
      <c r="I29" s="40"/>
      <c r="J29" s="2">
        <v>0</v>
      </c>
      <c r="K29" s="4"/>
      <c r="L29" s="2">
        <f>G29+H29-J29-K29</f>
        <v>1.2849999999999999</v>
      </c>
      <c r="M29" s="2">
        <f>1-((4*PI()*Refin*SIN(RADIANS(D29/2)/Lamnm)*Rgyration)^2/3)</f>
        <v>0.99564555607003091</v>
      </c>
      <c r="N29" s="30">
        <f t="shared" si="0"/>
        <v>0.77482144441247547</v>
      </c>
    </row>
    <row r="30" spans="2:20">
      <c r="B30" s="1"/>
      <c r="C30" s="5">
        <v>16</v>
      </c>
      <c r="D30" s="1">
        <v>134</v>
      </c>
      <c r="E30" s="1"/>
      <c r="F30" s="3" t="s">
        <v>1</v>
      </c>
      <c r="G30" s="4"/>
      <c r="H30" s="3">
        <f>Q22</f>
        <v>417.58285999999998</v>
      </c>
      <c r="I30" s="40"/>
      <c r="J30" s="4"/>
      <c r="K30" s="3">
        <v>0</v>
      </c>
      <c r="L30" s="3">
        <f>G30+H30-J30-K30</f>
        <v>417.58285999999998</v>
      </c>
      <c r="M30" s="3">
        <f>1-((4*PI()*Refin*SIN(RADIANS(D30/2)/Lamnm)*Rgyration)^2/3)</f>
        <v>0.99507505754546233</v>
      </c>
      <c r="N30" s="31">
        <f t="shared" si="0"/>
        <v>2.3829403763015139E-3</v>
      </c>
    </row>
    <row r="31" spans="2:20">
      <c r="B31" s="1"/>
      <c r="C31" s="5">
        <v>17</v>
      </c>
      <c r="D31" s="1">
        <v>141</v>
      </c>
      <c r="E31" s="1"/>
      <c r="F31" s="2" t="s">
        <v>2</v>
      </c>
      <c r="G31" s="2">
        <v>0.70899999999999996</v>
      </c>
      <c r="H31" s="4"/>
      <c r="I31" s="40"/>
      <c r="J31" s="2">
        <v>0</v>
      </c>
      <c r="K31" s="4"/>
      <c r="L31" s="2">
        <f>G31+H31-J31-K31</f>
        <v>0.70899999999999996</v>
      </c>
      <c r="M31" s="2">
        <f>1-((4*PI()*Refin*SIN(RADIANS(D31/2)/Lamnm)*Rgyration)^2/3)</f>
        <v>0.99454707224649719</v>
      </c>
      <c r="N31" s="30">
        <f t="shared" si="0"/>
        <v>1.402746223196752</v>
      </c>
    </row>
    <row r="32" spans="2:20">
      <c r="B32" s="1"/>
      <c r="C32" s="5">
        <v>18</v>
      </c>
      <c r="D32" s="1">
        <v>147</v>
      </c>
      <c r="E32" s="1"/>
      <c r="F32" s="3" t="s">
        <v>1</v>
      </c>
      <c r="G32" s="4"/>
      <c r="H32" s="3">
        <f>Q23</f>
        <v>567.71167000000003</v>
      </c>
      <c r="I32" s="40"/>
      <c r="J32" s="4"/>
      <c r="K32" s="3">
        <v>0</v>
      </c>
      <c r="L32" s="3">
        <f>G32+H32-J32-K32</f>
        <v>567.71167000000003</v>
      </c>
      <c r="M32" s="3">
        <f>1-((4*PI()*Refin*SIN(RADIANS(D32/2)/Lamnm)*Rgyration)^2/3)</f>
        <v>0.99407311982244184</v>
      </c>
      <c r="N32" s="31">
        <f t="shared" si="0"/>
        <v>1.751017589302756E-3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4DC4-3330-4995-B3E8-0D50E4193C6D}">
  <dimension ref="B1:S32"/>
  <sheetViews>
    <sheetView topLeftCell="C7" workbookViewId="0">
      <selection activeCell="M15" sqref="M15"/>
    </sheetView>
  </sheetViews>
  <sheetFormatPr defaultRowHeight="14.35"/>
  <cols>
    <col min="2" max="2" width="10.9375" customWidth="1"/>
    <col min="4" max="4" width="13.52734375" customWidth="1"/>
    <col min="5" max="5" width="2" customWidth="1"/>
    <col min="6" max="6" width="10.46875" customWidth="1"/>
    <col min="8" max="8" width="14.87890625" customWidth="1"/>
    <col min="9" max="9" width="3.9375" customWidth="1"/>
    <col min="10" max="10" width="12.41015625" customWidth="1"/>
    <col min="11" max="11" width="10.9375" customWidth="1"/>
    <col min="13" max="13" width="10.46875" customWidth="1"/>
    <col min="14" max="14" width="2.703125" customWidth="1"/>
    <col min="16" max="16" width="12.5859375" customWidth="1"/>
    <col min="17" max="17" width="8.9375" customWidth="1"/>
    <col min="19" max="19" width="12.234375" customWidth="1"/>
  </cols>
  <sheetData>
    <row r="1" spans="2:19" ht="14.7" thickBot="1"/>
    <row r="2" spans="2:19" ht="14.7" thickBot="1">
      <c r="B2" s="6" t="s">
        <v>28</v>
      </c>
      <c r="C2" s="6"/>
      <c r="D2" s="45">
        <v>44707</v>
      </c>
    </row>
    <row r="3" spans="2:19" ht="14.7" thickBot="1">
      <c r="B3" s="6" t="s">
        <v>21</v>
      </c>
      <c r="C3" s="6"/>
      <c r="D3" s="46" t="s">
        <v>87</v>
      </c>
      <c r="G3" s="12"/>
      <c r="H3" s="12"/>
    </row>
    <row r="4" spans="2:19" ht="14.7" thickBot="1">
      <c r="B4" s="6" t="s">
        <v>81</v>
      </c>
      <c r="C4" s="1"/>
      <c r="D4" s="47" t="s">
        <v>29</v>
      </c>
      <c r="E4" s="13"/>
      <c r="H4" s="12"/>
      <c r="I4" s="12"/>
    </row>
    <row r="5" spans="2:19" ht="14.7" thickBot="1">
      <c r="B5" s="6" t="s">
        <v>20</v>
      </c>
      <c r="C5" s="7" t="s">
        <v>19</v>
      </c>
      <c r="D5" s="1"/>
    </row>
    <row r="6" spans="2:19" ht="14.7" thickBot="1">
      <c r="B6" s="1"/>
      <c r="C6" s="5" t="s">
        <v>5</v>
      </c>
      <c r="D6" s="20" t="s">
        <v>6</v>
      </c>
      <c r="E6" s="22" t="s">
        <v>7</v>
      </c>
      <c r="F6" s="18">
        <v>1E-3</v>
      </c>
      <c r="G6" s="15"/>
      <c r="H6" s="1" t="s">
        <v>82</v>
      </c>
      <c r="I6" s="1"/>
    </row>
    <row r="7" spans="2:19" ht="16.350000000000001">
      <c r="B7" s="1"/>
      <c r="C7" s="5" t="s">
        <v>13</v>
      </c>
      <c r="D7" s="1"/>
      <c r="E7" s="21"/>
      <c r="F7" s="19">
        <v>4.9800000000000004</v>
      </c>
      <c r="G7" s="15"/>
      <c r="H7" s="1" t="s">
        <v>24</v>
      </c>
      <c r="I7" s="1"/>
      <c r="J7" s="29">
        <v>5.5</v>
      </c>
      <c r="K7" s="1" t="s">
        <v>22</v>
      </c>
    </row>
    <row r="8" spans="2:19" ht="16.350000000000001">
      <c r="B8" s="1"/>
      <c r="C8" s="5" t="s">
        <v>14</v>
      </c>
      <c r="D8" s="1"/>
      <c r="E8" s="14"/>
      <c r="F8" s="19">
        <v>15.04</v>
      </c>
      <c r="G8" s="15"/>
      <c r="H8" s="1" t="s">
        <v>25</v>
      </c>
      <c r="I8" s="1"/>
      <c r="J8" s="10">
        <f>J7*SQRT(3/5)</f>
        <v>4.2602816808281592</v>
      </c>
      <c r="K8" s="1" t="s">
        <v>22</v>
      </c>
    </row>
    <row r="9" spans="2:19" ht="16.350000000000001">
      <c r="B9" s="1"/>
      <c r="C9" s="5" t="s">
        <v>15</v>
      </c>
      <c r="D9" s="1"/>
      <c r="E9" s="14"/>
      <c r="F9" s="19">
        <v>14.89</v>
      </c>
      <c r="G9" s="15"/>
      <c r="H9" s="1" t="s">
        <v>23</v>
      </c>
      <c r="I9" s="1"/>
      <c r="J9" s="11">
        <f>Lamnm/(Refin*Normalize!J7)</f>
        <v>93.643198906356801</v>
      </c>
      <c r="K9" s="1"/>
    </row>
    <row r="10" spans="2:19" ht="16.350000000000001">
      <c r="B10" s="1"/>
      <c r="C10" s="5" t="s">
        <v>16</v>
      </c>
      <c r="D10" s="1"/>
      <c r="E10" s="14"/>
      <c r="F10" s="19">
        <v>79.2</v>
      </c>
      <c r="G10" s="15"/>
      <c r="H10" s="1" t="s">
        <v>61</v>
      </c>
      <c r="I10" s="1"/>
      <c r="J10" s="9">
        <f>J8*(4*PI()*Refin/Lamnm)*SIN(RADIANS(D32/2))</f>
        <v>9.9665812706885876E-2</v>
      </c>
      <c r="K10" s="1"/>
    </row>
    <row r="11" spans="2:19" ht="17.350000000000001">
      <c r="B11" s="1"/>
      <c r="C11" s="5" t="s">
        <v>17</v>
      </c>
      <c r="D11" s="38"/>
      <c r="E11" s="14"/>
      <c r="F11" s="19">
        <v>4.92</v>
      </c>
      <c r="H11" s="1" t="s">
        <v>62</v>
      </c>
      <c r="I11" s="1"/>
      <c r="J11" s="8">
        <f>1-J10^2/3</f>
        <v>0.99668890859249193</v>
      </c>
      <c r="K11" s="1"/>
      <c r="M11" s="48"/>
      <c r="O11" s="48"/>
    </row>
    <row r="12" spans="2:19">
      <c r="M12" s="6" t="s">
        <v>91</v>
      </c>
    </row>
    <row r="13" spans="2:19" ht="14.7" thickBot="1">
      <c r="B13" s="6" t="s">
        <v>20</v>
      </c>
      <c r="C13" s="7" t="s">
        <v>18</v>
      </c>
      <c r="D13" s="7" t="s">
        <v>40</v>
      </c>
      <c r="E13" s="14"/>
      <c r="F13" s="28" t="s">
        <v>42</v>
      </c>
      <c r="G13" s="16" t="s">
        <v>66</v>
      </c>
      <c r="H13" s="6"/>
      <c r="I13" s="39"/>
      <c r="J13" s="6" t="s">
        <v>65</v>
      </c>
      <c r="K13" s="1"/>
      <c r="L13" s="7" t="s">
        <v>27</v>
      </c>
      <c r="M13" s="6" t="s">
        <v>92</v>
      </c>
    </row>
    <row r="14" spans="2:19">
      <c r="B14" s="1"/>
      <c r="C14" s="27" t="s">
        <v>41</v>
      </c>
      <c r="D14">
        <v>0</v>
      </c>
      <c r="E14" s="1"/>
      <c r="F14" s="17" t="s">
        <v>0</v>
      </c>
      <c r="G14" s="6" t="s">
        <v>3</v>
      </c>
      <c r="H14" s="6" t="s">
        <v>30</v>
      </c>
      <c r="I14" s="39"/>
      <c r="J14" s="6" t="s">
        <v>3</v>
      </c>
      <c r="K14" s="6" t="s">
        <v>4</v>
      </c>
      <c r="L14" s="1"/>
      <c r="M14" s="17">
        <v>1</v>
      </c>
      <c r="O14" s="32" t="s">
        <v>68</v>
      </c>
      <c r="P14" s="33"/>
      <c r="Q14" s="12"/>
      <c r="R14" s="32" t="s">
        <v>69</v>
      </c>
      <c r="S14" s="33"/>
    </row>
    <row r="15" spans="2:19">
      <c r="B15" s="1"/>
      <c r="C15" s="5">
        <v>1</v>
      </c>
      <c r="D15" s="1">
        <v>22.5</v>
      </c>
      <c r="E15" s="1"/>
      <c r="F15" s="2" t="s">
        <v>2</v>
      </c>
      <c r="G15" s="2">
        <v>1.08</v>
      </c>
      <c r="H15" s="4"/>
      <c r="I15" s="40"/>
      <c r="J15" s="2">
        <v>0</v>
      </c>
      <c r="K15" s="4"/>
      <c r="L15" s="2">
        <f>G15+H15-J15-K15</f>
        <v>1.08</v>
      </c>
      <c r="M15" s="30">
        <f>Normalize!N15*L15</f>
        <v>0.9998611464428997</v>
      </c>
      <c r="O15" s="34" t="s">
        <v>39</v>
      </c>
      <c r="P15" s="35"/>
      <c r="Q15" s="12"/>
      <c r="R15" s="34" t="s">
        <v>39</v>
      </c>
      <c r="S15" s="35"/>
    </row>
    <row r="16" spans="2:19">
      <c r="B16" s="1"/>
      <c r="C16" s="5">
        <v>2</v>
      </c>
      <c r="D16" s="1">
        <v>28</v>
      </c>
      <c r="E16" s="1"/>
      <c r="F16" s="2" t="s">
        <v>2</v>
      </c>
      <c r="G16" s="2">
        <v>0.72</v>
      </c>
      <c r="H16" s="4"/>
      <c r="I16" s="40"/>
      <c r="J16" s="2">
        <v>0</v>
      </c>
      <c r="K16" s="4"/>
      <c r="L16" s="2">
        <f>G16+H16-J16-K16</f>
        <v>0.72</v>
      </c>
      <c r="M16" s="30">
        <f>Normalize!N16*L16</f>
        <v>0.9997849655562846</v>
      </c>
      <c r="O16" s="23" t="s">
        <v>31</v>
      </c>
      <c r="P16" s="24">
        <v>763.51862000000006</v>
      </c>
      <c r="R16" s="23" t="s">
        <v>31</v>
      </c>
      <c r="S16" s="24">
        <v>0</v>
      </c>
    </row>
    <row r="17" spans="2:19">
      <c r="B17" s="1"/>
      <c r="C17" s="5">
        <v>3</v>
      </c>
      <c r="D17" s="1">
        <v>32</v>
      </c>
      <c r="E17" s="1"/>
      <c r="F17" s="2" t="s">
        <v>2</v>
      </c>
      <c r="G17" s="2">
        <v>0.90100000000000002</v>
      </c>
      <c r="H17" s="4"/>
      <c r="I17" s="40"/>
      <c r="J17" s="2">
        <v>0</v>
      </c>
      <c r="K17" s="4"/>
      <c r="L17" s="2">
        <f>G17+H17-J17-K17</f>
        <v>0.90100000000000002</v>
      </c>
      <c r="M17" s="30">
        <f>Normalize!N17*L17</f>
        <v>0.99971913868940632</v>
      </c>
      <c r="O17" s="23" t="s">
        <v>32</v>
      </c>
      <c r="P17" s="24">
        <v>707.81946000000005</v>
      </c>
      <c r="R17" s="23" t="s">
        <v>32</v>
      </c>
      <c r="S17" s="24">
        <v>0</v>
      </c>
    </row>
    <row r="18" spans="2:19">
      <c r="B18" s="1"/>
      <c r="C18" s="5">
        <v>4</v>
      </c>
      <c r="D18" s="1">
        <v>38</v>
      </c>
      <c r="E18" s="1"/>
      <c r="F18" s="36" t="s">
        <v>79</v>
      </c>
      <c r="G18" s="37" t="s">
        <v>80</v>
      </c>
      <c r="H18" s="4"/>
      <c r="I18" s="40"/>
      <c r="J18" s="37" t="s">
        <v>80</v>
      </c>
      <c r="K18" s="4"/>
      <c r="L18" s="37" t="s">
        <v>80</v>
      </c>
      <c r="M18" s="37" t="str">
        <f>Normalize!N18</f>
        <v>---</v>
      </c>
      <c r="O18" s="23" t="s">
        <v>33</v>
      </c>
      <c r="P18" s="24">
        <v>680.90466000000004</v>
      </c>
      <c r="R18" s="23" t="s">
        <v>33</v>
      </c>
      <c r="S18" s="24">
        <v>0</v>
      </c>
    </row>
    <row r="19" spans="2:19">
      <c r="B19" s="1"/>
      <c r="C19" s="5">
        <v>5</v>
      </c>
      <c r="D19" s="1">
        <v>44</v>
      </c>
      <c r="E19" s="1"/>
      <c r="F19" s="3" t="s">
        <v>1</v>
      </c>
      <c r="G19" s="4"/>
      <c r="H19" s="3">
        <f>P16</f>
        <v>763.51862000000006</v>
      </c>
      <c r="I19" s="40"/>
      <c r="J19" s="4"/>
      <c r="K19" s="3">
        <v>0</v>
      </c>
      <c r="L19" s="3">
        <f>G19+H19-J19-K19</f>
        <v>763.51862000000006</v>
      </c>
      <c r="M19" s="30">
        <f>Normalize!N19*L19</f>
        <v>0.99946899661085775</v>
      </c>
      <c r="O19" s="23" t="s">
        <v>34</v>
      </c>
      <c r="P19" s="24">
        <v>680.11095999999998</v>
      </c>
      <c r="R19" s="23" t="s">
        <v>34</v>
      </c>
      <c r="S19" s="24">
        <v>0</v>
      </c>
    </row>
    <row r="20" spans="2:19">
      <c r="B20" s="1"/>
      <c r="C20" s="5">
        <v>6</v>
      </c>
      <c r="D20" s="1">
        <v>50</v>
      </c>
      <c r="E20" s="1"/>
      <c r="F20" s="3" t="s">
        <v>1</v>
      </c>
      <c r="G20" s="4"/>
      <c r="H20" s="3">
        <f>P17</f>
        <v>707.81946000000005</v>
      </c>
      <c r="I20" s="40"/>
      <c r="J20" s="4"/>
      <c r="K20" s="3">
        <v>0</v>
      </c>
      <c r="L20" s="3">
        <f>G20+H20-J20-K20</f>
        <v>707.81946000000005</v>
      </c>
      <c r="M20" s="30">
        <f>Normalize!N20*L20</f>
        <v>0.99931430349568673</v>
      </c>
      <c r="O20" s="23" t="s">
        <v>35</v>
      </c>
      <c r="P20" s="24">
        <v>163.31816000000001</v>
      </c>
      <c r="R20" s="23" t="s">
        <v>35</v>
      </c>
      <c r="S20" s="24">
        <v>0</v>
      </c>
    </row>
    <row r="21" spans="2:19">
      <c r="B21" s="1"/>
      <c r="C21" s="5">
        <v>7</v>
      </c>
      <c r="D21" s="1">
        <v>57</v>
      </c>
      <c r="E21" s="1"/>
      <c r="F21" s="2" t="s">
        <v>2</v>
      </c>
      <c r="G21" s="2">
        <v>1.23</v>
      </c>
      <c r="H21" s="4"/>
      <c r="I21" s="40"/>
      <c r="J21" s="2">
        <v>0</v>
      </c>
      <c r="K21" s="4"/>
      <c r="L21" s="2">
        <f>G21+H21-J21-K21</f>
        <v>1.23</v>
      </c>
      <c r="M21" s="30">
        <f>Normalize!N21*L21</f>
        <v>0.99910886885910333</v>
      </c>
      <c r="O21" s="23" t="s">
        <v>36</v>
      </c>
      <c r="P21" s="24">
        <v>333.06646999999998</v>
      </c>
      <c r="R21" s="23" t="s">
        <v>36</v>
      </c>
      <c r="S21" s="24">
        <v>0</v>
      </c>
    </row>
    <row r="22" spans="2:19">
      <c r="B22" s="1"/>
      <c r="C22" s="5">
        <v>8</v>
      </c>
      <c r="D22" s="1">
        <v>64</v>
      </c>
      <c r="E22" s="1"/>
      <c r="F22" s="3" t="s">
        <v>1</v>
      </c>
      <c r="G22" s="4"/>
      <c r="H22" s="3">
        <f>P18</f>
        <v>680.90466000000004</v>
      </c>
      <c r="I22" s="40"/>
      <c r="J22" s="4"/>
      <c r="K22" s="3">
        <v>0</v>
      </c>
      <c r="L22" s="3">
        <f>G22+H22-J22-K22</f>
        <v>680.90466000000004</v>
      </c>
      <c r="M22" s="30">
        <f>Normalize!N22*L22</f>
        <v>0.99887655494433414</v>
      </c>
      <c r="O22" s="23" t="s">
        <v>37</v>
      </c>
      <c r="P22" s="24">
        <v>417.58285999999998</v>
      </c>
      <c r="R22" s="23" t="s">
        <v>37</v>
      </c>
      <c r="S22" s="24">
        <v>0</v>
      </c>
    </row>
    <row r="23" spans="2:19" ht="14.7" thickBot="1">
      <c r="B23" s="1"/>
      <c r="C23" s="5">
        <v>9</v>
      </c>
      <c r="D23" s="1">
        <v>72</v>
      </c>
      <c r="E23" s="1"/>
      <c r="F23" s="2" t="s">
        <v>2</v>
      </c>
      <c r="G23" s="2">
        <v>1.117</v>
      </c>
      <c r="H23" s="4"/>
      <c r="I23" s="40"/>
      <c r="J23" s="2">
        <v>0</v>
      </c>
      <c r="K23" s="4"/>
      <c r="L23" s="2">
        <f>G23+H23-J23-K23</f>
        <v>1.117</v>
      </c>
      <c r="M23" s="30">
        <f>Normalize!N23*L23</f>
        <v>0.9985781399351138</v>
      </c>
      <c r="O23" s="25" t="s">
        <v>38</v>
      </c>
      <c r="P23" s="26">
        <v>567.71167000000003</v>
      </c>
      <c r="R23" s="25" t="s">
        <v>38</v>
      </c>
      <c r="S23" s="26">
        <v>0</v>
      </c>
    </row>
    <row r="24" spans="2:19">
      <c r="B24" s="1"/>
      <c r="C24" s="5">
        <v>10</v>
      </c>
      <c r="D24" s="1">
        <v>81</v>
      </c>
      <c r="E24" s="1"/>
      <c r="F24" s="3" t="s">
        <v>1</v>
      </c>
      <c r="G24" s="4"/>
      <c r="H24" s="3">
        <f>P19</f>
        <v>680.11095999999998</v>
      </c>
      <c r="I24" s="40"/>
      <c r="J24" s="4"/>
      <c r="K24" s="3">
        <v>0</v>
      </c>
      <c r="L24" s="3">
        <f>G24+H24-J24-K24</f>
        <v>680.11095999999998</v>
      </c>
      <c r="M24" s="30">
        <f>Normalize!N24*L24</f>
        <v>0.99820045848943495</v>
      </c>
    </row>
    <row r="25" spans="2:19">
      <c r="B25" s="1"/>
      <c r="C25" s="5">
        <v>11</v>
      </c>
      <c r="D25" s="1">
        <v>90</v>
      </c>
      <c r="E25" s="1"/>
      <c r="F25" s="2" t="s">
        <v>2</v>
      </c>
      <c r="G25" s="2">
        <v>1.0029999999999999</v>
      </c>
      <c r="H25" s="4"/>
      <c r="I25" s="40"/>
      <c r="J25" s="2">
        <v>0</v>
      </c>
      <c r="K25" s="4"/>
      <c r="L25" s="2">
        <f>G25+H25-J25-K25</f>
        <v>1.0029999999999999</v>
      </c>
      <c r="M25" s="30">
        <f>Normalize!N25*L25</f>
        <v>0.99777834399909004</v>
      </c>
    </row>
    <row r="26" spans="2:19">
      <c r="B26" s="1"/>
      <c r="C26" s="5">
        <v>12</v>
      </c>
      <c r="D26" s="1">
        <v>99</v>
      </c>
      <c r="E26" s="1"/>
      <c r="F26" s="3" t="s">
        <v>1</v>
      </c>
      <c r="G26" s="4"/>
      <c r="H26" s="3">
        <f>P20</f>
        <v>163.31816000000001</v>
      </c>
      <c r="I26" s="40"/>
      <c r="J26" s="4"/>
      <c r="K26" s="3">
        <v>0</v>
      </c>
      <c r="L26" s="3">
        <f>G26+H26-J26-K26</f>
        <v>163.31816000000001</v>
      </c>
      <c r="M26" s="30">
        <f>Normalize!N26*L26</f>
        <v>0.99731179648627577</v>
      </c>
    </row>
    <row r="27" spans="2:19">
      <c r="B27" s="1"/>
      <c r="C27" s="5">
        <v>13</v>
      </c>
      <c r="D27" s="1">
        <v>108</v>
      </c>
      <c r="E27" s="1"/>
      <c r="F27" s="36" t="s">
        <v>79</v>
      </c>
      <c r="G27" s="37" t="s">
        <v>80</v>
      </c>
      <c r="H27" s="4"/>
      <c r="I27" s="40"/>
      <c r="J27" s="37" t="s">
        <v>80</v>
      </c>
      <c r="K27" s="4"/>
      <c r="L27" s="37" t="s">
        <v>80</v>
      </c>
      <c r="M27" s="37" t="str">
        <f>Normalize!N27</f>
        <v>---</v>
      </c>
    </row>
    <row r="28" spans="2:19">
      <c r="B28" s="1"/>
      <c r="C28" s="5">
        <v>14</v>
      </c>
      <c r="D28" s="1">
        <v>117</v>
      </c>
      <c r="E28" s="1"/>
      <c r="F28" s="3" t="s">
        <v>1</v>
      </c>
      <c r="G28" s="4"/>
      <c r="H28" s="3">
        <f>P21</f>
        <v>333.06646999999998</v>
      </c>
      <c r="I28" s="40"/>
      <c r="J28" s="4"/>
      <c r="K28" s="3">
        <v>0</v>
      </c>
      <c r="L28" s="3">
        <f>G28+H28-J28-K28</f>
        <v>333.06646999999998</v>
      </c>
      <c r="M28" s="30">
        <f>Normalize!N28*L28</f>
        <v>0.99624540249370808</v>
      </c>
    </row>
    <row r="29" spans="2:19">
      <c r="B29" s="1"/>
      <c r="C29" s="5">
        <v>15</v>
      </c>
      <c r="D29" s="1">
        <v>126</v>
      </c>
      <c r="E29" s="1"/>
      <c r="F29" s="2" t="s">
        <v>2</v>
      </c>
      <c r="G29" s="2">
        <v>1.2849999999999999</v>
      </c>
      <c r="H29" s="4"/>
      <c r="I29" s="40"/>
      <c r="J29" s="2">
        <v>0</v>
      </c>
      <c r="K29" s="4"/>
      <c r="L29" s="2">
        <f>G29+H29-J29-K29</f>
        <v>1.2849999999999999</v>
      </c>
      <c r="M29" s="30">
        <f>Normalize!N29*L29</f>
        <v>0.99564555607003091</v>
      </c>
    </row>
    <row r="30" spans="2:19">
      <c r="B30" s="1"/>
      <c r="C30" s="5">
        <v>16</v>
      </c>
      <c r="D30" s="1">
        <v>134</v>
      </c>
      <c r="E30" s="1"/>
      <c r="F30" s="3" t="s">
        <v>1</v>
      </c>
      <c r="G30" s="4"/>
      <c r="H30" s="3">
        <f>P22</f>
        <v>417.58285999999998</v>
      </c>
      <c r="I30" s="40"/>
      <c r="J30" s="4"/>
      <c r="K30" s="3">
        <v>0</v>
      </c>
      <c r="L30" s="3">
        <f>G30+H30-J30-K30</f>
        <v>417.58285999999998</v>
      </c>
      <c r="M30" s="30">
        <f>Normalize!N30*L30</f>
        <v>0.99507505754546233</v>
      </c>
    </row>
    <row r="31" spans="2:19">
      <c r="B31" s="1"/>
      <c r="C31" s="5">
        <v>17</v>
      </c>
      <c r="D31" s="1">
        <v>141</v>
      </c>
      <c r="E31" s="1"/>
      <c r="F31" s="2" t="s">
        <v>2</v>
      </c>
      <c r="G31" s="2">
        <v>0.70899999999999996</v>
      </c>
      <c r="H31" s="4"/>
      <c r="I31" s="40"/>
      <c r="J31" s="2">
        <v>0</v>
      </c>
      <c r="K31" s="4"/>
      <c r="L31" s="2">
        <f>G31+H31-J31-K31</f>
        <v>0.70899999999999996</v>
      </c>
      <c r="M31" s="30">
        <f>Normalize!N31*L31</f>
        <v>0.99454707224649708</v>
      </c>
    </row>
    <row r="32" spans="2:19">
      <c r="B32" s="1"/>
      <c r="C32" s="5">
        <v>18</v>
      </c>
      <c r="D32" s="1">
        <v>147</v>
      </c>
      <c r="E32" s="1"/>
      <c r="F32" s="3" t="s">
        <v>1</v>
      </c>
      <c r="G32" s="4"/>
      <c r="H32" s="3">
        <f>P23</f>
        <v>567.71167000000003</v>
      </c>
      <c r="I32" s="40"/>
      <c r="J32" s="4"/>
      <c r="K32" s="3">
        <v>0</v>
      </c>
      <c r="L32" s="3">
        <f>G32+H32-J32-K32</f>
        <v>567.71167000000003</v>
      </c>
      <c r="M32" s="30">
        <f>Normalize!N32*L32</f>
        <v>0.99407311982244184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F380-ED06-4A15-80CE-E68D4C2FC7B1}">
  <dimension ref="B5:L27"/>
  <sheetViews>
    <sheetView topLeftCell="E8" workbookViewId="0">
      <selection activeCell="K25" sqref="K25"/>
    </sheetView>
  </sheetViews>
  <sheetFormatPr defaultRowHeight="14.35"/>
  <cols>
    <col min="3" max="3" width="12.3515625" customWidth="1"/>
    <col min="4" max="4" width="8.8203125" customWidth="1"/>
    <col min="5" max="6" width="12.3515625" customWidth="1"/>
    <col min="7" max="7" width="9.703125" customWidth="1"/>
    <col min="8" max="8" width="12.234375" bestFit="1" customWidth="1"/>
    <col min="10" max="10" width="12.87890625" customWidth="1"/>
  </cols>
  <sheetData>
    <row r="5" spans="2:10">
      <c r="G5" s="50" t="s">
        <v>91</v>
      </c>
    </row>
    <row r="6" spans="2:10" ht="17.350000000000001">
      <c r="B6" s="1" t="s">
        <v>90</v>
      </c>
      <c r="C6" s="1" t="s">
        <v>40</v>
      </c>
      <c r="D6" s="1" t="s">
        <v>93</v>
      </c>
      <c r="E6" s="1" t="s">
        <v>96</v>
      </c>
      <c r="F6" s="1" t="s">
        <v>97</v>
      </c>
      <c r="G6" s="49" t="s">
        <v>94</v>
      </c>
      <c r="H6" s="5" t="s">
        <v>95</v>
      </c>
    </row>
    <row r="7" spans="2:10">
      <c r="B7" s="5">
        <f>'Measure Unknown '!C15</f>
        <v>1</v>
      </c>
      <c r="C7" s="5">
        <f>'Measure Unknown '!D15</f>
        <v>22.5</v>
      </c>
      <c r="D7" s="49">
        <f>4*PI()*Refin*SIN(RADIANS(C7/2))/Lamcm</f>
        <v>47599.967815182856</v>
      </c>
      <c r="E7" s="49">
        <f>D7*D7/10000000000</f>
        <v>0.22657569360064436</v>
      </c>
      <c r="F7" s="49">
        <f>(D7/10000000)^2/0.0001</f>
        <v>0.22657569360064439</v>
      </c>
      <c r="G7" s="49">
        <f>'Measure Unknown '!M15</f>
        <v>0.9998611464428997</v>
      </c>
      <c r="H7" s="49">
        <f>LOG(G7)</f>
        <v>-6.0307520695086986E-5</v>
      </c>
      <c r="I7">
        <v>0.9998611464428997</v>
      </c>
      <c r="J7">
        <f>LOG(I7)</f>
        <v>-6.0307520695086986E-5</v>
      </c>
    </row>
    <row r="8" spans="2:10">
      <c r="B8" s="5">
        <f>'Measure Unknown '!C16</f>
        <v>2</v>
      </c>
      <c r="C8" s="5">
        <f>'Measure Unknown '!D16</f>
        <v>28</v>
      </c>
      <c r="D8" s="49">
        <f>4*PI()*Refin*SIN(RADIANS(C8/2))/Lamcm</f>
        <v>59026.37468290313</v>
      </c>
      <c r="E8" s="49">
        <f t="shared" ref="E8:E22" si="0">D8*D8/10000000000</f>
        <v>0.34841129082064676</v>
      </c>
      <c r="F8" s="49">
        <f t="shared" ref="F8:F22" si="1">(D8/10000000)^2/0.0001</f>
        <v>0.34841129082064676</v>
      </c>
      <c r="G8" s="5">
        <f>'Measure Unknown '!M16</f>
        <v>0.9997849655562846</v>
      </c>
      <c r="H8" s="49">
        <f t="shared" ref="H8:H22" si="2">LOG(G8)</f>
        <v>-9.3398314611979212E-5</v>
      </c>
      <c r="I8">
        <v>0.99978496555628471</v>
      </c>
      <c r="J8">
        <f t="shared" ref="J8:J22" si="3">LOG(I8)</f>
        <v>-9.3398314611930992E-5</v>
      </c>
    </row>
    <row r="9" spans="2:10">
      <c r="B9" s="5">
        <f>'Measure Unknown '!C17</f>
        <v>3</v>
      </c>
      <c r="C9" s="5">
        <f>'Measure Unknown '!D17</f>
        <v>32</v>
      </c>
      <c r="D9" s="49">
        <f>4*PI()*Refin*SIN(RADIANS(C9/2))/Lamcm</f>
        <v>67252.58910827263</v>
      </c>
      <c r="E9" s="49">
        <f t="shared" si="0"/>
        <v>0.45229107417661507</v>
      </c>
      <c r="F9" s="49">
        <f t="shared" si="1"/>
        <v>0.45229107417661507</v>
      </c>
      <c r="G9" s="5">
        <f>'Measure Unknown '!M17</f>
        <v>0.99971913868940632</v>
      </c>
      <c r="H9" s="49">
        <f t="shared" si="2"/>
        <v>-1.2199364982118713E-4</v>
      </c>
      <c r="I9">
        <v>0.99971913868940632</v>
      </c>
      <c r="J9">
        <f t="shared" si="3"/>
        <v>-1.2199364982118713E-4</v>
      </c>
    </row>
    <row r="10" spans="2:10">
      <c r="B10" s="5">
        <f>'Measure Unknown '!C19</f>
        <v>5</v>
      </c>
      <c r="C10" s="5">
        <f>'Measure Unknown '!D19</f>
        <v>44</v>
      </c>
      <c r="D10" s="49">
        <f>4*PI()*Refin*SIN(RADIANS(C10/2))/Lamcm</f>
        <v>91400.032588385293</v>
      </c>
      <c r="E10" s="49">
        <f t="shared" si="0"/>
        <v>0.83539659571578928</v>
      </c>
      <c r="F10" s="49">
        <f t="shared" si="1"/>
        <v>0.83539659571578939</v>
      </c>
      <c r="G10" s="5">
        <f>'Measure Unknown '!M19</f>
        <v>0.99946899661085775</v>
      </c>
      <c r="H10" s="49">
        <f t="shared" si="2"/>
        <v>-2.306730912946109E-4</v>
      </c>
      <c r="I10">
        <v>0.99946899661085775</v>
      </c>
      <c r="J10">
        <f t="shared" si="3"/>
        <v>-2.306730912946109E-4</v>
      </c>
    </row>
    <row r="11" spans="2:10">
      <c r="B11" s="5">
        <f>'Measure Unknown '!C20</f>
        <v>6</v>
      </c>
      <c r="C11" s="5">
        <f>'Measure Unknown '!D20</f>
        <v>50</v>
      </c>
      <c r="D11" s="49">
        <f>4*PI()*Refin*SIN(RADIANS(C11/2))/Lamcm</f>
        <v>103114.3700470327</v>
      </c>
      <c r="E11" s="49">
        <f t="shared" si="0"/>
        <v>1.0632573310196394</v>
      </c>
      <c r="F11" s="49">
        <f t="shared" si="1"/>
        <v>1.0632573310196394</v>
      </c>
      <c r="G11" s="5">
        <f>'Measure Unknown '!M20</f>
        <v>0.99931430349568673</v>
      </c>
      <c r="H11" s="49">
        <f t="shared" si="2"/>
        <v>-2.978963530036257E-4</v>
      </c>
      <c r="I11">
        <v>0.99931430349568662</v>
      </c>
      <c r="J11">
        <f t="shared" si="3"/>
        <v>-2.9789635300367395E-4</v>
      </c>
    </row>
    <row r="12" spans="2:10">
      <c r="B12" s="5">
        <f>'Measure Unknown '!C21</f>
        <v>7</v>
      </c>
      <c r="C12" s="5">
        <f>'Measure Unknown '!D21</f>
        <v>57</v>
      </c>
      <c r="D12" s="49">
        <f>4*PI()*Refin*SIN(RADIANS(C12/2))/Lamcm</f>
        <v>116421.67277376392</v>
      </c>
      <c r="E12" s="49">
        <f t="shared" si="0"/>
        <v>1.3554005891441363</v>
      </c>
      <c r="F12" s="49">
        <f t="shared" si="1"/>
        <v>1.3554005891441361</v>
      </c>
      <c r="G12" s="5">
        <f>'Measure Unknown '!M21</f>
        <v>0.99910886885910333</v>
      </c>
      <c r="H12" s="49">
        <f t="shared" si="2"/>
        <v>-3.8718587947475503E-4</v>
      </c>
      <c r="I12">
        <v>0.99910886885910333</v>
      </c>
      <c r="J12">
        <f t="shared" si="3"/>
        <v>-3.8718587947475503E-4</v>
      </c>
    </row>
    <row r="13" spans="2:10">
      <c r="B13" s="5">
        <f>'Measure Unknown '!C22</f>
        <v>8</v>
      </c>
      <c r="C13" s="5">
        <f>'Measure Unknown '!D22</f>
        <v>64</v>
      </c>
      <c r="D13" s="49">
        <f>4*PI()*Refin*SIN(RADIANS(C13/2))/Lamcm</f>
        <v>129294.67572492211</v>
      </c>
      <c r="E13" s="49">
        <f t="shared" si="0"/>
        <v>1.6717113170812763</v>
      </c>
      <c r="F13" s="49">
        <f t="shared" si="1"/>
        <v>1.6717113170812763</v>
      </c>
      <c r="G13" s="5">
        <f>'Measure Unknown '!M22</f>
        <v>0.99887655494433414</v>
      </c>
      <c r="H13" s="49">
        <f t="shared" si="2"/>
        <v>-4.8818026162216464E-4</v>
      </c>
      <c r="I13">
        <v>0.99887655494433414</v>
      </c>
      <c r="J13">
        <f t="shared" si="3"/>
        <v>-4.8818026162216464E-4</v>
      </c>
    </row>
    <row r="14" spans="2:10">
      <c r="B14" s="5">
        <f>'Measure Unknown '!C23</f>
        <v>9</v>
      </c>
      <c r="C14" s="5">
        <f>'Measure Unknown '!D23</f>
        <v>72</v>
      </c>
      <c r="D14" s="49">
        <f>4*PI()*Refin*SIN(RADIANS(C14/2))/Lamcm</f>
        <v>143413.36260159462</v>
      </c>
      <c r="E14" s="49">
        <f t="shared" si="0"/>
        <v>2.0567392572696459</v>
      </c>
      <c r="F14" s="49">
        <f t="shared" si="1"/>
        <v>2.0567392572696455</v>
      </c>
      <c r="G14" s="5">
        <f>'Measure Unknown '!M23</f>
        <v>0.9985781399351138</v>
      </c>
      <c r="H14" s="49">
        <f t="shared" si="2"/>
        <v>-6.1794540034390544E-4</v>
      </c>
      <c r="I14">
        <v>0.9985781399351138</v>
      </c>
      <c r="J14">
        <f t="shared" si="3"/>
        <v>-6.1794540034390544E-4</v>
      </c>
    </row>
    <row r="15" spans="2:10">
      <c r="B15" s="5">
        <f>'Measure Unknown '!C24</f>
        <v>10</v>
      </c>
      <c r="C15" s="5">
        <f>'Measure Unknown '!D24</f>
        <v>81</v>
      </c>
      <c r="D15" s="49">
        <f>4*PI()*Refin*SIN(RADIANS(C15/2))/Lamcm</f>
        <v>158458.4303243623</v>
      </c>
      <c r="E15" s="49">
        <f t="shared" si="0"/>
        <v>2.5109074140860783</v>
      </c>
      <c r="F15" s="49">
        <f t="shared" si="1"/>
        <v>2.5109074140860774</v>
      </c>
      <c r="G15" s="5">
        <f>'Measure Unknown '!M24</f>
        <v>0.99820045848943495</v>
      </c>
      <c r="H15" s="49">
        <f t="shared" si="2"/>
        <v>-7.8223499144933054E-4</v>
      </c>
      <c r="I15">
        <v>0.99820045848943506</v>
      </c>
      <c r="J15">
        <f t="shared" si="3"/>
        <v>-7.822349914492823E-4</v>
      </c>
    </row>
    <row r="16" spans="2:10">
      <c r="B16" s="5">
        <f>'Measure Unknown '!C25</f>
        <v>11</v>
      </c>
      <c r="C16" s="5">
        <f>'Measure Unknown '!D25</f>
        <v>90</v>
      </c>
      <c r="D16" s="49">
        <f>4*PI()*Refin*SIN(RADIANS(C16/2))/Lamcm</f>
        <v>172526.54913140516</v>
      </c>
      <c r="E16" s="49">
        <f t="shared" si="0"/>
        <v>2.9765410155191159</v>
      </c>
      <c r="F16" s="49">
        <f t="shared" si="1"/>
        <v>2.9765410155191163</v>
      </c>
      <c r="G16" s="5">
        <f>'Measure Unknown '!M25</f>
        <v>0.99777834399909004</v>
      </c>
      <c r="H16" s="49">
        <f t="shared" si="2"/>
        <v>-9.6592631762238443E-4</v>
      </c>
      <c r="I16">
        <v>0.99777834399909004</v>
      </c>
      <c r="J16">
        <f t="shared" si="3"/>
        <v>-9.6592631762238443E-4</v>
      </c>
    </row>
    <row r="17" spans="2:12">
      <c r="B17" s="5">
        <f>'Measure Unknown '!C26</f>
        <v>12</v>
      </c>
      <c r="C17" s="5">
        <f>'Measure Unknown '!D26</f>
        <v>99</v>
      </c>
      <c r="D17" s="49">
        <f>4*PI()*Refin*SIN(RADIANS(C17/2))/Lamcm</f>
        <v>185530.98439215362</v>
      </c>
      <c r="E17" s="49">
        <f t="shared" si="0"/>
        <v>3.4421746169521552</v>
      </c>
      <c r="F17" s="49">
        <f t="shared" si="1"/>
        <v>3.4421746169521548</v>
      </c>
      <c r="G17" s="5">
        <f>'Measure Unknown '!M26</f>
        <v>0.99731179648627577</v>
      </c>
      <c r="H17" s="49">
        <f t="shared" si="2"/>
        <v>-1.1690439712488288E-3</v>
      </c>
      <c r="I17">
        <v>0.99731179648627577</v>
      </c>
      <c r="J17">
        <f t="shared" si="3"/>
        <v>-1.1690439712488288E-3</v>
      </c>
    </row>
    <row r="18" spans="2:12">
      <c r="B18" s="5">
        <f>'Measure Unknown '!C28</f>
        <v>14</v>
      </c>
      <c r="C18" s="5">
        <f>'Measure Unknown '!D28</f>
        <v>117</v>
      </c>
      <c r="D18" s="49">
        <f>4*PI()*Refin*SIN(RADIANS(C18/2))/Lamcm</f>
        <v>208035.14988217491</v>
      </c>
      <c r="E18" s="49">
        <f t="shared" si="0"/>
        <v>4.3278623586498979</v>
      </c>
      <c r="F18" s="49">
        <f t="shared" si="1"/>
        <v>4.3278623586498988</v>
      </c>
      <c r="G18" s="5">
        <f>'Measure Unknown '!M28</f>
        <v>0.99624540249370808</v>
      </c>
      <c r="H18" s="49">
        <f t="shared" si="2"/>
        <v>-1.6336697877712574E-3</v>
      </c>
      <c r="I18">
        <v>0.99624540249370819</v>
      </c>
      <c r="J18">
        <f t="shared" si="3"/>
        <v>-1.6336697877712089E-3</v>
      </c>
    </row>
    <row r="19" spans="2:12">
      <c r="B19" s="5">
        <f>'Measure Unknown '!C29</f>
        <v>15</v>
      </c>
      <c r="C19" s="5">
        <f>'Measure Unknown '!D29</f>
        <v>126</v>
      </c>
      <c r="D19" s="49">
        <f>4*PI()*Refin*SIN(RADIANS(C19/2))/Lamcm</f>
        <v>217396.13444780736</v>
      </c>
      <c r="E19" s="49">
        <f t="shared" si="0"/>
        <v>4.7261079272849136</v>
      </c>
      <c r="F19" s="49">
        <f t="shared" si="1"/>
        <v>4.7261079272849127</v>
      </c>
      <c r="G19" s="5">
        <f>'Measure Unknown '!M29</f>
        <v>0.99564555607003091</v>
      </c>
      <c r="H19" s="49">
        <f t="shared" si="2"/>
        <v>-1.8952403306239278E-3</v>
      </c>
      <c r="I19">
        <v>0.99564555607003091</v>
      </c>
      <c r="J19">
        <f t="shared" si="3"/>
        <v>-1.8952403306239278E-3</v>
      </c>
      <c r="K19" s="48"/>
    </row>
    <row r="20" spans="2:12">
      <c r="B20" s="5">
        <f>'Measure Unknown '!C30</f>
        <v>16</v>
      </c>
      <c r="C20" s="5">
        <f>'Measure Unknown '!D30</f>
        <v>134</v>
      </c>
      <c r="D20" s="49">
        <f>4*PI()*Refin*SIN(RADIANS(C20/2))/Lamcm</f>
        <v>224593.41368268116</v>
      </c>
      <c r="E20" s="49">
        <f t="shared" si="0"/>
        <v>5.0442201469639958</v>
      </c>
      <c r="F20" s="49">
        <f t="shared" si="1"/>
        <v>5.0442201469639949</v>
      </c>
      <c r="G20" s="5">
        <f>'Measure Unknown '!M30</f>
        <v>0.99507505754546233</v>
      </c>
      <c r="H20" s="49">
        <f t="shared" si="2"/>
        <v>-2.1441596076357369E-3</v>
      </c>
      <c r="I20">
        <v>0.99507505754546233</v>
      </c>
      <c r="J20">
        <f t="shared" si="3"/>
        <v>-2.1441596076357369E-3</v>
      </c>
    </row>
    <row r="21" spans="2:12">
      <c r="B21" s="5">
        <f>'Measure Unknown '!C31</f>
        <v>17</v>
      </c>
      <c r="C21" s="5">
        <f>'Measure Unknown '!D31</f>
        <v>141</v>
      </c>
      <c r="D21" s="49">
        <f>4*PI()*Refin*SIN(RADIANS(C21/2))/Lamcm</f>
        <v>229994.51830078103</v>
      </c>
      <c r="E21" s="49">
        <f t="shared" si="0"/>
        <v>5.2897478448408304</v>
      </c>
      <c r="F21" s="49">
        <f t="shared" si="1"/>
        <v>5.2897478448408304</v>
      </c>
      <c r="G21" s="5">
        <f>'Measure Unknown '!M31</f>
        <v>0.99454707224649708</v>
      </c>
      <c r="H21" s="49">
        <f t="shared" si="2"/>
        <v>-2.3746567495962203E-3</v>
      </c>
      <c r="I21">
        <v>0.99454707224649719</v>
      </c>
      <c r="J21">
        <f t="shared" si="3"/>
        <v>-2.3746567495961718E-3</v>
      </c>
    </row>
    <row r="22" spans="2:12">
      <c r="B22" s="5">
        <f>'Measure Unknown '!C32</f>
        <v>18</v>
      </c>
      <c r="C22" s="5">
        <f>'Measure Unknown '!D32</f>
        <v>147</v>
      </c>
      <c r="D22" s="49">
        <f>4*PI()*Refin*SIN(RADIANS(C22/2))/Lamcm</f>
        <v>233941.83806060397</v>
      </c>
      <c r="E22" s="49">
        <f t="shared" si="0"/>
        <v>5.4728783595173853</v>
      </c>
      <c r="F22" s="49">
        <f t="shared" si="1"/>
        <v>5.4728783595173853</v>
      </c>
      <c r="G22" s="5">
        <f>'Measure Unknown '!M32</f>
        <v>0.99407311982244184</v>
      </c>
      <c r="H22" s="49">
        <f t="shared" si="2"/>
        <v>-2.5816695589502359E-3</v>
      </c>
      <c r="I22" s="48">
        <v>0.99407311982244184</v>
      </c>
      <c r="J22">
        <f t="shared" si="3"/>
        <v>-2.5816695589502359E-3</v>
      </c>
    </row>
    <row r="23" spans="2:12">
      <c r="J23" s="41" t="s">
        <v>98</v>
      </c>
      <c r="K23" s="41"/>
    </row>
    <row r="24" spans="2:12">
      <c r="J24" s="41" t="s">
        <v>99</v>
      </c>
      <c r="K24" s="52">
        <v>2.7999999999999998E-4</v>
      </c>
    </row>
    <row r="25" spans="2:12" ht="16.350000000000001">
      <c r="J25" s="51" t="s">
        <v>100</v>
      </c>
      <c r="K25" s="53">
        <f>SQRT(30000*ABS(Guinslope))</f>
        <v>2.8982753492378874</v>
      </c>
      <c r="L25" s="51" t="s">
        <v>22</v>
      </c>
    </row>
    <row r="26" spans="2:12">
      <c r="J26" s="51" t="s">
        <v>101</v>
      </c>
      <c r="K26" s="53">
        <f>K25*SQRT(5/3)</f>
        <v>3.7416573867739409</v>
      </c>
      <c r="L26" s="51" t="s">
        <v>22</v>
      </c>
    </row>
    <row r="27" spans="2:12" ht="16.350000000000001">
      <c r="J27" s="51" t="s">
        <v>102</v>
      </c>
      <c r="K27" s="51">
        <f>'Measure Unknown '!J7</f>
        <v>5.5</v>
      </c>
      <c r="L27" s="51" t="s">
        <v>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BE51-A7A9-4956-A4B6-A2E9FAB2230C}">
  <dimension ref="A2:B5"/>
  <sheetViews>
    <sheetView workbookViewId="0">
      <selection activeCell="B6" sqref="B6"/>
    </sheetView>
  </sheetViews>
  <sheetFormatPr defaultRowHeight="14.35"/>
  <cols>
    <col min="1" max="1" width="15.29296875" customWidth="1"/>
    <col min="2" max="2" width="9.76171875" bestFit="1" customWidth="1"/>
  </cols>
  <sheetData>
    <row r="2" spans="1:2">
      <c r="A2" t="s">
        <v>10</v>
      </c>
      <c r="B2" t="s">
        <v>12</v>
      </c>
    </row>
    <row r="3" spans="1:2">
      <c r="A3" t="s">
        <v>8</v>
      </c>
      <c r="B3">
        <v>685</v>
      </c>
    </row>
    <row r="4" spans="1:2">
      <c r="A4" t="s">
        <v>11</v>
      </c>
      <c r="B4">
        <f>Lamnm/10000000</f>
        <v>6.8499999999999998E-5</v>
      </c>
    </row>
    <row r="5" spans="1:2">
      <c r="A5" t="s">
        <v>9</v>
      </c>
      <c r="B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Development notes</vt:lpstr>
      <vt:lpstr>Instructions</vt:lpstr>
      <vt:lpstr>Normalize</vt:lpstr>
      <vt:lpstr>Measure Unknown </vt:lpstr>
      <vt:lpstr>Guinier</vt:lpstr>
      <vt:lpstr>Parameters</vt:lpstr>
      <vt:lpstr>Guinslope</vt:lpstr>
      <vt:lpstr>Guintercept</vt:lpstr>
      <vt:lpstr>Lamcm</vt:lpstr>
      <vt:lpstr>Lamnm</vt:lpstr>
      <vt:lpstr>Refin</vt:lpstr>
      <vt:lpstr>Rgyration</vt:lpstr>
      <vt:lpstr>Rhydro</vt:lpstr>
      <vt:lpstr>Solvent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2022-06-22T03:39:42Z</dcterms:modified>
</cp:coreProperties>
</file>