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15" windowWidth="19980" windowHeight="7530"/>
  </bookViews>
  <sheets>
    <sheet name="Comparison Charts" sheetId="12" r:id="rId1"/>
    <sheet name="Baseline Metrics" sheetId="1" r:id="rId2"/>
    <sheet name="Scenario Metrics" sheetId="9" r:id="rId3"/>
    <sheet name="Difference" sheetId="10" r:id="rId4"/>
    <sheet name="HeatResults" sheetId="6" r:id="rId5"/>
    <sheet name="RawBaseline" sheetId="4" r:id="rId6"/>
    <sheet name="RawScenario" sheetId="5" r:id="rId7"/>
    <sheet name="Baseline Charts" sheetId="7" r:id="rId8"/>
    <sheet name="Scenario Charts" sheetId="11" r:id="rId9"/>
  </sheets>
  <calcPr calcId="145621"/>
</workbook>
</file>

<file path=xl/calcChain.xml><?xml version="1.0" encoding="utf-8"?>
<calcChain xmlns="http://schemas.openxmlformats.org/spreadsheetml/2006/main">
  <c r="F25" i="10" l="1"/>
  <c r="M9" i="10" l="1"/>
  <c r="T7" i="6"/>
  <c r="T6" i="6"/>
  <c r="T5" i="6"/>
  <c r="S8" i="6"/>
  <c r="R8" i="6"/>
  <c r="T8" i="6" s="1"/>
  <c r="S7" i="6"/>
  <c r="R7" i="6"/>
  <c r="C6" i="9"/>
  <c r="N11" i="10"/>
  <c r="N10" i="10"/>
  <c r="N9" i="10"/>
  <c r="N8" i="10"/>
  <c r="N7" i="10"/>
  <c r="N5" i="10"/>
  <c r="N4" i="10"/>
  <c r="C48" i="9"/>
  <c r="C47" i="9"/>
  <c r="C47" i="10" s="1"/>
  <c r="C46" i="9"/>
  <c r="C45" i="9"/>
  <c r="C45" i="10" s="1"/>
  <c r="C46" i="10"/>
  <c r="C48" i="10"/>
  <c r="C44" i="10"/>
  <c r="C40" i="10"/>
  <c r="C39" i="10"/>
  <c r="C38" i="10"/>
  <c r="F34" i="10"/>
  <c r="E34" i="10"/>
  <c r="D34" i="10"/>
  <c r="C34" i="10"/>
  <c r="F33" i="10"/>
  <c r="E33" i="10"/>
  <c r="D33" i="10"/>
  <c r="C33" i="10"/>
  <c r="F32" i="10"/>
  <c r="E32" i="10"/>
  <c r="D32" i="10"/>
  <c r="C32" i="10"/>
  <c r="F31" i="10"/>
  <c r="E31" i="10"/>
  <c r="D31" i="10"/>
  <c r="C31" i="10"/>
  <c r="P27" i="10"/>
  <c r="O27" i="10"/>
  <c r="N27" i="10"/>
  <c r="M27" i="10"/>
  <c r="P26" i="10"/>
  <c r="O26" i="10"/>
  <c r="N26" i="10"/>
  <c r="M26" i="10"/>
  <c r="P25" i="10"/>
  <c r="O25" i="10"/>
  <c r="N25" i="10"/>
  <c r="M25" i="10"/>
  <c r="P24" i="10"/>
  <c r="O24" i="10"/>
  <c r="N24" i="10"/>
  <c r="M24" i="10"/>
  <c r="D27" i="10"/>
  <c r="C27" i="10"/>
  <c r="D26" i="10"/>
  <c r="C26" i="10"/>
  <c r="D25" i="10"/>
  <c r="C25" i="10"/>
  <c r="D24" i="10"/>
  <c r="C24" i="10"/>
  <c r="P20" i="10"/>
  <c r="O20" i="10"/>
  <c r="N20" i="10"/>
  <c r="M20" i="10"/>
  <c r="P19" i="10"/>
  <c r="O19" i="10"/>
  <c r="N19" i="10"/>
  <c r="M19" i="10"/>
  <c r="P18" i="10"/>
  <c r="O18" i="10"/>
  <c r="N18" i="10"/>
  <c r="M18" i="10"/>
  <c r="P17" i="10"/>
  <c r="O17" i="10"/>
  <c r="N17" i="10"/>
  <c r="M17" i="10"/>
  <c r="P16" i="10"/>
  <c r="O16" i="10"/>
  <c r="N16" i="10"/>
  <c r="M16" i="10"/>
  <c r="P15" i="10"/>
  <c r="O15" i="10"/>
  <c r="N15" i="10"/>
  <c r="M15" i="10"/>
  <c r="H20" i="10"/>
  <c r="G20" i="10"/>
  <c r="F20" i="10"/>
  <c r="E20" i="10"/>
  <c r="D20" i="10"/>
  <c r="C20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H16" i="10"/>
  <c r="G16" i="10"/>
  <c r="F16" i="10"/>
  <c r="E16" i="10"/>
  <c r="D16" i="10"/>
  <c r="C16" i="10"/>
  <c r="H15" i="10"/>
  <c r="G15" i="10"/>
  <c r="F15" i="10"/>
  <c r="E15" i="10"/>
  <c r="D15" i="10"/>
  <c r="C15" i="10"/>
  <c r="C8" i="10"/>
  <c r="C7" i="10"/>
  <c r="C6" i="10"/>
  <c r="E44" i="9"/>
  <c r="C44" i="9"/>
  <c r="C40" i="9"/>
  <c r="C39" i="9"/>
  <c r="C38" i="9"/>
  <c r="D27" i="9"/>
  <c r="C27" i="9"/>
  <c r="D26" i="9"/>
  <c r="C26" i="9"/>
  <c r="F25" i="9"/>
  <c r="D25" i="9"/>
  <c r="D24" i="9"/>
  <c r="C24" i="9"/>
  <c r="F20" i="9"/>
  <c r="E20" i="9"/>
  <c r="D20" i="9"/>
  <c r="C20" i="9"/>
  <c r="F19" i="9"/>
  <c r="E19" i="9"/>
  <c r="D19" i="9"/>
  <c r="C19" i="9"/>
  <c r="F18" i="9"/>
  <c r="E18" i="9"/>
  <c r="D18" i="9"/>
  <c r="C18" i="9"/>
  <c r="F17" i="9"/>
  <c r="E17" i="9"/>
  <c r="D17" i="9"/>
  <c r="C17" i="9"/>
  <c r="F16" i="9"/>
  <c r="E16" i="9"/>
  <c r="D16" i="9"/>
  <c r="C16" i="9"/>
  <c r="F15" i="9"/>
  <c r="E15" i="9"/>
  <c r="D15" i="9"/>
  <c r="C15" i="9"/>
  <c r="C8" i="9"/>
  <c r="C7" i="9"/>
  <c r="E48" i="10" l="1"/>
  <c r="E47" i="10"/>
  <c r="E46" i="10"/>
  <c r="E45" i="10"/>
  <c r="E44" i="10"/>
  <c r="D40" i="10"/>
  <c r="E40" i="10" s="1"/>
  <c r="E39" i="10"/>
  <c r="E38" i="10"/>
  <c r="F24" i="10"/>
  <c r="M5" i="10" s="1"/>
  <c r="J20" i="10"/>
  <c r="J18" i="10"/>
  <c r="J17" i="10"/>
  <c r="J16" i="10"/>
  <c r="J15" i="10"/>
  <c r="M6" i="10"/>
  <c r="N6" i="10" s="1"/>
  <c r="E48" i="9"/>
  <c r="E47" i="9"/>
  <c r="E46" i="9"/>
  <c r="E45" i="9"/>
  <c r="D40" i="9"/>
  <c r="E40" i="9"/>
  <c r="E39" i="9"/>
  <c r="E38" i="9"/>
  <c r="D32" i="9"/>
  <c r="P27" i="9"/>
  <c r="O27" i="9"/>
  <c r="M27" i="9"/>
  <c r="F27" i="9"/>
  <c r="M8" i="9" s="1"/>
  <c r="N8" i="9" s="1"/>
  <c r="N26" i="9"/>
  <c r="F26" i="9"/>
  <c r="M7" i="9" s="1"/>
  <c r="N7" i="9" s="1"/>
  <c r="N25" i="9"/>
  <c r="C25" i="9"/>
  <c r="M25" i="9" s="1"/>
  <c r="P24" i="9"/>
  <c r="O24" i="9"/>
  <c r="N24" i="9"/>
  <c r="M24" i="9"/>
  <c r="N20" i="9"/>
  <c r="M20" i="9"/>
  <c r="D34" i="9"/>
  <c r="C34" i="9"/>
  <c r="P20" i="9"/>
  <c r="D33" i="9" s="1"/>
  <c r="J20" i="9"/>
  <c r="P19" i="9"/>
  <c r="D31" i="9" s="1"/>
  <c r="J19" i="9"/>
  <c r="H19" i="9"/>
  <c r="F32" i="9" s="1"/>
  <c r="C32" i="9"/>
  <c r="N19" i="9"/>
  <c r="O19" i="9"/>
  <c r="C31" i="9" s="1"/>
  <c r="M18" i="9"/>
  <c r="J18" i="9"/>
  <c r="H18" i="9"/>
  <c r="P18" i="9"/>
  <c r="O18" i="9"/>
  <c r="N17" i="9"/>
  <c r="H17" i="9"/>
  <c r="G17" i="9"/>
  <c r="P17" i="9"/>
  <c r="M17" i="9"/>
  <c r="M16" i="9"/>
  <c r="J16" i="9"/>
  <c r="G16" i="9"/>
  <c r="H16" i="9"/>
  <c r="P16" i="9"/>
  <c r="O16" i="9"/>
  <c r="M15" i="9"/>
  <c r="J15" i="9"/>
  <c r="H15" i="9"/>
  <c r="G15" i="9"/>
  <c r="P15" i="9"/>
  <c r="O15" i="9"/>
  <c r="N18" i="9"/>
  <c r="G18" i="9"/>
  <c r="M6" i="9"/>
  <c r="N6" i="9" s="1"/>
  <c r="C48" i="1"/>
  <c r="E48" i="1" s="1"/>
  <c r="C47" i="1"/>
  <c r="E47" i="1" s="1"/>
  <c r="C46" i="1"/>
  <c r="E46" i="1" s="1"/>
  <c r="C45" i="1"/>
  <c r="E45" i="1" s="1"/>
  <c r="C44" i="1"/>
  <c r="E44" i="1" s="1"/>
  <c r="D40" i="1"/>
  <c r="C40" i="1"/>
  <c r="C39" i="1"/>
  <c r="E39" i="1" s="1"/>
  <c r="C38" i="1"/>
  <c r="E38" i="1" s="1"/>
  <c r="D27" i="1"/>
  <c r="C27" i="1"/>
  <c r="F27" i="1" s="1"/>
  <c r="M8" i="1" s="1"/>
  <c r="D26" i="1"/>
  <c r="C26" i="1"/>
  <c r="D25" i="1"/>
  <c r="F25" i="1"/>
  <c r="C25" i="1" s="1"/>
  <c r="D24" i="1"/>
  <c r="C24" i="1"/>
  <c r="F24" i="1" s="1"/>
  <c r="M5" i="1" s="1"/>
  <c r="M11" i="10" l="1"/>
  <c r="M10" i="10"/>
  <c r="M10" i="9"/>
  <c r="N10" i="9" s="1"/>
  <c r="F26" i="10"/>
  <c r="M7" i="10" s="1"/>
  <c r="J19" i="10"/>
  <c r="M4" i="10" s="1"/>
  <c r="F27" i="10"/>
  <c r="M8" i="10" s="1"/>
  <c r="M11" i="9"/>
  <c r="N11" i="9" s="1"/>
  <c r="N15" i="9"/>
  <c r="M26" i="9"/>
  <c r="N16" i="9"/>
  <c r="M19" i="9"/>
  <c r="G20" i="9"/>
  <c r="E34" i="9" s="1"/>
  <c r="O26" i="9"/>
  <c r="O17" i="9"/>
  <c r="N27" i="9"/>
  <c r="J17" i="9"/>
  <c r="M4" i="9" s="1"/>
  <c r="N4" i="9" s="1"/>
  <c r="H20" i="9"/>
  <c r="F34" i="9" s="1"/>
  <c r="F24" i="9"/>
  <c r="M5" i="9" s="1"/>
  <c r="N5" i="9" s="1"/>
  <c r="G19" i="9"/>
  <c r="E32" i="9" s="1"/>
  <c r="O20" i="9"/>
  <c r="C33" i="9" s="1"/>
  <c r="M11" i="1"/>
  <c r="M6" i="1"/>
  <c r="E40" i="1"/>
  <c r="M10" i="1" s="1"/>
  <c r="F26" i="1"/>
  <c r="M7" i="1" s="1"/>
  <c r="F20" i="1"/>
  <c r="D34" i="1" s="1"/>
  <c r="F19" i="1"/>
  <c r="D32" i="1" s="1"/>
  <c r="F18" i="1"/>
  <c r="F17" i="1"/>
  <c r="F16" i="1"/>
  <c r="F15" i="1"/>
  <c r="E20" i="1"/>
  <c r="C34" i="1" s="1"/>
  <c r="E19" i="1"/>
  <c r="C32" i="1" s="1"/>
  <c r="E18" i="1"/>
  <c r="O26" i="1" s="1"/>
  <c r="E17" i="1"/>
  <c r="E16" i="1"/>
  <c r="E15" i="1"/>
  <c r="D20" i="1"/>
  <c r="D19" i="1"/>
  <c r="D18" i="1"/>
  <c r="D17" i="1"/>
  <c r="D16" i="1"/>
  <c r="D15" i="1"/>
  <c r="C15" i="1"/>
  <c r="C20" i="1"/>
  <c r="C19" i="1"/>
  <c r="C18" i="1"/>
  <c r="C17" i="1"/>
  <c r="C16" i="1"/>
  <c r="C8" i="1"/>
  <c r="N25" i="1" s="1"/>
  <c r="C7" i="1"/>
  <c r="N5" i="1" s="1"/>
  <c r="C3" i="9" l="1"/>
  <c r="M25" i="1"/>
  <c r="N8" i="1"/>
  <c r="N7" i="1"/>
  <c r="N10" i="1"/>
  <c r="N6" i="1"/>
  <c r="N11" i="1"/>
  <c r="M26" i="1"/>
  <c r="G16" i="1"/>
  <c r="P27" i="1"/>
  <c r="P24" i="1"/>
  <c r="O24" i="1"/>
  <c r="O27" i="1"/>
  <c r="H15" i="1"/>
  <c r="P20" i="1"/>
  <c r="D33" i="1" s="1"/>
  <c r="O20" i="1"/>
  <c r="C33" i="1" s="1"/>
  <c r="M24" i="1"/>
  <c r="H16" i="1"/>
  <c r="N27" i="1"/>
  <c r="N26" i="1"/>
  <c r="H17" i="1"/>
  <c r="N24" i="1"/>
  <c r="N15" i="1"/>
  <c r="H20" i="1"/>
  <c r="F34" i="1" s="1"/>
  <c r="H18" i="1"/>
  <c r="N19" i="1"/>
  <c r="N16" i="1"/>
  <c r="H19" i="1"/>
  <c r="F32" i="1" s="1"/>
  <c r="G17" i="1"/>
  <c r="O17" i="1"/>
  <c r="N18" i="1"/>
  <c r="G20" i="1"/>
  <c r="E34" i="1" s="1"/>
  <c r="O18" i="1"/>
  <c r="P19" i="1"/>
  <c r="D31" i="1" s="1"/>
  <c r="G15" i="1"/>
  <c r="P17" i="1"/>
  <c r="G18" i="1"/>
  <c r="O16" i="1"/>
  <c r="N17" i="1"/>
  <c r="O19" i="1"/>
  <c r="C31" i="1" s="1"/>
  <c r="G19" i="1"/>
  <c r="E32" i="1" s="1"/>
  <c r="P18" i="1"/>
  <c r="O15" i="1"/>
  <c r="P15" i="1"/>
  <c r="N20" i="1"/>
  <c r="P16" i="1"/>
  <c r="M15" i="1"/>
  <c r="M16" i="1"/>
  <c r="M17" i="1"/>
  <c r="M18" i="1"/>
  <c r="M19" i="1"/>
  <c r="M20" i="1"/>
  <c r="C4" i="9" l="1"/>
  <c r="C4" i="10" s="1"/>
  <c r="C3" i="10"/>
  <c r="M27" i="1"/>
  <c r="C6" i="1"/>
  <c r="J19" i="1"/>
  <c r="J18" i="1"/>
  <c r="J20" i="1"/>
  <c r="J16" i="1"/>
  <c r="J17" i="1"/>
  <c r="J15" i="1"/>
  <c r="M4" i="1" l="1"/>
  <c r="N4" i="1" s="1"/>
  <c r="C3" i="1"/>
  <c r="C4" i="1" s="1"/>
</calcChain>
</file>

<file path=xl/sharedStrings.xml><?xml version="1.0" encoding="utf-8"?>
<sst xmlns="http://schemas.openxmlformats.org/spreadsheetml/2006/main" count="488" uniqueCount="146">
  <si>
    <t xml:space="preserve">Toll and Auto Operating Cost </t>
  </si>
  <si>
    <t>Total</t>
  </si>
  <si>
    <t>Low Income Total</t>
  </si>
  <si>
    <t>Injury Collisions</t>
  </si>
  <si>
    <t>Property Damage Collisions</t>
  </si>
  <si>
    <t>Fatality Collisions</t>
  </si>
  <si>
    <t>CO2 Tons</t>
  </si>
  <si>
    <t>CO Tons</t>
  </si>
  <si>
    <t>NO Tons</t>
  </si>
  <si>
    <t>PM Tons</t>
  </si>
  <si>
    <t>VOC Tons</t>
  </si>
  <si>
    <t>Total Number of Walkers</t>
  </si>
  <si>
    <t>Average Biking Time per Biker</t>
  </si>
  <si>
    <t>Total Number of Bikers</t>
  </si>
  <si>
    <t>Parking Costs</t>
  </si>
  <si>
    <t>Regional Population</t>
  </si>
  <si>
    <t>Cost Equivalent</t>
  </si>
  <si>
    <t>Assumed Valuation</t>
  </si>
  <si>
    <t>Active Transport Measures</t>
  </si>
  <si>
    <t>Truck Costs</t>
  </si>
  <si>
    <t>Safety Measures</t>
  </si>
  <si>
    <t>Baseline Metrics</t>
  </si>
  <si>
    <t>Autos Owned</t>
  </si>
  <si>
    <t>Value</t>
  </si>
  <si>
    <t>Auto Ownership Costs</t>
  </si>
  <si>
    <t>Measure</t>
  </si>
  <si>
    <t>Average Time Biked per Biker</t>
  </si>
  <si>
    <t>Average Time Walked per Walker</t>
  </si>
  <si>
    <t>Car</t>
  </si>
  <si>
    <t>Heavy Truck</t>
  </si>
  <si>
    <t>Light Truck</t>
  </si>
  <si>
    <t>Medium Truck</t>
  </si>
  <si>
    <t>Carbon Dioxide</t>
  </si>
  <si>
    <t>Carbon Monoxide</t>
  </si>
  <si>
    <t>Nitrogen Oxide</t>
  </si>
  <si>
    <t>Particulate Matter</t>
  </si>
  <si>
    <t>Volatile Organic Compound</t>
  </si>
  <si>
    <t>Car VMT</t>
  </si>
  <si>
    <t>Truck VMT</t>
  </si>
  <si>
    <t>Functional Class</t>
  </si>
  <si>
    <t>Property Damage Rate</t>
  </si>
  <si>
    <t>Injury Rate</t>
  </si>
  <si>
    <t>Fatality Rate</t>
  </si>
  <si>
    <t>VMT</t>
  </si>
  <si>
    <t>Property Damage Total</t>
  </si>
  <si>
    <t>Injury Total</t>
  </si>
  <si>
    <t>Fatality Total</t>
  </si>
  <si>
    <t>Property Damage Cost</t>
  </si>
  <si>
    <t>Injury Cost</t>
  </si>
  <si>
    <t>Fatality Cost</t>
  </si>
  <si>
    <t>per Low Income Person</t>
  </si>
  <si>
    <t>Average Walking Time per Walker (minutes)</t>
  </si>
  <si>
    <t>Travel Time</t>
  </si>
  <si>
    <t xml:space="preserve"> Household Low-Income Time</t>
  </si>
  <si>
    <t>Total Household Costs</t>
  </si>
  <si>
    <t>Total Household Time Impedances</t>
  </si>
  <si>
    <t>Total Low Income Household Costs</t>
  </si>
  <si>
    <t>mode</t>
  </si>
  <si>
    <t>Bike</t>
  </si>
  <si>
    <t>HOV2</t>
  </si>
  <si>
    <t>HOV3+</t>
  </si>
  <si>
    <t>SOV</t>
  </si>
  <si>
    <t>School Bus</t>
  </si>
  <si>
    <t>Transit</t>
  </si>
  <si>
    <t>Walk</t>
  </si>
  <si>
    <t>Auto Ownership Costs Low Income</t>
  </si>
  <si>
    <t>Parking Costs Low Income</t>
  </si>
  <si>
    <t>minutes per hour</t>
  </si>
  <si>
    <t>Low Income Population</t>
  </si>
  <si>
    <t>Transit Costs</t>
  </si>
  <si>
    <t>per Mode User</t>
  </si>
  <si>
    <t>per Low Income Mode User</t>
  </si>
  <si>
    <t>Air Quality Measures</t>
  </si>
  <si>
    <t>% of Population</t>
  </si>
  <si>
    <t>% of Low Income Population</t>
  </si>
  <si>
    <t>Number of Mode Users</t>
  </si>
  <si>
    <t>Low Income People</t>
  </si>
  <si>
    <t>Total People</t>
  </si>
  <si>
    <t>Users</t>
  </si>
  <si>
    <t>Average Time Biked per Low Income Biker</t>
  </si>
  <si>
    <t>Average Time Walked per Low Income Walker</t>
  </si>
  <si>
    <t>Total Number of Low INcome Bikers</t>
  </si>
  <si>
    <t>Total Number of Low Income Walkers</t>
  </si>
  <si>
    <t>Number of Low Income Mode Users</t>
  </si>
  <si>
    <t>BCAT</t>
  </si>
  <si>
    <t>Benefit-Cost Analysis Tool</t>
  </si>
  <si>
    <t>Already $</t>
  </si>
  <si>
    <t>Transit Fares</t>
  </si>
  <si>
    <t>Total Time Traveling per Person</t>
  </si>
  <si>
    <r>
      <t>Household</t>
    </r>
    <r>
      <rPr>
        <b/>
        <sz val="10"/>
        <color rgb="FFFF0000"/>
        <rFont val="Cambria"/>
        <family val="1"/>
      </rPr>
      <t xml:space="preserve"> Time</t>
    </r>
    <r>
      <rPr>
        <b/>
        <sz val="10"/>
        <color theme="1"/>
        <rFont val="Cambria"/>
        <family val="1"/>
      </rPr>
      <t xml:space="preserve"> Measures</t>
    </r>
  </si>
  <si>
    <r>
      <t xml:space="preserve">Household </t>
    </r>
    <r>
      <rPr>
        <b/>
        <sz val="10"/>
        <color rgb="FFFF0000"/>
        <rFont val="Cambria"/>
        <family val="1"/>
      </rPr>
      <t xml:space="preserve">Time </t>
    </r>
    <r>
      <rPr>
        <b/>
        <sz val="10"/>
        <color theme="1"/>
        <rFont val="Cambria"/>
        <family val="1"/>
      </rPr>
      <t>Measures</t>
    </r>
  </si>
  <si>
    <r>
      <t xml:space="preserve">Household </t>
    </r>
    <r>
      <rPr>
        <b/>
        <sz val="10"/>
        <color rgb="FFFF0000"/>
        <rFont val="Cambria"/>
        <family val="1"/>
      </rPr>
      <t xml:space="preserve">Cost </t>
    </r>
    <r>
      <rPr>
        <b/>
        <sz val="10"/>
        <color theme="1"/>
        <rFont val="Cambria"/>
        <family val="1"/>
      </rPr>
      <t>Measures</t>
    </r>
  </si>
  <si>
    <t xml:space="preserve">per Person </t>
  </si>
  <si>
    <t>Baseline Sum of Cost per Person</t>
  </si>
  <si>
    <t>Percent of Population Using Mode</t>
  </si>
  <si>
    <t>Percent of Low Income Population Using Mode</t>
  </si>
  <si>
    <t>Costs by Type</t>
  </si>
  <si>
    <t>Parking</t>
  </si>
  <si>
    <t>Health</t>
  </si>
  <si>
    <t>Auto Operating and Tolls</t>
  </si>
  <si>
    <t>Safety</t>
  </si>
  <si>
    <t>Air Quality</t>
  </si>
  <si>
    <t>Total Value</t>
  </si>
  <si>
    <t>Value per Person</t>
  </si>
  <si>
    <t>Auto Ownership</t>
  </si>
  <si>
    <t>Baseline Daily Sum of Costs</t>
  </si>
  <si>
    <t>minutes</t>
  </si>
  <si>
    <t>Table 1. Overall Values</t>
  </si>
  <si>
    <t xml:space="preserve"> Table 3. Total Time Spent by Mode</t>
  </si>
  <si>
    <t xml:space="preserve"> Table 2. Total Costs by Type</t>
  </si>
  <si>
    <t xml:space="preserve"> Table 4. Time Spent by Mode per Person</t>
  </si>
  <si>
    <t xml:space="preserve"> Table 5. Total Out of Pocket Costs</t>
  </si>
  <si>
    <t xml:space="preserve"> Table 6. Out of Pocket Costs per Person</t>
  </si>
  <si>
    <t xml:space="preserve"> Table 7. Active Transport Measures</t>
  </si>
  <si>
    <t xml:space="preserve"> Table 8. Safety Measures</t>
  </si>
  <si>
    <t>Table  10. Commercial Costs</t>
  </si>
  <si>
    <t xml:space="preserve"> Table 9. Air Quality Measures</t>
  </si>
  <si>
    <t>Total Hours</t>
  </si>
  <si>
    <t>Low Income Total Hours</t>
  </si>
  <si>
    <t>minutes per Person</t>
  </si>
  <si>
    <t>minutes per Low Income Person</t>
  </si>
  <si>
    <t>minutes per Mode User</t>
  </si>
  <si>
    <t>minutes per Low Income Mode User</t>
  </si>
  <si>
    <t>Scenario Metrics</t>
  </si>
  <si>
    <t>Scenario Daily Sum of Costs</t>
  </si>
  <si>
    <t>Scenario Sum of Cost per Person</t>
  </si>
  <si>
    <t>Description</t>
  </si>
  <si>
    <t>Only Used As a Difference</t>
  </si>
  <si>
    <t>2010 Baseline</t>
  </si>
  <si>
    <r>
      <t xml:space="preserve">Difference Charts: Scenario - Baseline                        </t>
    </r>
    <r>
      <rPr>
        <b/>
        <sz val="12"/>
        <color rgb="FFFF0000"/>
        <rFont val="Cambria"/>
        <family val="1"/>
      </rPr>
      <t>(Positive numbers mean the scenario has more than the baseline.)</t>
    </r>
  </si>
  <si>
    <r>
      <t xml:space="preserve">Difference in Values: Scenario - Baseline                        </t>
    </r>
    <r>
      <rPr>
        <b/>
        <sz val="12"/>
        <color rgb="FFFF0000"/>
        <rFont val="Cambria"/>
        <family val="1"/>
      </rPr>
      <t>(Positive numbers mean the scenario has more than the baseline.)</t>
    </r>
  </si>
  <si>
    <t>Baseline Charts</t>
  </si>
  <si>
    <t>2010 Autonomous Vehicles : High Cost of Travel ($1.65 per mile)</t>
  </si>
  <si>
    <t>Household Cost Measures</t>
  </si>
  <si>
    <r>
      <t xml:space="preserve">Household </t>
    </r>
    <r>
      <rPr>
        <b/>
        <sz val="10"/>
        <color rgb="FFFF0000"/>
        <rFont val="Cambria"/>
        <family val="1"/>
      </rPr>
      <t>Cost</t>
    </r>
    <r>
      <rPr>
        <b/>
        <sz val="10"/>
        <color theme="1"/>
        <rFont val="Cambria"/>
        <family val="1"/>
      </rPr>
      <t xml:space="preserve"> Measures</t>
    </r>
  </si>
  <si>
    <t>Health Economic Assessment Tool</t>
  </si>
  <si>
    <t>http://www.heatwalkingcycling.org/</t>
  </si>
  <si>
    <t>Walking</t>
  </si>
  <si>
    <t>Cycling</t>
  </si>
  <si>
    <t>Annual Deaths Prevented</t>
  </si>
  <si>
    <t>Value of Deaths prevented</t>
  </si>
  <si>
    <t>Average Daily Deaths Prevented</t>
  </si>
  <si>
    <t>Daily Factor</t>
  </si>
  <si>
    <t>Health Benefits</t>
  </si>
  <si>
    <t>Sum</t>
  </si>
  <si>
    <t>Instructions: Run the HEAT on the baseline and the scenario for walking and biking.  Then enter the  values resulting from heat in the cells in the table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</si>
</sst>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"/>
    <numFmt numFmtId="167" formatCode="_(&quot;$&quot;* #,##0.0_);_(&quot;$&quot;* \(#,##0.0\);_(&quot;$&quot;* &quot;-&quot;??_);_(@_)"/>
    <numFmt numFmtId="168" formatCode="&quot;$&quot;#,##0"/>
    <numFmt numFmtId="169" formatCode="_([$$-409]* #,##0.00_);_([$$-409]* \(#,##0.00\);_([$$-409]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sz val="10"/>
      <color theme="1"/>
      <name val="Calibri"/>
      <family val="2"/>
      <scheme val="minor"/>
    </font>
    <font>
      <b/>
      <sz val="10"/>
      <color rgb="FFFF0000"/>
      <name val="Cambria"/>
      <family val="1"/>
    </font>
    <font>
      <b/>
      <sz val="10"/>
      <color theme="1"/>
      <name val="Calibri"/>
      <family val="2"/>
      <scheme val="minor"/>
    </font>
    <font>
      <sz val="11"/>
      <color rgb="FFFF0000"/>
      <name val="Cambria"/>
      <family val="1"/>
    </font>
    <font>
      <sz val="10"/>
      <color rgb="FFFF0000"/>
      <name val="Cambria"/>
      <family val="1"/>
    </font>
    <font>
      <sz val="14"/>
      <color theme="1"/>
      <name val="Cambria"/>
      <family val="1"/>
    </font>
    <font>
      <sz val="14"/>
      <color rgb="FFFF0000"/>
      <name val="Cambria"/>
      <family val="1"/>
    </font>
    <font>
      <b/>
      <sz val="20"/>
      <color rgb="FFFF0000"/>
      <name val="Cambria"/>
      <family val="1"/>
    </font>
    <font>
      <b/>
      <i/>
      <sz val="10"/>
      <color theme="1"/>
      <name val="Cambria"/>
      <family val="1"/>
    </font>
    <font>
      <b/>
      <sz val="12"/>
      <color rgb="FFFF0000"/>
      <name val="Cambria"/>
      <family val="1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/>
    <xf numFmtId="0" fontId="4" fillId="0" borderId="8" xfId="0" applyFont="1" applyBorder="1" applyAlignment="1">
      <alignment horizontal="center" vertical="top"/>
    </xf>
    <xf numFmtId="0" fontId="6" fillId="2" borderId="0" xfId="0" applyFont="1" applyFill="1" applyBorder="1"/>
    <xf numFmtId="0" fontId="14" fillId="2" borderId="4" xfId="0" applyFont="1" applyFill="1" applyBorder="1" applyAlignment="1"/>
    <xf numFmtId="0" fontId="13" fillId="2" borderId="5" xfId="0" applyFont="1" applyFill="1" applyBorder="1" applyAlignment="1">
      <alignment wrapText="1"/>
    </xf>
    <xf numFmtId="0" fontId="12" fillId="2" borderId="5" xfId="0" applyFont="1" applyFill="1" applyBorder="1" applyAlignment="1">
      <alignment wrapText="1"/>
    </xf>
    <xf numFmtId="0" fontId="12" fillId="2" borderId="5" xfId="0" applyFont="1" applyFill="1" applyBorder="1"/>
    <xf numFmtId="0" fontId="0" fillId="2" borderId="0" xfId="0" applyFill="1" applyAlignment="1">
      <alignment wrapText="1"/>
    </xf>
    <xf numFmtId="0" fontId="4" fillId="2" borderId="0" xfId="0" applyFont="1" applyFill="1" applyAlignment="1">
      <alignment wrapText="1"/>
    </xf>
    <xf numFmtId="0" fontId="1" fillId="2" borderId="0" xfId="0" applyFont="1" applyFill="1"/>
    <xf numFmtId="0" fontId="6" fillId="2" borderId="17" xfId="0" applyFont="1" applyFill="1" applyBorder="1" applyAlignment="1">
      <alignment wrapText="1"/>
    </xf>
    <xf numFmtId="168" fontId="6" fillId="2" borderId="18" xfId="2" applyNumberFormat="1" applyFont="1" applyFill="1" applyBorder="1" applyAlignment="1">
      <alignment wrapText="1"/>
    </xf>
    <xf numFmtId="165" fontId="6" fillId="2" borderId="19" xfId="0" applyNumberFormat="1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0" fillId="2" borderId="0" xfId="0" applyFill="1"/>
    <xf numFmtId="0" fontId="10" fillId="2" borderId="0" xfId="0" applyFont="1" applyFill="1"/>
    <xf numFmtId="0" fontId="6" fillId="2" borderId="8" xfId="0" applyFont="1" applyFill="1" applyBorder="1"/>
    <xf numFmtId="0" fontId="9" fillId="2" borderId="9" xfId="0" applyFont="1" applyFill="1" applyBorder="1"/>
    <xf numFmtId="0" fontId="6" fillId="2" borderId="10" xfId="0" applyFont="1" applyFill="1" applyBorder="1"/>
    <xf numFmtId="0" fontId="6" fillId="2" borderId="20" xfId="0" applyFont="1" applyFill="1" applyBorder="1" applyAlignment="1">
      <alignment wrapText="1"/>
    </xf>
    <xf numFmtId="168" fontId="6" fillId="2" borderId="0" xfId="2" applyNumberFormat="1" applyFont="1" applyFill="1" applyBorder="1" applyAlignment="1">
      <alignment wrapText="1"/>
    </xf>
    <xf numFmtId="165" fontId="6" fillId="2" borderId="21" xfId="0" applyNumberFormat="1" applyFont="1" applyFill="1" applyBorder="1" applyAlignment="1">
      <alignment wrapText="1"/>
    </xf>
    <xf numFmtId="0" fontId="5" fillId="2" borderId="11" xfId="0" applyFont="1" applyFill="1" applyBorder="1"/>
    <xf numFmtId="165" fontId="7" fillId="2" borderId="0" xfId="0" applyNumberFormat="1" applyFont="1" applyFill="1" applyBorder="1"/>
    <xf numFmtId="44" fontId="5" fillId="2" borderId="1" xfId="0" applyNumberFormat="1" applyFont="1" applyFill="1" applyBorder="1"/>
    <xf numFmtId="0" fontId="5" fillId="2" borderId="0" xfId="0" applyFont="1" applyFill="1" applyBorder="1"/>
    <xf numFmtId="0" fontId="5" fillId="2" borderId="21" xfId="0" applyFont="1" applyFill="1" applyBorder="1"/>
    <xf numFmtId="0" fontId="5" fillId="2" borderId="0" xfId="0" applyFont="1" applyFill="1"/>
    <xf numFmtId="0" fontId="8" fillId="2" borderId="0" xfId="0" applyFont="1" applyFill="1" applyBorder="1" applyAlignment="1">
      <alignment wrapText="1"/>
    </xf>
    <xf numFmtId="164" fontId="5" fillId="2" borderId="0" xfId="0" applyNumberFormat="1" applyFont="1" applyFill="1" applyBorder="1" applyAlignment="1">
      <alignment wrapText="1"/>
    </xf>
    <xf numFmtId="0" fontId="7" fillId="2" borderId="21" xfId="0" applyFont="1" applyFill="1" applyBorder="1"/>
    <xf numFmtId="164" fontId="7" fillId="2" borderId="0" xfId="1" applyNumberFormat="1" applyFont="1" applyFill="1" applyBorder="1"/>
    <xf numFmtId="0" fontId="1" fillId="2" borderId="0" xfId="0" applyFont="1" applyFill="1" applyBorder="1"/>
    <xf numFmtId="0" fontId="6" fillId="2" borderId="22" xfId="0" applyFont="1" applyFill="1" applyBorder="1" applyAlignment="1">
      <alignment wrapText="1"/>
    </xf>
    <xf numFmtId="164" fontId="7" fillId="2" borderId="23" xfId="1" applyNumberFormat="1" applyFont="1" applyFill="1" applyBorder="1"/>
    <xf numFmtId="0" fontId="7" fillId="2" borderId="24" xfId="0" applyFont="1" applyFill="1" applyBorder="1"/>
    <xf numFmtId="0" fontId="7" fillId="2" borderId="0" xfId="0" applyFont="1" applyFill="1" applyBorder="1"/>
    <xf numFmtId="0" fontId="5" fillId="2" borderId="12" xfId="0" applyFont="1" applyFill="1" applyBorder="1"/>
    <xf numFmtId="165" fontId="7" fillId="2" borderId="6" xfId="0" applyNumberFormat="1" applyFont="1" applyFill="1" applyBorder="1"/>
    <xf numFmtId="44" fontId="5" fillId="2" borderId="7" xfId="0" applyNumberFormat="1" applyFont="1" applyFill="1" applyBorder="1"/>
    <xf numFmtId="44" fontId="5" fillId="2" borderId="0" xfId="0" applyNumberFormat="1" applyFont="1" applyFill="1" applyBorder="1"/>
    <xf numFmtId="0" fontId="6" fillId="2" borderId="8" xfId="0" applyFont="1" applyFill="1" applyBorder="1" applyAlignment="1">
      <alignment wrapText="1"/>
    </xf>
    <xf numFmtId="0" fontId="5" fillId="2" borderId="25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5" fillId="2" borderId="10" xfId="0" applyFont="1" applyFill="1" applyBorder="1" applyAlignment="1">
      <alignment wrapText="1"/>
    </xf>
    <xf numFmtId="0" fontId="8" fillId="2" borderId="11" xfId="0" applyFont="1" applyFill="1" applyBorder="1" applyAlignment="1">
      <alignment wrapText="1"/>
    </xf>
    <xf numFmtId="0" fontId="5" fillId="2" borderId="14" xfId="0" applyFont="1" applyFill="1" applyBorder="1" applyAlignment="1">
      <alignment wrapText="1"/>
    </xf>
    <xf numFmtId="164" fontId="5" fillId="2" borderId="25" xfId="1" applyNumberFormat="1" applyFont="1" applyFill="1" applyBorder="1" applyAlignment="1">
      <alignment wrapText="1"/>
    </xf>
    <xf numFmtId="164" fontId="5" fillId="2" borderId="2" xfId="1" applyNumberFormat="1" applyFont="1" applyFill="1" applyBorder="1" applyAlignment="1">
      <alignment wrapText="1"/>
    </xf>
    <xf numFmtId="9" fontId="5" fillId="2" borderId="2" xfId="3" applyFont="1" applyFill="1" applyBorder="1" applyAlignment="1">
      <alignment wrapText="1"/>
    </xf>
    <xf numFmtId="6" fontId="5" fillId="2" borderId="2" xfId="0" applyNumberFormat="1" applyFont="1" applyFill="1" applyBorder="1" applyAlignment="1">
      <alignment wrapText="1"/>
    </xf>
    <xf numFmtId="165" fontId="5" fillId="2" borderId="3" xfId="2" applyNumberFormat="1" applyFont="1" applyFill="1" applyBorder="1" applyAlignment="1">
      <alignment wrapText="1"/>
    </xf>
    <xf numFmtId="0" fontId="11" fillId="2" borderId="0" xfId="0" applyFont="1" applyFill="1"/>
    <xf numFmtId="0" fontId="5" fillId="2" borderId="11" xfId="0" applyFont="1" applyFill="1" applyBorder="1" applyAlignment="1">
      <alignment wrapText="1"/>
    </xf>
    <xf numFmtId="164" fontId="5" fillId="2" borderId="25" xfId="0" applyNumberFormat="1" applyFont="1" applyFill="1" applyBorder="1" applyAlignment="1">
      <alignment wrapText="1"/>
    </xf>
    <xf numFmtId="164" fontId="5" fillId="2" borderId="2" xfId="0" applyNumberFormat="1" applyFont="1" applyFill="1" applyBorder="1" applyAlignment="1">
      <alignment wrapText="1"/>
    </xf>
    <xf numFmtId="1" fontId="5" fillId="2" borderId="2" xfId="0" applyNumberFormat="1" applyFont="1" applyFill="1" applyBorder="1" applyAlignment="1">
      <alignment wrapText="1"/>
    </xf>
    <xf numFmtId="1" fontId="5" fillId="2" borderId="3" xfId="0" applyNumberFormat="1" applyFont="1" applyFill="1" applyBorder="1" applyAlignment="1">
      <alignment wrapText="1"/>
    </xf>
    <xf numFmtId="164" fontId="5" fillId="2" borderId="14" xfId="1" applyNumberFormat="1" applyFont="1" applyFill="1" applyBorder="1" applyAlignment="1">
      <alignment wrapText="1"/>
    </xf>
    <xf numFmtId="164" fontId="5" fillId="2" borderId="0" xfId="1" applyNumberFormat="1" applyFont="1" applyFill="1" applyBorder="1" applyAlignment="1">
      <alignment wrapText="1"/>
    </xf>
    <xf numFmtId="9" fontId="5" fillId="2" borderId="0" xfId="3" applyFont="1" applyFill="1" applyBorder="1" applyAlignment="1">
      <alignment wrapText="1"/>
    </xf>
    <xf numFmtId="6" fontId="5" fillId="2" borderId="0" xfId="0" applyNumberFormat="1" applyFont="1" applyFill="1" applyBorder="1" applyAlignment="1">
      <alignment wrapText="1"/>
    </xf>
    <xf numFmtId="165" fontId="5" fillId="2" borderId="1" xfId="2" applyNumberFormat="1" applyFont="1" applyFill="1" applyBorder="1" applyAlignment="1">
      <alignment wrapText="1"/>
    </xf>
    <xf numFmtId="164" fontId="5" fillId="2" borderId="14" xfId="0" applyNumberFormat="1" applyFont="1" applyFill="1" applyBorder="1" applyAlignment="1">
      <alignment wrapText="1"/>
    </xf>
    <xf numFmtId="1" fontId="5" fillId="2" borderId="0" xfId="0" applyNumberFormat="1" applyFont="1" applyFill="1" applyBorder="1" applyAlignment="1">
      <alignment wrapText="1"/>
    </xf>
    <xf numFmtId="1" fontId="5" fillId="2" borderId="1" xfId="0" applyNumberFormat="1" applyFont="1" applyFill="1" applyBorder="1" applyAlignment="1">
      <alignment wrapText="1"/>
    </xf>
    <xf numFmtId="0" fontId="5" fillId="2" borderId="15" xfId="0" applyFont="1" applyFill="1" applyBorder="1" applyAlignment="1">
      <alignment wrapText="1"/>
    </xf>
    <xf numFmtId="164" fontId="5" fillId="2" borderId="15" xfId="1" applyNumberFormat="1" applyFont="1" applyFill="1" applyBorder="1" applyAlignment="1">
      <alignment wrapText="1"/>
    </xf>
    <xf numFmtId="164" fontId="5" fillId="2" borderId="6" xfId="1" applyNumberFormat="1" applyFont="1" applyFill="1" applyBorder="1" applyAlignment="1">
      <alignment wrapText="1"/>
    </xf>
    <xf numFmtId="9" fontId="5" fillId="2" borderId="6" xfId="3" applyFont="1" applyFill="1" applyBorder="1" applyAlignment="1">
      <alignment wrapText="1"/>
    </xf>
    <xf numFmtId="6" fontId="5" fillId="2" borderId="6" xfId="0" applyNumberFormat="1" applyFont="1" applyFill="1" applyBorder="1" applyAlignment="1">
      <alignment wrapText="1"/>
    </xf>
    <xf numFmtId="165" fontId="5" fillId="2" borderId="7" xfId="2" applyNumberFormat="1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164" fontId="5" fillId="2" borderId="15" xfId="0" applyNumberFormat="1" applyFont="1" applyFill="1" applyBorder="1" applyAlignment="1">
      <alignment wrapText="1"/>
    </xf>
    <xf numFmtId="164" fontId="5" fillId="2" borderId="6" xfId="0" applyNumberFormat="1" applyFont="1" applyFill="1" applyBorder="1" applyAlignment="1">
      <alignment wrapText="1"/>
    </xf>
    <xf numFmtId="1" fontId="5" fillId="2" borderId="6" xfId="0" applyNumberFormat="1" applyFont="1" applyFill="1" applyBorder="1" applyAlignment="1">
      <alignment wrapText="1"/>
    </xf>
    <xf numFmtId="1" fontId="5" fillId="2" borderId="7" xfId="0" applyNumberFormat="1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165" fontId="5" fillId="2" borderId="0" xfId="2" applyNumberFormat="1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6" fillId="2" borderId="13" xfId="0" applyFont="1" applyFill="1" applyBorder="1" applyAlignment="1">
      <alignment wrapText="1"/>
    </xf>
    <xf numFmtId="0" fontId="5" fillId="2" borderId="13" xfId="0" applyFont="1" applyFill="1" applyBorder="1" applyAlignment="1">
      <alignment wrapText="1"/>
    </xf>
    <xf numFmtId="165" fontId="5" fillId="2" borderId="25" xfId="2" applyNumberFormat="1" applyFont="1" applyFill="1" applyBorder="1" applyAlignment="1">
      <alignment wrapText="1"/>
    </xf>
    <xf numFmtId="165" fontId="5" fillId="2" borderId="2" xfId="2" applyNumberFormat="1" applyFont="1" applyFill="1" applyBorder="1" applyAlignment="1">
      <alignment wrapText="1"/>
    </xf>
    <xf numFmtId="169" fontId="5" fillId="2" borderId="0" xfId="0" applyNumberFormat="1" applyFont="1" applyFill="1" applyAlignment="1">
      <alignment wrapText="1"/>
    </xf>
    <xf numFmtId="44" fontId="5" fillId="2" borderId="25" xfId="0" applyNumberFormat="1" applyFont="1" applyFill="1" applyBorder="1"/>
    <xf numFmtId="44" fontId="5" fillId="2" borderId="2" xfId="0" applyNumberFormat="1" applyFont="1" applyFill="1" applyBorder="1"/>
    <xf numFmtId="44" fontId="5" fillId="2" borderId="2" xfId="2" applyFont="1" applyFill="1" applyBorder="1"/>
    <xf numFmtId="44" fontId="5" fillId="2" borderId="3" xfId="2" applyFont="1" applyFill="1" applyBorder="1"/>
    <xf numFmtId="5" fontId="5" fillId="2" borderId="1" xfId="2" applyNumberFormat="1" applyFont="1" applyFill="1" applyBorder="1" applyAlignment="1">
      <alignment wrapText="1"/>
    </xf>
    <xf numFmtId="166" fontId="5" fillId="2" borderId="14" xfId="0" applyNumberFormat="1" applyFont="1" applyFill="1" applyBorder="1"/>
    <xf numFmtId="166" fontId="5" fillId="2" borderId="0" xfId="0" applyNumberFormat="1" applyFont="1" applyFill="1" applyBorder="1"/>
    <xf numFmtId="0" fontId="5" fillId="2" borderId="1" xfId="0" applyFont="1" applyFill="1" applyBorder="1"/>
    <xf numFmtId="165" fontId="5" fillId="2" borderId="14" xfId="2" applyNumberFormat="1" applyFont="1" applyFill="1" applyBorder="1" applyAlignment="1">
      <alignment wrapText="1"/>
    </xf>
    <xf numFmtId="44" fontId="5" fillId="2" borderId="14" xfId="0" applyNumberFormat="1" applyFont="1" applyFill="1" applyBorder="1"/>
    <xf numFmtId="167" fontId="5" fillId="2" borderId="0" xfId="2" applyNumberFormat="1" applyFont="1" applyFill="1" applyBorder="1"/>
    <xf numFmtId="168" fontId="5" fillId="2" borderId="15" xfId="2" applyNumberFormat="1" applyFont="1" applyFill="1" applyBorder="1" applyAlignment="1">
      <alignment wrapText="1"/>
    </xf>
    <xf numFmtId="165" fontId="5" fillId="2" borderId="6" xfId="2" applyNumberFormat="1" applyFont="1" applyFill="1" applyBorder="1" applyAlignment="1">
      <alignment wrapText="1"/>
    </xf>
    <xf numFmtId="44" fontId="5" fillId="2" borderId="15" xfId="0" applyNumberFormat="1" applyFont="1" applyFill="1" applyBorder="1"/>
    <xf numFmtId="44" fontId="5" fillId="2" borderId="6" xfId="0" applyNumberFormat="1" applyFont="1" applyFill="1" applyBorder="1"/>
    <xf numFmtId="44" fontId="5" fillId="2" borderId="6" xfId="2" applyFont="1" applyFill="1" applyBorder="1"/>
    <xf numFmtId="44" fontId="5" fillId="2" borderId="7" xfId="2" applyFont="1" applyFill="1" applyBorder="1"/>
    <xf numFmtId="166" fontId="5" fillId="2" borderId="0" xfId="0" applyNumberFormat="1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9" fontId="5" fillId="2" borderId="0" xfId="0" applyNumberFormat="1" applyFont="1" applyFill="1" applyBorder="1" applyAlignment="1">
      <alignment wrapText="1"/>
    </xf>
    <xf numFmtId="9" fontId="5" fillId="2" borderId="1" xfId="0" applyNumberFormat="1" applyFont="1" applyFill="1" applyBorder="1" applyAlignment="1">
      <alignment wrapText="1"/>
    </xf>
    <xf numFmtId="9" fontId="5" fillId="2" borderId="6" xfId="0" applyNumberFormat="1" applyFont="1" applyFill="1" applyBorder="1" applyAlignment="1">
      <alignment wrapText="1"/>
    </xf>
    <xf numFmtId="9" fontId="5" fillId="2" borderId="7" xfId="0" applyNumberFormat="1" applyFont="1" applyFill="1" applyBorder="1" applyAlignment="1">
      <alignment wrapText="1"/>
    </xf>
    <xf numFmtId="166" fontId="5" fillId="2" borderId="6" xfId="0" applyNumberFormat="1" applyFont="1" applyFill="1" applyBorder="1" applyAlignment="1">
      <alignment wrapText="1"/>
    </xf>
    <xf numFmtId="0" fontId="6" fillId="2" borderId="16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168" fontId="5" fillId="2" borderId="0" xfId="0" applyNumberFormat="1" applyFont="1" applyFill="1" applyBorder="1" applyAlignment="1">
      <alignment wrapText="1"/>
    </xf>
    <xf numFmtId="168" fontId="5" fillId="2" borderId="6" xfId="0" applyNumberFormat="1" applyFont="1" applyFill="1" applyBorder="1" applyAlignment="1">
      <alignment wrapText="1"/>
    </xf>
    <xf numFmtId="0" fontId="2" fillId="2" borderId="0" xfId="0" applyFont="1" applyFill="1"/>
    <xf numFmtId="0" fontId="6" fillId="2" borderId="0" xfId="0" applyFont="1" applyFill="1"/>
    <xf numFmtId="0" fontId="5" fillId="2" borderId="6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6" fillId="2" borderId="25" xfId="0" applyFont="1" applyFill="1" applyBorder="1"/>
    <xf numFmtId="0" fontId="9" fillId="2" borderId="2" xfId="0" applyFont="1" applyFill="1" applyBorder="1"/>
    <xf numFmtId="0" fontId="6" fillId="2" borderId="3" xfId="0" applyFont="1" applyFill="1" applyBorder="1"/>
    <xf numFmtId="0" fontId="5" fillId="2" borderId="14" xfId="0" applyFont="1" applyFill="1" applyBorder="1"/>
    <xf numFmtId="0" fontId="7" fillId="2" borderId="23" xfId="0" applyFont="1" applyFill="1" applyBorder="1"/>
    <xf numFmtId="0" fontId="5" fillId="2" borderId="15" xfId="0" applyFont="1" applyFill="1" applyBorder="1"/>
    <xf numFmtId="0" fontId="15" fillId="2" borderId="0" xfId="0" applyFont="1" applyFill="1" applyBorder="1"/>
    <xf numFmtId="1" fontId="5" fillId="2" borderId="0" xfId="2" applyNumberFormat="1" applyFont="1" applyFill="1" applyBorder="1" applyAlignment="1">
      <alignment wrapText="1"/>
    </xf>
    <xf numFmtId="1" fontId="5" fillId="2" borderId="23" xfId="2" applyNumberFormat="1" applyFont="1" applyFill="1" applyBorder="1" applyAlignment="1">
      <alignment wrapText="1"/>
    </xf>
    <xf numFmtId="1" fontId="5" fillId="2" borderId="15" xfId="0" applyNumberFormat="1" applyFont="1" applyFill="1" applyBorder="1" applyAlignment="1">
      <alignment wrapText="1"/>
    </xf>
    <xf numFmtId="0" fontId="17" fillId="2" borderId="0" xfId="0" applyFont="1" applyFill="1"/>
    <xf numFmtId="43" fontId="0" fillId="2" borderId="0" xfId="0" applyNumberFormat="1" applyFill="1" applyBorder="1"/>
    <xf numFmtId="43" fontId="0" fillId="2" borderId="1" xfId="0" applyNumberFormat="1" applyFill="1" applyBorder="1"/>
    <xf numFmtId="164" fontId="0" fillId="2" borderId="1" xfId="0" applyNumberFormat="1" applyFill="1" applyBorder="1"/>
    <xf numFmtId="165" fontId="0" fillId="2" borderId="1" xfId="2" applyNumberFormat="1" applyFont="1" applyFill="1" applyBorder="1"/>
    <xf numFmtId="165" fontId="0" fillId="2" borderId="6" xfId="2" applyNumberFormat="1" applyFont="1" applyFill="1" applyBorder="1"/>
    <xf numFmtId="165" fontId="0" fillId="2" borderId="7" xfId="2" applyNumberFormat="1" applyFont="1" applyFill="1" applyBorder="1"/>
    <xf numFmtId="0" fontId="1" fillId="2" borderId="10" xfId="0" applyFont="1" applyFill="1" applyBorder="1"/>
    <xf numFmtId="164" fontId="5" fillId="3" borderId="0" xfId="0" applyNumberFormat="1" applyFont="1" applyFill="1" applyBorder="1" applyAlignment="1">
      <alignment wrapText="1"/>
    </xf>
    <xf numFmtId="164" fontId="5" fillId="3" borderId="1" xfId="0" applyNumberFormat="1" applyFont="1" applyFill="1" applyBorder="1" applyAlignment="1">
      <alignment wrapText="1"/>
    </xf>
    <xf numFmtId="165" fontId="5" fillId="3" borderId="0" xfId="2" applyNumberFormat="1" applyFont="1" applyFill="1" applyBorder="1" applyAlignment="1">
      <alignment wrapText="1"/>
    </xf>
    <xf numFmtId="165" fontId="5" fillId="3" borderId="1" xfId="2" applyNumberFormat="1" applyFont="1" applyFill="1" applyBorder="1" applyAlignment="1">
      <alignment wrapText="1"/>
    </xf>
    <xf numFmtId="165" fontId="7" fillId="2" borderId="0" xfId="2" applyNumberFormat="1" applyFont="1" applyFill="1" applyBorder="1"/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Average </a:t>
            </a:r>
          </a:p>
          <a:p>
            <a:pPr>
              <a:defRPr/>
            </a:pPr>
            <a:r>
              <a:rPr lang="en-US"/>
              <a:t>Daily Out-of-Pocket Cost per Person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628018372703413"/>
          <c:y val="0.29653944298629337"/>
          <c:w val="0.53144203849518812"/>
          <c:h val="0.4239847623213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Difference!$M$23</c:f>
              <c:strCache>
                <c:ptCount val="1"/>
                <c:pt idx="0">
                  <c:v>per Person </c:v>
                </c:pt>
              </c:strCache>
            </c:strRef>
          </c:tx>
          <c:invertIfNegative val="0"/>
          <c:cat>
            <c:strRef>
              <c:f>Difference!$L$24:$L$27</c:f>
              <c:strCache>
                <c:ptCount val="4"/>
                <c:pt idx="0">
                  <c:v>Toll and Auto Operating Cost </c:v>
                </c:pt>
                <c:pt idx="1">
                  <c:v>Autos Owned</c:v>
                </c:pt>
                <c:pt idx="2">
                  <c:v>Transit Costs</c:v>
                </c:pt>
                <c:pt idx="3">
                  <c:v>Parking Costs</c:v>
                </c:pt>
              </c:strCache>
            </c:strRef>
          </c:cat>
          <c:val>
            <c:numRef>
              <c:f>Difference!$M$24:$M$27</c:f>
              <c:numCache>
                <c:formatCode>0.0</c:formatCode>
                <c:ptCount val="4"/>
                <c:pt idx="0" formatCode="_(&quot;$&quot;* #,##0.00_);_(&quot;$&quot;* \(#,##0.00\);_(&quot;$&quot;* &quot;-&quot;??_);_(@_)">
                  <c:v>24.425924626304344</c:v>
                </c:pt>
                <c:pt idx="1">
                  <c:v>-1.8265327101666284E-2</c:v>
                </c:pt>
                <c:pt idx="2" formatCode="_(&quot;$&quot;* #,##0.00_);_(&quot;$&quot;* \(#,##0.00\);_(&quot;$&quot;* &quot;-&quot;??_);_(@_)">
                  <c:v>0.20829685845198453</c:v>
                </c:pt>
                <c:pt idx="3" formatCode="_(&quot;$&quot;* #,##0.00_);_(&quot;$&quot;* \(#,##0.00\);_(&quot;$&quot;* &quot;-&quot;??_);_(@_)">
                  <c:v>-2.0040526912978311</c:v>
                </c:pt>
              </c:numCache>
            </c:numRef>
          </c:val>
        </c:ser>
        <c:ser>
          <c:idx val="1"/>
          <c:order val="1"/>
          <c:tx>
            <c:strRef>
              <c:f>Difference!$N$23</c:f>
              <c:strCache>
                <c:ptCount val="1"/>
                <c:pt idx="0">
                  <c:v>per Low Income Person</c:v>
                </c:pt>
              </c:strCache>
            </c:strRef>
          </c:tx>
          <c:invertIfNegative val="0"/>
          <c:cat>
            <c:strRef>
              <c:f>Difference!$L$24:$L$27</c:f>
              <c:strCache>
                <c:ptCount val="4"/>
                <c:pt idx="0">
                  <c:v>Toll and Auto Operating Cost </c:v>
                </c:pt>
                <c:pt idx="1">
                  <c:v>Autos Owned</c:v>
                </c:pt>
                <c:pt idx="2">
                  <c:v>Transit Costs</c:v>
                </c:pt>
                <c:pt idx="3">
                  <c:v>Parking Costs</c:v>
                </c:pt>
              </c:strCache>
            </c:strRef>
          </c:cat>
          <c:val>
            <c:numRef>
              <c:f>Difference!$N$24:$N$27</c:f>
              <c:numCache>
                <c:formatCode>0.0</c:formatCode>
                <c:ptCount val="4"/>
                <c:pt idx="0" formatCode="_(&quot;$&quot;* #,##0.00_);_(&quot;$&quot;* \(#,##0.00\);_(&quot;$&quot;* &quot;-&quot;??_);_(@_)">
                  <c:v>11.570418100399468</c:v>
                </c:pt>
                <c:pt idx="1">
                  <c:v>2.9081516617107228E-2</c:v>
                </c:pt>
                <c:pt idx="2" formatCode="_(&quot;$&quot;* #,##0.00_);_(&quot;$&quot;* \(#,##0.00\);_(&quot;$&quot;* &quot;-&quot;??_);_(@_)">
                  <c:v>0.18376549103857684</c:v>
                </c:pt>
                <c:pt idx="3" formatCode="_(&quot;$&quot;* #,##0.00_);_(&quot;$&quot;* \(#,##0.00\);_(&quot;$&quot;* &quot;-&quot;??_);_(@_)">
                  <c:v>-1.1465497763560466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418496"/>
        <c:axId val="83420672"/>
      </c:barChart>
      <c:catAx>
        <c:axId val="8341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664387576552931"/>
              <c:y val="0.83291666666666664"/>
            </c:manualLayout>
          </c:layout>
          <c:overlay val="0"/>
        </c:title>
        <c:majorTickMark val="none"/>
        <c:minorTickMark val="none"/>
        <c:tickLblPos val="nextTo"/>
        <c:crossAx val="83420672"/>
        <c:crosses val="autoZero"/>
        <c:auto val="1"/>
        <c:lblAlgn val="ctr"/>
        <c:lblOffset val="100"/>
        <c:noMultiLvlLbl val="0"/>
      </c:catAx>
      <c:valAx>
        <c:axId val="83420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</a:t>
                </a:r>
                <a:r>
                  <a:rPr lang="en-US" sz="1400" baseline="0"/>
                  <a:t> e in </a:t>
                </a:r>
                <a:r>
                  <a:rPr lang="en-US" sz="1400"/>
                  <a:t>Daily Cost</a:t>
                </a:r>
              </a:p>
            </c:rich>
          </c:tx>
          <c:layout/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3418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27222222222223"/>
          <c:y val="0.31200021872265965"/>
          <c:w val="0.22061111111111112"/>
          <c:h val="0.39428623505395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the Population </a:t>
            </a:r>
          </a:p>
          <a:p>
            <a:pPr>
              <a:defRPr/>
            </a:pPr>
            <a:r>
              <a:rPr lang="en-US"/>
              <a:t>Using Each Mode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075240594925635"/>
          <c:y val="0.32871536891221931"/>
          <c:w val="0.59271959755030623"/>
          <c:h val="0.39231846019247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'Baseline Metrics'!$G$14</c:f>
              <c:strCache>
                <c:ptCount val="1"/>
                <c:pt idx="0">
                  <c:v>Percent of Population Using Mode</c:v>
                </c:pt>
              </c:strCache>
            </c:strRef>
          </c:tx>
          <c:invertIfNegative val="0"/>
          <c:cat>
            <c:strRef>
              <c:f>'Baseline Metrics'!$B$15:$B$20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'Baseline Metrics'!$G$15:$G$20</c:f>
              <c:numCache>
                <c:formatCode>0%</c:formatCode>
                <c:ptCount val="6"/>
                <c:pt idx="0">
                  <c:v>0.55373151799549514</c:v>
                </c:pt>
                <c:pt idx="1">
                  <c:v>0.39242227041052524</c:v>
                </c:pt>
                <c:pt idx="2">
                  <c:v>0.28860412746810199</c:v>
                </c:pt>
                <c:pt idx="3">
                  <c:v>5.6589126379555453E-2</c:v>
                </c:pt>
                <c:pt idx="4">
                  <c:v>0.13248042076006961</c:v>
                </c:pt>
                <c:pt idx="5">
                  <c:v>1.4112178402625413E-2</c:v>
                </c:pt>
              </c:numCache>
            </c:numRef>
          </c:val>
        </c:ser>
        <c:ser>
          <c:idx val="1"/>
          <c:order val="1"/>
          <c:tx>
            <c:strRef>
              <c:f>'Baseline Metrics'!$H$14</c:f>
              <c:strCache>
                <c:ptCount val="1"/>
                <c:pt idx="0">
                  <c:v>Percent of Low Income Population Using Mode</c:v>
                </c:pt>
              </c:strCache>
            </c:strRef>
          </c:tx>
          <c:invertIfNegative val="0"/>
          <c:cat>
            <c:strRef>
              <c:f>'Baseline Metrics'!$B$15:$B$20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'Baseline Metrics'!$H$15:$H$20</c:f>
              <c:numCache>
                <c:formatCode>0%</c:formatCode>
                <c:ptCount val="6"/>
                <c:pt idx="0">
                  <c:v>0.3844800505526928</c:v>
                </c:pt>
                <c:pt idx="1">
                  <c:v>0.33586627176163858</c:v>
                </c:pt>
                <c:pt idx="2">
                  <c:v>0.19670543736944154</c:v>
                </c:pt>
                <c:pt idx="3">
                  <c:v>9.6386528071064723E-2</c:v>
                </c:pt>
                <c:pt idx="4">
                  <c:v>0.19131375628783212</c:v>
                </c:pt>
                <c:pt idx="5">
                  <c:v>2.3801135162534636E-2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51936"/>
        <c:axId val="84582784"/>
      </c:barChart>
      <c:catAx>
        <c:axId val="8455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majorTickMark val="none"/>
        <c:minorTickMark val="none"/>
        <c:tickLblPos val="nextTo"/>
        <c:crossAx val="84582784"/>
        <c:crosses val="autoZero"/>
        <c:auto val="1"/>
        <c:lblAlgn val="ctr"/>
        <c:lblOffset val="100"/>
        <c:noMultiLvlLbl val="0"/>
      </c:catAx>
      <c:valAx>
        <c:axId val="8458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 of Population </a:t>
                </a:r>
              </a:p>
            </c:rich>
          </c:tx>
          <c:layout>
            <c:manualLayout>
              <c:xMode val="edge"/>
              <c:yMode val="edge"/>
              <c:x val="1.6776027996500452E-3"/>
              <c:y val="0.1910414843977836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84551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58311461067362"/>
          <c:y val="0.33464895013123358"/>
          <c:w val="0.22875021872265969"/>
          <c:h val="0.52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Minutes per Day spent in each mode per mode user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5068044619422571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23623869932925046"/>
          <c:w val="0.59277559055118112"/>
          <c:h val="0.5496099445902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'Baseline Metrics'!$O$14</c:f>
              <c:strCache>
                <c:ptCount val="1"/>
                <c:pt idx="0">
                  <c:v>minutes per Mode User</c:v>
                </c:pt>
              </c:strCache>
            </c:strRef>
          </c:tx>
          <c:invertIfNegative val="0"/>
          <c:cat>
            <c:strRef>
              <c:f>'Baseline Metrics'!$L$15:$L$20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'Baseline Metrics'!$O$15:$O$20</c:f>
              <c:numCache>
                <c:formatCode>0</c:formatCode>
                <c:ptCount val="6"/>
                <c:pt idx="0">
                  <c:v>60.818262535864264</c:v>
                </c:pt>
                <c:pt idx="1">
                  <c:v>33.108625639469359</c:v>
                </c:pt>
                <c:pt idx="2">
                  <c:v>37.563166033751187</c:v>
                </c:pt>
                <c:pt idx="3">
                  <c:v>78.669978233627518</c:v>
                </c:pt>
                <c:pt idx="4">
                  <c:v>60.110300383369982</c:v>
                </c:pt>
                <c:pt idx="5">
                  <c:v>36.689229545155001</c:v>
                </c:pt>
              </c:numCache>
            </c:numRef>
          </c:val>
        </c:ser>
        <c:ser>
          <c:idx val="1"/>
          <c:order val="1"/>
          <c:tx>
            <c:strRef>
              <c:f>'Baseline Metrics'!$P$14</c:f>
              <c:strCache>
                <c:ptCount val="1"/>
                <c:pt idx="0">
                  <c:v>minutes per Low Income Mode User</c:v>
                </c:pt>
              </c:strCache>
            </c:strRef>
          </c:tx>
          <c:invertIfNegative val="0"/>
          <c:cat>
            <c:strRef>
              <c:f>'Baseline Metrics'!$L$15:$L$20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'Baseline Metrics'!$P$15:$P$20</c:f>
              <c:numCache>
                <c:formatCode>0</c:formatCode>
                <c:ptCount val="6"/>
                <c:pt idx="0">
                  <c:v>49.568496641025618</c:v>
                </c:pt>
                <c:pt idx="1">
                  <c:v>32.340822222071871</c:v>
                </c:pt>
                <c:pt idx="2">
                  <c:v>34.787645916173403</c:v>
                </c:pt>
                <c:pt idx="3">
                  <c:v>79.099775728705026</c:v>
                </c:pt>
                <c:pt idx="4">
                  <c:v>63.396713758207326</c:v>
                </c:pt>
                <c:pt idx="5">
                  <c:v>40.737180241664369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75840"/>
        <c:axId val="114277760"/>
      </c:barChart>
      <c:catAx>
        <c:axId val="11427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14277760"/>
        <c:crosses val="autoZero"/>
        <c:auto val="1"/>
        <c:lblAlgn val="ctr"/>
        <c:lblOffset val="100"/>
        <c:noMultiLvlLbl val="0"/>
      </c:catAx>
      <c:valAx>
        <c:axId val="114277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 Mintutes Spent Traveling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14275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97244094488194"/>
          <c:y val="0.34859580052493438"/>
          <c:w val="0.21502755905511811"/>
          <c:h val="0.348757655293088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Daily Cost per Person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61351706036745"/>
          <c:y val="0.20084171770195391"/>
          <c:w val="0.76594203849518816"/>
          <c:h val="0.40108668708078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'Baseline Metrics'!$N$3</c:f>
              <c:strCache>
                <c:ptCount val="1"/>
                <c:pt idx="0">
                  <c:v>Value per Person</c:v>
                </c:pt>
              </c:strCache>
            </c:strRef>
          </c:tx>
          <c:invertIfNegative val="0"/>
          <c:cat>
            <c:strRef>
              <c:f>'Baseline Metrics'!$L$4:$L$11</c:f>
              <c:strCache>
                <c:ptCount val="8"/>
                <c:pt idx="0">
                  <c:v>Travel Time</c:v>
                </c:pt>
                <c:pt idx="1">
                  <c:v>Auto Operating and Tolls</c:v>
                </c:pt>
                <c:pt idx="2">
                  <c:v>Auto Ownership</c:v>
                </c:pt>
                <c:pt idx="3">
                  <c:v>Transit Fares</c:v>
                </c:pt>
                <c:pt idx="4">
                  <c:v>Parking</c:v>
                </c:pt>
                <c:pt idx="5">
                  <c:v>Health</c:v>
                </c:pt>
                <c:pt idx="6">
                  <c:v>Safety</c:v>
                </c:pt>
                <c:pt idx="7">
                  <c:v>Air Quality</c:v>
                </c:pt>
              </c:strCache>
            </c:strRef>
          </c:cat>
          <c:val>
            <c:numRef>
              <c:f>'Baseline Metrics'!$N$4:$N$11</c:f>
              <c:numCache>
                <c:formatCode>_("$"* #,##0.00_);_("$"* \(#,##0.00\);_("$"* "-"??_);_(@_)</c:formatCode>
                <c:ptCount val="8"/>
                <c:pt idx="0">
                  <c:v>29.351459924039297</c:v>
                </c:pt>
                <c:pt idx="1">
                  <c:v>2.3886204159238615</c:v>
                </c:pt>
                <c:pt idx="2">
                  <c:v>16.091961074218659</c:v>
                </c:pt>
                <c:pt idx="3">
                  <c:v>9.556106495717355E-2</c:v>
                </c:pt>
                <c:pt idx="4">
                  <c:v>2.8226989400942961</c:v>
                </c:pt>
                <c:pt idx="6">
                  <c:v>1.4934414603277131</c:v>
                </c:pt>
                <c:pt idx="7">
                  <c:v>0.81211496979148468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17440"/>
        <c:axId val="83519360"/>
      </c:barChart>
      <c:catAx>
        <c:axId val="8351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8984142607174099"/>
              <c:y val="0.86273148148148149"/>
            </c:manualLayout>
          </c:layout>
          <c:overlay val="0"/>
        </c:title>
        <c:majorTickMark val="none"/>
        <c:minorTickMark val="none"/>
        <c:tickLblPos val="nextTo"/>
        <c:crossAx val="83519360"/>
        <c:crosses val="autoZero"/>
        <c:auto val="1"/>
        <c:lblAlgn val="ctr"/>
        <c:lblOffset val="100"/>
        <c:noMultiLvlLbl val="0"/>
      </c:catAx>
      <c:valAx>
        <c:axId val="83519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Daily Cost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3517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Collisions by Type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'Baseline Metrics'!$C$37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'Baseline Metrics'!$B$38:$B$40</c:f>
              <c:strCache>
                <c:ptCount val="3"/>
                <c:pt idx="0">
                  <c:v>Injury Collisions</c:v>
                </c:pt>
                <c:pt idx="1">
                  <c:v>Property Damage Collisions</c:v>
                </c:pt>
                <c:pt idx="2">
                  <c:v>Fatality Collisions</c:v>
                </c:pt>
              </c:strCache>
            </c:strRef>
          </c:cat>
          <c:val>
            <c:numRef>
              <c:f>'Baseline Metrics'!$C$38:$C$40</c:f>
              <c:numCache>
                <c:formatCode>0</c:formatCode>
                <c:ptCount val="3"/>
                <c:pt idx="0">
                  <c:v>42.400658658478804</c:v>
                </c:pt>
                <c:pt idx="1">
                  <c:v>80.180647954959653</c:v>
                </c:pt>
                <c:pt idx="2" formatCode="0.0">
                  <c:v>0.78460041715501128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43936"/>
        <c:axId val="83554304"/>
      </c:barChart>
      <c:catAx>
        <c:axId val="8354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Collison Category</a:t>
                </a:r>
              </a:p>
            </c:rich>
          </c:tx>
          <c:overlay val="0"/>
        </c:title>
        <c:majorTickMark val="none"/>
        <c:minorTickMark val="none"/>
        <c:tickLblPos val="nextTo"/>
        <c:crossAx val="83554304"/>
        <c:crosses val="autoZero"/>
        <c:auto val="1"/>
        <c:lblAlgn val="ctr"/>
        <c:lblOffset val="100"/>
        <c:noMultiLvlLbl val="0"/>
      </c:catAx>
      <c:valAx>
        <c:axId val="83554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Daily Collisions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354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the Population </a:t>
            </a:r>
          </a:p>
          <a:p>
            <a:pPr>
              <a:defRPr/>
            </a:pPr>
            <a:r>
              <a:rPr lang="en-US"/>
              <a:t>Using Each Mode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075240594925635"/>
          <c:y val="0.32871536891221931"/>
          <c:w val="0.59271959755030623"/>
          <c:h val="0.39231846019247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'Scenario Metrics'!$G$14</c:f>
              <c:strCache>
                <c:ptCount val="1"/>
                <c:pt idx="0">
                  <c:v>Percent of Population Using Mode</c:v>
                </c:pt>
              </c:strCache>
            </c:strRef>
          </c:tx>
          <c:invertIfNegative val="0"/>
          <c:cat>
            <c:strRef>
              <c:f>'Scenario Metrics'!$B$15:$B$20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'Scenario Metrics'!$G$15:$G$20</c:f>
              <c:numCache>
                <c:formatCode>0%</c:formatCode>
                <c:ptCount val="6"/>
                <c:pt idx="0">
                  <c:v>0.40619467771654916</c:v>
                </c:pt>
                <c:pt idx="1">
                  <c:v>0.35922118458885055</c:v>
                </c:pt>
                <c:pt idx="2">
                  <c:v>0.37823780028521864</c:v>
                </c:pt>
                <c:pt idx="3">
                  <c:v>0.12190525391216389</c:v>
                </c:pt>
                <c:pt idx="4">
                  <c:v>0.21414281897123874</c:v>
                </c:pt>
                <c:pt idx="5">
                  <c:v>5.9580057382945105E-2</c:v>
                </c:pt>
              </c:numCache>
            </c:numRef>
          </c:val>
        </c:ser>
        <c:ser>
          <c:idx val="1"/>
          <c:order val="1"/>
          <c:tx>
            <c:strRef>
              <c:f>'Scenario Metrics'!$H$14</c:f>
              <c:strCache>
                <c:ptCount val="1"/>
                <c:pt idx="0">
                  <c:v>Percent of Low Income Population Using Mode</c:v>
                </c:pt>
              </c:strCache>
            </c:strRef>
          </c:tx>
          <c:invertIfNegative val="0"/>
          <c:cat>
            <c:strRef>
              <c:f>'Scenario Metrics'!$B$15:$B$20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'Scenario Metrics'!$H$15:$H$20</c:f>
              <c:numCache>
                <c:formatCode>0%</c:formatCode>
                <c:ptCount val="6"/>
                <c:pt idx="0">
                  <c:v>0.25634801880608121</c:v>
                </c:pt>
                <c:pt idx="1">
                  <c:v>0.27234349606918112</c:v>
                </c:pt>
                <c:pt idx="2">
                  <c:v>0.26500371257427163</c:v>
                </c:pt>
                <c:pt idx="3">
                  <c:v>0.17268382879959024</c:v>
                </c:pt>
                <c:pt idx="4">
                  <c:v>0.28488893685080285</c:v>
                </c:pt>
                <c:pt idx="5">
                  <c:v>9.3157427645068236E-2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43296"/>
        <c:axId val="84745216"/>
      </c:barChart>
      <c:catAx>
        <c:axId val="8474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majorTickMark val="none"/>
        <c:minorTickMark val="none"/>
        <c:tickLblPos val="nextTo"/>
        <c:crossAx val="84745216"/>
        <c:crosses val="autoZero"/>
        <c:auto val="1"/>
        <c:lblAlgn val="ctr"/>
        <c:lblOffset val="100"/>
        <c:noMultiLvlLbl val="0"/>
      </c:catAx>
      <c:valAx>
        <c:axId val="84745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 of Population </a:t>
                </a:r>
              </a:p>
            </c:rich>
          </c:tx>
          <c:layout>
            <c:manualLayout>
              <c:xMode val="edge"/>
              <c:yMode val="edge"/>
              <c:x val="1.6776027996500452E-3"/>
              <c:y val="0.1910414843977836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84743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58311461067362"/>
          <c:y val="0.33464895013123358"/>
          <c:w val="0.22875021872265969"/>
          <c:h val="0.52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Minutes per Day spent in each mode per mode user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5068044619422571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23623869932925046"/>
          <c:w val="0.59277559055118112"/>
          <c:h val="0.5496099445902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'Scenario Metrics'!$O$14</c:f>
              <c:strCache>
                <c:ptCount val="1"/>
                <c:pt idx="0">
                  <c:v>minutes per Mode User</c:v>
                </c:pt>
              </c:strCache>
            </c:strRef>
          </c:tx>
          <c:invertIfNegative val="0"/>
          <c:cat>
            <c:strRef>
              <c:f>'Scenario Metrics'!$L$15:$L$20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'Scenario Metrics'!$O$15:$O$20</c:f>
              <c:numCache>
                <c:formatCode>0</c:formatCode>
                <c:ptCount val="6"/>
                <c:pt idx="0">
                  <c:v>41.132463065251507</c:v>
                </c:pt>
                <c:pt idx="1">
                  <c:v>30.9962051260115</c:v>
                </c:pt>
                <c:pt idx="2">
                  <c:v>41.062454236107698</c:v>
                </c:pt>
                <c:pt idx="3">
                  <c:v>116.51343611511213</c:v>
                </c:pt>
                <c:pt idx="4">
                  <c:v>78.252822509990608</c:v>
                </c:pt>
                <c:pt idx="5">
                  <c:v>65.624132211242852</c:v>
                </c:pt>
              </c:numCache>
            </c:numRef>
          </c:val>
        </c:ser>
        <c:ser>
          <c:idx val="1"/>
          <c:order val="1"/>
          <c:tx>
            <c:strRef>
              <c:f>'Scenario Metrics'!$P$14</c:f>
              <c:strCache>
                <c:ptCount val="1"/>
                <c:pt idx="0">
                  <c:v>minutes per Low Income Mode User</c:v>
                </c:pt>
              </c:strCache>
            </c:strRef>
          </c:tx>
          <c:invertIfNegative val="0"/>
          <c:cat>
            <c:strRef>
              <c:f>'Scenario Metrics'!$L$15:$L$20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'Scenario Metrics'!$P$15:$P$20</c:f>
              <c:numCache>
                <c:formatCode>0</c:formatCode>
                <c:ptCount val="6"/>
                <c:pt idx="0">
                  <c:v>29.653670023323336</c:v>
                </c:pt>
                <c:pt idx="1">
                  <c:v>26.171653665196832</c:v>
                </c:pt>
                <c:pt idx="2">
                  <c:v>34.356309350431381</c:v>
                </c:pt>
                <c:pt idx="3">
                  <c:v>114.82469970992173</c:v>
                </c:pt>
                <c:pt idx="4">
                  <c:v>79.62366399582794</c:v>
                </c:pt>
                <c:pt idx="5">
                  <c:v>70.805977481160554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87584"/>
        <c:axId val="84789504"/>
      </c:barChart>
      <c:catAx>
        <c:axId val="8478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majorTickMark val="none"/>
        <c:minorTickMark val="none"/>
        <c:tickLblPos val="nextTo"/>
        <c:crossAx val="84789504"/>
        <c:crosses val="autoZero"/>
        <c:auto val="1"/>
        <c:lblAlgn val="ctr"/>
        <c:lblOffset val="100"/>
        <c:noMultiLvlLbl val="0"/>
      </c:catAx>
      <c:valAx>
        <c:axId val="84789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 Mintutes Spent Traveling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4787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97244094488194"/>
          <c:y val="0.34859580052493438"/>
          <c:w val="0.21502755905511811"/>
          <c:h val="0.348757655293088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Daily Cost per Person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61351706036745"/>
          <c:y val="0.20084171770195391"/>
          <c:w val="0.76594203849518816"/>
          <c:h val="0.40108668708078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'Scenario Metrics'!$N$3</c:f>
              <c:strCache>
                <c:ptCount val="1"/>
                <c:pt idx="0">
                  <c:v>Value per Person</c:v>
                </c:pt>
              </c:strCache>
            </c:strRef>
          </c:tx>
          <c:invertIfNegative val="0"/>
          <c:cat>
            <c:strRef>
              <c:f>'Scenario Metrics'!$L$4:$L$11</c:f>
              <c:strCache>
                <c:ptCount val="8"/>
                <c:pt idx="0">
                  <c:v>Travel Time</c:v>
                </c:pt>
                <c:pt idx="1">
                  <c:v>Auto Operating and Tolls</c:v>
                </c:pt>
                <c:pt idx="2">
                  <c:v>Auto Ownership</c:v>
                </c:pt>
                <c:pt idx="3">
                  <c:v>Transit Fares</c:v>
                </c:pt>
                <c:pt idx="4">
                  <c:v>Parking</c:v>
                </c:pt>
                <c:pt idx="5">
                  <c:v>Health</c:v>
                </c:pt>
                <c:pt idx="6">
                  <c:v>Safety</c:v>
                </c:pt>
                <c:pt idx="7">
                  <c:v>Air Quality</c:v>
                </c:pt>
              </c:strCache>
            </c:strRef>
          </c:cat>
          <c:val>
            <c:numRef>
              <c:f>'Scenario Metrics'!$N$4:$N$11</c:f>
              <c:numCache>
                <c:formatCode>_("$"* #,##0.00_);_("$"* \(#,##0.00\);_("$"* "-"??_);_(@_)</c:formatCode>
                <c:ptCount val="8"/>
                <c:pt idx="0">
                  <c:v>32.601842936487095</c:v>
                </c:pt>
                <c:pt idx="1">
                  <c:v>26.814545042228204</c:v>
                </c:pt>
                <c:pt idx="2">
                  <c:v>15.708389205083664</c:v>
                </c:pt>
                <c:pt idx="3">
                  <c:v>0.30385792340915807</c:v>
                </c:pt>
                <c:pt idx="4">
                  <c:v>0.81864624879646508</c:v>
                </c:pt>
                <c:pt idx="6">
                  <c:v>1.0846231675759692</c:v>
                </c:pt>
                <c:pt idx="7">
                  <c:v>0.53861166988673248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33952"/>
        <c:axId val="85140224"/>
      </c:barChart>
      <c:catAx>
        <c:axId val="8513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8984142607174099"/>
              <c:y val="0.86273148148148149"/>
            </c:manualLayout>
          </c:layout>
          <c:overlay val="0"/>
        </c:title>
        <c:majorTickMark val="none"/>
        <c:minorTickMark val="none"/>
        <c:tickLblPos val="nextTo"/>
        <c:crossAx val="85140224"/>
        <c:crosses val="autoZero"/>
        <c:auto val="1"/>
        <c:lblAlgn val="ctr"/>
        <c:lblOffset val="100"/>
        <c:noMultiLvlLbl val="0"/>
      </c:catAx>
      <c:valAx>
        <c:axId val="85140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Daily Cost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5133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Collisions by Type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Metrics'!$C$37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'Scenario Metrics'!$B$38:$B$40</c:f>
              <c:strCache>
                <c:ptCount val="3"/>
                <c:pt idx="0">
                  <c:v>Injury Collisions</c:v>
                </c:pt>
                <c:pt idx="1">
                  <c:v>Property Damage Collisions</c:v>
                </c:pt>
                <c:pt idx="2">
                  <c:v>Fatality Collisions</c:v>
                </c:pt>
              </c:strCache>
            </c:strRef>
          </c:cat>
          <c:val>
            <c:numRef>
              <c:f>'Scenario Metrics'!$C$38:$C$40</c:f>
              <c:numCache>
                <c:formatCode>0</c:formatCode>
                <c:ptCount val="3"/>
                <c:pt idx="0">
                  <c:v>30.784016539302183</c:v>
                </c:pt>
                <c:pt idx="1">
                  <c:v>58.8278608913037</c:v>
                </c:pt>
                <c:pt idx="2" formatCode="0.0">
                  <c:v>0.56949753418232163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81184"/>
        <c:axId val="85183104"/>
      </c:barChart>
      <c:catAx>
        <c:axId val="8518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Collison Category</a:t>
                </a:r>
              </a:p>
            </c:rich>
          </c:tx>
          <c:overlay val="0"/>
        </c:title>
        <c:majorTickMark val="none"/>
        <c:minorTickMark val="none"/>
        <c:tickLblPos val="nextTo"/>
        <c:crossAx val="85183104"/>
        <c:crosses val="autoZero"/>
        <c:auto val="1"/>
        <c:lblAlgn val="ctr"/>
        <c:lblOffset val="100"/>
        <c:noMultiLvlLbl val="0"/>
      </c:catAx>
      <c:valAx>
        <c:axId val="85183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Daily Collisions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5181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Number of Walkers and Bikers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5671084864391952"/>
          <c:y val="0.21332203266258384"/>
          <c:w val="0.50444181977252844"/>
          <c:h val="0.577156240886555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Difference!$B$32</c:f>
              <c:strCache>
                <c:ptCount val="1"/>
                <c:pt idx="0">
                  <c:v>Total Number of Walkers</c:v>
                </c:pt>
              </c:strCache>
            </c:strRef>
          </c:tx>
          <c:invertIfNegative val="0"/>
          <c:cat>
            <c:strRef>
              <c:f>Difference!$C$30:$D$30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Difference!$C$32:$D$32</c:f>
              <c:numCache>
                <c:formatCode>_(* #,##0_);_(* \(#,##0\);_(* "-"??_);_(@_)</c:formatCode>
                <c:ptCount val="2"/>
                <c:pt idx="0">
                  <c:v>293702</c:v>
                </c:pt>
                <c:pt idx="1">
                  <c:v>92711</c:v>
                </c:pt>
              </c:numCache>
            </c:numRef>
          </c:val>
        </c:ser>
        <c:ser>
          <c:idx val="1"/>
          <c:order val="1"/>
          <c:tx>
            <c:strRef>
              <c:f>Difference!$B$34</c:f>
              <c:strCache>
                <c:ptCount val="1"/>
                <c:pt idx="0">
                  <c:v>Total Number of Bikers</c:v>
                </c:pt>
              </c:strCache>
            </c:strRef>
          </c:tx>
          <c:invertIfNegative val="0"/>
          <c:cat>
            <c:strRef>
              <c:f>Difference!$C$30:$D$30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Difference!$C$34:$D$34</c:f>
              <c:numCache>
                <c:formatCode>_(* #,##0_);_(* \(#,##0\);_(* "-"??_);_(@_)</c:formatCode>
                <c:ptCount val="2"/>
                <c:pt idx="0">
                  <c:v>163527</c:v>
                </c:pt>
                <c:pt idx="1">
                  <c:v>47367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06560"/>
        <c:axId val="84321024"/>
      </c:barChart>
      <c:catAx>
        <c:axId val="8430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Cost Category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84321024"/>
        <c:crosses val="autoZero"/>
        <c:auto val="1"/>
        <c:lblAlgn val="ctr"/>
        <c:lblOffset val="100"/>
        <c:noMultiLvlLbl val="0"/>
      </c:catAx>
      <c:valAx>
        <c:axId val="8432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 e in Walkers and Bikers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84306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11526684164478"/>
          <c:y val="0.27039151356080487"/>
          <c:w val="0.2221806649168854"/>
          <c:h val="0.385026975794692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Average Time Spent Walking and Biking per Walker/Biker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198862642169728"/>
          <c:y val="0.29653944298629337"/>
          <c:w val="0.57856692913385832"/>
          <c:h val="0.44764253426655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Difference!$B$31</c:f>
              <c:strCache>
                <c:ptCount val="1"/>
                <c:pt idx="0">
                  <c:v>Average Walking Time per Walker (minutes)</c:v>
                </c:pt>
              </c:strCache>
            </c:strRef>
          </c:tx>
          <c:invertIfNegative val="0"/>
          <c:cat>
            <c:strRef>
              <c:f>Difference!$C$30:$D$30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Difference!$C$31:$D$31</c:f>
              <c:numCache>
                <c:formatCode>0</c:formatCode>
                <c:ptCount val="2"/>
                <c:pt idx="0" formatCode="0.0">
                  <c:v>18.142522126620626</c:v>
                </c:pt>
                <c:pt idx="1">
                  <c:v>16.226950237620613</c:v>
                </c:pt>
              </c:numCache>
            </c:numRef>
          </c:val>
        </c:ser>
        <c:ser>
          <c:idx val="1"/>
          <c:order val="1"/>
          <c:tx>
            <c:strRef>
              <c:f>Difference!$B$33</c:f>
              <c:strCache>
                <c:ptCount val="1"/>
                <c:pt idx="0">
                  <c:v>Average Biking Time per Biker</c:v>
                </c:pt>
              </c:strCache>
            </c:strRef>
          </c:tx>
          <c:invertIfNegative val="0"/>
          <c:cat>
            <c:strRef>
              <c:f>Difference!$C$30:$D$30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Difference!$C$33:$D$33</c:f>
              <c:numCache>
                <c:formatCode>0</c:formatCode>
                <c:ptCount val="2"/>
                <c:pt idx="0" formatCode="0.0">
                  <c:v>28.934902666087851</c:v>
                </c:pt>
                <c:pt idx="1">
                  <c:v>30.068797239496185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38560"/>
        <c:axId val="84094976"/>
      </c:barChart>
      <c:catAx>
        <c:axId val="8433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Household</a:t>
                </a:r>
                <a:r>
                  <a:rPr lang="en-US" sz="1400" baseline="0"/>
                  <a:t> Group</a:t>
                </a:r>
                <a:endParaRPr lang="en-US" sz="1400"/>
              </a:p>
            </c:rich>
          </c:tx>
          <c:layout/>
          <c:overlay val="0"/>
        </c:title>
        <c:majorTickMark val="none"/>
        <c:minorTickMark val="none"/>
        <c:tickLblPos val="nextTo"/>
        <c:crossAx val="84094976"/>
        <c:crosses val="autoZero"/>
        <c:auto val="1"/>
        <c:lblAlgn val="ctr"/>
        <c:lblOffset val="100"/>
        <c:noMultiLvlLbl val="0"/>
      </c:catAx>
      <c:valAx>
        <c:axId val="84094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 ein Time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65394429862933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84338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555555555555554"/>
          <c:y val="0.28383858267716533"/>
          <c:w val="0.22777777777777777"/>
          <c:h val="0.47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Air Quality Cost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Difference!$B$44</c:f>
              <c:strCache>
                <c:ptCount val="1"/>
                <c:pt idx="0">
                  <c:v>CO2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Difference!$E$44</c:f>
              <c:numCache>
                <c:formatCode>_("$"* #,##0_);_("$"* \(#,##0\);_("$"* "-"??_);_(@_)</c:formatCode>
                <c:ptCount val="1"/>
                <c:pt idx="0">
                  <c:v>-585859.43742844288</c:v>
                </c:pt>
              </c:numCache>
            </c:numRef>
          </c:val>
        </c:ser>
        <c:ser>
          <c:idx val="1"/>
          <c:order val="1"/>
          <c:tx>
            <c:strRef>
              <c:f>Difference!$B$45</c:f>
              <c:strCache>
                <c:ptCount val="1"/>
                <c:pt idx="0">
                  <c:v>CO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Difference!$E$45</c:f>
              <c:numCache>
                <c:formatCode>_("$"* #,##0_);_("$"* \(#,##0\);_("$"* "-"??_);_(@_)</c:formatCode>
                <c:ptCount val="1"/>
                <c:pt idx="0">
                  <c:v>-163199.07242089079</c:v>
                </c:pt>
              </c:numCache>
            </c:numRef>
          </c:val>
        </c:ser>
        <c:ser>
          <c:idx val="2"/>
          <c:order val="2"/>
          <c:tx>
            <c:strRef>
              <c:f>Difference!$B$46</c:f>
              <c:strCache>
                <c:ptCount val="1"/>
                <c:pt idx="0">
                  <c:v>NO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Difference!$E$46</c:f>
              <c:numCache>
                <c:formatCode>_("$"* #,##0_);_("$"* \(#,##0\);_("$"* "-"??_);_(@_)</c:formatCode>
                <c:ptCount val="1"/>
                <c:pt idx="0">
                  <c:v>-123114.55024416612</c:v>
                </c:pt>
              </c:numCache>
            </c:numRef>
          </c:val>
        </c:ser>
        <c:ser>
          <c:idx val="3"/>
          <c:order val="3"/>
          <c:tx>
            <c:strRef>
              <c:f>Difference!$B$47</c:f>
              <c:strCache>
                <c:ptCount val="1"/>
                <c:pt idx="0">
                  <c:v>PM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Difference!$E$47</c:f>
              <c:numCache>
                <c:formatCode>_("$"* #,##0_);_("$"* \(#,##0\);_("$"* "-"??_);_(@_)</c:formatCode>
                <c:ptCount val="1"/>
                <c:pt idx="0">
                  <c:v>-2324.7599950532563</c:v>
                </c:pt>
              </c:numCache>
            </c:numRef>
          </c:val>
        </c:ser>
        <c:ser>
          <c:idx val="4"/>
          <c:order val="4"/>
          <c:tx>
            <c:strRef>
              <c:f>Difference!$B$48</c:f>
              <c:strCache>
                <c:ptCount val="1"/>
                <c:pt idx="0">
                  <c:v>VOC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Difference!$E$48</c:f>
              <c:numCache>
                <c:formatCode>_("$"* #,##0_);_("$"* \(#,##0\);_("$"* "-"??_);_(@_)</c:formatCode>
                <c:ptCount val="1"/>
                <c:pt idx="0">
                  <c:v>-109167.46464758387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32992"/>
        <c:axId val="84134912"/>
      </c:barChart>
      <c:catAx>
        <c:axId val="8413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Cost Category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84134912"/>
        <c:crosses val="autoZero"/>
        <c:auto val="1"/>
        <c:lblAlgn val="ctr"/>
        <c:lblOffset val="100"/>
        <c:noMultiLvlLbl val="0"/>
      </c:catAx>
      <c:valAx>
        <c:axId val="84134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Difference</a:t>
                </a:r>
                <a:r>
                  <a:rPr lang="en-US" sz="1400" baseline="0"/>
                  <a:t> in Cost</a:t>
                </a:r>
                <a:endParaRPr lang="en-US" sz="1400"/>
              </a:p>
            </c:rich>
          </c:tx>
          <c:layout/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84132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26487314085739"/>
          <c:y val="0.20037146398366876"/>
          <c:w val="0.15606846019247594"/>
          <c:h val="0.418585958005249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</a:t>
            </a:r>
          </a:p>
          <a:p>
            <a:pPr>
              <a:defRPr/>
            </a:pPr>
            <a:r>
              <a:rPr lang="en-US"/>
              <a:t>Percent of the Population </a:t>
            </a:r>
          </a:p>
          <a:p>
            <a:pPr>
              <a:defRPr/>
            </a:pPr>
            <a:r>
              <a:rPr lang="en-US"/>
              <a:t>Using Each Mode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83611111111111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686351706036747"/>
          <c:y val="0.32871536891221931"/>
          <c:w val="0.59271959755030623"/>
          <c:h val="0.39231846019247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Difference!$G$14</c:f>
              <c:strCache>
                <c:ptCount val="1"/>
                <c:pt idx="0">
                  <c:v>Percent of Population Using Mode</c:v>
                </c:pt>
              </c:strCache>
            </c:strRef>
          </c:tx>
          <c:invertIfNegative val="0"/>
          <c:cat>
            <c:strRef>
              <c:f>Difference!$B$15:$B$20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Difference!$G$15:$G$20</c:f>
              <c:numCache>
                <c:formatCode>0%</c:formatCode>
                <c:ptCount val="6"/>
                <c:pt idx="0">
                  <c:v>-0.14753684027894598</c:v>
                </c:pt>
                <c:pt idx="1">
                  <c:v>-3.3201085821674692E-2</c:v>
                </c:pt>
                <c:pt idx="2">
                  <c:v>8.963367281711665E-2</c:v>
                </c:pt>
                <c:pt idx="3">
                  <c:v>6.5316127532608431E-2</c:v>
                </c:pt>
                <c:pt idx="4">
                  <c:v>8.1662398211169135E-2</c:v>
                </c:pt>
                <c:pt idx="5">
                  <c:v>4.546787898031969E-2</c:v>
                </c:pt>
              </c:numCache>
            </c:numRef>
          </c:val>
        </c:ser>
        <c:ser>
          <c:idx val="1"/>
          <c:order val="1"/>
          <c:tx>
            <c:strRef>
              <c:f>Difference!$H$14</c:f>
              <c:strCache>
                <c:ptCount val="1"/>
                <c:pt idx="0">
                  <c:v>Percent of Low Income Population Using Mode</c:v>
                </c:pt>
              </c:strCache>
            </c:strRef>
          </c:tx>
          <c:invertIfNegative val="0"/>
          <c:cat>
            <c:strRef>
              <c:f>Difference!$B$15:$B$20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Difference!$H$15:$H$20</c:f>
              <c:numCache>
                <c:formatCode>0%</c:formatCode>
                <c:ptCount val="6"/>
                <c:pt idx="0">
                  <c:v>-0.12813203174661159</c:v>
                </c:pt>
                <c:pt idx="1">
                  <c:v>-6.3522775692457456E-2</c:v>
                </c:pt>
                <c:pt idx="2">
                  <c:v>6.8298275204830089E-2</c:v>
                </c:pt>
                <c:pt idx="3">
                  <c:v>7.6297300728525516E-2</c:v>
                </c:pt>
                <c:pt idx="4">
                  <c:v>9.3575180562970733E-2</c:v>
                </c:pt>
                <c:pt idx="5">
                  <c:v>6.9356292482533596E-2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73184"/>
        <c:axId val="84175104"/>
      </c:barChart>
      <c:catAx>
        <c:axId val="8417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84175104"/>
        <c:crosses val="autoZero"/>
        <c:auto val="1"/>
        <c:lblAlgn val="ctr"/>
        <c:lblOffset val="100"/>
        <c:noMultiLvlLbl val="0"/>
      </c:catAx>
      <c:valAx>
        <c:axId val="84175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Diffrence in Population Share</a:t>
                </a:r>
              </a:p>
            </c:rich>
          </c:tx>
          <c:layout>
            <c:manualLayout>
              <c:xMode val="edge"/>
              <c:yMode val="edge"/>
              <c:x val="1.6776027996500452E-3"/>
              <c:y val="0.1910414843977836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84173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58311461067362"/>
          <c:y val="0.33464895013123358"/>
          <c:w val="0.22875021872265969"/>
          <c:h val="0.52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in </a:t>
            </a:r>
            <a:r>
              <a:rPr lang="en-US"/>
              <a:t>Average Minutes per Day spent in each mode </a:t>
            </a:r>
          </a:p>
        </c:rich>
      </c:tx>
      <c:layout>
        <c:manualLayout>
          <c:xMode val="edge"/>
          <c:yMode val="edge"/>
          <c:x val="0.1367915573053368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23623869932925046"/>
          <c:w val="0.59277559055118112"/>
          <c:h val="0.5496099445902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Difference!$O$14</c:f>
              <c:strCache>
                <c:ptCount val="1"/>
                <c:pt idx="0">
                  <c:v>minutes per Mode User</c:v>
                </c:pt>
              </c:strCache>
            </c:strRef>
          </c:tx>
          <c:invertIfNegative val="0"/>
          <c:cat>
            <c:strRef>
              <c:f>Difference!$L$15:$L$20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Difference!$O$15:$O$20</c:f>
              <c:numCache>
                <c:formatCode>0</c:formatCode>
                <c:ptCount val="6"/>
                <c:pt idx="0">
                  <c:v>-19.685799470612757</c:v>
                </c:pt>
                <c:pt idx="1">
                  <c:v>-2.1124205134578595</c:v>
                </c:pt>
                <c:pt idx="2">
                  <c:v>3.4992882023565102</c:v>
                </c:pt>
                <c:pt idx="3">
                  <c:v>37.843457881484611</c:v>
                </c:pt>
                <c:pt idx="4">
                  <c:v>18.142522126620626</c:v>
                </c:pt>
                <c:pt idx="5">
                  <c:v>28.934902666087851</c:v>
                </c:pt>
              </c:numCache>
            </c:numRef>
          </c:val>
        </c:ser>
        <c:ser>
          <c:idx val="1"/>
          <c:order val="1"/>
          <c:tx>
            <c:strRef>
              <c:f>Difference!$P$14</c:f>
              <c:strCache>
                <c:ptCount val="1"/>
                <c:pt idx="0">
                  <c:v>minutes per Low Income Mode User</c:v>
                </c:pt>
              </c:strCache>
            </c:strRef>
          </c:tx>
          <c:invertIfNegative val="0"/>
          <c:cat>
            <c:strRef>
              <c:f>Difference!$L$15:$L$20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Difference!$P$15:$P$20</c:f>
              <c:numCache>
                <c:formatCode>0</c:formatCode>
                <c:ptCount val="6"/>
                <c:pt idx="0">
                  <c:v>-19.914826617702282</c:v>
                </c:pt>
                <c:pt idx="1">
                  <c:v>-6.1691685568750394</c:v>
                </c:pt>
                <c:pt idx="2">
                  <c:v>-0.43133656574202206</c:v>
                </c:pt>
                <c:pt idx="3">
                  <c:v>35.724923981216705</c:v>
                </c:pt>
                <c:pt idx="4">
                  <c:v>16.226950237620613</c:v>
                </c:pt>
                <c:pt idx="5">
                  <c:v>30.068797239496185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211584"/>
        <c:axId val="84213760"/>
      </c:barChart>
      <c:catAx>
        <c:axId val="8421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84213760"/>
        <c:crosses val="autoZero"/>
        <c:auto val="1"/>
        <c:lblAlgn val="ctr"/>
        <c:lblOffset val="100"/>
        <c:noMultiLvlLbl val="0"/>
      </c:catAx>
      <c:valAx>
        <c:axId val="84213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Difference in Time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84211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97244094488194"/>
          <c:y val="0.34859580052493438"/>
          <c:w val="0.21502755905511811"/>
          <c:h val="0.348757655293088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in </a:t>
            </a:r>
          </a:p>
          <a:p>
            <a:pPr>
              <a:defRPr/>
            </a:pPr>
            <a:r>
              <a:rPr lang="en-US"/>
              <a:t>Average Daily Cost per Person</a:t>
            </a:r>
          </a:p>
        </c:rich>
      </c:tx>
      <c:layout>
        <c:manualLayout>
          <c:xMode val="edge"/>
          <c:yMode val="edge"/>
          <c:x val="0.19079855643044616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461351706036745"/>
          <c:y val="0.2502143482064742"/>
          <c:w val="0.76038648293963262"/>
          <c:h val="0.331642242636337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Difference!$N$3</c:f>
              <c:strCache>
                <c:ptCount val="1"/>
                <c:pt idx="0">
                  <c:v>Value per Person</c:v>
                </c:pt>
              </c:strCache>
            </c:strRef>
          </c:tx>
          <c:invertIfNegative val="0"/>
          <c:cat>
            <c:strRef>
              <c:f>Difference!$L$4:$L$11</c:f>
              <c:strCache>
                <c:ptCount val="8"/>
                <c:pt idx="0">
                  <c:v>Travel Time</c:v>
                </c:pt>
                <c:pt idx="1">
                  <c:v>Auto Operating and Tolls</c:v>
                </c:pt>
                <c:pt idx="2">
                  <c:v>Auto Ownership</c:v>
                </c:pt>
                <c:pt idx="3">
                  <c:v>Transit Fares</c:v>
                </c:pt>
                <c:pt idx="4">
                  <c:v>Parking</c:v>
                </c:pt>
                <c:pt idx="5">
                  <c:v>Health</c:v>
                </c:pt>
                <c:pt idx="6">
                  <c:v>Safety</c:v>
                </c:pt>
                <c:pt idx="7">
                  <c:v>Air Quality</c:v>
                </c:pt>
              </c:strCache>
            </c:strRef>
          </c:cat>
          <c:val>
            <c:numRef>
              <c:f>Difference!$N$4:$N$11</c:f>
              <c:numCache>
                <c:formatCode>_("$"* #,##0.00_);_("$"* \(#,##0.00\);_("$"* "-"??_);_(@_)</c:formatCode>
                <c:ptCount val="8"/>
                <c:pt idx="0">
                  <c:v>0.81259575311194876</c:v>
                </c:pt>
                <c:pt idx="1">
                  <c:v>6.1064811565760859</c:v>
                </c:pt>
                <c:pt idx="2">
                  <c:v>-9.5892967283748423E-2</c:v>
                </c:pt>
                <c:pt idx="3">
                  <c:v>5.2074214612996134E-2</c:v>
                </c:pt>
                <c:pt idx="4">
                  <c:v>-0.50101317282445768</c:v>
                </c:pt>
                <c:pt idx="5">
                  <c:v>0.48218208301555099</c:v>
                </c:pt>
                <c:pt idx="6">
                  <c:v>-0.10220457318793599</c:v>
                </c:pt>
                <c:pt idx="7">
                  <c:v>-6.8375824976188007E-2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251008"/>
        <c:axId val="84252928"/>
      </c:barChart>
      <c:catAx>
        <c:axId val="8425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8984142607174099"/>
              <c:y val="0.86273148148148149"/>
            </c:manualLayout>
          </c:layout>
          <c:overlay val="0"/>
        </c:title>
        <c:majorTickMark val="none"/>
        <c:minorTickMark val="none"/>
        <c:tickLblPos val="nextTo"/>
        <c:crossAx val="84252928"/>
        <c:crosses val="autoZero"/>
        <c:auto val="1"/>
        <c:lblAlgn val="ctr"/>
        <c:lblOffset val="100"/>
        <c:noMultiLvlLbl val="0"/>
      </c:catAx>
      <c:valAx>
        <c:axId val="84252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Difference in Daily Cost</a:t>
                </a:r>
              </a:p>
            </c:rich>
          </c:tx>
          <c:layout>
            <c:manualLayout>
              <c:xMode val="edge"/>
              <c:yMode val="edge"/>
              <c:x val="0"/>
              <c:y val="0.12058471857684457"/>
            </c:manualLayout>
          </c:layout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425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in </a:t>
            </a:r>
            <a:r>
              <a:rPr lang="en-US"/>
              <a:t>Daily Collisions by Type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Difference!$C$37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Difference!$B$38:$B$40</c:f>
              <c:strCache>
                <c:ptCount val="3"/>
                <c:pt idx="0">
                  <c:v>Injury Collisions</c:v>
                </c:pt>
                <c:pt idx="1">
                  <c:v>Property Damage Collisions</c:v>
                </c:pt>
                <c:pt idx="2">
                  <c:v>Fatality Collisions</c:v>
                </c:pt>
              </c:strCache>
            </c:strRef>
          </c:cat>
          <c:val>
            <c:numRef>
              <c:f>Difference!$C$38:$C$40</c:f>
              <c:numCache>
                <c:formatCode>0</c:formatCode>
                <c:ptCount val="3"/>
                <c:pt idx="0">
                  <c:v>-11.616642119176621</c:v>
                </c:pt>
                <c:pt idx="1">
                  <c:v>-21.352787063655953</c:v>
                </c:pt>
                <c:pt idx="2" formatCode="0.0">
                  <c:v>-0.21510288297268965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12672"/>
        <c:axId val="84423040"/>
      </c:barChart>
      <c:catAx>
        <c:axId val="8441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Collison Category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84423040"/>
        <c:crosses val="autoZero"/>
        <c:auto val="1"/>
        <c:lblAlgn val="ctr"/>
        <c:lblOffset val="100"/>
        <c:noMultiLvlLbl val="0"/>
      </c:catAx>
      <c:valAx>
        <c:axId val="8442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Difference in Collisions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844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Health Benefit </a:t>
            </a:r>
          </a:p>
          <a:p>
            <a:pPr>
              <a:defRPr/>
            </a:pPr>
            <a:r>
              <a:rPr lang="en-US"/>
              <a:t>of Active Transport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HeatResults!$R$4</c:f>
              <c:strCache>
                <c:ptCount val="1"/>
                <c:pt idx="0">
                  <c:v>Walking</c:v>
                </c:pt>
              </c:strCache>
            </c:strRef>
          </c:tx>
          <c:invertIfNegative val="0"/>
          <c:cat>
            <c:strRef>
              <c:f>HeatResults!$Q$8</c:f>
              <c:strCache>
                <c:ptCount val="1"/>
                <c:pt idx="0">
                  <c:v>Health Benefits</c:v>
                </c:pt>
              </c:strCache>
            </c:strRef>
          </c:cat>
          <c:val>
            <c:numRef>
              <c:f>HeatResults!$R$8</c:f>
              <c:numCache>
                <c:formatCode>_("$"* #,##0_);_("$"* \(#,##0\);_("$"* "-"??_);_(@_)</c:formatCode>
                <c:ptCount val="1"/>
                <c:pt idx="0">
                  <c:v>5296600</c:v>
                </c:pt>
              </c:numCache>
            </c:numRef>
          </c:val>
        </c:ser>
        <c:ser>
          <c:idx val="1"/>
          <c:order val="1"/>
          <c:tx>
            <c:strRef>
              <c:f>HeatResults!$S$4</c:f>
              <c:strCache>
                <c:ptCount val="1"/>
                <c:pt idx="0">
                  <c:v>Cycling</c:v>
                </c:pt>
              </c:strCache>
            </c:strRef>
          </c:tx>
          <c:invertIfNegative val="0"/>
          <c:cat>
            <c:strRef>
              <c:f>HeatResults!$Q$8</c:f>
              <c:strCache>
                <c:ptCount val="1"/>
                <c:pt idx="0">
                  <c:v>Health Benefits</c:v>
                </c:pt>
              </c:strCache>
            </c:strRef>
          </c:cat>
          <c:val>
            <c:numRef>
              <c:f>HeatResults!$S$8</c:f>
              <c:numCache>
                <c:formatCode>_("$"* #,##0_);_("$"* \(#,##0\);_("$"* "-"??_);_(@_)</c:formatCode>
                <c:ptCount val="1"/>
                <c:pt idx="0">
                  <c:v>1640146.6666666667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56192"/>
        <c:axId val="84458112"/>
      </c:barChart>
      <c:catAx>
        <c:axId val="8445619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</a:t>
                </a:r>
              </a:p>
            </c:rich>
          </c:tx>
          <c:layout>
            <c:manualLayout>
              <c:xMode val="edge"/>
              <c:yMode val="edge"/>
              <c:x val="0.47064741907261592"/>
              <c:y val="0.89513888888888893"/>
            </c:manualLayout>
          </c:layout>
          <c:overlay val="0"/>
        </c:title>
        <c:majorTickMark val="none"/>
        <c:minorTickMark val="none"/>
        <c:tickLblPos val="nextTo"/>
        <c:crossAx val="84458112"/>
        <c:crosses val="autoZero"/>
        <c:auto val="1"/>
        <c:lblAlgn val="ctr"/>
        <c:lblOffset val="100"/>
        <c:noMultiLvlLbl val="0"/>
      </c:catAx>
      <c:valAx>
        <c:axId val="84458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Health Benefit Improvement from Active Transport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8079870224555264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8445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66675</xdr:rowOff>
    </xdr:from>
    <xdr:to>
      <xdr:col>17</xdr:col>
      <xdr:colOff>304800</xdr:colOff>
      <xdr:row>16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390525</xdr:colOff>
      <xdr:row>19</xdr:row>
      <xdr:rowOff>0</xdr:rowOff>
    </xdr:from>
    <xdr:to>
      <xdr:col>27</xdr:col>
      <xdr:colOff>85725</xdr:colOff>
      <xdr:row>33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542925</xdr:colOff>
      <xdr:row>37</xdr:row>
      <xdr:rowOff>0</xdr:rowOff>
    </xdr:from>
    <xdr:to>
      <xdr:col>8</xdr:col>
      <xdr:colOff>238125</xdr:colOff>
      <xdr:row>51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36</xdr:row>
      <xdr:rowOff>180975</xdr:rowOff>
    </xdr:from>
    <xdr:to>
      <xdr:col>17</xdr:col>
      <xdr:colOff>323850</xdr:colOff>
      <xdr:row>51</xdr:row>
      <xdr:rowOff>66675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381000</xdr:colOff>
      <xdr:row>36</xdr:row>
      <xdr:rowOff>123825</xdr:rowOff>
    </xdr:from>
    <xdr:to>
      <xdr:col>27</xdr:col>
      <xdr:colOff>76200</xdr:colOff>
      <xdr:row>51</xdr:row>
      <xdr:rowOff>9525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571500</xdr:colOff>
      <xdr:row>19</xdr:row>
      <xdr:rowOff>47625</xdr:rowOff>
    </xdr:from>
    <xdr:to>
      <xdr:col>8</xdr:col>
      <xdr:colOff>266700</xdr:colOff>
      <xdr:row>33</xdr:row>
      <xdr:rowOff>123825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581024</xdr:colOff>
      <xdr:row>2</xdr:row>
      <xdr:rowOff>152400</xdr:rowOff>
    </xdr:from>
    <xdr:to>
      <xdr:col>8</xdr:col>
      <xdr:colOff>276224</xdr:colOff>
      <xdr:row>17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19</xdr:row>
      <xdr:rowOff>47625</xdr:rowOff>
    </xdr:from>
    <xdr:to>
      <xdr:col>17</xdr:col>
      <xdr:colOff>314325</xdr:colOff>
      <xdr:row>33</xdr:row>
      <xdr:rowOff>123825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400050</xdr:colOff>
      <xdr:row>2</xdr:row>
      <xdr:rowOff>38100</xdr:rowOff>
    </xdr:from>
    <xdr:to>
      <xdr:col>27</xdr:col>
      <xdr:colOff>95250</xdr:colOff>
      <xdr:row>16</xdr:row>
      <xdr:rowOff>114300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47626</xdr:colOff>
      <xdr:row>2</xdr:row>
      <xdr:rowOff>19051</xdr:rowOff>
    </xdr:from>
    <xdr:to>
      <xdr:col>9</xdr:col>
      <xdr:colOff>228601</xdr:colOff>
      <xdr:row>11</xdr:row>
      <xdr:rowOff>4764</xdr:rowOff>
    </xdr:to>
    <xdr:pic>
      <xdr:nvPicPr>
        <xdr:cNvPr id="5" name="Picture 4" descr="http://blog.recursiveprocess.com/wp-content/uploads/2013/09/cat_with_calculator-600x450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6" y="438151"/>
          <a:ext cx="2381250" cy="1785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47626</xdr:colOff>
      <xdr:row>2</xdr:row>
      <xdr:rowOff>19051</xdr:rowOff>
    </xdr:from>
    <xdr:to>
      <xdr:col>9</xdr:col>
      <xdr:colOff>228601</xdr:colOff>
      <xdr:row>11</xdr:row>
      <xdr:rowOff>4764</xdr:rowOff>
    </xdr:to>
    <xdr:pic>
      <xdr:nvPicPr>
        <xdr:cNvPr id="2" name="Picture 1" descr="http://blog.recursiveprocess.com/wp-content/uploads/2013/09/cat_with_calculator-600x450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6" y="619126"/>
          <a:ext cx="2381250" cy="1785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47626</xdr:colOff>
      <xdr:row>2</xdr:row>
      <xdr:rowOff>19051</xdr:rowOff>
    </xdr:from>
    <xdr:to>
      <xdr:col>9</xdr:col>
      <xdr:colOff>228601</xdr:colOff>
      <xdr:row>10</xdr:row>
      <xdr:rowOff>100014</xdr:rowOff>
    </xdr:to>
    <xdr:pic>
      <xdr:nvPicPr>
        <xdr:cNvPr id="2" name="Picture 1" descr="http://blog.recursiveprocess.com/wp-content/uploads/2013/09/cat_with_calculator-600x450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6" y="619126"/>
          <a:ext cx="2381250" cy="1785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114300</xdr:rowOff>
    </xdr:from>
    <xdr:to>
      <xdr:col>13</xdr:col>
      <xdr:colOff>333375</xdr:colOff>
      <xdr:row>30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685800"/>
          <a:ext cx="8143875" cy="529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27</xdr:row>
      <xdr:rowOff>133350</xdr:rowOff>
    </xdr:from>
    <xdr:to>
      <xdr:col>16</xdr:col>
      <xdr:colOff>31021</xdr:colOff>
      <xdr:row>61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6800850"/>
          <a:ext cx="9784620" cy="642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9525</xdr:rowOff>
    </xdr:from>
    <xdr:to>
      <xdr:col>8</xdr:col>
      <xdr:colOff>304800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57150</xdr:rowOff>
    </xdr:from>
    <xdr:to>
      <xdr:col>8</xdr:col>
      <xdr:colOff>304800</xdr:colOff>
      <xdr:row>33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</xdr:colOff>
      <xdr:row>2</xdr:row>
      <xdr:rowOff>19050</xdr:rowOff>
    </xdr:from>
    <xdr:to>
      <xdr:col>17</xdr:col>
      <xdr:colOff>314324</xdr:colOff>
      <xdr:row>16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19</xdr:row>
      <xdr:rowOff>57150</xdr:rowOff>
    </xdr:from>
    <xdr:to>
      <xdr:col>17</xdr:col>
      <xdr:colOff>314325</xdr:colOff>
      <xdr:row>33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47625</xdr:rowOff>
    </xdr:from>
    <xdr:to>
      <xdr:col>8</xdr:col>
      <xdr:colOff>304800</xdr:colOff>
      <xdr:row>33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</xdr:colOff>
      <xdr:row>2</xdr:row>
      <xdr:rowOff>9525</xdr:rowOff>
    </xdr:from>
    <xdr:to>
      <xdr:col>17</xdr:col>
      <xdr:colOff>314324</xdr:colOff>
      <xdr:row>16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19</xdr:row>
      <xdr:rowOff>47625</xdr:rowOff>
    </xdr:from>
    <xdr:to>
      <xdr:col>17</xdr:col>
      <xdr:colOff>314325</xdr:colOff>
      <xdr:row>33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workbookViewId="0">
      <selection activeCell="J32" sqref="J32"/>
    </sheetView>
  </sheetViews>
  <sheetFormatPr defaultRowHeight="15" x14ac:dyDescent="0.25"/>
  <cols>
    <col min="1" max="16384" width="9.140625" style="15"/>
  </cols>
  <sheetData>
    <row r="1" spans="1:13" s="7" customFormat="1" ht="26.25" thickBot="1" x14ac:dyDescent="0.4">
      <c r="A1" s="4" t="s">
        <v>129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I28" sqref="I28"/>
    </sheetView>
  </sheetViews>
  <sheetFormatPr defaultRowHeight="14.25" x14ac:dyDescent="0.2"/>
  <cols>
    <col min="1" max="1" width="3.7109375" style="10" customWidth="1"/>
    <col min="2" max="2" width="30.85546875" style="81" customWidth="1"/>
    <col min="3" max="3" width="15.140625" style="81" customWidth="1"/>
    <col min="4" max="4" width="15.85546875" style="81" bestFit="1" customWidth="1"/>
    <col min="5" max="5" width="11" style="81" customWidth="1"/>
    <col min="6" max="6" width="12.7109375" style="81" customWidth="1"/>
    <col min="7" max="9" width="11" style="81" customWidth="1"/>
    <col min="10" max="10" width="14.7109375" style="81" bestFit="1" customWidth="1"/>
    <col min="11" max="11" width="4" style="82" customWidth="1"/>
    <col min="12" max="12" width="25.28515625" style="81" customWidth="1"/>
    <col min="13" max="13" width="13.140625" style="81" bestFit="1" customWidth="1"/>
    <col min="14" max="14" width="19.42578125" style="28" customWidth="1"/>
    <col min="15" max="15" width="17.5703125" style="28" customWidth="1"/>
    <col min="16" max="16" width="15.85546875" style="28" bestFit="1" customWidth="1"/>
    <col min="17" max="17" width="4.140625" style="10" customWidth="1"/>
    <col min="18" max="16384" width="9.140625" style="10"/>
  </cols>
  <sheetData>
    <row r="1" spans="1:20" s="7" customFormat="1" ht="26.25" thickBot="1" x14ac:dyDescent="0.4">
      <c r="A1" s="4" t="s">
        <v>21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20" s="8" customFormat="1" ht="21" customHeight="1" thickBot="1" x14ac:dyDescent="0.3">
      <c r="B2" s="9" t="s">
        <v>107</v>
      </c>
      <c r="L2" s="3" t="s">
        <v>109</v>
      </c>
    </row>
    <row r="3" spans="1:20" ht="26.25" x14ac:dyDescent="0.25">
      <c r="B3" s="11" t="s">
        <v>105</v>
      </c>
      <c r="C3" s="12">
        <f>SUM(J15:J20,F24:F27,E38:E40,E44:E48)</f>
        <v>190817461.93365237</v>
      </c>
      <c r="D3" s="13"/>
      <c r="E3" s="10"/>
      <c r="F3" s="14" t="s">
        <v>85</v>
      </c>
      <c r="G3" s="15"/>
      <c r="H3" s="14"/>
      <c r="I3" s="14"/>
      <c r="J3" s="10"/>
      <c r="K3" s="16"/>
      <c r="L3" s="17" t="s">
        <v>96</v>
      </c>
      <c r="M3" s="18" t="s">
        <v>102</v>
      </c>
      <c r="N3" s="19" t="s">
        <v>103</v>
      </c>
      <c r="O3" s="10"/>
      <c r="P3" s="10"/>
    </row>
    <row r="4" spans="1:20" ht="15" x14ac:dyDescent="0.25">
      <c r="B4" s="20" t="s">
        <v>93</v>
      </c>
      <c r="C4" s="21">
        <f>C3/C7</f>
        <v>53.055857849352492</v>
      </c>
      <c r="D4" s="22"/>
      <c r="E4" s="14"/>
      <c r="F4" s="14" t="s">
        <v>84</v>
      </c>
      <c r="G4" s="15"/>
      <c r="H4" s="14"/>
      <c r="I4" s="14"/>
      <c r="J4" s="10"/>
      <c r="K4" s="16"/>
      <c r="L4" s="23" t="s">
        <v>52</v>
      </c>
      <c r="M4" s="24">
        <f>SUM(J15:J20)</f>
        <v>105563670.32374437</v>
      </c>
      <c r="N4" s="25">
        <f>M4/$C$7</f>
        <v>29.351459924039297</v>
      </c>
      <c r="O4" s="10"/>
      <c r="P4" s="10"/>
    </row>
    <row r="5" spans="1:20" x14ac:dyDescent="0.2">
      <c r="B5" s="20" t="s">
        <v>126</v>
      </c>
      <c r="C5" s="126" t="s">
        <v>128</v>
      </c>
      <c r="D5" s="27"/>
      <c r="E5" s="14"/>
      <c r="F5" s="28"/>
      <c r="G5" s="28"/>
      <c r="H5" s="14"/>
      <c r="I5" s="14"/>
      <c r="J5" s="10"/>
      <c r="K5" s="29"/>
      <c r="L5" s="23" t="s">
        <v>99</v>
      </c>
      <c r="M5" s="24">
        <f>F24</f>
        <v>8590766.4820663892</v>
      </c>
      <c r="N5" s="25">
        <f t="shared" ref="N5:N11" si="0">M5/$C$7</f>
        <v>2.3886204159238615</v>
      </c>
      <c r="O5" s="10"/>
      <c r="P5" s="10"/>
    </row>
    <row r="6" spans="1:20" x14ac:dyDescent="0.2">
      <c r="B6" s="20" t="s">
        <v>88</v>
      </c>
      <c r="C6" s="30">
        <f>SUM(M15:M20)</f>
        <v>70.443503817694321</v>
      </c>
      <c r="D6" s="31" t="s">
        <v>106</v>
      </c>
      <c r="E6" s="14"/>
      <c r="F6" s="10"/>
      <c r="G6" s="10"/>
      <c r="H6" s="14"/>
      <c r="I6" s="14"/>
      <c r="J6" s="10"/>
      <c r="K6" s="29"/>
      <c r="L6" s="23" t="s">
        <v>104</v>
      </c>
      <c r="M6" s="24">
        <f>F25</f>
        <v>57875365.5899093</v>
      </c>
      <c r="N6" s="25">
        <f t="shared" si="0"/>
        <v>16.091961074218659</v>
      </c>
      <c r="O6" s="10"/>
      <c r="P6" s="10"/>
    </row>
    <row r="7" spans="1:20" x14ac:dyDescent="0.2">
      <c r="B7" s="20" t="s">
        <v>15</v>
      </c>
      <c r="C7" s="32">
        <f>RawBaseline!C3</f>
        <v>3596539</v>
      </c>
      <c r="D7" s="31"/>
      <c r="E7" s="14"/>
      <c r="F7" s="14"/>
      <c r="G7" s="14"/>
      <c r="H7" s="14"/>
      <c r="I7" s="14"/>
      <c r="J7" s="10"/>
      <c r="K7" s="29"/>
      <c r="L7" s="23" t="s">
        <v>87</v>
      </c>
      <c r="M7" s="24">
        <f>F26</f>
        <v>343689.09700000798</v>
      </c>
      <c r="N7" s="25">
        <f t="shared" si="0"/>
        <v>9.556106495717355E-2</v>
      </c>
      <c r="O7" s="10"/>
      <c r="P7" s="10"/>
    </row>
    <row r="8" spans="1:20" ht="15" thickBot="1" x14ac:dyDescent="0.25">
      <c r="A8" s="33"/>
      <c r="B8" s="34" t="s">
        <v>68</v>
      </c>
      <c r="C8" s="35">
        <f>RawBaseline!B3</f>
        <v>439937</v>
      </c>
      <c r="D8" s="36"/>
      <c r="E8" s="14"/>
      <c r="F8" s="14"/>
      <c r="G8" s="14"/>
      <c r="H8" s="14"/>
      <c r="I8" s="14"/>
      <c r="J8" s="14"/>
      <c r="K8" s="29"/>
      <c r="L8" s="23" t="s">
        <v>97</v>
      </c>
      <c r="M8" s="24">
        <f>F27</f>
        <v>10151946.823307799</v>
      </c>
      <c r="N8" s="25">
        <f t="shared" si="0"/>
        <v>2.8226989400942961</v>
      </c>
      <c r="O8" s="10"/>
      <c r="P8" s="10"/>
    </row>
    <row r="9" spans="1:20" x14ac:dyDescent="0.2">
      <c r="A9" s="33"/>
      <c r="B9" s="3"/>
      <c r="C9" s="37"/>
      <c r="D9" s="37"/>
      <c r="E9" s="26"/>
      <c r="F9" s="14"/>
      <c r="G9" s="14"/>
      <c r="H9" s="14"/>
      <c r="I9" s="14"/>
      <c r="J9" s="14"/>
      <c r="K9" s="29"/>
      <c r="L9" s="23" t="s">
        <v>98</v>
      </c>
      <c r="M9" s="37" t="s">
        <v>127</v>
      </c>
      <c r="N9" s="25"/>
      <c r="P9" s="10"/>
    </row>
    <row r="10" spans="1:20" x14ac:dyDescent="0.2">
      <c r="A10" s="33"/>
      <c r="B10" s="10"/>
      <c r="C10" s="10"/>
      <c r="D10" s="10"/>
      <c r="E10" s="26"/>
      <c r="F10" s="14"/>
      <c r="G10" s="14"/>
      <c r="H10" s="14"/>
      <c r="I10" s="14"/>
      <c r="J10" s="14"/>
      <c r="K10" s="29"/>
      <c r="L10" s="23" t="s">
        <v>100</v>
      </c>
      <c r="M10" s="24">
        <f>SUM(E38:E40)</f>
        <v>5371220.4562855726</v>
      </c>
      <c r="N10" s="25">
        <f t="shared" si="0"/>
        <v>1.4934414603277131</v>
      </c>
      <c r="P10" s="10"/>
    </row>
    <row r="11" spans="1:20" x14ac:dyDescent="0.2">
      <c r="A11" s="33"/>
      <c r="B11" s="10"/>
      <c r="C11" s="10"/>
      <c r="D11" s="10"/>
      <c r="E11" s="26"/>
      <c r="F11" s="14"/>
      <c r="G11" s="14"/>
      <c r="H11" s="14"/>
      <c r="I11" s="14"/>
      <c r="J11" s="14"/>
      <c r="K11" s="29"/>
      <c r="L11" s="38" t="s">
        <v>101</v>
      </c>
      <c r="M11" s="39">
        <f>SUM(E44:E48)</f>
        <v>2920803.1613388965</v>
      </c>
      <c r="N11" s="40">
        <f t="shared" si="0"/>
        <v>0.81211496979148468</v>
      </c>
      <c r="P11" s="10"/>
    </row>
    <row r="12" spans="1:20" x14ac:dyDescent="0.2">
      <c r="A12" s="33"/>
      <c r="B12" s="10"/>
      <c r="C12" s="10"/>
      <c r="D12" s="10"/>
      <c r="E12" s="26"/>
      <c r="F12" s="14"/>
      <c r="G12" s="14"/>
      <c r="H12" s="14"/>
      <c r="I12" s="14"/>
      <c r="J12" s="14"/>
      <c r="K12" s="29"/>
      <c r="L12" s="26"/>
      <c r="M12" s="24"/>
      <c r="N12" s="41"/>
      <c r="P12" s="10"/>
    </row>
    <row r="13" spans="1:20" s="33" customFormat="1" x14ac:dyDescent="0.2">
      <c r="B13" s="3" t="s">
        <v>108</v>
      </c>
      <c r="C13" s="37"/>
      <c r="D13" s="37"/>
      <c r="E13" s="26"/>
      <c r="F13" s="14"/>
      <c r="G13" s="14"/>
      <c r="H13" s="14"/>
      <c r="I13" s="14"/>
      <c r="J13" s="14"/>
      <c r="K13" s="29"/>
      <c r="L13" s="3" t="s">
        <v>110</v>
      </c>
      <c r="P13" s="26"/>
    </row>
    <row r="14" spans="1:20" ht="51" x14ac:dyDescent="0.2">
      <c r="B14" s="42" t="s">
        <v>89</v>
      </c>
      <c r="C14" s="43" t="s">
        <v>117</v>
      </c>
      <c r="D14" s="44" t="s">
        <v>118</v>
      </c>
      <c r="E14" s="44" t="s">
        <v>75</v>
      </c>
      <c r="F14" s="44" t="s">
        <v>83</v>
      </c>
      <c r="G14" s="44" t="s">
        <v>94</v>
      </c>
      <c r="H14" s="44" t="s">
        <v>95</v>
      </c>
      <c r="I14" s="45" t="s">
        <v>17</v>
      </c>
      <c r="J14" s="46" t="s">
        <v>16</v>
      </c>
      <c r="K14" s="47"/>
      <c r="L14" s="42" t="s">
        <v>90</v>
      </c>
      <c r="M14" s="45" t="s">
        <v>119</v>
      </c>
      <c r="N14" s="45" t="s">
        <v>120</v>
      </c>
      <c r="O14" s="45" t="s">
        <v>121</v>
      </c>
      <c r="P14" s="46" t="s">
        <v>122</v>
      </c>
    </row>
    <row r="15" spans="1:20" x14ac:dyDescent="0.2">
      <c r="B15" s="48" t="s">
        <v>61</v>
      </c>
      <c r="C15" s="49">
        <f>SUMIF(RawBaseline!$A$24:$A$30,'Baseline Metrics'!$B15,RawBaseline!$D$24:$D$30)</f>
        <v>2018676.7291772801</v>
      </c>
      <c r="D15" s="50">
        <f>SUMIF(RawBaseline!$A$24:$A$30,'Baseline Metrics'!$B15,RawBaseline!$B$24:$B$30)</f>
        <v>139739.37502232601</v>
      </c>
      <c r="E15" s="50">
        <f>SUMIF(RawBaseline!$B$42:$H$42,'Baseline Metrics'!$B15,RawBaseline!$B$43:$H$43)</f>
        <v>1991517</v>
      </c>
      <c r="F15" s="50">
        <f>SUMIF(RawBaseline!$B$62:$H$62,'Baseline Metrics'!$B15,RawBaseline!$B$63:$H$63)</f>
        <v>169147</v>
      </c>
      <c r="G15" s="51">
        <f>E15/$C$7</f>
        <v>0.55373151799549514</v>
      </c>
      <c r="H15" s="51">
        <f>F15/$C$8</f>
        <v>0.3844800505526928</v>
      </c>
      <c r="I15" s="52">
        <v>25</v>
      </c>
      <c r="J15" s="53">
        <f t="shared" ref="J15:J20" si="1">C15*I15</f>
        <v>50466918.229432002</v>
      </c>
      <c r="K15" s="54"/>
      <c r="L15" s="55" t="s">
        <v>61</v>
      </c>
      <c r="M15" s="56">
        <f t="shared" ref="M15:M20" si="2">C15/$C$7*$R$15</f>
        <v>33.676988835832674</v>
      </c>
      <c r="N15" s="57">
        <f t="shared" ref="N15:N20" si="3">D15/$C$8*$R$15</f>
        <v>19.058098094362514</v>
      </c>
      <c r="O15" s="58">
        <f t="shared" ref="O15:P20" si="4">C15/E15*60</f>
        <v>60.818262535864264</v>
      </c>
      <c r="P15" s="59">
        <f t="shared" si="4"/>
        <v>49.568496641025618</v>
      </c>
      <c r="R15" s="28">
        <v>60</v>
      </c>
      <c r="S15" s="28" t="s">
        <v>67</v>
      </c>
      <c r="T15" s="14"/>
    </row>
    <row r="16" spans="1:20" x14ac:dyDescent="0.2">
      <c r="B16" s="48" t="s">
        <v>59</v>
      </c>
      <c r="C16" s="60">
        <f>SUMIF(RawBaseline!$A$24:$A$30,'Baseline Metrics'!B16,RawBaseline!$D$24:$D$30)</f>
        <v>778804.26832954597</v>
      </c>
      <c r="D16" s="61">
        <f>SUMIF(RawBaseline!$A$24:$A$30,'Baseline Metrics'!$B16,RawBaseline!$B$24:$B$30)</f>
        <v>79644.664858888995</v>
      </c>
      <c r="E16" s="61">
        <f>SUMIF(RawBaseline!$B$42:$H$42,'Baseline Metrics'!$B16,RawBaseline!$B$43:$H$43)</f>
        <v>1411362</v>
      </c>
      <c r="F16" s="61">
        <f>SUMIF(RawBaseline!$B$62:$H$62,'Baseline Metrics'!$B16,RawBaseline!$B$63:$H$63)</f>
        <v>147760</v>
      </c>
      <c r="G16" s="62">
        <f t="shared" ref="G16:G20" si="5">E16/$C$7</f>
        <v>0.39242227041052524</v>
      </c>
      <c r="H16" s="62">
        <f t="shared" ref="H16:H20" si="6">F16/$C$8</f>
        <v>0.33586627176163858</v>
      </c>
      <c r="I16" s="63">
        <v>25</v>
      </c>
      <c r="J16" s="64">
        <f t="shared" si="1"/>
        <v>19470106.70823865</v>
      </c>
      <c r="K16" s="54"/>
      <c r="L16" s="55" t="s">
        <v>59</v>
      </c>
      <c r="M16" s="65">
        <f t="shared" si="2"/>
        <v>12.992562043612695</v>
      </c>
      <c r="N16" s="30">
        <f t="shared" si="3"/>
        <v>10.862191385433233</v>
      </c>
      <c r="O16" s="66">
        <f t="shared" si="4"/>
        <v>33.108625639469359</v>
      </c>
      <c r="P16" s="67">
        <f t="shared" si="4"/>
        <v>32.340822222071871</v>
      </c>
    </row>
    <row r="17" spans="2:16" x14ac:dyDescent="0.2">
      <c r="B17" s="48" t="s">
        <v>60</v>
      </c>
      <c r="C17" s="60">
        <f>SUMIF(RawBaseline!$A$24:$A$30,'Baseline Metrics'!B17,RawBaseline!$D$24:$D$30)</f>
        <v>649827.74711748201</v>
      </c>
      <c r="D17" s="61">
        <f>SUMIF(RawBaseline!$A$24:$A$30,'Baseline Metrics'!$B17,RawBaseline!$B$24:$B$30)</f>
        <v>50174.221704896903</v>
      </c>
      <c r="E17" s="61">
        <f>SUMIF(RawBaseline!$B$42:$H$42,'Baseline Metrics'!$B17,RawBaseline!$B$43:$H$43)</f>
        <v>1037976</v>
      </c>
      <c r="F17" s="61">
        <f>SUMIF(RawBaseline!$B$62:$H$62,'Baseline Metrics'!$B17,RawBaseline!$B$63:$H$63)</f>
        <v>86538</v>
      </c>
      <c r="G17" s="62">
        <f t="shared" si="5"/>
        <v>0.28860412746810199</v>
      </c>
      <c r="H17" s="62">
        <f t="shared" si="6"/>
        <v>0.19670543736944154</v>
      </c>
      <c r="I17" s="63">
        <v>25</v>
      </c>
      <c r="J17" s="64">
        <f t="shared" si="1"/>
        <v>16245693.677937049</v>
      </c>
      <c r="K17" s="54"/>
      <c r="L17" s="55" t="s">
        <v>60</v>
      </c>
      <c r="M17" s="65">
        <f t="shared" si="2"/>
        <v>10.840884758110207</v>
      </c>
      <c r="N17" s="30">
        <f t="shared" si="3"/>
        <v>6.8429191049941567</v>
      </c>
      <c r="O17" s="66">
        <f t="shared" si="4"/>
        <v>37.563166033751187</v>
      </c>
      <c r="P17" s="67">
        <f t="shared" si="4"/>
        <v>34.787645916173403</v>
      </c>
    </row>
    <row r="18" spans="2:16" x14ac:dyDescent="0.2">
      <c r="B18" s="48" t="s">
        <v>63</v>
      </c>
      <c r="C18" s="60">
        <f>SUMIF(RawBaseline!$A$24:$A$30,'Baseline Metrics'!B18,RawBaseline!$D$24:$D$30)</f>
        <v>266855.12199998403</v>
      </c>
      <c r="D18" s="61">
        <f>SUMIF(RawBaseline!$A$24:$A$30,'Baseline Metrics'!$B18,RawBaseline!$B$24:$B$30)</f>
        <v>55902.4481666668</v>
      </c>
      <c r="E18" s="61">
        <f>SUMIF(RawBaseline!$B$42:$H$42,'Baseline Metrics'!$B18,RawBaseline!$B$43:$H$43)</f>
        <v>203525</v>
      </c>
      <c r="F18" s="61">
        <f>SUMIF(RawBaseline!$B$62:$H$62,'Baseline Metrics'!$B18,RawBaseline!$B$63:$H$63)</f>
        <v>42404</v>
      </c>
      <c r="G18" s="62">
        <f t="shared" si="5"/>
        <v>5.6589126379555453E-2</v>
      </c>
      <c r="H18" s="62">
        <f t="shared" si="6"/>
        <v>9.6386528071064723E-2</v>
      </c>
      <c r="I18" s="63">
        <v>25</v>
      </c>
      <c r="J18" s="64">
        <f t="shared" si="1"/>
        <v>6671378.0499996003</v>
      </c>
      <c r="K18" s="54"/>
      <c r="L18" s="55" t="s">
        <v>63</v>
      </c>
      <c r="M18" s="65">
        <f t="shared" si="2"/>
        <v>4.4518653405396247</v>
      </c>
      <c r="N18" s="30">
        <f t="shared" si="3"/>
        <v>7.6241527536897502</v>
      </c>
      <c r="O18" s="66">
        <f t="shared" si="4"/>
        <v>78.669978233627518</v>
      </c>
      <c r="P18" s="67">
        <f t="shared" si="4"/>
        <v>79.099775728705026</v>
      </c>
    </row>
    <row r="19" spans="2:16" x14ac:dyDescent="0.2">
      <c r="B19" s="48" t="s">
        <v>64</v>
      </c>
      <c r="C19" s="60">
        <f>SUMIF(RawBaseline!$A$24:$A$30,'Baseline Metrics'!B19,RawBaseline!$D$24:$D$30)</f>
        <v>477346.91556607798</v>
      </c>
      <c r="D19" s="61">
        <f>SUMIF(RawBaseline!$A$24:$A$30,'Baseline Metrics'!$B19,RawBaseline!$B$24:$B$30)</f>
        <v>88930.7968362213</v>
      </c>
      <c r="E19" s="61">
        <f>SUMIF(RawBaseline!$B$42:$H$42,'Baseline Metrics'!$B19,RawBaseline!$B$43:$H$43)</f>
        <v>476471</v>
      </c>
      <c r="F19" s="61">
        <f>SUMIF(RawBaseline!$B$62:$H$62,'Baseline Metrics'!$B19,RawBaseline!$B$63:$H$63)</f>
        <v>84166</v>
      </c>
      <c r="G19" s="62">
        <f t="shared" si="5"/>
        <v>0.13248042076006961</v>
      </c>
      <c r="H19" s="62">
        <f t="shared" si="6"/>
        <v>0.19131375628783212</v>
      </c>
      <c r="I19" s="63">
        <v>25</v>
      </c>
      <c r="J19" s="64">
        <f t="shared" si="1"/>
        <v>11933672.889151949</v>
      </c>
      <c r="K19" s="54"/>
      <c r="L19" s="55" t="s">
        <v>64</v>
      </c>
      <c r="M19" s="65">
        <f t="shared" si="2"/>
        <v>7.9634378868030282</v>
      </c>
      <c r="N19" s="30">
        <f t="shared" si="3"/>
        <v>12.128663445387131</v>
      </c>
      <c r="O19" s="66">
        <f t="shared" si="4"/>
        <v>60.110300383369982</v>
      </c>
      <c r="P19" s="67">
        <f t="shared" si="4"/>
        <v>63.396713758207326</v>
      </c>
    </row>
    <row r="20" spans="2:16" x14ac:dyDescent="0.2">
      <c r="B20" s="68" t="s">
        <v>58</v>
      </c>
      <c r="C20" s="69">
        <f>SUMIF(RawBaseline!$A$24:$A$30,'Baseline Metrics'!B20,RawBaseline!$D$24:$D$30)</f>
        <v>31036.030759405701</v>
      </c>
      <c r="D20" s="70">
        <f>SUMIF(RawBaseline!$A$24:$A$30,'Baseline Metrics'!$B20,RawBaseline!$B$24:$B$30)</f>
        <v>7109.3169051744599</v>
      </c>
      <c r="E20" s="70">
        <f>SUMIF(RawBaseline!$B$42:$H$42,'Baseline Metrics'!$B20,RawBaseline!$B$43:$H$43)</f>
        <v>50755</v>
      </c>
      <c r="F20" s="70">
        <f>SUMIF(RawBaseline!$B$62:$H$62,'Baseline Metrics'!$B20,RawBaseline!$B$63:$H$63)</f>
        <v>10471</v>
      </c>
      <c r="G20" s="71">
        <f t="shared" si="5"/>
        <v>1.4112178402625413E-2</v>
      </c>
      <c r="H20" s="71">
        <f t="shared" si="6"/>
        <v>2.3801135162534636E-2</v>
      </c>
      <c r="I20" s="72">
        <v>25</v>
      </c>
      <c r="J20" s="73">
        <f t="shared" si="1"/>
        <v>775900.76898514258</v>
      </c>
      <c r="K20" s="54"/>
      <c r="L20" s="74" t="s">
        <v>58</v>
      </c>
      <c r="M20" s="75">
        <f t="shared" si="2"/>
        <v>0.51776495279610257</v>
      </c>
      <c r="N20" s="76">
        <f t="shared" si="3"/>
        <v>0.96959113307238898</v>
      </c>
      <c r="O20" s="77">
        <f t="shared" si="4"/>
        <v>36.689229545155001</v>
      </c>
      <c r="P20" s="78">
        <f t="shared" si="4"/>
        <v>40.737180241664369</v>
      </c>
    </row>
    <row r="21" spans="2:16" x14ac:dyDescent="0.2">
      <c r="B21" s="79"/>
      <c r="C21" s="61"/>
      <c r="D21" s="61"/>
      <c r="E21" s="61"/>
      <c r="F21" s="61"/>
      <c r="G21" s="62"/>
      <c r="H21" s="62"/>
      <c r="I21" s="63"/>
      <c r="J21" s="80"/>
      <c r="K21" s="54"/>
      <c r="N21" s="30"/>
      <c r="O21" s="66"/>
      <c r="P21" s="66"/>
    </row>
    <row r="22" spans="2:16" x14ac:dyDescent="0.2">
      <c r="B22" s="3" t="s">
        <v>111</v>
      </c>
      <c r="L22" s="3" t="s">
        <v>112</v>
      </c>
      <c r="N22" s="81"/>
    </row>
    <row r="23" spans="2:16" ht="25.5" x14ac:dyDescent="0.2">
      <c r="B23" s="83" t="s">
        <v>91</v>
      </c>
      <c r="C23" s="84" t="s">
        <v>1</v>
      </c>
      <c r="D23" s="45" t="s">
        <v>2</v>
      </c>
      <c r="E23" s="45" t="s">
        <v>17</v>
      </c>
      <c r="F23" s="46" t="s">
        <v>16</v>
      </c>
      <c r="G23" s="28"/>
      <c r="L23" s="83" t="s">
        <v>134</v>
      </c>
      <c r="M23" s="45" t="s">
        <v>92</v>
      </c>
      <c r="N23" s="45" t="s">
        <v>50</v>
      </c>
      <c r="O23" s="45" t="s">
        <v>70</v>
      </c>
      <c r="P23" s="46" t="s">
        <v>71</v>
      </c>
    </row>
    <row r="24" spans="2:16" x14ac:dyDescent="0.2">
      <c r="B24" s="55" t="s">
        <v>0</v>
      </c>
      <c r="C24" s="85">
        <f>SUM(RawBaseline!C25:C27)</f>
        <v>8590766.4820663892</v>
      </c>
      <c r="D24" s="86">
        <f>SUM(RawBaseline!E25:E27)</f>
        <v>631424.90400907397</v>
      </c>
      <c r="E24" s="52" t="s">
        <v>86</v>
      </c>
      <c r="F24" s="53">
        <f>C24</f>
        <v>8590766.4820663892</v>
      </c>
      <c r="G24" s="28"/>
      <c r="J24" s="87"/>
      <c r="L24" s="55" t="s">
        <v>0</v>
      </c>
      <c r="M24" s="88">
        <f>C24/$C$7</f>
        <v>2.3886204159238615</v>
      </c>
      <c r="N24" s="89">
        <f>D24/$C$8</f>
        <v>1.4352621034581632</v>
      </c>
      <c r="O24" s="90">
        <f>C24/E15</f>
        <v>4.3136797135381668</v>
      </c>
      <c r="P24" s="91">
        <f>D24/F15</f>
        <v>3.7329949925749437</v>
      </c>
    </row>
    <row r="25" spans="2:16" x14ac:dyDescent="0.2">
      <c r="B25" s="55" t="s">
        <v>22</v>
      </c>
      <c r="C25" s="60">
        <f>F25/E25</f>
        <v>2755969.789995681</v>
      </c>
      <c r="D25" s="61">
        <f>RawBaseline!C84/'Baseline Metrics'!E25</f>
        <v>267263.59761901473</v>
      </c>
      <c r="E25" s="63">
        <v>21</v>
      </c>
      <c r="F25" s="92">
        <f>RawBaseline!C83</f>
        <v>57875365.5899093</v>
      </c>
      <c r="G25" s="28"/>
      <c r="L25" s="55" t="s">
        <v>22</v>
      </c>
      <c r="M25" s="93">
        <f>C25/C7</f>
        <v>0.76628386067707899</v>
      </c>
      <c r="N25" s="94">
        <f>D25/C8</f>
        <v>0.60750425087913662</v>
      </c>
      <c r="O25" s="26"/>
      <c r="P25" s="95"/>
    </row>
    <row r="26" spans="2:16" x14ac:dyDescent="0.2">
      <c r="B26" s="55" t="s">
        <v>87</v>
      </c>
      <c r="C26" s="96">
        <f>RawBaseline!C29</f>
        <v>343689.09700000798</v>
      </c>
      <c r="D26" s="80">
        <f>RawBaseline!E29</f>
        <v>50639.096000000602</v>
      </c>
      <c r="E26" s="63" t="s">
        <v>86</v>
      </c>
      <c r="F26" s="64">
        <f>C26</f>
        <v>343689.09700000798</v>
      </c>
      <c r="G26" s="28"/>
      <c r="L26" s="55" t="s">
        <v>69</v>
      </c>
      <c r="M26" s="97">
        <f>C26/$C$7</f>
        <v>9.556106495717355E-2</v>
      </c>
      <c r="N26" s="41">
        <f>D26/$C$8</f>
        <v>0.11510533553668048</v>
      </c>
      <c r="O26" s="98">
        <f>C26/E18</f>
        <v>1.6886824567006902</v>
      </c>
      <c r="P26" s="95"/>
    </row>
    <row r="27" spans="2:16" x14ac:dyDescent="0.2">
      <c r="B27" s="74" t="s">
        <v>14</v>
      </c>
      <c r="C27" s="99">
        <f>RawBaseline!C85</f>
        <v>10151946.823307799</v>
      </c>
      <c r="D27" s="100">
        <f>RawBaseline!C86</f>
        <v>668296.68320000102</v>
      </c>
      <c r="E27" s="72" t="s">
        <v>86</v>
      </c>
      <c r="F27" s="73">
        <f>C27</f>
        <v>10151946.823307799</v>
      </c>
      <c r="G27" s="28"/>
      <c r="L27" s="74" t="s">
        <v>14</v>
      </c>
      <c r="M27" s="101">
        <f>C27/$C$7</f>
        <v>2.8226989400942961</v>
      </c>
      <c r="N27" s="102">
        <f>D27/$C$8</f>
        <v>1.519073601902093</v>
      </c>
      <c r="O27" s="103">
        <f>C27/E15</f>
        <v>5.0975948602536656</v>
      </c>
      <c r="P27" s="104">
        <f>D27/F15</f>
        <v>3.9509815911603576</v>
      </c>
    </row>
    <row r="29" spans="2:16" x14ac:dyDescent="0.2">
      <c r="B29" s="3" t="s">
        <v>113</v>
      </c>
    </row>
    <row r="30" spans="2:16" ht="38.25" x14ac:dyDescent="0.2">
      <c r="B30" s="42" t="s">
        <v>18</v>
      </c>
      <c r="C30" s="45" t="s">
        <v>1</v>
      </c>
      <c r="D30" s="45" t="s">
        <v>2</v>
      </c>
      <c r="E30" s="45" t="s">
        <v>73</v>
      </c>
      <c r="F30" s="46" t="s">
        <v>74</v>
      </c>
      <c r="G30" s="28"/>
      <c r="H30" s="28"/>
      <c r="I30" s="28"/>
      <c r="J30" s="28"/>
      <c r="K30" s="54"/>
      <c r="L30" s="10"/>
      <c r="M30" s="10"/>
      <c r="N30" s="10"/>
      <c r="O30" s="10"/>
      <c r="P30" s="10"/>
    </row>
    <row r="31" spans="2:16" ht="25.5" x14ac:dyDescent="0.2">
      <c r="B31" s="55" t="s">
        <v>51</v>
      </c>
      <c r="C31" s="105">
        <f>O19</f>
        <v>60.110300383369982</v>
      </c>
      <c r="D31" s="66">
        <f>P19</f>
        <v>63.396713758207326</v>
      </c>
      <c r="E31" s="79"/>
      <c r="F31" s="106"/>
      <c r="G31" s="28"/>
      <c r="H31" s="28"/>
      <c r="I31" s="28"/>
      <c r="J31" s="28"/>
      <c r="K31" s="54"/>
      <c r="L31" s="10"/>
      <c r="M31" s="10"/>
      <c r="N31" s="10"/>
      <c r="O31" s="10"/>
      <c r="P31" s="10"/>
    </row>
    <row r="32" spans="2:16" x14ac:dyDescent="0.2">
      <c r="B32" s="55" t="s">
        <v>11</v>
      </c>
      <c r="C32" s="61">
        <f>E19</f>
        <v>476471</v>
      </c>
      <c r="D32" s="61">
        <f>F19</f>
        <v>84166</v>
      </c>
      <c r="E32" s="107">
        <f>G19</f>
        <v>0.13248042076006961</v>
      </c>
      <c r="F32" s="108">
        <f>H19</f>
        <v>0.19131375628783212</v>
      </c>
      <c r="G32" s="28"/>
      <c r="H32" s="28"/>
      <c r="I32" s="28"/>
      <c r="J32" s="28"/>
      <c r="K32" s="54"/>
      <c r="L32" s="10"/>
      <c r="M32" s="10"/>
      <c r="N32" s="10"/>
      <c r="O32" s="10"/>
      <c r="P32" s="10"/>
    </row>
    <row r="33" spans="2:16" x14ac:dyDescent="0.2">
      <c r="B33" s="55" t="s">
        <v>12</v>
      </c>
      <c r="C33" s="105">
        <f>O20</f>
        <v>36.689229545155001</v>
      </c>
      <c r="D33" s="66">
        <f>P20</f>
        <v>40.737180241664369</v>
      </c>
      <c r="E33" s="79"/>
      <c r="F33" s="106"/>
      <c r="G33" s="28"/>
      <c r="H33" s="28"/>
      <c r="I33" s="28"/>
      <c r="J33" s="28"/>
      <c r="K33" s="54"/>
      <c r="L33" s="10"/>
      <c r="M33" s="10"/>
      <c r="N33" s="10"/>
      <c r="O33" s="10"/>
      <c r="P33" s="10"/>
    </row>
    <row r="34" spans="2:16" x14ac:dyDescent="0.2">
      <c r="B34" s="74" t="s">
        <v>13</v>
      </c>
      <c r="C34" s="70">
        <f>E20</f>
        <v>50755</v>
      </c>
      <c r="D34" s="70">
        <f>F20</f>
        <v>10471</v>
      </c>
      <c r="E34" s="109">
        <f>G20</f>
        <v>1.4112178402625413E-2</v>
      </c>
      <c r="F34" s="110">
        <f>H20</f>
        <v>2.3801135162534636E-2</v>
      </c>
      <c r="G34" s="28"/>
      <c r="H34" s="28"/>
      <c r="I34" s="28"/>
      <c r="J34" s="28"/>
      <c r="K34" s="54"/>
      <c r="L34" s="10"/>
      <c r="M34" s="10"/>
      <c r="N34" s="10"/>
      <c r="O34" s="10"/>
      <c r="P34" s="10"/>
    </row>
    <row r="36" spans="2:16" x14ac:dyDescent="0.2">
      <c r="B36" s="3" t="s">
        <v>114</v>
      </c>
    </row>
    <row r="37" spans="2:16" ht="25.5" x14ac:dyDescent="0.2">
      <c r="B37" s="42" t="s">
        <v>20</v>
      </c>
      <c r="C37" s="45" t="s">
        <v>1</v>
      </c>
      <c r="D37" s="45" t="s">
        <v>17</v>
      </c>
      <c r="E37" s="46" t="s">
        <v>16</v>
      </c>
      <c r="G37" s="79"/>
      <c r="H37" s="79"/>
      <c r="I37" s="28"/>
      <c r="J37" s="28"/>
      <c r="K37" s="54"/>
      <c r="L37" s="28"/>
      <c r="M37" s="28"/>
    </row>
    <row r="38" spans="2:16" x14ac:dyDescent="0.2">
      <c r="B38" s="55" t="s">
        <v>3</v>
      </c>
      <c r="C38" s="66">
        <f>SUM(RawBaseline!H163:H166)</f>
        <v>42.400658658478804</v>
      </c>
      <c r="D38" s="63">
        <v>75500</v>
      </c>
      <c r="E38" s="64">
        <f>D38*C38</f>
        <v>3201249.7287151497</v>
      </c>
      <c r="F38" s="28"/>
      <c r="G38" s="28"/>
      <c r="H38" s="28"/>
      <c r="I38" s="28"/>
      <c r="J38" s="28"/>
      <c r="K38" s="54"/>
      <c r="L38" s="28"/>
      <c r="M38" s="28"/>
      <c r="N38" s="10"/>
      <c r="O38" s="10"/>
      <c r="P38" s="10"/>
    </row>
    <row r="39" spans="2:16" x14ac:dyDescent="0.2">
      <c r="B39" s="55" t="s">
        <v>4</v>
      </c>
      <c r="C39" s="66">
        <f>SUM(RawBaseline!G163:G166)</f>
        <v>80.180647954959653</v>
      </c>
      <c r="D39" s="63">
        <v>2600</v>
      </c>
      <c r="E39" s="64">
        <f>D39*C39</f>
        <v>208469.68468289511</v>
      </c>
      <c r="F39" s="28"/>
      <c r="G39" s="28"/>
      <c r="H39" s="28"/>
      <c r="I39" s="28"/>
      <c r="J39" s="28"/>
      <c r="K39" s="54"/>
      <c r="L39" s="28"/>
      <c r="M39" s="28"/>
      <c r="N39" s="10"/>
      <c r="O39" s="10"/>
      <c r="P39" s="10"/>
    </row>
    <row r="40" spans="2:16" x14ac:dyDescent="0.2">
      <c r="B40" s="74" t="s">
        <v>5</v>
      </c>
      <c r="C40" s="111">
        <f>SUM(RawBaseline!I163:I166)</f>
        <v>0.78460041715501128</v>
      </c>
      <c r="D40" s="100">
        <f>2500000</f>
        <v>2500000</v>
      </c>
      <c r="E40" s="73">
        <f>D40*C40</f>
        <v>1961501.0428875282</v>
      </c>
      <c r="F40" s="28"/>
      <c r="G40" s="28"/>
      <c r="H40" s="28"/>
      <c r="I40" s="28"/>
      <c r="J40" s="28"/>
      <c r="K40" s="54"/>
      <c r="L40" s="28"/>
      <c r="M40" s="28"/>
      <c r="N40" s="10"/>
      <c r="O40" s="10"/>
      <c r="P40" s="10"/>
    </row>
    <row r="41" spans="2:16" x14ac:dyDescent="0.2">
      <c r="B41" s="79"/>
      <c r="C41" s="105"/>
      <c r="D41" s="80"/>
      <c r="E41" s="80"/>
      <c r="F41" s="28"/>
      <c r="G41" s="28"/>
      <c r="H41" s="28"/>
      <c r="I41" s="28"/>
      <c r="J41" s="28"/>
      <c r="K41" s="54"/>
      <c r="L41" s="28"/>
      <c r="M41" s="28"/>
      <c r="N41" s="10"/>
      <c r="O41" s="10"/>
      <c r="P41" s="10"/>
    </row>
    <row r="42" spans="2:16" x14ac:dyDescent="0.2">
      <c r="B42" s="3" t="s">
        <v>116</v>
      </c>
    </row>
    <row r="43" spans="2:16" ht="25.5" x14ac:dyDescent="0.2">
      <c r="B43" s="112" t="s">
        <v>72</v>
      </c>
      <c r="C43" s="44" t="s">
        <v>1</v>
      </c>
      <c r="D43" s="44" t="s">
        <v>17</v>
      </c>
      <c r="E43" s="113" t="s">
        <v>16</v>
      </c>
      <c r="G43" s="79"/>
      <c r="H43" s="79"/>
      <c r="I43" s="28"/>
      <c r="J43" s="28"/>
      <c r="K43" s="54"/>
      <c r="L43" s="28"/>
      <c r="M43" s="28"/>
    </row>
    <row r="44" spans="2:16" x14ac:dyDescent="0.2">
      <c r="B44" s="55" t="s">
        <v>6</v>
      </c>
      <c r="C44" s="66">
        <f>SUM(RawBaseline!B123:E123)</f>
        <v>35356.349408782829</v>
      </c>
      <c r="D44" s="114">
        <v>55.34</v>
      </c>
      <c r="E44" s="64">
        <f>D44*C44</f>
        <v>1956620.3762820419</v>
      </c>
      <c r="G44" s="79"/>
      <c r="H44" s="79"/>
      <c r="I44" s="28"/>
      <c r="J44" s="28"/>
      <c r="K44" s="54"/>
      <c r="L44" s="28"/>
      <c r="M44" s="28"/>
    </row>
    <row r="45" spans="2:16" x14ac:dyDescent="0.2">
      <c r="B45" s="55" t="s">
        <v>7</v>
      </c>
      <c r="C45" s="66">
        <f>SUM(RawBaseline!B124:E124)</f>
        <v>1007.9958512760055</v>
      </c>
      <c r="D45" s="114">
        <v>380</v>
      </c>
      <c r="E45" s="64">
        <f>D45*C45</f>
        <v>383038.42348488211</v>
      </c>
      <c r="G45" s="79"/>
      <c r="H45" s="79"/>
      <c r="I45" s="28"/>
      <c r="J45" s="28"/>
      <c r="K45" s="54"/>
      <c r="L45" s="28"/>
      <c r="M45" s="28"/>
    </row>
    <row r="46" spans="2:16" x14ac:dyDescent="0.2">
      <c r="B46" s="55" t="s">
        <v>8</v>
      </c>
      <c r="C46" s="66">
        <f>SUM(RawBaseline!B125:E125)</f>
        <v>31.943490089540237</v>
      </c>
      <c r="D46" s="114">
        <v>9800</v>
      </c>
      <c r="E46" s="64">
        <f>D46*C46</f>
        <v>313046.20287749433</v>
      </c>
      <c r="G46" s="79"/>
      <c r="H46" s="79"/>
      <c r="I46" s="28"/>
      <c r="J46" s="28"/>
      <c r="K46" s="54"/>
      <c r="L46" s="28"/>
      <c r="M46" s="28"/>
    </row>
    <row r="47" spans="2:16" x14ac:dyDescent="0.2">
      <c r="B47" s="55" t="s">
        <v>9</v>
      </c>
      <c r="C47" s="66">
        <f>SUM(RawBaseline!B126:E126)</f>
        <v>0.94472975398563142</v>
      </c>
      <c r="D47" s="114">
        <v>7800</v>
      </c>
      <c r="E47" s="64">
        <f>D47*C47</f>
        <v>7368.8920810879254</v>
      </c>
      <c r="G47" s="79"/>
      <c r="H47" s="79"/>
      <c r="I47" s="28"/>
      <c r="J47" s="28"/>
      <c r="K47" s="54"/>
      <c r="L47" s="28"/>
      <c r="M47" s="28"/>
    </row>
    <row r="48" spans="2:16" x14ac:dyDescent="0.2">
      <c r="B48" s="74" t="s">
        <v>10</v>
      </c>
      <c r="C48" s="77">
        <f>SUM(RawBaseline!B127:E127)</f>
        <v>40.112194863598447</v>
      </c>
      <c r="D48" s="115">
        <v>6500</v>
      </c>
      <c r="E48" s="73">
        <f>D48*C48</f>
        <v>260729.26661338989</v>
      </c>
      <c r="G48" s="79"/>
      <c r="H48" s="79"/>
      <c r="I48" s="28"/>
      <c r="J48" s="28"/>
      <c r="K48" s="54"/>
      <c r="L48" s="28"/>
      <c r="M48" s="28"/>
    </row>
    <row r="49" spans="2:16" x14ac:dyDescent="0.2">
      <c r="B49" s="79"/>
      <c r="C49" s="79"/>
      <c r="D49" s="79"/>
      <c r="E49" s="79"/>
      <c r="F49" s="79"/>
      <c r="G49" s="79"/>
      <c r="H49" s="79"/>
      <c r="I49" s="28"/>
      <c r="J49" s="28"/>
      <c r="K49" s="54"/>
      <c r="L49" s="28"/>
      <c r="M49" s="28"/>
    </row>
    <row r="50" spans="2:16" s="116" customFormat="1" x14ac:dyDescent="0.2">
      <c r="B50" s="3" t="s">
        <v>115</v>
      </c>
      <c r="C50" s="14"/>
      <c r="D50" s="14"/>
      <c r="E50" s="14"/>
      <c r="F50" s="14"/>
      <c r="G50" s="14"/>
      <c r="H50" s="14"/>
      <c r="I50" s="14"/>
      <c r="J50" s="14"/>
      <c r="K50" s="29"/>
      <c r="L50" s="14"/>
      <c r="M50" s="14"/>
      <c r="N50" s="117"/>
      <c r="O50" s="117"/>
      <c r="P50" s="117"/>
    </row>
    <row r="51" spans="2:16" ht="25.5" x14ac:dyDescent="0.2">
      <c r="B51" s="42" t="s">
        <v>19</v>
      </c>
      <c r="C51" s="84" t="s">
        <v>1</v>
      </c>
      <c r="D51" s="45"/>
      <c r="E51" s="45" t="s">
        <v>17</v>
      </c>
      <c r="F51" s="46" t="s">
        <v>16</v>
      </c>
      <c r="G51" s="79"/>
      <c r="H51" s="79"/>
    </row>
    <row r="52" spans="2:16" x14ac:dyDescent="0.2">
      <c r="B52" s="55" t="s">
        <v>52</v>
      </c>
      <c r="C52" s="79"/>
      <c r="D52" s="79"/>
      <c r="E52" s="79"/>
      <c r="F52" s="106"/>
      <c r="G52" s="79"/>
      <c r="H52" s="79"/>
    </row>
    <row r="53" spans="2:16" x14ac:dyDescent="0.2">
      <c r="B53" s="55" t="s">
        <v>0</v>
      </c>
      <c r="C53" s="79"/>
      <c r="D53" s="79"/>
      <c r="E53" s="79"/>
      <c r="F53" s="106"/>
      <c r="G53" s="79"/>
      <c r="H53" s="79"/>
    </row>
    <row r="54" spans="2:16" x14ac:dyDescent="0.2">
      <c r="B54" s="74" t="s">
        <v>14</v>
      </c>
      <c r="C54" s="118"/>
      <c r="D54" s="118"/>
      <c r="E54" s="118"/>
      <c r="F54" s="119"/>
      <c r="G54" s="79"/>
      <c r="H54" s="79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C24" sqref="C24"/>
    </sheetView>
  </sheetViews>
  <sheetFormatPr defaultRowHeight="14.25" x14ac:dyDescent="0.2"/>
  <cols>
    <col min="1" max="1" width="4.140625" style="10" customWidth="1"/>
    <col min="2" max="2" width="30.85546875" style="81" customWidth="1"/>
    <col min="3" max="3" width="15.140625" style="81" customWidth="1"/>
    <col min="4" max="4" width="15.85546875" style="81" bestFit="1" customWidth="1"/>
    <col min="5" max="5" width="11" style="81" customWidth="1"/>
    <col min="6" max="6" width="12.7109375" style="81" customWidth="1"/>
    <col min="7" max="9" width="11" style="81" customWidth="1"/>
    <col min="10" max="10" width="14.7109375" style="81" bestFit="1" customWidth="1"/>
    <col min="11" max="11" width="4" style="82" customWidth="1"/>
    <col min="12" max="12" width="25.28515625" style="81" customWidth="1"/>
    <col min="13" max="13" width="13.140625" style="81" bestFit="1" customWidth="1"/>
    <col min="14" max="14" width="19.42578125" style="28" customWidth="1"/>
    <col min="15" max="15" width="17.5703125" style="28" customWidth="1"/>
    <col min="16" max="16" width="15.85546875" style="28" bestFit="1" customWidth="1"/>
    <col min="17" max="17" width="4.5703125" style="10" customWidth="1"/>
    <col min="18" max="16384" width="9.140625" style="10"/>
  </cols>
  <sheetData>
    <row r="1" spans="1:20" s="7" customFormat="1" ht="26.25" thickBot="1" x14ac:dyDescent="0.4">
      <c r="A1" s="4" t="s">
        <v>123</v>
      </c>
      <c r="B1" s="6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20" s="8" customFormat="1" ht="21" customHeight="1" thickBot="1" x14ac:dyDescent="0.3">
      <c r="B2" s="9" t="s">
        <v>107</v>
      </c>
      <c r="L2" s="3" t="s">
        <v>109</v>
      </c>
    </row>
    <row r="3" spans="1:20" ht="26.25" x14ac:dyDescent="0.25">
      <c r="B3" s="11" t="s">
        <v>124</v>
      </c>
      <c r="C3" s="12">
        <f>SUM(J15:J20,F24:F27,E38:E40,E44:E48)</f>
        <v>280064348.43993664</v>
      </c>
      <c r="D3" s="13"/>
      <c r="E3" s="10"/>
      <c r="F3" s="14" t="s">
        <v>85</v>
      </c>
      <c r="G3" s="15"/>
      <c r="H3" s="14"/>
      <c r="I3" s="14"/>
      <c r="J3" s="10"/>
      <c r="K3" s="16"/>
      <c r="L3" s="120" t="s">
        <v>96</v>
      </c>
      <c r="M3" s="121" t="s">
        <v>102</v>
      </c>
      <c r="N3" s="122" t="s">
        <v>103</v>
      </c>
      <c r="O3" s="10"/>
      <c r="P3" s="10"/>
    </row>
    <row r="4" spans="1:20" ht="15" x14ac:dyDescent="0.25">
      <c r="B4" s="20" t="s">
        <v>125</v>
      </c>
      <c r="C4" s="21">
        <f>C3/C7</f>
        <v>77.870516193467282</v>
      </c>
      <c r="D4" s="22"/>
      <c r="E4" s="14"/>
      <c r="F4" s="14" t="s">
        <v>84</v>
      </c>
      <c r="G4" s="15"/>
      <c r="H4" s="14"/>
      <c r="I4" s="14"/>
      <c r="J4" s="10"/>
      <c r="K4" s="16"/>
      <c r="L4" s="123" t="s">
        <v>52</v>
      </c>
      <c r="M4" s="24">
        <f>SUM(J15:J20)</f>
        <v>117253799.59295037</v>
      </c>
      <c r="N4" s="25">
        <f>M4/$C$7</f>
        <v>32.601842936487095</v>
      </c>
      <c r="O4" s="10"/>
      <c r="P4" s="10"/>
    </row>
    <row r="5" spans="1:20" x14ac:dyDescent="0.2">
      <c r="B5" s="20" t="s">
        <v>126</v>
      </c>
      <c r="C5" s="126" t="s">
        <v>132</v>
      </c>
      <c r="D5" s="27"/>
      <c r="E5" s="14"/>
      <c r="F5" s="28"/>
      <c r="G5" s="28"/>
      <c r="H5" s="14"/>
      <c r="I5" s="14"/>
      <c r="J5" s="10"/>
      <c r="K5" s="29"/>
      <c r="L5" s="123" t="s">
        <v>99</v>
      </c>
      <c r="M5" s="24">
        <f>F24</f>
        <v>96439557.011630386</v>
      </c>
      <c r="N5" s="25">
        <f t="shared" ref="N5:N11" si="0">M5/$C$7</f>
        <v>26.814545042228204</v>
      </c>
      <c r="O5" s="10"/>
      <c r="P5" s="10"/>
    </row>
    <row r="6" spans="1:20" x14ac:dyDescent="0.2">
      <c r="B6" s="20" t="s">
        <v>88</v>
      </c>
      <c r="C6" s="30">
        <f>SUM(M15:M20)</f>
        <v>78.244423047569043</v>
      </c>
      <c r="D6" s="31" t="s">
        <v>106</v>
      </c>
      <c r="E6" s="14"/>
      <c r="F6" s="10"/>
      <c r="G6" s="10"/>
      <c r="H6" s="14"/>
      <c r="I6" s="14"/>
      <c r="J6" s="10"/>
      <c r="K6" s="29"/>
      <c r="L6" s="123" t="s">
        <v>104</v>
      </c>
      <c r="M6" s="24">
        <f>F25</f>
        <v>56495834.403262399</v>
      </c>
      <c r="N6" s="25">
        <f t="shared" si="0"/>
        <v>15.708389205083664</v>
      </c>
      <c r="O6" s="10"/>
      <c r="P6" s="10"/>
    </row>
    <row r="7" spans="1:20" x14ac:dyDescent="0.2">
      <c r="B7" s="20" t="s">
        <v>15</v>
      </c>
      <c r="C7" s="37">
        <f>RawScenario!C3</f>
        <v>3596539</v>
      </c>
      <c r="D7" s="31"/>
      <c r="E7" s="14"/>
      <c r="F7" s="14"/>
      <c r="G7" s="14"/>
      <c r="H7" s="14"/>
      <c r="I7" s="14"/>
      <c r="J7" s="10"/>
      <c r="K7" s="29"/>
      <c r="L7" s="123" t="s">
        <v>87</v>
      </c>
      <c r="M7" s="24">
        <f>F26</f>
        <v>1092836.87200005</v>
      </c>
      <c r="N7" s="25">
        <f t="shared" si="0"/>
        <v>0.30385792340915807</v>
      </c>
      <c r="O7" s="10"/>
      <c r="P7" s="10"/>
    </row>
    <row r="8" spans="1:20" ht="15" thickBot="1" x14ac:dyDescent="0.25">
      <c r="A8" s="33"/>
      <c r="B8" s="34" t="s">
        <v>68</v>
      </c>
      <c r="C8" s="124">
        <f>RawScenario!B3</f>
        <v>620863</v>
      </c>
      <c r="D8" s="36"/>
      <c r="E8" s="14"/>
      <c r="F8" s="14"/>
      <c r="G8" s="14"/>
      <c r="H8" s="14"/>
      <c r="I8" s="14"/>
      <c r="J8" s="14"/>
      <c r="K8" s="29"/>
      <c r="L8" s="123" t="s">
        <v>97</v>
      </c>
      <c r="M8" s="24">
        <f>F27</f>
        <v>2944293.1610001898</v>
      </c>
      <c r="N8" s="25">
        <f t="shared" si="0"/>
        <v>0.81864624879646508</v>
      </c>
      <c r="O8" s="10"/>
      <c r="P8" s="10"/>
    </row>
    <row r="9" spans="1:20" x14ac:dyDescent="0.2">
      <c r="A9" s="33"/>
      <c r="B9" s="3"/>
      <c r="C9" s="37"/>
      <c r="D9" s="37"/>
      <c r="E9" s="26"/>
      <c r="F9" s="14"/>
      <c r="G9" s="14"/>
      <c r="H9" s="14"/>
      <c r="I9" s="14"/>
      <c r="J9" s="14"/>
      <c r="K9" s="29"/>
      <c r="L9" s="123" t="s">
        <v>98</v>
      </c>
      <c r="M9" s="37" t="s">
        <v>127</v>
      </c>
      <c r="N9" s="25"/>
      <c r="P9" s="10"/>
    </row>
    <row r="10" spans="1:20" x14ac:dyDescent="0.2">
      <c r="A10" s="33"/>
      <c r="B10" s="10"/>
      <c r="C10" s="10"/>
      <c r="D10" s="10"/>
      <c r="E10" s="26"/>
      <c r="F10" s="14"/>
      <c r="G10" s="14"/>
      <c r="H10" s="14"/>
      <c r="I10" s="14"/>
      <c r="J10" s="14"/>
      <c r="K10" s="29"/>
      <c r="L10" s="123" t="s">
        <v>100</v>
      </c>
      <c r="M10" s="24">
        <f>SUM(E38:E40)</f>
        <v>3900889.5224905084</v>
      </c>
      <c r="N10" s="25">
        <f t="shared" si="0"/>
        <v>1.0846231675759692</v>
      </c>
      <c r="P10" s="10"/>
    </row>
    <row r="11" spans="1:20" x14ac:dyDescent="0.2">
      <c r="A11" s="33"/>
      <c r="B11" s="10"/>
      <c r="C11" s="10"/>
      <c r="D11" s="10"/>
      <c r="E11" s="26"/>
      <c r="F11" s="14"/>
      <c r="G11" s="14"/>
      <c r="H11" s="14"/>
      <c r="I11" s="14"/>
      <c r="J11" s="14"/>
      <c r="K11" s="29"/>
      <c r="L11" s="125" t="s">
        <v>101</v>
      </c>
      <c r="M11" s="39">
        <f>SUM(E44:E48)</f>
        <v>1937137.8766027589</v>
      </c>
      <c r="N11" s="40">
        <f t="shared" si="0"/>
        <v>0.53861166988673248</v>
      </c>
      <c r="P11" s="10"/>
    </row>
    <row r="12" spans="1:20" x14ac:dyDescent="0.2">
      <c r="A12" s="33"/>
      <c r="B12" s="10"/>
      <c r="C12" s="10"/>
      <c r="D12" s="10"/>
      <c r="E12" s="26"/>
      <c r="F12" s="14"/>
      <c r="G12" s="14"/>
      <c r="H12" s="14"/>
      <c r="I12" s="14"/>
      <c r="J12" s="14"/>
      <c r="K12" s="29"/>
      <c r="L12" s="26"/>
      <c r="M12" s="24"/>
      <c r="N12" s="41"/>
      <c r="P12" s="10"/>
    </row>
    <row r="13" spans="1:20" s="33" customFormat="1" x14ac:dyDescent="0.2">
      <c r="B13" s="3" t="s">
        <v>108</v>
      </c>
      <c r="C13" s="37"/>
      <c r="D13" s="37"/>
      <c r="E13" s="26"/>
      <c r="F13" s="14"/>
      <c r="G13" s="14"/>
      <c r="H13" s="14"/>
      <c r="I13" s="14"/>
      <c r="J13" s="14"/>
      <c r="K13" s="29"/>
      <c r="L13" s="3" t="s">
        <v>110</v>
      </c>
      <c r="P13" s="26"/>
    </row>
    <row r="14" spans="1:20" ht="51" x14ac:dyDescent="0.2">
      <c r="B14" s="42" t="s">
        <v>89</v>
      </c>
      <c r="C14" s="43" t="s">
        <v>117</v>
      </c>
      <c r="D14" s="44" t="s">
        <v>118</v>
      </c>
      <c r="E14" s="44" t="s">
        <v>75</v>
      </c>
      <c r="F14" s="44" t="s">
        <v>83</v>
      </c>
      <c r="G14" s="44" t="s">
        <v>94</v>
      </c>
      <c r="H14" s="44" t="s">
        <v>95</v>
      </c>
      <c r="I14" s="45" t="s">
        <v>17</v>
      </c>
      <c r="J14" s="46" t="s">
        <v>16</v>
      </c>
      <c r="K14" s="47"/>
      <c r="L14" s="42" t="s">
        <v>90</v>
      </c>
      <c r="M14" s="45" t="s">
        <v>119</v>
      </c>
      <c r="N14" s="45" t="s">
        <v>120</v>
      </c>
      <c r="O14" s="45" t="s">
        <v>121</v>
      </c>
      <c r="P14" s="46" t="s">
        <v>122</v>
      </c>
    </row>
    <row r="15" spans="1:20" x14ac:dyDescent="0.2">
      <c r="B15" s="48" t="s">
        <v>61</v>
      </c>
      <c r="C15" s="49">
        <f>SUMIF(RawScenario!$A$24:$A$30,'Scenario Metrics'!$B15,RawScenario!$D$24:$D$30)</f>
        <v>1001503.4938285101</v>
      </c>
      <c r="D15" s="50">
        <f>SUMIF(RawScenario!$A$24:$A$30,'Scenario Metrics'!$B15,RawScenario!$B$24:$B$30)</f>
        <v>78659.819331701205</v>
      </c>
      <c r="E15" s="50">
        <f>SUMIF(RawScenario!$B$42:$H$42,'Scenario Metrics'!$B15,RawScenario!$B$43:$H$43)</f>
        <v>1460895</v>
      </c>
      <c r="F15" s="50">
        <f>SUMIF(RawScenario!$B$62:$H$62,'Scenario Metrics'!$B15,RawScenario!$B$63:$H$63)</f>
        <v>159157</v>
      </c>
      <c r="G15" s="51">
        <f>E15/$C$7</f>
        <v>0.40619467771654916</v>
      </c>
      <c r="H15" s="51">
        <f>F15/$C$8</f>
        <v>0.25634801880608121</v>
      </c>
      <c r="I15" s="52">
        <v>25</v>
      </c>
      <c r="J15" s="53">
        <f t="shared" ref="J15:J20" si="1">C15*I15</f>
        <v>25037587.345712751</v>
      </c>
      <c r="K15" s="54"/>
      <c r="L15" s="55" t="s">
        <v>61</v>
      </c>
      <c r="M15" s="56">
        <f t="shared" ref="M15:M20" si="2">C15/$C$7*$R$15</f>
        <v>16.707787578477699</v>
      </c>
      <c r="N15" s="57">
        <f t="shared" ref="N15:N20" si="3">D15/$C$8*$R$15</f>
        <v>7.6016595608082165</v>
      </c>
      <c r="O15" s="58">
        <f t="shared" ref="O15:P20" si="4">C15/E15*60</f>
        <v>41.132463065251507</v>
      </c>
      <c r="P15" s="59">
        <f t="shared" si="4"/>
        <v>29.653670023323336</v>
      </c>
      <c r="R15" s="28">
        <v>60</v>
      </c>
      <c r="S15" s="28" t="s">
        <v>67</v>
      </c>
      <c r="T15" s="14"/>
    </row>
    <row r="16" spans="1:20" x14ac:dyDescent="0.2">
      <c r="B16" s="48" t="s">
        <v>59</v>
      </c>
      <c r="C16" s="60">
        <f>SUMIF(RawScenario!$A$24:$A$30,'Scenario Metrics'!B16,RawScenario!$D$24:$D$30)</f>
        <v>667427.33668609895</v>
      </c>
      <c r="D16" s="61">
        <f>SUMIF(RawScenario!$A$24:$A$30,'Scenario Metrics'!$B16,RawScenario!$B$24:$B$30)</f>
        <v>73755.209582346695</v>
      </c>
      <c r="E16" s="61">
        <f>SUMIF(RawScenario!$B$42:$H$42,'Scenario Metrics'!$B16,RawScenario!$B$43:$H$43)</f>
        <v>1291953</v>
      </c>
      <c r="F16" s="61">
        <f>SUMIF(RawScenario!$B$62:$H$62,'Scenario Metrics'!$B16,RawScenario!$B$63:$H$63)</f>
        <v>169088</v>
      </c>
      <c r="G16" s="62">
        <f t="shared" ref="G16:G20" si="5">E16/$C$7</f>
        <v>0.35922118458885055</v>
      </c>
      <c r="H16" s="62">
        <f t="shared" ref="H16:H20" si="6">F16/$C$8</f>
        <v>0.27234349606918112</v>
      </c>
      <c r="I16" s="63">
        <v>25</v>
      </c>
      <c r="J16" s="64">
        <f t="shared" si="1"/>
        <v>16685683.417152474</v>
      </c>
      <c r="K16" s="54"/>
      <c r="L16" s="55" t="s">
        <v>59</v>
      </c>
      <c r="M16" s="65">
        <f t="shared" si="2"/>
        <v>11.134493523124853</v>
      </c>
      <c r="N16" s="30">
        <f t="shared" si="3"/>
        <v>7.1276796570915026</v>
      </c>
      <c r="O16" s="66">
        <f t="shared" si="4"/>
        <v>30.9962051260115</v>
      </c>
      <c r="P16" s="67">
        <f t="shared" si="4"/>
        <v>26.171653665196832</v>
      </c>
    </row>
    <row r="17" spans="2:16" x14ac:dyDescent="0.2">
      <c r="B17" s="48" t="s">
        <v>60</v>
      </c>
      <c r="C17" s="60">
        <f>SUMIF(RawScenario!$A$24:$A$30,'Scenario Metrics'!B17,RawScenario!$D$24:$D$30)</f>
        <v>930986.44054543995</v>
      </c>
      <c r="D17" s="61">
        <f>SUMIF(RawScenario!$A$24:$A$30,'Scenario Metrics'!$B17,RawScenario!$B$24:$B$30)</f>
        <v>94211.298895597094</v>
      </c>
      <c r="E17" s="61">
        <f>SUMIF(RawScenario!$B$42:$H$42,'Scenario Metrics'!$B17,RawScenario!$B$43:$H$43)</f>
        <v>1360347</v>
      </c>
      <c r="F17" s="61">
        <f>SUMIF(RawScenario!$B$62:$H$62,'Scenario Metrics'!$B17,RawScenario!$B$63:$H$63)</f>
        <v>164531</v>
      </c>
      <c r="G17" s="62">
        <f t="shared" si="5"/>
        <v>0.37823780028521864</v>
      </c>
      <c r="H17" s="62">
        <f t="shared" si="6"/>
        <v>0.26500371257427163</v>
      </c>
      <c r="I17" s="63">
        <v>25</v>
      </c>
      <c r="J17" s="64">
        <f t="shared" si="1"/>
        <v>23274661.013636</v>
      </c>
      <c r="K17" s="54"/>
      <c r="L17" s="55" t="s">
        <v>60</v>
      </c>
      <c r="M17" s="65">
        <f t="shared" si="2"/>
        <v>15.531372364577834</v>
      </c>
      <c r="N17" s="30">
        <f t="shared" si="3"/>
        <v>9.104549528214477</v>
      </c>
      <c r="O17" s="66">
        <f t="shared" si="4"/>
        <v>41.062454236107698</v>
      </c>
      <c r="P17" s="67">
        <f t="shared" si="4"/>
        <v>34.356309350431381</v>
      </c>
    </row>
    <row r="18" spans="2:16" x14ac:dyDescent="0.2">
      <c r="B18" s="48" t="s">
        <v>63</v>
      </c>
      <c r="C18" s="60">
        <f>SUMIF(RawScenario!$A$24:$A$30,'Scenario Metrics'!B18,RawScenario!$D$24:$D$30)</f>
        <v>851396.689833357</v>
      </c>
      <c r="D18" s="61">
        <f>SUMIF(RawScenario!$A$24:$A$30,'Scenario Metrics'!$B18,RawScenario!$B$24:$B$30)</f>
        <v>205178.34216666399</v>
      </c>
      <c r="E18" s="61">
        <f>SUMIF(RawScenario!$B$42:$H$42,'Scenario Metrics'!$B18,RawScenario!$B$43:$H$43)</f>
        <v>438437</v>
      </c>
      <c r="F18" s="61">
        <f>SUMIF(RawScenario!$B$62:$H$62,'Scenario Metrics'!$B18,RawScenario!$B$63:$H$63)</f>
        <v>107213</v>
      </c>
      <c r="G18" s="62">
        <f t="shared" si="5"/>
        <v>0.12190525391216389</v>
      </c>
      <c r="H18" s="62">
        <f t="shared" si="6"/>
        <v>0.17268382879959024</v>
      </c>
      <c r="I18" s="63">
        <v>25</v>
      </c>
      <c r="J18" s="64">
        <f t="shared" si="1"/>
        <v>21284917.245833926</v>
      </c>
      <c r="K18" s="54"/>
      <c r="L18" s="55" t="s">
        <v>63</v>
      </c>
      <c r="M18" s="65">
        <f t="shared" si="2"/>
        <v>14.203600013791432</v>
      </c>
      <c r="N18" s="30">
        <f t="shared" si="3"/>
        <v>19.828368786672485</v>
      </c>
      <c r="O18" s="66">
        <f t="shared" si="4"/>
        <v>116.51343611511213</v>
      </c>
      <c r="P18" s="67">
        <f t="shared" si="4"/>
        <v>114.82469970992173</v>
      </c>
    </row>
    <row r="19" spans="2:16" x14ac:dyDescent="0.2">
      <c r="B19" s="48" t="s">
        <v>64</v>
      </c>
      <c r="C19" s="60">
        <f>SUMIF(RawScenario!$A$24:$A$30,'Scenario Metrics'!B19,RawScenario!$D$24:$D$30)</f>
        <v>1004470.18451645</v>
      </c>
      <c r="D19" s="61">
        <f>SUMIF(RawScenario!$A$24:$A$30,'Scenario Metrics'!$B19,RawScenario!$B$24:$B$30)</f>
        <v>234726.58027650099</v>
      </c>
      <c r="E19" s="61">
        <f>SUMIF(RawScenario!$B$42:$H$42,'Scenario Metrics'!$B19,RawScenario!$B$43:$H$43)</f>
        <v>770173</v>
      </c>
      <c r="F19" s="61">
        <f>SUMIF(RawScenario!$B$62:$H$62,'Scenario Metrics'!$B19,RawScenario!$B$63:$H$63)</f>
        <v>176877</v>
      </c>
      <c r="G19" s="62">
        <f t="shared" si="5"/>
        <v>0.21414281897123874</v>
      </c>
      <c r="H19" s="62">
        <f t="shared" si="6"/>
        <v>0.28488893685080285</v>
      </c>
      <c r="I19" s="63">
        <v>25</v>
      </c>
      <c r="J19" s="64">
        <f t="shared" si="1"/>
        <v>25111754.61291125</v>
      </c>
      <c r="K19" s="54"/>
      <c r="L19" s="55" t="s">
        <v>64</v>
      </c>
      <c r="M19" s="65">
        <f t="shared" si="2"/>
        <v>16.757280004745397</v>
      </c>
      <c r="N19" s="30">
        <f t="shared" si="3"/>
        <v>22.683900983936972</v>
      </c>
      <c r="O19" s="66">
        <f t="shared" si="4"/>
        <v>78.252822509990608</v>
      </c>
      <c r="P19" s="67">
        <f t="shared" si="4"/>
        <v>79.62366399582794</v>
      </c>
    </row>
    <row r="20" spans="2:16" x14ac:dyDescent="0.2">
      <c r="B20" s="68" t="s">
        <v>58</v>
      </c>
      <c r="C20" s="69">
        <f>SUMIF(RawScenario!$A$24:$A$30,'Scenario Metrics'!B20,RawScenario!$D$24:$D$30)</f>
        <v>234367.838308159</v>
      </c>
      <c r="D20" s="70">
        <f>SUMIF(RawScenario!$A$24:$A$30,'Scenario Metrics'!$B20,RawScenario!$B$24:$B$30)</f>
        <v>68254.602092589397</v>
      </c>
      <c r="E20" s="70">
        <f>SUMIF(RawScenario!$B$42:$H$42,'Scenario Metrics'!$B20,RawScenario!$B$43:$H$43)</f>
        <v>214282</v>
      </c>
      <c r="F20" s="70">
        <f>SUMIF(RawScenario!$B$62:$H$62,'Scenario Metrics'!$B20,RawScenario!$B$63:$H$63)</f>
        <v>57838</v>
      </c>
      <c r="G20" s="71">
        <f t="shared" si="5"/>
        <v>5.9580057382945105E-2</v>
      </c>
      <c r="H20" s="71">
        <f t="shared" si="6"/>
        <v>9.3157427645068236E-2</v>
      </c>
      <c r="I20" s="72">
        <v>25</v>
      </c>
      <c r="J20" s="73">
        <f t="shared" si="1"/>
        <v>5859195.957703975</v>
      </c>
      <c r="K20" s="54"/>
      <c r="L20" s="74" t="s">
        <v>58</v>
      </c>
      <c r="M20" s="75">
        <f t="shared" si="2"/>
        <v>3.9098895628518253</v>
      </c>
      <c r="N20" s="76">
        <f t="shared" si="3"/>
        <v>6.5961027240395449</v>
      </c>
      <c r="O20" s="77">
        <f t="shared" si="4"/>
        <v>65.624132211242852</v>
      </c>
      <c r="P20" s="78">
        <f t="shared" si="4"/>
        <v>70.805977481160554</v>
      </c>
    </row>
    <row r="21" spans="2:16" x14ac:dyDescent="0.2">
      <c r="B21" s="79"/>
      <c r="C21" s="61"/>
      <c r="D21" s="61"/>
      <c r="E21" s="61"/>
      <c r="F21" s="61"/>
      <c r="G21" s="62"/>
      <c r="H21" s="62"/>
      <c r="I21" s="63"/>
      <c r="J21" s="80"/>
      <c r="K21" s="54"/>
      <c r="N21" s="30"/>
      <c r="O21" s="66"/>
      <c r="P21" s="66"/>
    </row>
    <row r="22" spans="2:16" x14ac:dyDescent="0.2">
      <c r="B22" s="3" t="s">
        <v>111</v>
      </c>
      <c r="L22" s="3" t="s">
        <v>112</v>
      </c>
      <c r="N22" s="81"/>
    </row>
    <row r="23" spans="2:16" ht="25.5" x14ac:dyDescent="0.2">
      <c r="B23" s="83" t="s">
        <v>91</v>
      </c>
      <c r="C23" s="84" t="s">
        <v>1</v>
      </c>
      <c r="D23" s="45" t="s">
        <v>2</v>
      </c>
      <c r="E23" s="45" t="s">
        <v>17</v>
      </c>
      <c r="F23" s="46" t="s">
        <v>16</v>
      </c>
      <c r="G23" s="28"/>
      <c r="L23" s="83" t="s">
        <v>134</v>
      </c>
      <c r="M23" s="45" t="s">
        <v>92</v>
      </c>
      <c r="N23" s="45" t="s">
        <v>50</v>
      </c>
      <c r="O23" s="45" t="s">
        <v>70</v>
      </c>
      <c r="P23" s="46" t="s">
        <v>71</v>
      </c>
    </row>
    <row r="24" spans="2:16" x14ac:dyDescent="0.2">
      <c r="B24" s="55" t="s">
        <v>0</v>
      </c>
      <c r="C24" s="85">
        <f>SUM(RawScenario!C25:C27)</f>
        <v>96439557.011630386</v>
      </c>
      <c r="D24" s="86">
        <f>SUM(RawScenario!E25:E27)</f>
        <v>8074745.6284076599</v>
      </c>
      <c r="E24" s="52" t="s">
        <v>86</v>
      </c>
      <c r="F24" s="53">
        <f>C24</f>
        <v>96439557.011630386</v>
      </c>
      <c r="G24" s="28"/>
      <c r="J24" s="87"/>
      <c r="L24" s="55" t="s">
        <v>0</v>
      </c>
      <c r="M24" s="88">
        <f>C24/$C$7</f>
        <v>26.814545042228204</v>
      </c>
      <c r="N24" s="89">
        <f>D24/$C$8</f>
        <v>13.005680203857631</v>
      </c>
      <c r="O24" s="90">
        <f>C24/E15</f>
        <v>66.014023603086045</v>
      </c>
      <c r="P24" s="91">
        <f>D24/F15</f>
        <v>50.734467402675719</v>
      </c>
    </row>
    <row r="25" spans="2:16" x14ac:dyDescent="0.2">
      <c r="B25" s="55" t="s">
        <v>22</v>
      </c>
      <c r="C25" s="60">
        <f>F25/E25</f>
        <v>2690277.8287267811</v>
      </c>
      <c r="D25" s="61">
        <f>RawScenario!C84/'Scenario Metrics'!E25</f>
        <v>395232.54936502047</v>
      </c>
      <c r="E25" s="63">
        <v>21</v>
      </c>
      <c r="F25" s="92">
        <f>RawScenario!C83</f>
        <v>56495834.403262399</v>
      </c>
      <c r="G25" s="28"/>
      <c r="L25" s="55" t="s">
        <v>22</v>
      </c>
      <c r="M25" s="93">
        <f>C25/C7</f>
        <v>0.7480185335754127</v>
      </c>
      <c r="N25" s="94">
        <f>D25/C8</f>
        <v>0.63658576749624385</v>
      </c>
      <c r="O25" s="26"/>
      <c r="P25" s="95"/>
    </row>
    <row r="26" spans="2:16" x14ac:dyDescent="0.2">
      <c r="B26" s="55" t="s">
        <v>87</v>
      </c>
      <c r="C26" s="96">
        <f>RawScenario!C29</f>
        <v>1092836.87200005</v>
      </c>
      <c r="D26" s="80">
        <f>RawScenario!E29</f>
        <v>185557.83799999399</v>
      </c>
      <c r="E26" s="63" t="s">
        <v>86</v>
      </c>
      <c r="F26" s="64">
        <f>C26</f>
        <v>1092836.87200005</v>
      </c>
      <c r="G26" s="28"/>
      <c r="L26" s="55" t="s">
        <v>69</v>
      </c>
      <c r="M26" s="97">
        <f>C26/$C$7</f>
        <v>0.30385792340915807</v>
      </c>
      <c r="N26" s="41">
        <f>D26/$C$8</f>
        <v>0.29887082657525732</v>
      </c>
      <c r="O26" s="98">
        <f>C26/E18</f>
        <v>2.4925744679396358</v>
      </c>
      <c r="P26" s="95"/>
    </row>
    <row r="27" spans="2:16" x14ac:dyDescent="0.2">
      <c r="B27" s="74" t="s">
        <v>14</v>
      </c>
      <c r="C27" s="99">
        <f>RawScenario!C85</f>
        <v>2944293.1610001898</v>
      </c>
      <c r="D27" s="100">
        <f>RawScenario!C86</f>
        <v>231286.259899995</v>
      </c>
      <c r="E27" s="72" t="s">
        <v>86</v>
      </c>
      <c r="F27" s="73">
        <f>C27</f>
        <v>2944293.1610001898</v>
      </c>
      <c r="G27" s="28"/>
      <c r="L27" s="74" t="s">
        <v>14</v>
      </c>
      <c r="M27" s="101">
        <f>C27/$C$7</f>
        <v>0.81864624879646508</v>
      </c>
      <c r="N27" s="102">
        <f>D27/$C$8</f>
        <v>0.37252382554604641</v>
      </c>
      <c r="O27" s="103">
        <f>C27/E15</f>
        <v>2.0154036813050835</v>
      </c>
      <c r="P27" s="104">
        <f>D27/F15</f>
        <v>1.4531956489503761</v>
      </c>
    </row>
    <row r="29" spans="2:16" x14ac:dyDescent="0.2">
      <c r="B29" s="3" t="s">
        <v>113</v>
      </c>
    </row>
    <row r="30" spans="2:16" ht="38.25" x14ac:dyDescent="0.2">
      <c r="B30" s="42" t="s">
        <v>18</v>
      </c>
      <c r="C30" s="45" t="s">
        <v>1</v>
      </c>
      <c r="D30" s="45" t="s">
        <v>2</v>
      </c>
      <c r="E30" s="45" t="s">
        <v>73</v>
      </c>
      <c r="F30" s="46" t="s">
        <v>74</v>
      </c>
      <c r="G30" s="28"/>
      <c r="H30" s="28"/>
      <c r="I30" s="28"/>
      <c r="J30" s="28"/>
      <c r="K30" s="54"/>
      <c r="L30" s="10"/>
      <c r="M30" s="10"/>
      <c r="N30" s="10"/>
      <c r="O30" s="10"/>
      <c r="P30" s="10"/>
    </row>
    <row r="31" spans="2:16" ht="25.5" x14ac:dyDescent="0.2">
      <c r="B31" s="55" t="s">
        <v>51</v>
      </c>
      <c r="C31" s="105">
        <f>O19</f>
        <v>78.252822509990608</v>
      </c>
      <c r="D31" s="66">
        <f>P19</f>
        <v>79.62366399582794</v>
      </c>
      <c r="E31" s="79"/>
      <c r="F31" s="106"/>
      <c r="G31" s="28"/>
      <c r="H31" s="28"/>
      <c r="I31" s="28"/>
      <c r="J31" s="28"/>
      <c r="K31" s="54"/>
      <c r="L31" s="10"/>
      <c r="M31" s="10"/>
      <c r="N31" s="10"/>
      <c r="O31" s="10"/>
      <c r="P31" s="10"/>
    </row>
    <row r="32" spans="2:16" x14ac:dyDescent="0.2">
      <c r="B32" s="55" t="s">
        <v>11</v>
      </c>
      <c r="C32" s="61">
        <f>E19</f>
        <v>770173</v>
      </c>
      <c r="D32" s="61">
        <f>F19</f>
        <v>176877</v>
      </c>
      <c r="E32" s="107">
        <f>G19</f>
        <v>0.21414281897123874</v>
      </c>
      <c r="F32" s="108">
        <f>H19</f>
        <v>0.28488893685080285</v>
      </c>
      <c r="G32" s="28"/>
      <c r="H32" s="28"/>
      <c r="I32" s="28"/>
      <c r="J32" s="28"/>
      <c r="K32" s="54"/>
      <c r="L32" s="10"/>
      <c r="M32" s="10"/>
      <c r="N32" s="10"/>
      <c r="O32" s="10"/>
      <c r="P32" s="10"/>
    </row>
    <row r="33" spans="2:16" x14ac:dyDescent="0.2">
      <c r="B33" s="55" t="s">
        <v>12</v>
      </c>
      <c r="C33" s="105">
        <f>O20</f>
        <v>65.624132211242852</v>
      </c>
      <c r="D33" s="66">
        <f>P20</f>
        <v>70.805977481160554</v>
      </c>
      <c r="E33" s="79"/>
      <c r="F33" s="106"/>
      <c r="G33" s="28"/>
      <c r="H33" s="28"/>
      <c r="I33" s="28"/>
      <c r="J33" s="28"/>
      <c r="K33" s="54"/>
      <c r="L33" s="10"/>
      <c r="M33" s="10"/>
      <c r="N33" s="10"/>
      <c r="O33" s="10"/>
      <c r="P33" s="10"/>
    </row>
    <row r="34" spans="2:16" x14ac:dyDescent="0.2">
      <c r="B34" s="74" t="s">
        <v>13</v>
      </c>
      <c r="C34" s="70">
        <f>E20</f>
        <v>214282</v>
      </c>
      <c r="D34" s="70">
        <f>F20</f>
        <v>57838</v>
      </c>
      <c r="E34" s="109">
        <f>G20</f>
        <v>5.9580057382945105E-2</v>
      </c>
      <c r="F34" s="110">
        <f>H20</f>
        <v>9.3157427645068236E-2</v>
      </c>
      <c r="G34" s="28"/>
      <c r="H34" s="28"/>
      <c r="I34" s="28"/>
      <c r="J34" s="28"/>
      <c r="K34" s="54"/>
      <c r="L34" s="10"/>
      <c r="M34" s="10"/>
      <c r="N34" s="10"/>
      <c r="O34" s="10"/>
      <c r="P34" s="10"/>
    </row>
    <row r="36" spans="2:16" x14ac:dyDescent="0.2">
      <c r="B36" s="3" t="s">
        <v>114</v>
      </c>
    </row>
    <row r="37" spans="2:16" ht="25.5" x14ac:dyDescent="0.2">
      <c r="B37" s="42" t="s">
        <v>20</v>
      </c>
      <c r="C37" s="45" t="s">
        <v>1</v>
      </c>
      <c r="D37" s="45" t="s">
        <v>17</v>
      </c>
      <c r="E37" s="46" t="s">
        <v>16</v>
      </c>
      <c r="G37" s="79"/>
      <c r="H37" s="79"/>
      <c r="I37" s="28"/>
      <c r="J37" s="28"/>
      <c r="K37" s="54"/>
      <c r="L37" s="28"/>
      <c r="M37" s="28"/>
    </row>
    <row r="38" spans="2:16" x14ac:dyDescent="0.2">
      <c r="B38" s="55" t="s">
        <v>3</v>
      </c>
      <c r="C38" s="66">
        <f>SUM(RawScenario!H143:H146)</f>
        <v>30.784016539302183</v>
      </c>
      <c r="D38" s="63">
        <v>75500</v>
      </c>
      <c r="E38" s="64">
        <f>D38*C38</f>
        <v>2324193.2487173146</v>
      </c>
      <c r="F38" s="28"/>
      <c r="G38" s="28"/>
      <c r="H38" s="28"/>
      <c r="I38" s="28"/>
      <c r="J38" s="28"/>
      <c r="K38" s="54"/>
      <c r="L38" s="28"/>
      <c r="M38" s="28"/>
      <c r="N38" s="10"/>
      <c r="O38" s="10"/>
      <c r="P38" s="10"/>
    </row>
    <row r="39" spans="2:16" x14ac:dyDescent="0.2">
      <c r="B39" s="55" t="s">
        <v>4</v>
      </c>
      <c r="C39" s="66">
        <f>SUM(RawScenario!G143:G146)</f>
        <v>58.8278608913037</v>
      </c>
      <c r="D39" s="63">
        <v>2600</v>
      </c>
      <c r="E39" s="64">
        <f>D39*C39</f>
        <v>152952.43831738963</v>
      </c>
      <c r="F39" s="28"/>
      <c r="G39" s="28"/>
      <c r="H39" s="28"/>
      <c r="I39" s="28"/>
      <c r="J39" s="28"/>
      <c r="K39" s="54"/>
      <c r="L39" s="28"/>
      <c r="M39" s="28"/>
      <c r="N39" s="10"/>
      <c r="O39" s="10"/>
      <c r="P39" s="10"/>
    </row>
    <row r="40" spans="2:16" x14ac:dyDescent="0.2">
      <c r="B40" s="74" t="s">
        <v>5</v>
      </c>
      <c r="C40" s="111">
        <f>SUM(RawScenario!I143:I146)</f>
        <v>0.56949753418232163</v>
      </c>
      <c r="D40" s="100">
        <f>2500000</f>
        <v>2500000</v>
      </c>
      <c r="E40" s="73">
        <f>D40*C40</f>
        <v>1423743.8354558041</v>
      </c>
      <c r="F40" s="28"/>
      <c r="G40" s="28"/>
      <c r="H40" s="28"/>
      <c r="I40" s="28"/>
      <c r="J40" s="28"/>
      <c r="K40" s="54"/>
      <c r="L40" s="28"/>
      <c r="M40" s="28"/>
      <c r="N40" s="10"/>
      <c r="O40" s="10"/>
      <c r="P40" s="10"/>
    </row>
    <row r="41" spans="2:16" x14ac:dyDescent="0.2">
      <c r="B41" s="79"/>
      <c r="C41" s="105"/>
      <c r="D41" s="80"/>
      <c r="E41" s="80"/>
      <c r="F41" s="28"/>
      <c r="G41" s="28"/>
      <c r="H41" s="28"/>
      <c r="I41" s="28"/>
      <c r="J41" s="28"/>
      <c r="K41" s="54"/>
      <c r="L41" s="28"/>
      <c r="M41" s="28"/>
      <c r="N41" s="10"/>
      <c r="O41" s="10"/>
      <c r="P41" s="10"/>
    </row>
    <row r="42" spans="2:16" x14ac:dyDescent="0.2">
      <c r="B42" s="3" t="s">
        <v>116</v>
      </c>
    </row>
    <row r="43" spans="2:16" ht="25.5" x14ac:dyDescent="0.2">
      <c r="B43" s="112" t="s">
        <v>72</v>
      </c>
      <c r="C43" s="44" t="s">
        <v>1</v>
      </c>
      <c r="D43" s="44" t="s">
        <v>17</v>
      </c>
      <c r="E43" s="113" t="s">
        <v>16</v>
      </c>
      <c r="G43" s="79"/>
      <c r="H43" s="79"/>
      <c r="I43" s="28"/>
      <c r="J43" s="28"/>
      <c r="K43" s="54"/>
      <c r="L43" s="28"/>
      <c r="M43" s="28"/>
    </row>
    <row r="44" spans="2:16" x14ac:dyDescent="0.2">
      <c r="B44" s="55" t="s">
        <v>6</v>
      </c>
      <c r="C44" s="66">
        <f>SUM(RawScenario!B103:E103)</f>
        <v>24769.803737867707</v>
      </c>
      <c r="D44" s="114">
        <v>55.34</v>
      </c>
      <c r="E44" s="64">
        <f>D44*C44</f>
        <v>1370760.9388535989</v>
      </c>
      <c r="G44" s="79"/>
      <c r="H44" s="79"/>
      <c r="I44" s="28"/>
      <c r="J44" s="28"/>
      <c r="K44" s="54"/>
      <c r="L44" s="28"/>
      <c r="M44" s="28"/>
    </row>
    <row r="45" spans="2:16" x14ac:dyDescent="0.2">
      <c r="B45" s="55" t="s">
        <v>7</v>
      </c>
      <c r="C45" s="66">
        <f>SUM(RawScenario!B104:E104)</f>
        <v>578.52460806313502</v>
      </c>
      <c r="D45" s="114">
        <v>380</v>
      </c>
      <c r="E45" s="64">
        <f>D45*C45</f>
        <v>219839.35106399131</v>
      </c>
      <c r="G45" s="79"/>
      <c r="H45" s="79"/>
      <c r="I45" s="28"/>
      <c r="J45" s="28"/>
      <c r="K45" s="54"/>
      <c r="L45" s="28"/>
      <c r="M45" s="28"/>
    </row>
    <row r="46" spans="2:16" x14ac:dyDescent="0.2">
      <c r="B46" s="55" t="s">
        <v>8</v>
      </c>
      <c r="C46" s="66">
        <f>SUM(RawScenario!B105:E105)</f>
        <v>19.380780880951857</v>
      </c>
      <c r="D46" s="114">
        <v>9800</v>
      </c>
      <c r="E46" s="64">
        <f>D46*C46</f>
        <v>189931.65263332819</v>
      </c>
      <c r="G46" s="79"/>
      <c r="H46" s="79"/>
      <c r="I46" s="28"/>
      <c r="J46" s="28"/>
      <c r="K46" s="54"/>
      <c r="L46" s="28"/>
      <c r="M46" s="28"/>
    </row>
    <row r="47" spans="2:16" x14ac:dyDescent="0.2">
      <c r="B47" s="55" t="s">
        <v>9</v>
      </c>
      <c r="C47" s="66">
        <f>SUM(RawScenario!B106:E106)</f>
        <v>0.64668360077367548</v>
      </c>
      <c r="D47" s="114">
        <v>7800</v>
      </c>
      <c r="E47" s="64">
        <f>D47*C47</f>
        <v>5044.1320860346686</v>
      </c>
      <c r="G47" s="79"/>
      <c r="H47" s="79"/>
      <c r="I47" s="28"/>
      <c r="J47" s="28"/>
      <c r="K47" s="54"/>
      <c r="L47" s="28"/>
      <c r="M47" s="28"/>
    </row>
    <row r="48" spans="2:16" x14ac:dyDescent="0.2">
      <c r="B48" s="74" t="s">
        <v>10</v>
      </c>
      <c r="C48" s="129">
        <f>SUM(RawScenario!B107:E107)</f>
        <v>23.317200302431697</v>
      </c>
      <c r="D48" s="115">
        <v>6500</v>
      </c>
      <c r="E48" s="73">
        <f>D48*C48</f>
        <v>151561.80196580602</v>
      </c>
      <c r="G48" s="79"/>
      <c r="H48" s="79"/>
      <c r="I48" s="28"/>
      <c r="J48" s="28"/>
      <c r="K48" s="54"/>
      <c r="L48" s="28"/>
      <c r="M48" s="28"/>
    </row>
    <row r="49" spans="2:16" x14ac:dyDescent="0.2">
      <c r="B49" s="79"/>
      <c r="C49" s="79"/>
      <c r="D49" s="79"/>
      <c r="E49" s="79"/>
      <c r="F49" s="79"/>
      <c r="G49" s="79"/>
      <c r="H49" s="79"/>
      <c r="I49" s="28"/>
      <c r="J49" s="28"/>
      <c r="K49" s="54"/>
      <c r="L49" s="28"/>
      <c r="M49" s="28"/>
    </row>
    <row r="50" spans="2:16" s="116" customFormat="1" x14ac:dyDescent="0.2">
      <c r="B50" s="3" t="s">
        <v>115</v>
      </c>
      <c r="C50" s="14"/>
      <c r="D50" s="14"/>
      <c r="E50" s="14"/>
      <c r="F50" s="14"/>
      <c r="G50" s="14"/>
      <c r="H50" s="14"/>
      <c r="I50" s="14"/>
      <c r="J50" s="14"/>
      <c r="K50" s="29"/>
      <c r="L50" s="14"/>
      <c r="M50" s="14"/>
      <c r="N50" s="117"/>
      <c r="O50" s="117"/>
      <c r="P50" s="117"/>
    </row>
    <row r="51" spans="2:16" ht="25.5" x14ac:dyDescent="0.2">
      <c r="B51" s="42" t="s">
        <v>19</v>
      </c>
      <c r="C51" s="84" t="s">
        <v>1</v>
      </c>
      <c r="D51" s="45"/>
      <c r="E51" s="45" t="s">
        <v>17</v>
      </c>
      <c r="F51" s="46" t="s">
        <v>16</v>
      </c>
      <c r="G51" s="79"/>
      <c r="H51" s="79"/>
    </row>
    <row r="52" spans="2:16" x14ac:dyDescent="0.2">
      <c r="B52" s="55" t="s">
        <v>52</v>
      </c>
      <c r="C52" s="79"/>
      <c r="D52" s="79"/>
      <c r="E52" s="79"/>
      <c r="F52" s="106"/>
      <c r="G52" s="79"/>
      <c r="H52" s="79"/>
    </row>
    <row r="53" spans="2:16" x14ac:dyDescent="0.2">
      <c r="B53" s="55" t="s">
        <v>0</v>
      </c>
      <c r="C53" s="79"/>
      <c r="D53" s="79"/>
      <c r="E53" s="79"/>
      <c r="F53" s="106"/>
      <c r="G53" s="79"/>
      <c r="H53" s="79"/>
    </row>
    <row r="54" spans="2:16" x14ac:dyDescent="0.2">
      <c r="B54" s="74" t="s">
        <v>14</v>
      </c>
      <c r="C54" s="118"/>
      <c r="D54" s="118"/>
      <c r="E54" s="118"/>
      <c r="F54" s="119"/>
      <c r="G54" s="79"/>
      <c r="H54" s="79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I26" sqref="I26"/>
    </sheetView>
  </sheetViews>
  <sheetFormatPr defaultRowHeight="14.25" x14ac:dyDescent="0.2"/>
  <cols>
    <col min="1" max="1" width="4.140625" style="10" customWidth="1"/>
    <col min="2" max="2" width="30.85546875" style="81" customWidth="1"/>
    <col min="3" max="3" width="15.140625" style="81" customWidth="1"/>
    <col min="4" max="4" width="15.85546875" style="81" bestFit="1" customWidth="1"/>
    <col min="5" max="5" width="11" style="81" customWidth="1"/>
    <col min="6" max="6" width="12.7109375" style="81" customWidth="1"/>
    <col min="7" max="9" width="11" style="81" customWidth="1"/>
    <col min="10" max="10" width="14.7109375" style="81" bestFit="1" customWidth="1"/>
    <col min="11" max="11" width="4" style="82" customWidth="1"/>
    <col min="12" max="12" width="25.28515625" style="81" customWidth="1"/>
    <col min="13" max="13" width="13.5703125" style="81" bestFit="1" customWidth="1"/>
    <col min="14" max="14" width="19.42578125" style="28" customWidth="1"/>
    <col min="15" max="15" width="17.5703125" style="28" customWidth="1"/>
    <col min="16" max="16" width="15.85546875" style="28" bestFit="1" customWidth="1"/>
    <col min="17" max="17" width="4.5703125" style="10" customWidth="1"/>
    <col min="18" max="16384" width="9.140625" style="10"/>
  </cols>
  <sheetData>
    <row r="1" spans="1:20" s="7" customFormat="1" ht="26.25" thickBot="1" x14ac:dyDescent="0.4">
      <c r="A1" s="4" t="s">
        <v>130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20" s="8" customFormat="1" ht="21" customHeight="1" thickBot="1" x14ac:dyDescent="0.3">
      <c r="B2" s="9" t="s">
        <v>107</v>
      </c>
      <c r="L2" s="3" t="s">
        <v>109</v>
      </c>
    </row>
    <row r="3" spans="1:20" ht="26.25" x14ac:dyDescent="0.25">
      <c r="B3" s="11" t="s">
        <v>124</v>
      </c>
      <c r="C3" s="12">
        <f>'Scenario Metrics'!C3-'Baseline Metrics'!C3</f>
        <v>89246886.506284267</v>
      </c>
      <c r="D3" s="13"/>
      <c r="E3" s="10"/>
      <c r="F3" s="14" t="s">
        <v>85</v>
      </c>
      <c r="G3" s="15"/>
      <c r="H3" s="14"/>
      <c r="I3" s="14"/>
      <c r="J3" s="10"/>
      <c r="K3" s="16"/>
      <c r="L3" s="120" t="s">
        <v>96</v>
      </c>
      <c r="M3" s="121" t="s">
        <v>102</v>
      </c>
      <c r="N3" s="122" t="s">
        <v>103</v>
      </c>
      <c r="O3" s="10"/>
      <c r="P3" s="10"/>
    </row>
    <row r="4" spans="1:20" ht="15" x14ac:dyDescent="0.25">
      <c r="B4" s="20" t="s">
        <v>125</v>
      </c>
      <c r="C4" s="21">
        <f>'Scenario Metrics'!C4-'Baseline Metrics'!C4</f>
        <v>24.81465834411479</v>
      </c>
      <c r="D4" s="22"/>
      <c r="E4" s="14"/>
      <c r="F4" s="14" t="s">
        <v>84</v>
      </c>
      <c r="G4" s="15"/>
      <c r="H4" s="14"/>
      <c r="I4" s="14"/>
      <c r="J4" s="10"/>
      <c r="K4" s="16"/>
      <c r="L4" s="123" t="s">
        <v>52</v>
      </c>
      <c r="M4" s="24">
        <f>SUM(J15:J20)</f>
        <v>11690129.26920598</v>
      </c>
      <c r="N4" s="25">
        <f>M4/SUM('Baseline Metrics'!$C$7+'Scenario Metrics'!$C$7)/2</f>
        <v>0.81259575311194876</v>
      </c>
      <c r="O4" s="10"/>
      <c r="P4" s="10"/>
    </row>
    <row r="5" spans="1:20" x14ac:dyDescent="0.2">
      <c r="B5" s="20" t="s">
        <v>126</v>
      </c>
      <c r="C5" s="26"/>
      <c r="D5" s="27"/>
      <c r="E5" s="14"/>
      <c r="F5" s="28"/>
      <c r="G5" s="28"/>
      <c r="H5" s="14"/>
      <c r="I5" s="14"/>
      <c r="J5" s="10"/>
      <c r="K5" s="29"/>
      <c r="L5" s="123" t="s">
        <v>99</v>
      </c>
      <c r="M5" s="24">
        <f>F24</f>
        <v>87848790.529563993</v>
      </c>
      <c r="N5" s="25">
        <f>M5/SUM('Baseline Metrics'!$C$7+'Scenario Metrics'!$C$7)/2</f>
        <v>6.1064811565760859</v>
      </c>
      <c r="O5" s="10"/>
      <c r="P5" s="10"/>
    </row>
    <row r="6" spans="1:20" x14ac:dyDescent="0.2">
      <c r="B6" s="20" t="s">
        <v>88</v>
      </c>
      <c r="C6" s="127">
        <f>'Scenario Metrics'!C6-'Baseline Metrics'!C6</f>
        <v>7.8009192298747223</v>
      </c>
      <c r="D6" s="31" t="s">
        <v>106</v>
      </c>
      <c r="E6" s="14"/>
      <c r="F6" s="10"/>
      <c r="G6" s="10"/>
      <c r="H6" s="14"/>
      <c r="I6" s="14"/>
      <c r="J6" s="10"/>
      <c r="K6" s="29"/>
      <c r="L6" s="123" t="s">
        <v>104</v>
      </c>
      <c r="M6" s="24">
        <f>F25</f>
        <v>-1379531.1866469011</v>
      </c>
      <c r="N6" s="25">
        <f>M6/SUM('Baseline Metrics'!$C$7+'Scenario Metrics'!$C$7)/2</f>
        <v>-9.5892967283748423E-2</v>
      </c>
      <c r="O6" s="10"/>
      <c r="P6" s="10"/>
    </row>
    <row r="7" spans="1:20" x14ac:dyDescent="0.2">
      <c r="B7" s="20" t="s">
        <v>15</v>
      </c>
      <c r="C7" s="127">
        <f>'Scenario Metrics'!C7-'Baseline Metrics'!C7</f>
        <v>0</v>
      </c>
      <c r="D7" s="31"/>
      <c r="E7" s="14"/>
      <c r="F7" s="14"/>
      <c r="G7" s="14"/>
      <c r="H7" s="14"/>
      <c r="I7" s="14"/>
      <c r="J7" s="10"/>
      <c r="K7" s="29"/>
      <c r="L7" s="123" t="s">
        <v>87</v>
      </c>
      <c r="M7" s="24">
        <f>F26</f>
        <v>749147.77500004205</v>
      </c>
      <c r="N7" s="25">
        <f>M7/SUM('Baseline Metrics'!$C$7+'Scenario Metrics'!$C$7)/2</f>
        <v>5.2074214612996134E-2</v>
      </c>
      <c r="O7" s="10"/>
      <c r="P7" s="10"/>
    </row>
    <row r="8" spans="1:20" ht="15" thickBot="1" x14ac:dyDescent="0.25">
      <c r="A8" s="33"/>
      <c r="B8" s="34" t="s">
        <v>68</v>
      </c>
      <c r="C8" s="128">
        <f>'Scenario Metrics'!C8-'Baseline Metrics'!C8</f>
        <v>180926</v>
      </c>
      <c r="D8" s="36"/>
      <c r="E8" s="14"/>
      <c r="F8" s="14"/>
      <c r="G8" s="14"/>
      <c r="H8" s="14"/>
      <c r="I8" s="14"/>
      <c r="J8" s="14"/>
      <c r="K8" s="29"/>
      <c r="L8" s="123" t="s">
        <v>97</v>
      </c>
      <c r="M8" s="24">
        <f>F27</f>
        <v>-7207653.6623076089</v>
      </c>
      <c r="N8" s="25">
        <f>M8/SUM('Baseline Metrics'!$C$7+'Scenario Metrics'!$C$7)/2</f>
        <v>-0.50101317282445768</v>
      </c>
      <c r="O8" s="10"/>
      <c r="P8" s="10"/>
    </row>
    <row r="9" spans="1:20" ht="21" customHeight="1" x14ac:dyDescent="0.2">
      <c r="A9" s="33"/>
      <c r="B9" s="3"/>
      <c r="C9" s="37"/>
      <c r="D9" s="37"/>
      <c r="E9" s="26"/>
      <c r="F9" s="14"/>
      <c r="G9" s="14"/>
      <c r="H9" s="14"/>
      <c r="I9" s="14"/>
      <c r="J9" s="14"/>
      <c r="K9" s="29"/>
      <c r="L9" s="123" t="s">
        <v>98</v>
      </c>
      <c r="M9" s="142">
        <f>HeatResults!T8</f>
        <v>6936746.666666667</v>
      </c>
      <c r="N9" s="25">
        <f>M9/SUM('Baseline Metrics'!$C$7+'Scenario Metrics'!$C$7)/2</f>
        <v>0.48218208301555099</v>
      </c>
      <c r="P9" s="10"/>
    </row>
    <row r="10" spans="1:20" x14ac:dyDescent="0.2">
      <c r="A10" s="33"/>
      <c r="B10" s="10"/>
      <c r="C10" s="10"/>
      <c r="D10" s="10"/>
      <c r="E10" s="26"/>
      <c r="F10" s="14"/>
      <c r="G10" s="14"/>
      <c r="H10" s="14"/>
      <c r="I10" s="14"/>
      <c r="J10" s="14"/>
      <c r="K10" s="29"/>
      <c r="L10" s="123" t="s">
        <v>100</v>
      </c>
      <c r="M10" s="24">
        <f>SUM(E38:E40)</f>
        <v>-1470330.9337950645</v>
      </c>
      <c r="N10" s="25">
        <f>M10/SUM('Baseline Metrics'!$C$7+'Scenario Metrics'!$C$7)/2</f>
        <v>-0.10220457318793599</v>
      </c>
      <c r="P10" s="10"/>
    </row>
    <row r="11" spans="1:20" x14ac:dyDescent="0.2">
      <c r="A11" s="33"/>
      <c r="B11" s="10"/>
      <c r="C11" s="10"/>
      <c r="D11" s="10"/>
      <c r="E11" s="26"/>
      <c r="F11" s="14"/>
      <c r="G11" s="14"/>
      <c r="H11" s="14"/>
      <c r="I11" s="14"/>
      <c r="J11" s="14"/>
      <c r="K11" s="29"/>
      <c r="L11" s="125" t="s">
        <v>101</v>
      </c>
      <c r="M11" s="39">
        <f>SUM(E44:E48)</f>
        <v>-983665.28473613702</v>
      </c>
      <c r="N11" s="40">
        <f>M11/SUM('Baseline Metrics'!$C$7+'Scenario Metrics'!$C$7)/2</f>
        <v>-6.8375824976188007E-2</v>
      </c>
      <c r="P11" s="10"/>
    </row>
    <row r="12" spans="1:20" x14ac:dyDescent="0.2">
      <c r="A12" s="33"/>
      <c r="B12" s="10"/>
      <c r="C12" s="10"/>
      <c r="D12" s="10"/>
      <c r="E12" s="26"/>
      <c r="F12" s="14"/>
      <c r="G12" s="14"/>
      <c r="H12" s="14"/>
      <c r="I12" s="14"/>
      <c r="J12" s="14"/>
      <c r="K12" s="29"/>
      <c r="L12" s="26"/>
      <c r="M12" s="24"/>
      <c r="N12" s="41"/>
      <c r="P12" s="10"/>
    </row>
    <row r="13" spans="1:20" s="33" customFormat="1" x14ac:dyDescent="0.2">
      <c r="B13" s="3" t="s">
        <v>108</v>
      </c>
      <c r="C13" s="37"/>
      <c r="D13" s="37"/>
      <c r="E13" s="26"/>
      <c r="F13" s="14"/>
      <c r="G13" s="14"/>
      <c r="H13" s="14"/>
      <c r="I13" s="14"/>
      <c r="J13" s="14"/>
      <c r="K13" s="29"/>
      <c r="L13" s="3" t="s">
        <v>110</v>
      </c>
      <c r="P13" s="26"/>
    </row>
    <row r="14" spans="1:20" ht="51" x14ac:dyDescent="0.2">
      <c r="B14" s="42" t="s">
        <v>89</v>
      </c>
      <c r="C14" s="43" t="s">
        <v>117</v>
      </c>
      <c r="D14" s="44" t="s">
        <v>118</v>
      </c>
      <c r="E14" s="44" t="s">
        <v>75</v>
      </c>
      <c r="F14" s="44" t="s">
        <v>83</v>
      </c>
      <c r="G14" s="44" t="s">
        <v>94</v>
      </c>
      <c r="H14" s="44" t="s">
        <v>95</v>
      </c>
      <c r="I14" s="45" t="s">
        <v>17</v>
      </c>
      <c r="J14" s="46" t="s">
        <v>16</v>
      </c>
      <c r="K14" s="47"/>
      <c r="L14" s="42" t="s">
        <v>90</v>
      </c>
      <c r="M14" s="45" t="s">
        <v>119</v>
      </c>
      <c r="N14" s="45" t="s">
        <v>120</v>
      </c>
      <c r="O14" s="45" t="s">
        <v>121</v>
      </c>
      <c r="P14" s="46" t="s">
        <v>122</v>
      </c>
    </row>
    <row r="15" spans="1:20" x14ac:dyDescent="0.2">
      <c r="B15" s="48" t="s">
        <v>61</v>
      </c>
      <c r="C15" s="49">
        <f>'Scenario Metrics'!C15-'Baseline Metrics'!C15</f>
        <v>-1017173.23534877</v>
      </c>
      <c r="D15" s="50">
        <f>'Scenario Metrics'!D15-'Baseline Metrics'!D15</f>
        <v>-61079.555690624809</v>
      </c>
      <c r="E15" s="50">
        <f>'Scenario Metrics'!E15-'Baseline Metrics'!E15</f>
        <v>-530622</v>
      </c>
      <c r="F15" s="50">
        <f>'Scenario Metrics'!F15-'Baseline Metrics'!F15</f>
        <v>-9990</v>
      </c>
      <c r="G15" s="51">
        <f>'Scenario Metrics'!G15-'Baseline Metrics'!G15</f>
        <v>-0.14753684027894598</v>
      </c>
      <c r="H15" s="51">
        <f>'Scenario Metrics'!H15-'Baseline Metrics'!H15</f>
        <v>-0.12813203174661159</v>
      </c>
      <c r="I15" s="52">
        <v>25</v>
      </c>
      <c r="J15" s="53">
        <f t="shared" ref="J15:J20" si="0">C15*I15</f>
        <v>-25429330.883719251</v>
      </c>
      <c r="K15" s="54"/>
      <c r="L15" s="55" t="s">
        <v>61</v>
      </c>
      <c r="M15" s="56">
        <f>'Scenario Metrics'!M15-'Baseline Metrics'!M15</f>
        <v>-16.969201257354975</v>
      </c>
      <c r="N15" s="57">
        <f>'Scenario Metrics'!N15-'Baseline Metrics'!N15</f>
        <v>-11.456438533554298</v>
      </c>
      <c r="O15" s="58">
        <f>'Scenario Metrics'!O15-'Baseline Metrics'!O15</f>
        <v>-19.685799470612757</v>
      </c>
      <c r="P15" s="59">
        <f>'Scenario Metrics'!P15-'Baseline Metrics'!P15</f>
        <v>-19.914826617702282</v>
      </c>
      <c r="R15" s="28">
        <v>60</v>
      </c>
      <c r="S15" s="28" t="s">
        <v>67</v>
      </c>
      <c r="T15" s="14"/>
    </row>
    <row r="16" spans="1:20" x14ac:dyDescent="0.2">
      <c r="B16" s="48" t="s">
        <v>59</v>
      </c>
      <c r="C16" s="60">
        <f>'Scenario Metrics'!C16-'Baseline Metrics'!C16</f>
        <v>-111376.93164344702</v>
      </c>
      <c r="D16" s="61">
        <f>'Scenario Metrics'!D16-'Baseline Metrics'!D16</f>
        <v>-5889.4552765422995</v>
      </c>
      <c r="E16" s="61">
        <f>'Scenario Metrics'!E16-'Baseline Metrics'!E16</f>
        <v>-119409</v>
      </c>
      <c r="F16" s="61">
        <f>'Scenario Metrics'!F16-'Baseline Metrics'!F16</f>
        <v>21328</v>
      </c>
      <c r="G16" s="62">
        <f>'Scenario Metrics'!G16-'Baseline Metrics'!G16</f>
        <v>-3.3201085821674692E-2</v>
      </c>
      <c r="H16" s="62">
        <f>'Scenario Metrics'!H16-'Baseline Metrics'!H16</f>
        <v>-6.3522775692457456E-2</v>
      </c>
      <c r="I16" s="63">
        <v>25</v>
      </c>
      <c r="J16" s="64">
        <f t="shared" si="0"/>
        <v>-2784423.2910861755</v>
      </c>
      <c r="K16" s="54"/>
      <c r="L16" s="55" t="s">
        <v>59</v>
      </c>
      <c r="M16" s="65">
        <f>'Scenario Metrics'!M16-'Baseline Metrics'!M16</f>
        <v>-1.8580685204878424</v>
      </c>
      <c r="N16" s="30">
        <f>'Scenario Metrics'!N16-'Baseline Metrics'!N16</f>
        <v>-3.7345117283417304</v>
      </c>
      <c r="O16" s="66">
        <f>'Scenario Metrics'!O16-'Baseline Metrics'!O16</f>
        <v>-2.1124205134578595</v>
      </c>
      <c r="P16" s="67">
        <f>'Scenario Metrics'!P16-'Baseline Metrics'!P16</f>
        <v>-6.1691685568750394</v>
      </c>
    </row>
    <row r="17" spans="2:16" x14ac:dyDescent="0.2">
      <c r="B17" s="48" t="s">
        <v>60</v>
      </c>
      <c r="C17" s="60">
        <f>'Scenario Metrics'!C17-'Baseline Metrics'!C17</f>
        <v>281158.69342795794</v>
      </c>
      <c r="D17" s="61">
        <f>'Scenario Metrics'!D17-'Baseline Metrics'!D17</f>
        <v>44037.077190700191</v>
      </c>
      <c r="E17" s="61">
        <f>'Scenario Metrics'!E17-'Baseline Metrics'!E17</f>
        <v>322371</v>
      </c>
      <c r="F17" s="61">
        <f>'Scenario Metrics'!F17-'Baseline Metrics'!F17</f>
        <v>77993</v>
      </c>
      <c r="G17" s="62">
        <f>'Scenario Metrics'!G17-'Baseline Metrics'!G17</f>
        <v>8.963367281711665E-2</v>
      </c>
      <c r="H17" s="62">
        <f>'Scenario Metrics'!H17-'Baseline Metrics'!H17</f>
        <v>6.8298275204830089E-2</v>
      </c>
      <c r="I17" s="63">
        <v>25</v>
      </c>
      <c r="J17" s="64">
        <f t="shared" si="0"/>
        <v>7028967.3356989482</v>
      </c>
      <c r="K17" s="54"/>
      <c r="L17" s="55" t="s">
        <v>60</v>
      </c>
      <c r="M17" s="65">
        <f>'Scenario Metrics'!M17-'Baseline Metrics'!M17</f>
        <v>4.6904876064676273</v>
      </c>
      <c r="N17" s="30">
        <f>'Scenario Metrics'!N17-'Baseline Metrics'!N17</f>
        <v>2.2616304232203204</v>
      </c>
      <c r="O17" s="66">
        <f>'Scenario Metrics'!O17-'Baseline Metrics'!O17</f>
        <v>3.4992882023565102</v>
      </c>
      <c r="P17" s="67">
        <f>'Scenario Metrics'!P17-'Baseline Metrics'!P17</f>
        <v>-0.43133656574202206</v>
      </c>
    </row>
    <row r="18" spans="2:16" x14ac:dyDescent="0.2">
      <c r="B18" s="48" t="s">
        <v>63</v>
      </c>
      <c r="C18" s="60">
        <f>'Scenario Metrics'!C18-'Baseline Metrics'!C18</f>
        <v>584541.56783337297</v>
      </c>
      <c r="D18" s="61">
        <f>'Scenario Metrics'!D18-'Baseline Metrics'!D18</f>
        <v>149275.89399999718</v>
      </c>
      <c r="E18" s="61">
        <f>'Scenario Metrics'!E18-'Baseline Metrics'!E18</f>
        <v>234912</v>
      </c>
      <c r="F18" s="61">
        <f>'Scenario Metrics'!F18-'Baseline Metrics'!F18</f>
        <v>64809</v>
      </c>
      <c r="G18" s="62">
        <f>'Scenario Metrics'!G18-'Baseline Metrics'!G18</f>
        <v>6.5316127532608431E-2</v>
      </c>
      <c r="H18" s="62">
        <f>'Scenario Metrics'!H18-'Baseline Metrics'!H18</f>
        <v>7.6297300728525516E-2</v>
      </c>
      <c r="I18" s="63">
        <v>25</v>
      </c>
      <c r="J18" s="64">
        <f t="shared" si="0"/>
        <v>14613539.195834324</v>
      </c>
      <c r="K18" s="54"/>
      <c r="L18" s="55" t="s">
        <v>63</v>
      </c>
      <c r="M18" s="65">
        <f>'Scenario Metrics'!M18-'Baseline Metrics'!M18</f>
        <v>9.7517346732518071</v>
      </c>
      <c r="N18" s="30">
        <f>'Scenario Metrics'!N18-'Baseline Metrics'!N18</f>
        <v>12.204216032982735</v>
      </c>
      <c r="O18" s="66">
        <f>'Scenario Metrics'!O18-'Baseline Metrics'!O18</f>
        <v>37.843457881484611</v>
      </c>
      <c r="P18" s="67">
        <f>'Scenario Metrics'!P18-'Baseline Metrics'!P18</f>
        <v>35.724923981216705</v>
      </c>
    </row>
    <row r="19" spans="2:16" x14ac:dyDescent="0.2">
      <c r="B19" s="48" t="s">
        <v>64</v>
      </c>
      <c r="C19" s="60">
        <f>'Scenario Metrics'!C19-'Baseline Metrics'!C19</f>
        <v>527123.268950372</v>
      </c>
      <c r="D19" s="61">
        <f>'Scenario Metrics'!D19-'Baseline Metrics'!D19</f>
        <v>145795.78344027969</v>
      </c>
      <c r="E19" s="61">
        <f>'Scenario Metrics'!E19-'Baseline Metrics'!E19</f>
        <v>293702</v>
      </c>
      <c r="F19" s="61">
        <f>'Scenario Metrics'!F19-'Baseline Metrics'!F19</f>
        <v>92711</v>
      </c>
      <c r="G19" s="62">
        <f>'Scenario Metrics'!G19-'Baseline Metrics'!G19</f>
        <v>8.1662398211169135E-2</v>
      </c>
      <c r="H19" s="62">
        <f>'Scenario Metrics'!H19-'Baseline Metrics'!H19</f>
        <v>9.3575180562970733E-2</v>
      </c>
      <c r="I19" s="63">
        <v>25</v>
      </c>
      <c r="J19" s="64">
        <f t="shared" si="0"/>
        <v>13178081.723759301</v>
      </c>
      <c r="K19" s="54"/>
      <c r="L19" s="55" t="s">
        <v>64</v>
      </c>
      <c r="M19" s="65">
        <f>'Scenario Metrics'!M19-'Baseline Metrics'!M19</f>
        <v>8.7938421179423685</v>
      </c>
      <c r="N19" s="30">
        <f>'Scenario Metrics'!N19-'Baseline Metrics'!N19</f>
        <v>10.555237538549841</v>
      </c>
      <c r="O19" s="66">
        <f>'Scenario Metrics'!O19-'Baseline Metrics'!O19</f>
        <v>18.142522126620626</v>
      </c>
      <c r="P19" s="67">
        <f>'Scenario Metrics'!P19-'Baseline Metrics'!P19</f>
        <v>16.226950237620613</v>
      </c>
    </row>
    <row r="20" spans="2:16" x14ac:dyDescent="0.2">
      <c r="B20" s="68" t="s">
        <v>58</v>
      </c>
      <c r="C20" s="69">
        <f>'Scenario Metrics'!C20-'Baseline Metrics'!C20</f>
        <v>203331.80754875331</v>
      </c>
      <c r="D20" s="70">
        <f>'Scenario Metrics'!D20-'Baseline Metrics'!D20</f>
        <v>61145.285187414935</v>
      </c>
      <c r="E20" s="70">
        <f>'Scenario Metrics'!E20-'Baseline Metrics'!E20</f>
        <v>163527</v>
      </c>
      <c r="F20" s="70">
        <f>'Scenario Metrics'!F20-'Baseline Metrics'!F20</f>
        <v>47367</v>
      </c>
      <c r="G20" s="71">
        <f>'Scenario Metrics'!G20-'Baseline Metrics'!G20</f>
        <v>4.546787898031969E-2</v>
      </c>
      <c r="H20" s="71">
        <f>'Scenario Metrics'!H20-'Baseline Metrics'!H20</f>
        <v>6.9356292482533596E-2</v>
      </c>
      <c r="I20" s="72">
        <v>25</v>
      </c>
      <c r="J20" s="73">
        <f t="shared" si="0"/>
        <v>5083295.188718833</v>
      </c>
      <c r="K20" s="54"/>
      <c r="L20" s="74" t="s">
        <v>58</v>
      </c>
      <c r="M20" s="75">
        <f>'Scenario Metrics'!M20-'Baseline Metrics'!M20</f>
        <v>3.3921246100557227</v>
      </c>
      <c r="N20" s="76">
        <f>'Scenario Metrics'!N20-'Baseline Metrics'!N20</f>
        <v>5.6265115909671559</v>
      </c>
      <c r="O20" s="77">
        <f>'Scenario Metrics'!O20-'Baseline Metrics'!O20</f>
        <v>28.934902666087851</v>
      </c>
      <c r="P20" s="78">
        <f>'Scenario Metrics'!P20-'Baseline Metrics'!P20</f>
        <v>30.068797239496185</v>
      </c>
    </row>
    <row r="21" spans="2:16" x14ac:dyDescent="0.2">
      <c r="B21" s="79"/>
      <c r="C21" s="61"/>
      <c r="D21" s="61"/>
      <c r="E21" s="61"/>
      <c r="F21" s="61"/>
      <c r="G21" s="62"/>
      <c r="H21" s="62"/>
      <c r="I21" s="63"/>
      <c r="J21" s="80"/>
      <c r="K21" s="54"/>
      <c r="N21" s="30"/>
      <c r="O21" s="66"/>
      <c r="P21" s="66"/>
    </row>
    <row r="22" spans="2:16" x14ac:dyDescent="0.2">
      <c r="B22" s="3" t="s">
        <v>111</v>
      </c>
      <c r="L22" s="3" t="s">
        <v>112</v>
      </c>
      <c r="N22" s="81"/>
    </row>
    <row r="23" spans="2:16" ht="25.5" x14ac:dyDescent="0.2">
      <c r="B23" s="83" t="s">
        <v>91</v>
      </c>
      <c r="C23" s="84" t="s">
        <v>1</v>
      </c>
      <c r="D23" s="45" t="s">
        <v>2</v>
      </c>
      <c r="E23" s="45" t="s">
        <v>17</v>
      </c>
      <c r="F23" s="46" t="s">
        <v>16</v>
      </c>
      <c r="G23" s="28"/>
      <c r="L23" s="83" t="s">
        <v>133</v>
      </c>
      <c r="M23" s="45" t="s">
        <v>92</v>
      </c>
      <c r="N23" s="45" t="s">
        <v>50</v>
      </c>
      <c r="O23" s="45" t="s">
        <v>70</v>
      </c>
      <c r="P23" s="46" t="s">
        <v>71</v>
      </c>
    </row>
    <row r="24" spans="2:16" x14ac:dyDescent="0.2">
      <c r="B24" s="55" t="s">
        <v>0</v>
      </c>
      <c r="C24" s="85">
        <f>'Scenario Metrics'!C24-'Baseline Metrics'!C24</f>
        <v>87848790.529563993</v>
      </c>
      <c r="D24" s="86">
        <f>'Scenario Metrics'!D24-'Baseline Metrics'!D24</f>
        <v>7443320.724398586</v>
      </c>
      <c r="E24" s="52" t="s">
        <v>86</v>
      </c>
      <c r="F24" s="53">
        <f>C24</f>
        <v>87848790.529563993</v>
      </c>
      <c r="G24" s="28"/>
      <c r="J24" s="87"/>
      <c r="L24" s="55" t="s">
        <v>0</v>
      </c>
      <c r="M24" s="88">
        <f>'Scenario Metrics'!M24-'Baseline Metrics'!M24</f>
        <v>24.425924626304344</v>
      </c>
      <c r="N24" s="89">
        <f>'Scenario Metrics'!N24-'Baseline Metrics'!N24</f>
        <v>11.570418100399468</v>
      </c>
      <c r="O24" s="90">
        <f>'Scenario Metrics'!O24-'Baseline Metrics'!O24</f>
        <v>61.700343889547881</v>
      </c>
      <c r="P24" s="91">
        <f>'Scenario Metrics'!P24-'Baseline Metrics'!P24</f>
        <v>47.001472410100774</v>
      </c>
    </row>
    <row r="25" spans="2:16" x14ac:dyDescent="0.2">
      <c r="B25" s="55" t="s">
        <v>22</v>
      </c>
      <c r="C25" s="60">
        <f>'Scenario Metrics'!C25-'Baseline Metrics'!C25</f>
        <v>-65691.961268899962</v>
      </c>
      <c r="D25" s="61">
        <f>'Scenario Metrics'!D25-'Baseline Metrics'!D25</f>
        <v>127968.95174600574</v>
      </c>
      <c r="E25" s="63">
        <v>21</v>
      </c>
      <c r="F25" s="61">
        <f>'Scenario Metrics'!F25-'Baseline Metrics'!F25</f>
        <v>-1379531.1866469011</v>
      </c>
      <c r="G25" s="28"/>
      <c r="L25" s="55" t="s">
        <v>22</v>
      </c>
      <c r="M25" s="93">
        <f>'Scenario Metrics'!M25-'Baseline Metrics'!M25</f>
        <v>-1.8265327101666284E-2</v>
      </c>
      <c r="N25" s="94">
        <f>'Scenario Metrics'!N25-'Baseline Metrics'!N25</f>
        <v>2.9081516617107228E-2</v>
      </c>
      <c r="O25" s="26">
        <f>'Scenario Metrics'!O25-'Baseline Metrics'!O25</f>
        <v>0</v>
      </c>
      <c r="P25" s="95">
        <f>'Scenario Metrics'!P25-'Baseline Metrics'!P25</f>
        <v>0</v>
      </c>
    </row>
    <row r="26" spans="2:16" x14ac:dyDescent="0.2">
      <c r="B26" s="55" t="s">
        <v>87</v>
      </c>
      <c r="C26" s="96">
        <f>'Scenario Metrics'!C26-'Baseline Metrics'!C26</f>
        <v>749147.77500004205</v>
      </c>
      <c r="D26" s="80">
        <f>'Scenario Metrics'!D26-'Baseline Metrics'!D26</f>
        <v>134918.74199999339</v>
      </c>
      <c r="E26" s="63" t="s">
        <v>86</v>
      </c>
      <c r="F26" s="64">
        <f>C26</f>
        <v>749147.77500004205</v>
      </c>
      <c r="G26" s="28"/>
      <c r="L26" s="55" t="s">
        <v>69</v>
      </c>
      <c r="M26" s="97">
        <f>'Scenario Metrics'!M26-'Baseline Metrics'!M26</f>
        <v>0.20829685845198453</v>
      </c>
      <c r="N26" s="41">
        <f>'Scenario Metrics'!N26-'Baseline Metrics'!N26</f>
        <v>0.18376549103857684</v>
      </c>
      <c r="O26" s="98">
        <f>'Scenario Metrics'!O26-'Baseline Metrics'!O26</f>
        <v>0.8038920112389456</v>
      </c>
      <c r="P26" s="95">
        <f>'Scenario Metrics'!P26-'Baseline Metrics'!P26</f>
        <v>0</v>
      </c>
    </row>
    <row r="27" spans="2:16" x14ac:dyDescent="0.2">
      <c r="B27" s="74" t="s">
        <v>14</v>
      </c>
      <c r="C27" s="99">
        <f>'Scenario Metrics'!C27-'Baseline Metrics'!C27</f>
        <v>-7207653.6623076089</v>
      </c>
      <c r="D27" s="100">
        <f>'Scenario Metrics'!D27-'Baseline Metrics'!D27</f>
        <v>-437010.42330000602</v>
      </c>
      <c r="E27" s="72" t="s">
        <v>86</v>
      </c>
      <c r="F27" s="73">
        <f>C27</f>
        <v>-7207653.6623076089</v>
      </c>
      <c r="G27" s="28"/>
      <c r="L27" s="74" t="s">
        <v>14</v>
      </c>
      <c r="M27" s="101">
        <f>'Scenario Metrics'!M27-'Baseline Metrics'!M27</f>
        <v>-2.0040526912978311</v>
      </c>
      <c r="N27" s="102">
        <f>'Scenario Metrics'!N27-'Baseline Metrics'!N27</f>
        <v>-1.1465497763560466</v>
      </c>
      <c r="O27" s="103">
        <f>'Scenario Metrics'!O27-'Baseline Metrics'!O27</f>
        <v>-3.0821911789485821</v>
      </c>
      <c r="P27" s="104">
        <f>'Scenario Metrics'!P27-'Baseline Metrics'!P27</f>
        <v>-2.4977859422099815</v>
      </c>
    </row>
    <row r="29" spans="2:16" x14ac:dyDescent="0.2">
      <c r="B29" s="3" t="s">
        <v>113</v>
      </c>
    </row>
    <row r="30" spans="2:16" ht="38.25" x14ac:dyDescent="0.2">
      <c r="B30" s="42" t="s">
        <v>18</v>
      </c>
      <c r="C30" s="45" t="s">
        <v>1</v>
      </c>
      <c r="D30" s="45" t="s">
        <v>2</v>
      </c>
      <c r="E30" s="45" t="s">
        <v>73</v>
      </c>
      <c r="F30" s="46" t="s">
        <v>74</v>
      </c>
      <c r="G30" s="28"/>
      <c r="H30" s="28"/>
      <c r="I30" s="28"/>
      <c r="J30" s="28"/>
      <c r="K30" s="54"/>
      <c r="L30" s="10"/>
      <c r="M30" s="10"/>
      <c r="N30" s="10"/>
      <c r="O30" s="10"/>
      <c r="P30" s="10"/>
    </row>
    <row r="31" spans="2:16" ht="25.5" x14ac:dyDescent="0.2">
      <c r="B31" s="55" t="s">
        <v>51</v>
      </c>
      <c r="C31" s="105">
        <f>'Scenario Metrics'!C31-'Baseline Metrics'!C31</f>
        <v>18.142522126620626</v>
      </c>
      <c r="D31" s="66">
        <f>'Scenario Metrics'!D31-'Baseline Metrics'!D31</f>
        <v>16.226950237620613</v>
      </c>
      <c r="E31" s="79">
        <f>'Scenario Metrics'!E31-'Baseline Metrics'!E31</f>
        <v>0</v>
      </c>
      <c r="F31" s="106">
        <f>'Scenario Metrics'!F31-'Baseline Metrics'!F31</f>
        <v>0</v>
      </c>
      <c r="G31" s="28"/>
      <c r="H31" s="28"/>
      <c r="I31" s="28"/>
      <c r="J31" s="28"/>
      <c r="K31" s="54"/>
      <c r="L31" s="10"/>
      <c r="M31" s="10"/>
      <c r="N31" s="10"/>
      <c r="O31" s="10"/>
      <c r="P31" s="10"/>
    </row>
    <row r="32" spans="2:16" x14ac:dyDescent="0.2">
      <c r="B32" s="55" t="s">
        <v>11</v>
      </c>
      <c r="C32" s="61">
        <f>'Scenario Metrics'!C32-'Baseline Metrics'!C32</f>
        <v>293702</v>
      </c>
      <c r="D32" s="61">
        <f>'Scenario Metrics'!D32-'Baseline Metrics'!D32</f>
        <v>92711</v>
      </c>
      <c r="E32" s="107">
        <f>'Scenario Metrics'!E32-'Baseline Metrics'!E32</f>
        <v>8.1662398211169135E-2</v>
      </c>
      <c r="F32" s="108">
        <f>'Scenario Metrics'!F32-'Baseline Metrics'!F32</f>
        <v>9.3575180562970733E-2</v>
      </c>
      <c r="G32" s="28"/>
      <c r="H32" s="28"/>
      <c r="I32" s="28"/>
      <c r="J32" s="28"/>
      <c r="K32" s="54"/>
      <c r="L32" s="10"/>
      <c r="M32" s="10"/>
      <c r="N32" s="10"/>
      <c r="O32" s="10"/>
      <c r="P32" s="10"/>
    </row>
    <row r="33" spans="2:16" x14ac:dyDescent="0.2">
      <c r="B33" s="55" t="s">
        <v>12</v>
      </c>
      <c r="C33" s="105">
        <f>'Scenario Metrics'!C33-'Baseline Metrics'!C33</f>
        <v>28.934902666087851</v>
      </c>
      <c r="D33" s="66">
        <f>'Scenario Metrics'!D33-'Baseline Metrics'!D33</f>
        <v>30.068797239496185</v>
      </c>
      <c r="E33" s="79">
        <f>'Scenario Metrics'!E33-'Baseline Metrics'!E33</f>
        <v>0</v>
      </c>
      <c r="F33" s="106">
        <f>'Scenario Metrics'!F33-'Baseline Metrics'!F33</f>
        <v>0</v>
      </c>
      <c r="G33" s="28"/>
      <c r="H33" s="28"/>
      <c r="I33" s="28"/>
      <c r="J33" s="28"/>
      <c r="K33" s="54"/>
      <c r="L33" s="10"/>
      <c r="M33" s="10"/>
      <c r="N33" s="10"/>
      <c r="O33" s="10"/>
      <c r="P33" s="10"/>
    </row>
    <row r="34" spans="2:16" x14ac:dyDescent="0.2">
      <c r="B34" s="74" t="s">
        <v>13</v>
      </c>
      <c r="C34" s="70">
        <f>'Scenario Metrics'!C34-'Baseline Metrics'!C34</f>
        <v>163527</v>
      </c>
      <c r="D34" s="70">
        <f>'Scenario Metrics'!D34-'Baseline Metrics'!D34</f>
        <v>47367</v>
      </c>
      <c r="E34" s="109">
        <f>'Scenario Metrics'!E34-'Baseline Metrics'!E34</f>
        <v>4.546787898031969E-2</v>
      </c>
      <c r="F34" s="110">
        <f>'Scenario Metrics'!F34-'Baseline Metrics'!F34</f>
        <v>6.9356292482533596E-2</v>
      </c>
      <c r="G34" s="28"/>
      <c r="H34" s="28"/>
      <c r="I34" s="28"/>
      <c r="J34" s="28"/>
      <c r="K34" s="54"/>
      <c r="L34" s="10"/>
      <c r="M34" s="10"/>
      <c r="N34" s="10"/>
      <c r="O34" s="10"/>
      <c r="P34" s="10"/>
    </row>
    <row r="36" spans="2:16" x14ac:dyDescent="0.2">
      <c r="B36" s="3" t="s">
        <v>114</v>
      </c>
    </row>
    <row r="37" spans="2:16" ht="25.5" x14ac:dyDescent="0.2">
      <c r="B37" s="42" t="s">
        <v>20</v>
      </c>
      <c r="C37" s="45" t="s">
        <v>1</v>
      </c>
      <c r="D37" s="45" t="s">
        <v>17</v>
      </c>
      <c r="E37" s="46" t="s">
        <v>16</v>
      </c>
      <c r="G37" s="79"/>
      <c r="H37" s="79"/>
      <c r="I37" s="28"/>
      <c r="J37" s="28"/>
      <c r="K37" s="54"/>
      <c r="L37" s="28"/>
      <c r="M37" s="28"/>
    </row>
    <row r="38" spans="2:16" x14ac:dyDescent="0.2">
      <c r="B38" s="55" t="s">
        <v>3</v>
      </c>
      <c r="C38" s="66">
        <f>'Scenario Metrics'!C38-'Baseline Metrics'!C38</f>
        <v>-11.616642119176621</v>
      </c>
      <c r="D38" s="63">
        <v>75500</v>
      </c>
      <c r="E38" s="64">
        <f>D38*C38</f>
        <v>-877056.47999783489</v>
      </c>
      <c r="F38" s="28"/>
      <c r="G38" s="28"/>
      <c r="H38" s="28"/>
      <c r="I38" s="28"/>
      <c r="J38" s="28"/>
      <c r="K38" s="54"/>
      <c r="L38" s="28"/>
      <c r="M38" s="28"/>
      <c r="N38" s="10"/>
      <c r="O38" s="10"/>
      <c r="P38" s="10"/>
    </row>
    <row r="39" spans="2:16" x14ac:dyDescent="0.2">
      <c r="B39" s="55" t="s">
        <v>4</v>
      </c>
      <c r="C39" s="66">
        <f>'Scenario Metrics'!C39-'Baseline Metrics'!C39</f>
        <v>-21.352787063655953</v>
      </c>
      <c r="D39" s="63">
        <v>2600</v>
      </c>
      <c r="E39" s="64">
        <f>D39*C39</f>
        <v>-55517.246365505474</v>
      </c>
      <c r="F39" s="28"/>
      <c r="G39" s="28"/>
      <c r="H39" s="28"/>
      <c r="I39" s="28"/>
      <c r="J39" s="28"/>
      <c r="K39" s="54"/>
      <c r="L39" s="28"/>
      <c r="M39" s="28"/>
      <c r="N39" s="10"/>
      <c r="O39" s="10"/>
      <c r="P39" s="10"/>
    </row>
    <row r="40" spans="2:16" x14ac:dyDescent="0.2">
      <c r="B40" s="74" t="s">
        <v>5</v>
      </c>
      <c r="C40" s="111">
        <f>'Scenario Metrics'!C40-'Baseline Metrics'!C40</f>
        <v>-0.21510288297268965</v>
      </c>
      <c r="D40" s="100">
        <f>2500000</f>
        <v>2500000</v>
      </c>
      <c r="E40" s="73">
        <f>D40*C40</f>
        <v>-537757.20743172406</v>
      </c>
      <c r="F40" s="28"/>
      <c r="G40" s="28"/>
      <c r="H40" s="28"/>
      <c r="I40" s="28"/>
      <c r="J40" s="28"/>
      <c r="K40" s="54"/>
      <c r="L40" s="28"/>
      <c r="M40" s="28"/>
      <c r="N40" s="10"/>
      <c r="O40" s="10"/>
      <c r="P40" s="10"/>
    </row>
    <row r="41" spans="2:16" x14ac:dyDescent="0.2">
      <c r="B41" s="79"/>
      <c r="C41" s="105"/>
      <c r="D41" s="80"/>
      <c r="E41" s="80"/>
      <c r="F41" s="28"/>
      <c r="G41" s="28"/>
      <c r="H41" s="28"/>
      <c r="I41" s="28"/>
      <c r="J41" s="28"/>
      <c r="K41" s="54"/>
      <c r="L41" s="28"/>
      <c r="M41" s="28"/>
      <c r="N41" s="10"/>
      <c r="O41" s="10"/>
      <c r="P41" s="10"/>
    </row>
    <row r="42" spans="2:16" x14ac:dyDescent="0.2">
      <c r="B42" s="3" t="s">
        <v>116</v>
      </c>
    </row>
    <row r="43" spans="2:16" ht="25.5" x14ac:dyDescent="0.2">
      <c r="B43" s="112" t="s">
        <v>72</v>
      </c>
      <c r="C43" s="44" t="s">
        <v>1</v>
      </c>
      <c r="D43" s="44" t="s">
        <v>17</v>
      </c>
      <c r="E43" s="113" t="s">
        <v>16</v>
      </c>
      <c r="G43" s="79"/>
      <c r="H43" s="79"/>
      <c r="I43" s="28"/>
      <c r="J43" s="28"/>
      <c r="K43" s="54"/>
      <c r="L43" s="28"/>
      <c r="M43" s="28"/>
    </row>
    <row r="44" spans="2:16" x14ac:dyDescent="0.2">
      <c r="B44" s="55" t="s">
        <v>6</v>
      </c>
      <c r="C44" s="66">
        <f>'Scenario Metrics'!C44-'Baseline Metrics'!C44</f>
        <v>-10586.545670915122</v>
      </c>
      <c r="D44" s="114">
        <v>55.34</v>
      </c>
      <c r="E44" s="64">
        <f>D44*C44</f>
        <v>-585859.43742844288</v>
      </c>
      <c r="G44" s="79"/>
      <c r="H44" s="79"/>
      <c r="I44" s="28"/>
      <c r="J44" s="28"/>
      <c r="K44" s="54"/>
      <c r="L44" s="28"/>
      <c r="M44" s="28"/>
    </row>
    <row r="45" spans="2:16" x14ac:dyDescent="0.2">
      <c r="B45" s="55" t="s">
        <v>7</v>
      </c>
      <c r="C45" s="66">
        <f>'Scenario Metrics'!C45-'Baseline Metrics'!C45</f>
        <v>-429.47124321287049</v>
      </c>
      <c r="D45" s="114">
        <v>380</v>
      </c>
      <c r="E45" s="64">
        <f>D45*C45</f>
        <v>-163199.07242089079</v>
      </c>
      <c r="G45" s="79"/>
      <c r="H45" s="79"/>
      <c r="I45" s="28"/>
      <c r="J45" s="28"/>
      <c r="K45" s="54"/>
      <c r="L45" s="28"/>
      <c r="M45" s="28"/>
    </row>
    <row r="46" spans="2:16" x14ac:dyDescent="0.2">
      <c r="B46" s="55" t="s">
        <v>8</v>
      </c>
      <c r="C46" s="66">
        <f>'Scenario Metrics'!C46-'Baseline Metrics'!C46</f>
        <v>-12.56270920858838</v>
      </c>
      <c r="D46" s="114">
        <v>9800</v>
      </c>
      <c r="E46" s="64">
        <f>D46*C46</f>
        <v>-123114.55024416612</v>
      </c>
      <c r="G46" s="79"/>
      <c r="H46" s="79"/>
      <c r="I46" s="28"/>
      <c r="J46" s="28"/>
      <c r="K46" s="54"/>
      <c r="L46" s="28"/>
      <c r="M46" s="28"/>
    </row>
    <row r="47" spans="2:16" x14ac:dyDescent="0.2">
      <c r="B47" s="55" t="s">
        <v>9</v>
      </c>
      <c r="C47" s="66">
        <f>'Scenario Metrics'!C47-'Baseline Metrics'!C47</f>
        <v>-0.29804615321195593</v>
      </c>
      <c r="D47" s="114">
        <v>7800</v>
      </c>
      <c r="E47" s="64">
        <f>D47*C47</f>
        <v>-2324.7599950532563</v>
      </c>
      <c r="G47" s="79"/>
      <c r="H47" s="79"/>
      <c r="I47" s="28"/>
      <c r="J47" s="28"/>
      <c r="K47" s="54"/>
      <c r="L47" s="28"/>
      <c r="M47" s="28"/>
    </row>
    <row r="48" spans="2:16" x14ac:dyDescent="0.2">
      <c r="B48" s="74" t="s">
        <v>10</v>
      </c>
      <c r="C48" s="77">
        <f>'Scenario Metrics'!C48-'Baseline Metrics'!C48</f>
        <v>-16.794994561166749</v>
      </c>
      <c r="D48" s="115">
        <v>6500</v>
      </c>
      <c r="E48" s="73">
        <f>D48*C48</f>
        <v>-109167.46464758387</v>
      </c>
      <c r="G48" s="79"/>
      <c r="H48" s="79"/>
      <c r="I48" s="28"/>
      <c r="J48" s="28"/>
      <c r="K48" s="54"/>
      <c r="L48" s="28"/>
      <c r="M48" s="28"/>
    </row>
    <row r="49" spans="2:16" x14ac:dyDescent="0.2">
      <c r="B49" s="79"/>
      <c r="C49" s="79"/>
      <c r="D49" s="79"/>
      <c r="E49" s="79"/>
      <c r="F49" s="79"/>
      <c r="G49" s="79"/>
      <c r="H49" s="79"/>
      <c r="I49" s="28"/>
      <c r="J49" s="28"/>
      <c r="K49" s="54"/>
      <c r="L49" s="28"/>
      <c r="M49" s="28"/>
    </row>
    <row r="50" spans="2:16" s="116" customFormat="1" x14ac:dyDescent="0.2">
      <c r="B50" s="3" t="s">
        <v>115</v>
      </c>
      <c r="C50" s="14"/>
      <c r="D50" s="14"/>
      <c r="E50" s="14"/>
      <c r="F50" s="14"/>
      <c r="G50" s="14"/>
      <c r="H50" s="14"/>
      <c r="I50" s="14"/>
      <c r="J50" s="14"/>
      <c r="K50" s="29"/>
      <c r="L50" s="14"/>
      <c r="M50" s="14"/>
      <c r="N50" s="117"/>
      <c r="O50" s="117"/>
      <c r="P50" s="117"/>
    </row>
    <row r="51" spans="2:16" ht="25.5" x14ac:dyDescent="0.2">
      <c r="B51" s="42" t="s">
        <v>19</v>
      </c>
      <c r="C51" s="84" t="s">
        <v>1</v>
      </c>
      <c r="D51" s="45"/>
      <c r="E51" s="45" t="s">
        <v>17</v>
      </c>
      <c r="F51" s="46" t="s">
        <v>16</v>
      </c>
      <c r="G51" s="79"/>
      <c r="H51" s="79"/>
    </row>
    <row r="52" spans="2:16" x14ac:dyDescent="0.2">
      <c r="B52" s="55" t="s">
        <v>52</v>
      </c>
      <c r="C52" s="79"/>
      <c r="D52" s="79"/>
      <c r="E52" s="79"/>
      <c r="F52" s="106"/>
      <c r="G52" s="79"/>
      <c r="H52" s="79"/>
    </row>
    <row r="53" spans="2:16" x14ac:dyDescent="0.2">
      <c r="B53" s="55" t="s">
        <v>0</v>
      </c>
      <c r="C53" s="79"/>
      <c r="D53" s="79"/>
      <c r="E53" s="79"/>
      <c r="F53" s="106"/>
      <c r="G53" s="79"/>
      <c r="H53" s="79"/>
    </row>
    <row r="54" spans="2:16" x14ac:dyDescent="0.2">
      <c r="B54" s="74" t="s">
        <v>14</v>
      </c>
      <c r="C54" s="118"/>
      <c r="D54" s="118"/>
      <c r="E54" s="118"/>
      <c r="F54" s="119"/>
      <c r="G54" s="79"/>
      <c r="H54" s="79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Q18" sqref="Q18"/>
    </sheetView>
  </sheetViews>
  <sheetFormatPr defaultRowHeight="15" x14ac:dyDescent="0.25"/>
  <cols>
    <col min="1" max="16" width="9.140625" style="15"/>
    <col min="17" max="17" width="26.85546875" style="15" bestFit="1" customWidth="1"/>
    <col min="18" max="18" width="16.7109375" style="15" bestFit="1" customWidth="1"/>
    <col min="19" max="19" width="15.28515625" style="15" bestFit="1" customWidth="1"/>
    <col min="20" max="20" width="18" style="15" bestFit="1" customWidth="1"/>
    <col min="21" max="16384" width="9.140625" style="15"/>
  </cols>
  <sheetData>
    <row r="1" spans="1:22" s="7" customFormat="1" ht="26.25" thickBot="1" x14ac:dyDescent="0.4">
      <c r="A1" s="4" t="s">
        <v>135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22" ht="18.75" x14ac:dyDescent="0.3">
      <c r="A2" s="130" t="s">
        <v>136</v>
      </c>
    </row>
    <row r="4" spans="1:22" x14ac:dyDescent="0.25">
      <c r="Q4" s="42" t="s">
        <v>25</v>
      </c>
      <c r="R4" s="45" t="s">
        <v>137</v>
      </c>
      <c r="S4" s="46" t="s">
        <v>138</v>
      </c>
      <c r="T4" s="137" t="s">
        <v>144</v>
      </c>
    </row>
    <row r="5" spans="1:22" x14ac:dyDescent="0.25">
      <c r="Q5" s="55" t="s">
        <v>139</v>
      </c>
      <c r="R5" s="138">
        <v>635</v>
      </c>
      <c r="S5" s="139">
        <v>196</v>
      </c>
      <c r="T5" s="133">
        <f>SUM(R5:S5)</f>
        <v>831</v>
      </c>
      <c r="U5" s="15" t="s">
        <v>142</v>
      </c>
      <c r="V5" s="15">
        <v>300</v>
      </c>
    </row>
    <row r="6" spans="1:22" x14ac:dyDescent="0.25">
      <c r="Q6" s="55" t="s">
        <v>140</v>
      </c>
      <c r="R6" s="140">
        <v>1588980000</v>
      </c>
      <c r="S6" s="141">
        <v>492044000</v>
      </c>
      <c r="T6" s="134">
        <f t="shared" ref="T6:T8" si="0">SUM(R6:S6)</f>
        <v>2081024000</v>
      </c>
    </row>
    <row r="7" spans="1:22" x14ac:dyDescent="0.25">
      <c r="Q7" s="23" t="s">
        <v>141</v>
      </c>
      <c r="R7" s="131">
        <f>R5/$V$5</f>
        <v>2.1166666666666667</v>
      </c>
      <c r="S7" s="132">
        <f>S5/$V$5</f>
        <v>0.65333333333333332</v>
      </c>
      <c r="T7" s="133">
        <f t="shared" si="0"/>
        <v>2.77</v>
      </c>
    </row>
    <row r="8" spans="1:22" x14ac:dyDescent="0.25">
      <c r="Q8" s="38" t="s">
        <v>143</v>
      </c>
      <c r="R8" s="135">
        <f>R6/$V$5</f>
        <v>5296600</v>
      </c>
      <c r="S8" s="136">
        <f>S6/$V$5</f>
        <v>1640146.6666666667</v>
      </c>
      <c r="T8" s="136">
        <f t="shared" si="0"/>
        <v>6936746.666666667</v>
      </c>
    </row>
    <row r="12" spans="1:22" x14ac:dyDescent="0.25">
      <c r="Q12" s="143" t="s">
        <v>145</v>
      </c>
      <c r="R12" s="144"/>
      <c r="S12" s="144"/>
      <c r="T12" s="144"/>
    </row>
    <row r="13" spans="1:22" x14ac:dyDescent="0.25">
      <c r="Q13" s="144"/>
      <c r="R13" s="144"/>
      <c r="S13" s="144"/>
      <c r="T13" s="144"/>
    </row>
  </sheetData>
  <mergeCells count="1">
    <mergeCell ref="Q12:T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6"/>
  <sheetViews>
    <sheetView topLeftCell="A97" workbookViewId="0">
      <selection activeCell="C36" sqref="C36"/>
    </sheetView>
  </sheetViews>
  <sheetFormatPr defaultRowHeight="15" x14ac:dyDescent="0.25"/>
  <cols>
    <col min="1" max="6" width="26.42578125" style="1" customWidth="1"/>
    <col min="7" max="16384" width="9.140625" style="1"/>
  </cols>
  <sheetData>
    <row r="2" spans="1:3" x14ac:dyDescent="0.25">
      <c r="B2" s="2" t="s">
        <v>76</v>
      </c>
      <c r="C2" s="2" t="s">
        <v>77</v>
      </c>
    </row>
    <row r="3" spans="1:3" x14ac:dyDescent="0.25">
      <c r="A3" s="2">
        <v>0</v>
      </c>
      <c r="B3" s="1">
        <v>439937</v>
      </c>
      <c r="C3" s="1">
        <v>3596539</v>
      </c>
    </row>
    <row r="22" spans="1:5" x14ac:dyDescent="0.25">
      <c r="B22" s="2" t="s">
        <v>53</v>
      </c>
      <c r="C22" s="2" t="s">
        <v>54</v>
      </c>
      <c r="D22" s="2" t="s">
        <v>55</v>
      </c>
      <c r="E22" s="2" t="s">
        <v>56</v>
      </c>
    </row>
    <row r="23" spans="1:5" x14ac:dyDescent="0.25">
      <c r="A23" s="2" t="s">
        <v>57</v>
      </c>
    </row>
    <row r="24" spans="1:5" x14ac:dyDescent="0.25">
      <c r="A24" s="2" t="s">
        <v>58</v>
      </c>
      <c r="B24" s="1">
        <v>7109.3169051744599</v>
      </c>
      <c r="C24" s="1">
        <v>0</v>
      </c>
      <c r="D24" s="1">
        <v>31036.030759405701</v>
      </c>
      <c r="E24" s="1">
        <v>0</v>
      </c>
    </row>
    <row r="25" spans="1:5" x14ac:dyDescent="0.25">
      <c r="A25" s="2" t="s">
        <v>59</v>
      </c>
      <c r="B25" s="1">
        <v>79644.664858888995</v>
      </c>
      <c r="C25" s="1">
        <v>1838429.99215112</v>
      </c>
      <c r="D25" s="1">
        <v>778804.26832954597</v>
      </c>
      <c r="E25" s="1">
        <v>183105.18983661901</v>
      </c>
    </row>
    <row r="26" spans="1:5" x14ac:dyDescent="0.25">
      <c r="A26" s="2" t="s">
        <v>60</v>
      </c>
      <c r="B26" s="1">
        <v>50174.221704896903</v>
      </c>
      <c r="C26" s="1">
        <v>1520212.7364773799</v>
      </c>
      <c r="D26" s="1">
        <v>649827.74711748201</v>
      </c>
      <c r="E26" s="1">
        <v>115158.93435115</v>
      </c>
    </row>
    <row r="27" spans="1:5" x14ac:dyDescent="0.25">
      <c r="A27" s="2" t="s">
        <v>61</v>
      </c>
      <c r="B27" s="1">
        <v>139739.37502232601</v>
      </c>
      <c r="C27" s="1">
        <v>5232123.7534378897</v>
      </c>
      <c r="D27" s="1">
        <v>2018676.7291772801</v>
      </c>
      <c r="E27" s="1">
        <v>333160.77982130501</v>
      </c>
    </row>
    <row r="28" spans="1:5" x14ac:dyDescent="0.25">
      <c r="A28" s="2" t="s">
        <v>62</v>
      </c>
      <c r="B28" s="1">
        <v>11875.2825417325</v>
      </c>
      <c r="C28" s="1">
        <v>157512.464118698</v>
      </c>
      <c r="D28" s="1">
        <v>77711.990680938106</v>
      </c>
      <c r="E28" s="1">
        <v>23435.570839532898</v>
      </c>
    </row>
    <row r="29" spans="1:5" x14ac:dyDescent="0.25">
      <c r="A29" s="2" t="s">
        <v>63</v>
      </c>
      <c r="B29" s="1">
        <v>55902.4481666668</v>
      </c>
      <c r="C29" s="1">
        <v>343689.09700000798</v>
      </c>
      <c r="D29" s="1">
        <v>266855.12199998403</v>
      </c>
      <c r="E29" s="1">
        <v>50639.096000000602</v>
      </c>
    </row>
    <row r="30" spans="1:5" x14ac:dyDescent="0.25">
      <c r="A30" s="2" t="s">
        <v>64</v>
      </c>
      <c r="B30" s="1">
        <v>88930.7968362213</v>
      </c>
      <c r="C30" s="1">
        <v>0</v>
      </c>
      <c r="D30" s="1">
        <v>477346.91556607798</v>
      </c>
      <c r="E30" s="1">
        <v>0</v>
      </c>
    </row>
    <row r="42" spans="1:8" x14ac:dyDescent="0.25">
      <c r="B42" s="2" t="s">
        <v>58</v>
      </c>
      <c r="C42" s="2" t="s">
        <v>59</v>
      </c>
      <c r="D42" s="2" t="s">
        <v>60</v>
      </c>
      <c r="E42" s="2" t="s">
        <v>61</v>
      </c>
      <c r="F42" s="2" t="s">
        <v>62</v>
      </c>
      <c r="G42" s="2" t="s">
        <v>63</v>
      </c>
      <c r="H42" s="2" t="s">
        <v>64</v>
      </c>
    </row>
    <row r="43" spans="1:8" x14ac:dyDescent="0.25">
      <c r="A43" s="2" t="s">
        <v>78</v>
      </c>
      <c r="B43" s="1">
        <v>50755</v>
      </c>
      <c r="C43" s="1">
        <v>1411362</v>
      </c>
      <c r="D43" s="1">
        <v>1037976</v>
      </c>
      <c r="E43" s="1">
        <v>1991517</v>
      </c>
      <c r="F43" s="1">
        <v>265967</v>
      </c>
      <c r="G43" s="1">
        <v>203525</v>
      </c>
      <c r="H43" s="1">
        <v>476471</v>
      </c>
    </row>
    <row r="62" spans="1:8" x14ac:dyDescent="0.25">
      <c r="B62" s="2" t="s">
        <v>58</v>
      </c>
      <c r="C62" s="2" t="s">
        <v>59</v>
      </c>
      <c r="D62" s="2" t="s">
        <v>60</v>
      </c>
      <c r="E62" s="2" t="s">
        <v>61</v>
      </c>
      <c r="F62" s="2" t="s">
        <v>62</v>
      </c>
      <c r="G62" s="2" t="s">
        <v>63</v>
      </c>
      <c r="H62" s="2" t="s">
        <v>64</v>
      </c>
    </row>
    <row r="63" spans="1:8" x14ac:dyDescent="0.25">
      <c r="A63" s="2" t="s">
        <v>78</v>
      </c>
      <c r="B63" s="1">
        <v>10471</v>
      </c>
      <c r="C63" s="1">
        <v>147760</v>
      </c>
      <c r="D63" s="1">
        <v>86538</v>
      </c>
      <c r="E63" s="1">
        <v>169147</v>
      </c>
      <c r="F63" s="1">
        <v>39182</v>
      </c>
      <c r="G63" s="1">
        <v>42404</v>
      </c>
      <c r="H63" s="1">
        <v>84166</v>
      </c>
    </row>
    <row r="82" spans="1:3" x14ac:dyDescent="0.25">
      <c r="B82" s="2" t="s">
        <v>25</v>
      </c>
      <c r="C82" s="2" t="s">
        <v>23</v>
      </c>
    </row>
    <row r="83" spans="1:3" x14ac:dyDescent="0.25">
      <c r="A83" s="2">
        <v>2</v>
      </c>
      <c r="B83" s="1" t="s">
        <v>24</v>
      </c>
      <c r="C83" s="1">
        <v>57875365.5899093</v>
      </c>
    </row>
    <row r="84" spans="1:3" x14ac:dyDescent="0.25">
      <c r="A84" s="2">
        <v>0</v>
      </c>
      <c r="B84" s="1" t="s">
        <v>65</v>
      </c>
      <c r="C84" s="1">
        <v>5612535.5499993097</v>
      </c>
    </row>
    <row r="85" spans="1:3" x14ac:dyDescent="0.25">
      <c r="A85" s="2">
        <v>1</v>
      </c>
      <c r="B85" s="1" t="s">
        <v>14</v>
      </c>
      <c r="C85" s="1">
        <v>10151946.823307799</v>
      </c>
    </row>
    <row r="86" spans="1:3" x14ac:dyDescent="0.25">
      <c r="A86" s="2">
        <v>3</v>
      </c>
      <c r="B86" s="1" t="s">
        <v>66</v>
      </c>
      <c r="C86" s="1">
        <v>668296.68320000102</v>
      </c>
    </row>
    <row r="102" spans="1:3" x14ac:dyDescent="0.25">
      <c r="B102" s="2" t="s">
        <v>25</v>
      </c>
      <c r="C102" s="2" t="s">
        <v>23</v>
      </c>
    </row>
    <row r="103" spans="1:3" x14ac:dyDescent="0.25">
      <c r="A103" s="2">
        <v>5</v>
      </c>
      <c r="B103" s="1" t="s">
        <v>26</v>
      </c>
      <c r="C103" s="1">
        <v>36.689229545154397</v>
      </c>
    </row>
    <row r="104" spans="1:3" x14ac:dyDescent="0.25">
      <c r="A104" s="2">
        <v>7</v>
      </c>
      <c r="B104" s="1" t="s">
        <v>79</v>
      </c>
      <c r="C104" s="1">
        <v>40.737180241664198</v>
      </c>
    </row>
    <row r="105" spans="1:3" x14ac:dyDescent="0.25">
      <c r="A105" s="2">
        <v>2</v>
      </c>
      <c r="B105" s="1" t="s">
        <v>80</v>
      </c>
      <c r="C105" s="1">
        <v>63.3967137582082</v>
      </c>
    </row>
    <row r="106" spans="1:3" x14ac:dyDescent="0.25">
      <c r="A106" s="2">
        <v>1</v>
      </c>
      <c r="B106" s="1" t="s">
        <v>27</v>
      </c>
      <c r="C106" s="1">
        <v>60.110300383388001</v>
      </c>
    </row>
    <row r="107" spans="1:3" x14ac:dyDescent="0.25">
      <c r="A107" s="2">
        <v>3</v>
      </c>
      <c r="B107" s="1" t="s">
        <v>13</v>
      </c>
      <c r="C107" s="1">
        <v>50755</v>
      </c>
    </row>
    <row r="108" spans="1:3" x14ac:dyDescent="0.25">
      <c r="A108" s="2">
        <v>4</v>
      </c>
      <c r="B108" s="1" t="s">
        <v>81</v>
      </c>
      <c r="C108" s="1">
        <v>10471</v>
      </c>
    </row>
    <row r="109" spans="1:3" x14ac:dyDescent="0.25">
      <c r="A109" s="2">
        <v>6</v>
      </c>
      <c r="B109" s="1" t="s">
        <v>82</v>
      </c>
      <c r="C109" s="1">
        <v>84166</v>
      </c>
    </row>
    <row r="110" spans="1:3" x14ac:dyDescent="0.25">
      <c r="A110" s="2">
        <v>0</v>
      </c>
      <c r="B110" s="1" t="s">
        <v>11</v>
      </c>
      <c r="C110" s="1">
        <v>476471</v>
      </c>
    </row>
    <row r="122" spans="1:5" x14ac:dyDescent="0.25">
      <c r="B122" s="2" t="s">
        <v>28</v>
      </c>
      <c r="C122" s="2" t="s">
        <v>29</v>
      </c>
      <c r="D122" s="2" t="s">
        <v>30</v>
      </c>
      <c r="E122" s="2" t="s">
        <v>31</v>
      </c>
    </row>
    <row r="123" spans="1:5" x14ac:dyDescent="0.25">
      <c r="A123" s="2" t="s">
        <v>32</v>
      </c>
      <c r="B123" s="1">
        <v>30194.1172997512</v>
      </c>
      <c r="C123" s="1">
        <v>726.76598208408097</v>
      </c>
      <c r="D123" s="1">
        <v>2612.0462770589602</v>
      </c>
      <c r="E123" s="1">
        <v>1823.4198498885901</v>
      </c>
    </row>
    <row r="124" spans="1:5" x14ac:dyDescent="0.25">
      <c r="A124" s="2" t="s">
        <v>33</v>
      </c>
      <c r="B124" s="1">
        <v>931.715782639846</v>
      </c>
      <c r="C124" s="1">
        <v>1.0782139043130099</v>
      </c>
      <c r="D124" s="1">
        <v>72.497817504985704</v>
      </c>
      <c r="E124" s="1">
        <v>2.7040372268608199</v>
      </c>
    </row>
    <row r="125" spans="1:5" x14ac:dyDescent="0.25">
      <c r="A125" s="2" t="s">
        <v>34</v>
      </c>
      <c r="B125" s="1">
        <v>28.9522085559936</v>
      </c>
      <c r="C125" s="1">
        <v>0.18668349769758599</v>
      </c>
      <c r="D125" s="1">
        <v>2.3353808691805802</v>
      </c>
      <c r="E125" s="1">
        <v>0.46921716666847002</v>
      </c>
    </row>
    <row r="126" spans="1:5" x14ac:dyDescent="0.25">
      <c r="A126" s="2" t="s">
        <v>35</v>
      </c>
      <c r="B126" s="1">
        <v>0.825394599211971</v>
      </c>
      <c r="C126" s="1">
        <v>1.7668974677118299E-2</v>
      </c>
      <c r="D126" s="1">
        <v>5.7285349173276399E-2</v>
      </c>
      <c r="E126" s="1">
        <v>4.4380830923265703E-2</v>
      </c>
    </row>
    <row r="127" spans="1:5" x14ac:dyDescent="0.25">
      <c r="A127" s="2" t="s">
        <v>36</v>
      </c>
      <c r="B127" s="1">
        <v>36.966914037397103</v>
      </c>
      <c r="C127" s="1">
        <v>9.2122448273229296E-2</v>
      </c>
      <c r="D127" s="1">
        <v>2.8223112740764198</v>
      </c>
      <c r="E127" s="1">
        <v>0.23084710385169599</v>
      </c>
    </row>
    <row r="128" spans="1:5" x14ac:dyDescent="0.25">
      <c r="A128" s="2" t="s">
        <v>32</v>
      </c>
      <c r="B128" s="1">
        <v>1670942.4513682299</v>
      </c>
      <c r="C128" s="1">
        <v>40219.229448532999</v>
      </c>
      <c r="D128" s="1">
        <v>144550.64097244301</v>
      </c>
      <c r="E128" s="1">
        <v>100908.054492835</v>
      </c>
    </row>
    <row r="129" spans="1:5" x14ac:dyDescent="0.25">
      <c r="A129" s="2" t="s">
        <v>33</v>
      </c>
      <c r="B129" s="1">
        <v>354051.99740314099</v>
      </c>
      <c r="C129" s="1">
        <v>409.72128363894399</v>
      </c>
      <c r="D129" s="1">
        <v>27549.170651894601</v>
      </c>
      <c r="E129" s="1">
        <v>1027.5341462071101</v>
      </c>
    </row>
    <row r="130" spans="1:5" x14ac:dyDescent="0.25">
      <c r="A130" s="2" t="s">
        <v>34</v>
      </c>
      <c r="B130" s="1">
        <v>283731.643848737</v>
      </c>
      <c r="C130" s="1">
        <v>1829.49827743634</v>
      </c>
      <c r="D130" s="1">
        <v>22886.7325179697</v>
      </c>
      <c r="E130" s="1">
        <v>4598.3282333509997</v>
      </c>
    </row>
    <row r="131" spans="1:5" x14ac:dyDescent="0.25">
      <c r="A131" s="2" t="s">
        <v>36</v>
      </c>
      <c r="B131" s="1">
        <v>288341.929491697</v>
      </c>
      <c r="C131" s="1">
        <v>718.55509653118804</v>
      </c>
      <c r="D131" s="1">
        <v>22014.027937796</v>
      </c>
      <c r="E131" s="1">
        <v>1800.6074100432299</v>
      </c>
    </row>
    <row r="132" spans="1:5" x14ac:dyDescent="0.25">
      <c r="A132" s="2" t="s">
        <v>35</v>
      </c>
      <c r="B132" s="1">
        <v>5365.0648948778098</v>
      </c>
      <c r="C132" s="1">
        <v>114.848335401269</v>
      </c>
      <c r="D132" s="1">
        <v>372.35476962629701</v>
      </c>
      <c r="E132" s="1">
        <v>288.475401001227</v>
      </c>
    </row>
    <row r="142" spans="1:5" x14ac:dyDescent="0.25">
      <c r="B142" s="2" t="s">
        <v>37</v>
      </c>
      <c r="C142" s="2" t="s">
        <v>38</v>
      </c>
    </row>
    <row r="143" spans="1:5" x14ac:dyDescent="0.25">
      <c r="A143" s="2">
        <v>0</v>
      </c>
      <c r="B143" s="1">
        <v>71154706.828618199</v>
      </c>
      <c r="C143" s="1">
        <v>6698103.7483710097</v>
      </c>
    </row>
    <row r="162" spans="1:12" x14ac:dyDescent="0.25">
      <c r="B162" s="2" t="s">
        <v>39</v>
      </c>
      <c r="C162" s="2" t="s">
        <v>40</v>
      </c>
      <c r="D162" s="2" t="s">
        <v>41</v>
      </c>
      <c r="E162" s="2" t="s">
        <v>42</v>
      </c>
      <c r="F162" s="2" t="s">
        <v>43</v>
      </c>
      <c r="G162" s="2" t="s">
        <v>44</v>
      </c>
      <c r="H162" s="2" t="s">
        <v>45</v>
      </c>
      <c r="I162" s="2" t="s">
        <v>46</v>
      </c>
      <c r="J162" s="2" t="s">
        <v>47</v>
      </c>
      <c r="K162" s="2" t="s">
        <v>48</v>
      </c>
      <c r="L162" s="2" t="s">
        <v>49</v>
      </c>
    </row>
    <row r="163" spans="1:12" x14ac:dyDescent="0.25">
      <c r="A163" s="2">
        <v>0</v>
      </c>
      <c r="B163" s="1">
        <v>1</v>
      </c>
      <c r="C163" s="1">
        <v>1.4570000000000001</v>
      </c>
      <c r="D163" s="1">
        <v>0.70411699999999999</v>
      </c>
      <c r="E163" s="1">
        <v>1.2999999999999999E-2</v>
      </c>
      <c r="F163" s="1">
        <v>24947362.333571699</v>
      </c>
      <c r="G163" s="1">
        <v>36.348306920013997</v>
      </c>
      <c r="H163" s="1">
        <v>17.565861924227502</v>
      </c>
      <c r="I163" s="1">
        <v>0.32431571033643303</v>
      </c>
      <c r="J163" s="1">
        <v>94505.597992036404</v>
      </c>
      <c r="K163" s="1">
        <v>1326222575279.1799</v>
      </c>
      <c r="L163" s="1">
        <v>810789275841.08105</v>
      </c>
    </row>
    <row r="164" spans="1:12" x14ac:dyDescent="0.25">
      <c r="A164" s="2">
        <v>1</v>
      </c>
      <c r="B164" s="1">
        <v>3</v>
      </c>
      <c r="C164" s="1">
        <v>1.4570000000000001</v>
      </c>
      <c r="D164" s="1">
        <v>0.82551600000000003</v>
      </c>
      <c r="E164" s="1">
        <v>1.5299999999999999E-2</v>
      </c>
      <c r="F164" s="1">
        <v>3813404.4333275999</v>
      </c>
      <c r="G164" s="1">
        <v>5.5561302593583104</v>
      </c>
      <c r="H164" s="1">
        <v>3.1480263741828698</v>
      </c>
      <c r="I164" s="1">
        <v>5.8345087829912302E-2</v>
      </c>
      <c r="J164" s="1">
        <v>14445.938674331601</v>
      </c>
      <c r="K164" s="1">
        <v>237675991250.806</v>
      </c>
      <c r="L164" s="1">
        <v>145862719574.78101</v>
      </c>
    </row>
    <row r="165" spans="1:12" x14ac:dyDescent="0.25">
      <c r="A165" s="2">
        <v>2</v>
      </c>
      <c r="B165" s="1">
        <v>5</v>
      </c>
      <c r="C165" s="1">
        <v>1.4570000000000001</v>
      </c>
      <c r="D165" s="1">
        <v>0.82551600000000003</v>
      </c>
      <c r="E165" s="1">
        <v>1.5299999999999999E-2</v>
      </c>
      <c r="F165" s="1">
        <v>20416247.119415302</v>
      </c>
      <c r="G165" s="1">
        <v>29.7464720529881</v>
      </c>
      <c r="H165" s="1">
        <v>16.8539386570312</v>
      </c>
      <c r="I165" s="1">
        <v>0.312368580927054</v>
      </c>
      <c r="J165" s="1">
        <v>77340.827337769006</v>
      </c>
      <c r="K165" s="1">
        <v>1272472368605.8601</v>
      </c>
      <c r="L165" s="1">
        <v>780921452317.63501</v>
      </c>
    </row>
    <row r="166" spans="1:12" x14ac:dyDescent="0.25">
      <c r="A166" s="2">
        <v>3</v>
      </c>
      <c r="B166" s="1">
        <v>7</v>
      </c>
      <c r="C166" s="1">
        <v>1.4570000000000001</v>
      </c>
      <c r="D166" s="1">
        <v>0.82551600000000003</v>
      </c>
      <c r="E166" s="1">
        <v>1.5299999999999999E-2</v>
      </c>
      <c r="F166" s="1">
        <v>5854316.2131772498</v>
      </c>
      <c r="G166" s="1">
        <v>8.5297387225992498</v>
      </c>
      <c r="H166" s="1">
        <v>4.8328317030372299</v>
      </c>
      <c r="I166" s="1">
        <v>8.9571038061611902E-2</v>
      </c>
      <c r="J166" s="1">
        <v>22177.3206787581</v>
      </c>
      <c r="K166" s="1">
        <v>364878793579.31097</v>
      </c>
      <c r="L166" s="1">
        <v>223927595154.03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6"/>
  <sheetViews>
    <sheetView topLeftCell="A97" workbookViewId="0">
      <selection activeCell="F135" sqref="F135"/>
    </sheetView>
  </sheetViews>
  <sheetFormatPr defaultRowHeight="15" x14ac:dyDescent="0.25"/>
  <cols>
    <col min="1" max="1" width="25.85546875" style="1" bestFit="1" customWidth="1"/>
    <col min="2" max="16384" width="9.140625" style="1"/>
  </cols>
  <sheetData>
    <row r="2" spans="1:3" x14ac:dyDescent="0.25">
      <c r="B2" s="2" t="s">
        <v>76</v>
      </c>
      <c r="C2" s="2" t="s">
        <v>77</v>
      </c>
    </row>
    <row r="3" spans="1:3" x14ac:dyDescent="0.25">
      <c r="A3" s="2">
        <v>0</v>
      </c>
      <c r="B3" s="1">
        <v>620863</v>
      </c>
      <c r="C3" s="1">
        <v>3596539</v>
      </c>
    </row>
    <row r="22" spans="1:5" x14ac:dyDescent="0.25">
      <c r="B22" s="2" t="s">
        <v>53</v>
      </c>
      <c r="C22" s="2" t="s">
        <v>54</v>
      </c>
      <c r="D22" s="2" t="s">
        <v>55</v>
      </c>
      <c r="E22" s="2" t="s">
        <v>56</v>
      </c>
    </row>
    <row r="23" spans="1:5" x14ac:dyDescent="0.25">
      <c r="A23" s="2" t="s">
        <v>57</v>
      </c>
    </row>
    <row r="24" spans="1:5" x14ac:dyDescent="0.25">
      <c r="A24" s="2" t="s">
        <v>58</v>
      </c>
      <c r="B24" s="1">
        <v>68254.602092589397</v>
      </c>
      <c r="C24" s="1">
        <v>0</v>
      </c>
      <c r="D24" s="1">
        <v>234367.838308159</v>
      </c>
      <c r="E24" s="1">
        <v>0</v>
      </c>
    </row>
    <row r="25" spans="1:5" x14ac:dyDescent="0.25">
      <c r="A25" s="2" t="s">
        <v>59</v>
      </c>
      <c r="B25" s="1">
        <v>73755.209582346695</v>
      </c>
      <c r="C25" s="1">
        <v>24116478.999382298</v>
      </c>
      <c r="D25" s="1">
        <v>667427.33668609895</v>
      </c>
      <c r="E25" s="1">
        <v>2301524.38050958</v>
      </c>
    </row>
    <row r="26" spans="1:5" x14ac:dyDescent="0.25">
      <c r="A26" s="2" t="s">
        <v>60</v>
      </c>
      <c r="B26" s="1">
        <v>94211.298895597094</v>
      </c>
      <c r="C26" s="1">
        <v>35360086.819159098</v>
      </c>
      <c r="D26" s="1">
        <v>930986.44054543995</v>
      </c>
      <c r="E26" s="1">
        <v>3261854.9944733898</v>
      </c>
    </row>
    <row r="27" spans="1:5" x14ac:dyDescent="0.25">
      <c r="A27" s="2" t="s">
        <v>61</v>
      </c>
      <c r="B27" s="1">
        <v>78659.819331701205</v>
      </c>
      <c r="C27" s="1">
        <v>36962991.193089001</v>
      </c>
      <c r="D27" s="1">
        <v>1001503.4938285101</v>
      </c>
      <c r="E27" s="1">
        <v>2511366.2534246901</v>
      </c>
    </row>
    <row r="28" spans="1:5" x14ac:dyDescent="0.25">
      <c r="A28" s="2" t="s">
        <v>62</v>
      </c>
      <c r="B28" s="1">
        <v>12870.9584752849</v>
      </c>
      <c r="C28" s="1">
        <v>2352481.2306099799</v>
      </c>
      <c r="D28" s="1">
        <v>74226.224389490904</v>
      </c>
      <c r="E28" s="1">
        <v>379067.44624020997</v>
      </c>
    </row>
    <row r="29" spans="1:5" x14ac:dyDescent="0.25">
      <c r="A29" s="2" t="s">
        <v>63</v>
      </c>
      <c r="B29" s="1">
        <v>205178.34216666399</v>
      </c>
      <c r="C29" s="1">
        <v>1092836.87200005</v>
      </c>
      <c r="D29" s="1">
        <v>851396.689833357</v>
      </c>
      <c r="E29" s="1">
        <v>185557.83799999399</v>
      </c>
    </row>
    <row r="30" spans="1:5" x14ac:dyDescent="0.25">
      <c r="A30" s="2" t="s">
        <v>64</v>
      </c>
      <c r="B30" s="1">
        <v>234726.58027650099</v>
      </c>
      <c r="C30" s="1">
        <v>0</v>
      </c>
      <c r="D30" s="1">
        <v>1004470.18451645</v>
      </c>
      <c r="E30" s="1">
        <v>0</v>
      </c>
    </row>
    <row r="42" spans="1:8" x14ac:dyDescent="0.25">
      <c r="B42" s="2" t="s">
        <v>58</v>
      </c>
      <c r="C42" s="2" t="s">
        <v>59</v>
      </c>
      <c r="D42" s="2" t="s">
        <v>60</v>
      </c>
      <c r="E42" s="2" t="s">
        <v>61</v>
      </c>
      <c r="F42" s="2" t="s">
        <v>62</v>
      </c>
      <c r="G42" s="2" t="s">
        <v>63</v>
      </c>
      <c r="H42" s="2" t="s">
        <v>64</v>
      </c>
    </row>
    <row r="43" spans="1:8" x14ac:dyDescent="0.25">
      <c r="A43" s="2" t="s">
        <v>78</v>
      </c>
      <c r="B43" s="1">
        <v>214282</v>
      </c>
      <c r="C43" s="1">
        <v>1291953</v>
      </c>
      <c r="D43" s="1">
        <v>1360347</v>
      </c>
      <c r="E43" s="1">
        <v>1460895</v>
      </c>
      <c r="F43" s="1">
        <v>266294</v>
      </c>
      <c r="G43" s="1">
        <v>438437</v>
      </c>
      <c r="H43" s="1">
        <v>770173</v>
      </c>
    </row>
    <row r="62" spans="1:8" x14ac:dyDescent="0.25">
      <c r="B62" s="2" t="s">
        <v>58</v>
      </c>
      <c r="C62" s="2" t="s">
        <v>59</v>
      </c>
      <c r="D62" s="2" t="s">
        <v>60</v>
      </c>
      <c r="E62" s="2" t="s">
        <v>61</v>
      </c>
      <c r="F62" s="2" t="s">
        <v>62</v>
      </c>
      <c r="G62" s="2" t="s">
        <v>63</v>
      </c>
      <c r="H62" s="2" t="s">
        <v>64</v>
      </c>
    </row>
    <row r="63" spans="1:8" x14ac:dyDescent="0.25">
      <c r="A63" s="2" t="s">
        <v>78</v>
      </c>
      <c r="B63" s="1">
        <v>57838</v>
      </c>
      <c r="C63" s="1">
        <v>169088</v>
      </c>
      <c r="D63" s="1">
        <v>164531</v>
      </c>
      <c r="E63" s="1">
        <v>159157</v>
      </c>
      <c r="F63" s="1">
        <v>48865</v>
      </c>
      <c r="G63" s="1">
        <v>107213</v>
      </c>
      <c r="H63" s="1">
        <v>176877</v>
      </c>
    </row>
    <row r="82" spans="1:3" x14ac:dyDescent="0.25">
      <c r="B82" s="2" t="s">
        <v>25</v>
      </c>
      <c r="C82" s="2" t="s">
        <v>23</v>
      </c>
    </row>
    <row r="83" spans="1:3" x14ac:dyDescent="0.25">
      <c r="A83" s="2">
        <v>2</v>
      </c>
      <c r="B83" s="1" t="s">
        <v>24</v>
      </c>
      <c r="C83" s="1">
        <v>56495834.403262399</v>
      </c>
    </row>
    <row r="84" spans="1:3" x14ac:dyDescent="0.25">
      <c r="A84" s="2">
        <v>0</v>
      </c>
      <c r="B84" s="1" t="s">
        <v>65</v>
      </c>
      <c r="C84" s="1">
        <v>8299883.5366654303</v>
      </c>
    </row>
    <row r="85" spans="1:3" x14ac:dyDescent="0.25">
      <c r="A85" s="2">
        <v>1</v>
      </c>
      <c r="B85" s="1" t="s">
        <v>14</v>
      </c>
      <c r="C85" s="1">
        <v>2944293.1610001898</v>
      </c>
    </row>
    <row r="86" spans="1:3" x14ac:dyDescent="0.25">
      <c r="A86" s="2">
        <v>3</v>
      </c>
      <c r="B86" s="1" t="s">
        <v>66</v>
      </c>
      <c r="C86" s="1">
        <v>231286.259899995</v>
      </c>
    </row>
    <row r="102" spans="1:5" x14ac:dyDescent="0.25">
      <c r="B102" s="2" t="s">
        <v>28</v>
      </c>
      <c r="C102" s="2" t="s">
        <v>29</v>
      </c>
      <c r="D102" s="2" t="s">
        <v>30</v>
      </c>
      <c r="E102" s="2" t="s">
        <v>31</v>
      </c>
    </row>
    <row r="103" spans="1:5" x14ac:dyDescent="0.25">
      <c r="A103" s="2" t="s">
        <v>32</v>
      </c>
      <c r="B103" s="1">
        <v>17402.856354931599</v>
      </c>
      <c r="C103" s="1">
        <v>2728.8681482222501</v>
      </c>
      <c r="D103" s="1">
        <v>1404.6227278670999</v>
      </c>
      <c r="E103" s="1">
        <v>3233.45650684676</v>
      </c>
    </row>
    <row r="104" spans="1:5" x14ac:dyDescent="0.25">
      <c r="A104" s="2" t="s">
        <v>33</v>
      </c>
      <c r="B104" s="1">
        <v>528.71683770959703</v>
      </c>
      <c r="C104" s="1">
        <v>4.20128344807517</v>
      </c>
      <c r="D104" s="1">
        <v>40.735130652166198</v>
      </c>
      <c r="E104" s="1">
        <v>4.8713562532966304</v>
      </c>
    </row>
    <row r="105" spans="1:5" x14ac:dyDescent="0.25">
      <c r="A105" s="2" t="s">
        <v>34</v>
      </c>
      <c r="B105" s="1">
        <v>16.407201930818999</v>
      </c>
      <c r="C105" s="1">
        <v>0.78787822363800397</v>
      </c>
      <c r="D105" s="1">
        <v>1.3000983008024101</v>
      </c>
      <c r="E105" s="1">
        <v>0.88560242569244296</v>
      </c>
    </row>
    <row r="106" spans="1:5" x14ac:dyDescent="0.25">
      <c r="A106" s="2" t="s">
        <v>35</v>
      </c>
      <c r="B106" s="1">
        <v>0.46478738508698297</v>
      </c>
      <c r="C106" s="1">
        <v>6.9494298869976504E-2</v>
      </c>
      <c r="D106" s="1">
        <v>3.1754706137046201E-2</v>
      </c>
      <c r="E106" s="1">
        <v>8.0647210679669706E-2</v>
      </c>
    </row>
    <row r="107" spans="1:5" x14ac:dyDescent="0.25">
      <c r="A107" s="2" t="s">
        <v>36</v>
      </c>
      <c r="B107" s="1">
        <v>21.048908136944</v>
      </c>
      <c r="C107" s="1">
        <v>0.33292330799722297</v>
      </c>
      <c r="D107" s="1">
        <v>1.5361821952672099</v>
      </c>
      <c r="E107" s="1">
        <v>0.39918666222326499</v>
      </c>
    </row>
    <row r="108" spans="1:5" x14ac:dyDescent="0.25">
      <c r="A108" s="2" t="s">
        <v>32</v>
      </c>
      <c r="B108" s="1">
        <v>963074.07068191597</v>
      </c>
      <c r="C108" s="1">
        <v>151015.56332261901</v>
      </c>
      <c r="D108" s="1">
        <v>77731.821760165607</v>
      </c>
      <c r="E108" s="1">
        <v>178939.483088899</v>
      </c>
    </row>
    <row r="109" spans="1:5" x14ac:dyDescent="0.25">
      <c r="A109" s="2" t="s">
        <v>33</v>
      </c>
      <c r="B109" s="1">
        <v>200912.398329647</v>
      </c>
      <c r="C109" s="1">
        <v>1596.48771026857</v>
      </c>
      <c r="D109" s="1">
        <v>15479.349647823199</v>
      </c>
      <c r="E109" s="1">
        <v>1851.1153762527199</v>
      </c>
    </row>
    <row r="110" spans="1:5" x14ac:dyDescent="0.25">
      <c r="A110" s="2" t="s">
        <v>34</v>
      </c>
      <c r="B110" s="1">
        <v>160790.57892202699</v>
      </c>
      <c r="C110" s="1">
        <v>7721.2065916524398</v>
      </c>
      <c r="D110" s="1">
        <v>12740.963347863701</v>
      </c>
      <c r="E110" s="1">
        <v>8678.9037717859392</v>
      </c>
    </row>
    <row r="111" spans="1:5" x14ac:dyDescent="0.25">
      <c r="A111" s="2" t="s">
        <v>36</v>
      </c>
      <c r="B111" s="1">
        <v>164181.483468163</v>
      </c>
      <c r="C111" s="1">
        <v>2596.8018023783402</v>
      </c>
      <c r="D111" s="1">
        <v>11982.2211230843</v>
      </c>
      <c r="E111" s="1">
        <v>3113.6559653414702</v>
      </c>
    </row>
    <row r="112" spans="1:5" x14ac:dyDescent="0.25">
      <c r="A112" s="2" t="s">
        <v>35</v>
      </c>
      <c r="B112" s="1">
        <v>3021.11800306539</v>
      </c>
      <c r="C112" s="1">
        <v>451.71294265484698</v>
      </c>
      <c r="D112" s="1">
        <v>206.4055898908</v>
      </c>
      <c r="E112" s="1">
        <v>524.206869417853</v>
      </c>
    </row>
    <row r="122" spans="1:3" x14ac:dyDescent="0.25">
      <c r="B122" s="2" t="s">
        <v>37</v>
      </c>
      <c r="C122" s="2" t="s">
        <v>38</v>
      </c>
    </row>
    <row r="123" spans="1:3" x14ac:dyDescent="0.25">
      <c r="A123" s="2">
        <v>0</v>
      </c>
      <c r="B123" s="1">
        <v>40067878.024739899</v>
      </c>
      <c r="C123" s="1">
        <v>6750873.0210030898</v>
      </c>
    </row>
    <row r="142" spans="1:12" x14ac:dyDescent="0.25">
      <c r="B142" s="2" t="s">
        <v>39</v>
      </c>
      <c r="C142" s="2" t="s">
        <v>40</v>
      </c>
      <c r="D142" s="2" t="s">
        <v>41</v>
      </c>
      <c r="E142" s="2" t="s">
        <v>42</v>
      </c>
      <c r="F142" s="2" t="s">
        <v>43</v>
      </c>
      <c r="G142" s="2" t="s">
        <v>44</v>
      </c>
      <c r="H142" s="2" t="s">
        <v>45</v>
      </c>
      <c r="I142" s="2" t="s">
        <v>46</v>
      </c>
      <c r="J142" s="2" t="s">
        <v>47</v>
      </c>
      <c r="K142" s="2" t="s">
        <v>48</v>
      </c>
      <c r="L142" s="2" t="s">
        <v>49</v>
      </c>
    </row>
    <row r="143" spans="1:12" x14ac:dyDescent="0.25">
      <c r="A143" s="2">
        <v>0</v>
      </c>
      <c r="B143" s="1">
        <v>1</v>
      </c>
      <c r="C143" s="1">
        <v>1.4570000000000001</v>
      </c>
      <c r="D143" s="1">
        <v>0.70411699999999999</v>
      </c>
      <c r="E143" s="1">
        <v>1.2999999999999999E-2</v>
      </c>
      <c r="F143" s="1">
        <v>20980682.2635267</v>
      </c>
      <c r="G143" s="1">
        <v>30.568854057958401</v>
      </c>
      <c r="H143" s="1">
        <v>14.7728550533476</v>
      </c>
      <c r="I143" s="1">
        <v>0.27274886942584697</v>
      </c>
      <c r="J143" s="1">
        <v>79479.020550691901</v>
      </c>
      <c r="K143" s="1">
        <v>1115350556527.75</v>
      </c>
      <c r="L143" s="1">
        <v>681872173564.61902</v>
      </c>
    </row>
    <row r="144" spans="1:12" x14ac:dyDescent="0.25">
      <c r="A144" s="2">
        <v>1</v>
      </c>
      <c r="B144" s="1">
        <v>3</v>
      </c>
      <c r="C144" s="1">
        <v>1.4570000000000001</v>
      </c>
      <c r="D144" s="1">
        <v>0.82551600000000003</v>
      </c>
      <c r="E144" s="1">
        <v>1.5299999999999999E-2</v>
      </c>
      <c r="F144" s="1">
        <v>2790883.90887105</v>
      </c>
      <c r="G144" s="1">
        <v>4.06631785522511</v>
      </c>
      <c r="H144" s="1">
        <v>2.3039193209155902</v>
      </c>
      <c r="I144" s="1">
        <v>4.2700523805727003E-2</v>
      </c>
      <c r="J144" s="1">
        <v>10572.426423585301</v>
      </c>
      <c r="K144" s="1">
        <v>173945908729.12701</v>
      </c>
      <c r="L144" s="1">
        <v>106751309514.31799</v>
      </c>
    </row>
    <row r="145" spans="1:12" x14ac:dyDescent="0.25">
      <c r="A145" s="2">
        <v>2</v>
      </c>
      <c r="B145" s="1">
        <v>5</v>
      </c>
      <c r="C145" s="1">
        <v>1.4570000000000001</v>
      </c>
      <c r="D145" s="1">
        <v>0.82551600000000003</v>
      </c>
      <c r="E145" s="1">
        <v>1.5299999999999999E-2</v>
      </c>
      <c r="F145" s="1">
        <v>12733606.297025699</v>
      </c>
      <c r="G145" s="1">
        <v>18.552864374766401</v>
      </c>
      <c r="H145" s="1">
        <v>10.511795735895401</v>
      </c>
      <c r="I145" s="1">
        <v>0.19482417634449301</v>
      </c>
      <c r="J145" s="1">
        <v>48237.447374392599</v>
      </c>
      <c r="K145" s="1">
        <v>793640578060.10596</v>
      </c>
      <c r="L145" s="1">
        <v>487060440861.23199</v>
      </c>
    </row>
    <row r="146" spans="1:12" x14ac:dyDescent="0.25">
      <c r="A146" s="2">
        <v>3</v>
      </c>
      <c r="B146" s="1">
        <v>7</v>
      </c>
      <c r="C146" s="1">
        <v>1.4570000000000001</v>
      </c>
      <c r="D146" s="1">
        <v>0.82551600000000003</v>
      </c>
      <c r="E146" s="1">
        <v>1.5299999999999999E-2</v>
      </c>
      <c r="F146" s="1">
        <v>3870847.3598859301</v>
      </c>
      <c r="G146" s="1">
        <v>5.63982460335379</v>
      </c>
      <c r="H146" s="1">
        <v>3.19544642914359</v>
      </c>
      <c r="I146" s="1">
        <v>5.9223964606254703E-2</v>
      </c>
      <c r="J146" s="1">
        <v>14663.5439687199</v>
      </c>
      <c r="K146" s="1">
        <v>241256205400.341</v>
      </c>
      <c r="L146" s="1">
        <v>148059911515.63699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sqref="A1:XFD1"/>
    </sheetView>
  </sheetViews>
  <sheetFormatPr defaultRowHeight="15" x14ac:dyDescent="0.25"/>
  <cols>
    <col min="1" max="16384" width="9.140625" style="15"/>
  </cols>
  <sheetData>
    <row r="1" spans="1:13" s="7" customFormat="1" ht="26.25" thickBot="1" x14ac:dyDescent="0.4">
      <c r="A1" s="4" t="s">
        <v>131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/>
  </sheetViews>
  <sheetFormatPr defaultRowHeight="15" x14ac:dyDescent="0.25"/>
  <cols>
    <col min="1" max="16384" width="9.140625" style="15"/>
  </cols>
  <sheetData>
    <row r="1" spans="1:13" s="7" customFormat="1" ht="26.25" thickBot="1" x14ac:dyDescent="0.4">
      <c r="A1" s="4" t="s">
        <v>131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Comparison Charts</vt:lpstr>
      <vt:lpstr>Baseline Metrics</vt:lpstr>
      <vt:lpstr>Scenario Metrics</vt:lpstr>
      <vt:lpstr>Difference</vt:lpstr>
      <vt:lpstr>HeatResults</vt:lpstr>
      <vt:lpstr>RawBaseline</vt:lpstr>
      <vt:lpstr>RawScenario</vt:lpstr>
      <vt:lpstr>Baseline Charts</vt:lpstr>
      <vt:lpstr>Scenario Charts</vt:lpstr>
    </vt:vector>
  </TitlesOfParts>
  <Company>Puget Sound Regional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2015-08-28T21:05:35Z</dcterms:created>
  <dcterms:modified xsi:type="dcterms:W3CDTF">2015-09-10T22:34:08Z</dcterms:modified>
</cp:coreProperties>
</file>