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ate1904="1"/>
  <bookViews>
    <workbookView xWindow="-75" yWindow="-45" windowWidth="21405" windowHeight="12660" tabRatio="680" activeTab="1"/>
  </bookViews>
  <sheets>
    <sheet name="To Do" sheetId="4" r:id="rId1"/>
    <sheet name="Proforma" sheetId="1" r:id="rId2"/>
    <sheet name="Proforma Inputs" sheetId="2" r:id="rId3"/>
    <sheet name="Revenue Model" sheetId="5" r:id="rId4"/>
    <sheet name="Cost Model" sheetId="7" r:id="rId5"/>
    <sheet name="Bldg Form" sheetId="11" r:id="rId6"/>
  </sheets>
  <definedNames>
    <definedName name="solver_adj" localSheetId="1" hidden="1">Proforma!$C$29</definedName>
    <definedName name="solver_cvg" localSheetId="1" hidden="1">0.0001</definedName>
    <definedName name="solver_drv" localSheetId="1" hidden="1">1</definedName>
    <definedName name="solver_est" localSheetId="1" hidden="1">1</definedName>
    <definedName name="solver_itr" localSheetId="1" hidden="1">100</definedName>
    <definedName name="solver_lin" localSheetId="1" hidden="1">2</definedName>
    <definedName name="solver_neg" localSheetId="1" hidden="1">2</definedName>
    <definedName name="solver_num" localSheetId="1" hidden="1">0</definedName>
    <definedName name="solver_nwt" localSheetId="1" hidden="1">1</definedName>
    <definedName name="solver_opt" localSheetId="1" hidden="1">Proforma!$B$52</definedName>
    <definedName name="solver_pre" localSheetId="1" hidden="1">0.000001</definedName>
    <definedName name="solver_scl" localSheetId="1" hidden="1">2</definedName>
    <definedName name="solver_sho" localSheetId="1" hidden="1">2</definedName>
    <definedName name="solver_tim" localSheetId="1" hidden="1">100</definedName>
    <definedName name="solver_tol" localSheetId="1" hidden="1">0.05</definedName>
    <definedName name="solver_typ" localSheetId="1" hidden="1">3</definedName>
    <definedName name="solver_val" localSheetId="1" hidden="1">1</definedName>
    <definedName name="ValidDepts">#REF!</definedName>
  </definedNames>
  <calcPr calcId="145621" iterate="1" iterateCount="10"/>
</workbook>
</file>

<file path=xl/calcChain.xml><?xml version="1.0" encoding="utf-8"?>
<calcChain xmlns="http://schemas.openxmlformats.org/spreadsheetml/2006/main">
  <c r="B12" i="2" l="1"/>
  <c r="B106" i="2" l="1"/>
  <c r="B108" i="2" l="1"/>
  <c r="B87" i="2"/>
  <c r="B86" i="2"/>
  <c r="B85" i="2"/>
  <c r="C48" i="11" l="1"/>
  <c r="D59" i="11" l="1"/>
  <c r="D60" i="11"/>
  <c r="D61" i="11"/>
  <c r="D58" i="11"/>
  <c r="B97" i="5" l="1"/>
  <c r="E58" i="11" l="1"/>
  <c r="E64" i="11" l="1"/>
  <c r="E65" i="11"/>
  <c r="E66" i="11"/>
  <c r="E63" i="11"/>
  <c r="E59" i="11"/>
  <c r="E60" i="11"/>
  <c r="E61" i="11"/>
  <c r="E74" i="11"/>
  <c r="E75" i="11"/>
  <c r="E76" i="11"/>
  <c r="E73" i="11"/>
  <c r="E69" i="11"/>
  <c r="E70" i="11"/>
  <c r="E71" i="11"/>
  <c r="E68" i="11"/>
  <c r="J61" i="11" l="1"/>
  <c r="J60" i="11"/>
  <c r="J59" i="11"/>
  <c r="J58" i="11"/>
  <c r="C38" i="11" l="1"/>
  <c r="C39" i="11"/>
  <c r="K59" i="11" l="1"/>
  <c r="K60" i="11"/>
  <c r="K61" i="11"/>
  <c r="K58" i="11"/>
  <c r="I78" i="11" l="1"/>
  <c r="I88" i="11"/>
  <c r="C16" i="7" l="1"/>
  <c r="B52" i="7" l="1"/>
  <c r="C52" i="7"/>
  <c r="D101" i="7"/>
  <c r="C29" i="1"/>
  <c r="D29" i="1"/>
  <c r="E29" i="1"/>
  <c r="F29" i="1"/>
  <c r="G29" i="1"/>
  <c r="H29" i="1"/>
  <c r="I29" i="1"/>
  <c r="J29" i="1"/>
  <c r="K29" i="1"/>
  <c r="L29" i="1"/>
  <c r="M29" i="1"/>
  <c r="N29" i="1"/>
  <c r="O29" i="1"/>
  <c r="P29" i="1"/>
  <c r="Q29" i="1"/>
  <c r="R29" i="1"/>
  <c r="S29" i="1"/>
  <c r="T29" i="1"/>
  <c r="U29" i="1"/>
  <c r="V29" i="1"/>
  <c r="W29" i="1"/>
  <c r="X29" i="1"/>
  <c r="Y29" i="1"/>
  <c r="Z29" i="1"/>
  <c r="AA29" i="1"/>
  <c r="AB29" i="1"/>
  <c r="AC29" i="1"/>
  <c r="AD29" i="1"/>
  <c r="AE29" i="1"/>
  <c r="AF29" i="1"/>
  <c r="AG29" i="1"/>
  <c r="AH29" i="1"/>
  <c r="AI29" i="1"/>
  <c r="AJ29" i="1"/>
  <c r="AK29" i="1"/>
  <c r="AL29" i="1"/>
  <c r="AM29" i="1"/>
  <c r="AN29" i="1"/>
  <c r="AO29" i="1"/>
  <c r="AP29" i="1"/>
  <c r="B35" i="1"/>
  <c r="L42" i="1"/>
  <c r="M42" i="1"/>
  <c r="N42" i="1"/>
  <c r="O42" i="1"/>
  <c r="P42" i="1"/>
  <c r="Q42" i="1"/>
  <c r="R42" i="1"/>
  <c r="S42" i="1"/>
  <c r="T42" i="1"/>
  <c r="U42" i="1"/>
  <c r="V42" i="1"/>
  <c r="W42" i="1"/>
  <c r="X42" i="1"/>
  <c r="Y42" i="1"/>
  <c r="Z42" i="1"/>
  <c r="AA42" i="1"/>
  <c r="AB42" i="1"/>
  <c r="AC42" i="1"/>
  <c r="AD42" i="1"/>
  <c r="AE42" i="1"/>
  <c r="AF42" i="1"/>
  <c r="AG42" i="1"/>
  <c r="AH42" i="1"/>
  <c r="AI42" i="1"/>
  <c r="AJ42" i="1"/>
  <c r="AK42" i="1"/>
  <c r="AL42" i="1"/>
  <c r="AM42" i="1"/>
  <c r="AN42" i="1"/>
  <c r="AO42" i="1"/>
  <c r="AP42" i="1"/>
  <c r="C43" i="1"/>
  <c r="D43" i="1"/>
  <c r="E43" i="1"/>
  <c r="F43" i="1"/>
  <c r="G43" i="1"/>
  <c r="H43" i="1"/>
  <c r="I43" i="1"/>
  <c r="J43" i="1"/>
  <c r="K43" i="1"/>
  <c r="L43" i="1"/>
  <c r="M43" i="1"/>
  <c r="N43" i="1"/>
  <c r="O43" i="1"/>
  <c r="P43" i="1"/>
  <c r="Q43" i="1"/>
  <c r="R43" i="1"/>
  <c r="S43" i="1"/>
  <c r="T43" i="1"/>
  <c r="U43" i="1"/>
  <c r="V43" i="1"/>
  <c r="W43" i="1"/>
  <c r="X43" i="1"/>
  <c r="Y43" i="1"/>
  <c r="Z43" i="1"/>
  <c r="AA43" i="1"/>
  <c r="AB43" i="1"/>
  <c r="AC43" i="1"/>
  <c r="AD43" i="1"/>
  <c r="AE43" i="1"/>
  <c r="AF43" i="1"/>
  <c r="AG43" i="1"/>
  <c r="AH43" i="1"/>
  <c r="AI43" i="1"/>
  <c r="AJ43" i="1"/>
  <c r="AK43" i="1"/>
  <c r="AL43" i="1"/>
  <c r="AM43" i="1"/>
  <c r="AN43" i="1"/>
  <c r="AO43" i="1"/>
  <c r="AP43" i="1"/>
  <c r="C89" i="1"/>
  <c r="B109" i="2"/>
  <c r="B111" i="2"/>
  <c r="B113" i="2"/>
  <c r="B76" i="5"/>
  <c r="B90" i="5"/>
  <c r="B91" i="5"/>
  <c r="B92" i="5"/>
  <c r="B93" i="5"/>
  <c r="B129" i="5"/>
  <c r="B130" i="5"/>
  <c r="B131" i="5"/>
  <c r="B110" i="2"/>
  <c r="B132" i="5"/>
  <c r="B133" i="5"/>
  <c r="B112" i="2"/>
  <c r="B134" i="5"/>
  <c r="B135" i="5"/>
  <c r="B114" i="2"/>
  <c r="C15" i="7"/>
  <c r="C17" i="7"/>
  <c r="C18" i="7"/>
  <c r="C20" i="7"/>
  <c r="C21" i="7"/>
  <c r="C22" i="7"/>
  <c r="C23" i="7"/>
  <c r="C24" i="7"/>
  <c r="C26" i="7"/>
  <c r="C27" i="7"/>
  <c r="C28" i="7"/>
  <c r="C29" i="7"/>
  <c r="C31" i="7"/>
  <c r="C32" i="7"/>
  <c r="C33" i="7"/>
  <c r="C34" i="7"/>
  <c r="C35" i="7"/>
  <c r="C36" i="7"/>
  <c r="C37" i="7"/>
  <c r="C38" i="7"/>
  <c r="C41" i="7"/>
  <c r="C42" i="7"/>
  <c r="C43" i="7"/>
  <c r="C44" i="7"/>
  <c r="B45" i="7"/>
  <c r="C45" i="7"/>
  <c r="B46" i="7"/>
  <c r="C46" i="7"/>
  <c r="B47" i="7"/>
  <c r="C47" i="7" s="1"/>
  <c r="C48" i="7"/>
  <c r="B50" i="7"/>
  <c r="C50" i="7"/>
  <c r="C51" i="7"/>
  <c r="C53" i="7"/>
  <c r="B30" i="11"/>
  <c r="C30" i="11"/>
  <c r="B31" i="11"/>
  <c r="C31" i="11"/>
  <c r="B32" i="11"/>
  <c r="C32" i="11"/>
  <c r="B33" i="11"/>
  <c r="C33" i="11"/>
  <c r="B34" i="11"/>
  <c r="B35" i="11"/>
  <c r="C35" i="11"/>
  <c r="B36" i="11"/>
  <c r="C36" i="11"/>
  <c r="B37" i="11"/>
  <c r="C37" i="11"/>
  <c r="B38" i="11"/>
  <c r="B39" i="11"/>
  <c r="B40" i="11"/>
  <c r="C40" i="11"/>
  <c r="C96" i="11" s="1"/>
  <c r="B41" i="11"/>
  <c r="C41" i="11"/>
  <c r="C44" i="11"/>
  <c r="J88" i="11" s="1"/>
  <c r="C50" i="11"/>
  <c r="C58" i="11"/>
  <c r="G58" i="11"/>
  <c r="A59" i="11"/>
  <c r="A60" i="11"/>
  <c r="C60" i="11"/>
  <c r="G59" i="11"/>
  <c r="G60" i="11"/>
  <c r="A61" i="11"/>
  <c r="C61" i="11"/>
  <c r="G61" i="11"/>
  <c r="C99" i="11"/>
  <c r="A62" i="11"/>
  <c r="A63" i="11"/>
  <c r="C63" i="11"/>
  <c r="C16" i="1"/>
  <c r="C17" i="1"/>
  <c r="C18" i="1"/>
  <c r="C19" i="1"/>
  <c r="C21" i="1"/>
  <c r="C22" i="1"/>
  <c r="C23" i="1"/>
  <c r="C24" i="1"/>
  <c r="C25" i="1"/>
  <c r="C26" i="1"/>
  <c r="C27" i="1"/>
  <c r="C35" i="1"/>
  <c r="C36" i="1"/>
  <c r="A64" i="11"/>
  <c r="A65" i="11"/>
  <c r="C64" i="11"/>
  <c r="C59" i="11"/>
  <c r="A66" i="11"/>
  <c r="C65" i="11"/>
  <c r="A67" i="11"/>
  <c r="A68" i="11"/>
  <c r="C66" i="11"/>
  <c r="A69" i="11"/>
  <c r="C68" i="11"/>
  <c r="A70" i="11"/>
  <c r="C69" i="11"/>
  <c r="A71" i="11"/>
  <c r="C70" i="11"/>
  <c r="C71" i="11"/>
  <c r="A72" i="11"/>
  <c r="A73" i="11"/>
  <c r="A74" i="11"/>
  <c r="C73" i="11"/>
  <c r="A75" i="11"/>
  <c r="C74" i="11"/>
  <c r="C75" i="11"/>
  <c r="A76" i="11"/>
  <c r="C76" i="11"/>
  <c r="A77" i="11"/>
  <c r="A78" i="11"/>
  <c r="A79" i="11"/>
  <c r="C78" i="11"/>
  <c r="A80" i="11"/>
  <c r="C79" i="11"/>
  <c r="A81" i="11"/>
  <c r="C80" i="11"/>
  <c r="I80" i="11" s="1"/>
  <c r="C81" i="11"/>
  <c r="I81" i="11" s="1"/>
  <c r="A82" i="11"/>
  <c r="A83" i="11"/>
  <c r="C82" i="11"/>
  <c r="C83" i="11"/>
  <c r="I83" i="11" s="1"/>
  <c r="A84" i="11"/>
  <c r="C84" i="11"/>
  <c r="I84" i="11" s="1"/>
  <c r="A85" i="11"/>
  <c r="C85" i="11"/>
  <c r="I79" i="11" l="1"/>
  <c r="J78" i="11"/>
  <c r="K78" i="11" s="1"/>
  <c r="C90" i="11"/>
  <c r="J90" i="11" s="1"/>
  <c r="C40" i="1"/>
  <c r="C99" i="7"/>
  <c r="D99" i="7" s="1"/>
  <c r="C37" i="1"/>
  <c r="C89" i="11"/>
  <c r="J89" i="11" s="1"/>
  <c r="C93" i="11"/>
  <c r="C102" i="11"/>
  <c r="C38" i="1"/>
  <c r="C91" i="11"/>
  <c r="C92" i="11"/>
  <c r="J92" i="11" s="1"/>
  <c r="C88" i="11"/>
  <c r="C39" i="1"/>
  <c r="C90" i="1" l="1"/>
  <c r="C91" i="1" s="1"/>
  <c r="C68" i="1"/>
  <c r="C73" i="1" s="1"/>
  <c r="C98" i="7"/>
  <c r="D98" i="7" s="1"/>
  <c r="C97" i="11"/>
  <c r="C96" i="7"/>
  <c r="D96" i="7" s="1"/>
  <c r="C94" i="7"/>
  <c r="D94" i="7" s="1"/>
  <c r="C70" i="1" l="1"/>
  <c r="C30" i="1"/>
  <c r="C69" i="1"/>
  <c r="C74" i="7"/>
  <c r="D74" i="7" s="1"/>
  <c r="C71" i="1" l="1"/>
  <c r="C72" i="1" s="1"/>
  <c r="C93" i="7"/>
  <c r="D93" i="7" s="1"/>
  <c r="C109" i="11"/>
  <c r="H42" i="1" l="1"/>
  <c r="J42" i="1"/>
  <c r="I42" i="1"/>
  <c r="K42" i="1"/>
  <c r="J91" i="11" l="1"/>
  <c r="J93" i="11"/>
  <c r="C51" i="11"/>
  <c r="C49" i="11" s="1"/>
  <c r="C111" i="11"/>
  <c r="C95" i="7"/>
  <c r="D95" i="7" s="1"/>
  <c r="J80" i="11" l="1"/>
  <c r="K80" i="11" s="1"/>
  <c r="J81" i="11"/>
  <c r="K81" i="11" s="1"/>
  <c r="J82" i="11"/>
  <c r="K82" i="11" s="1"/>
  <c r="B159" i="5" s="1"/>
  <c r="B95" i="2" s="1"/>
  <c r="C84" i="1" s="1"/>
  <c r="J83" i="11"/>
  <c r="K83" i="11" s="1"/>
  <c r="J84" i="11"/>
  <c r="K84" i="11" s="1"/>
  <c r="C85" i="7" s="1"/>
  <c r="D85" i="7" s="1"/>
  <c r="J79" i="11"/>
  <c r="K79" i="11" s="1"/>
  <c r="J85" i="11"/>
  <c r="K85" i="11" s="1"/>
  <c r="J76" i="11"/>
  <c r="K76" i="11" s="1"/>
  <c r="B144" i="5" s="1"/>
  <c r="J63" i="11"/>
  <c r="K63" i="11" s="1"/>
  <c r="J74" i="11"/>
  <c r="K74" i="11" s="1"/>
  <c r="B142" i="5" s="1"/>
  <c r="J71" i="11"/>
  <c r="K71" i="11" s="1"/>
  <c r="B154" i="5" s="1"/>
  <c r="J70" i="11"/>
  <c r="J69" i="11"/>
  <c r="K69" i="11" s="1"/>
  <c r="B152" i="5" s="1"/>
  <c r="J68" i="11"/>
  <c r="J75" i="11"/>
  <c r="K75" i="11" s="1"/>
  <c r="B143" i="5" s="1"/>
  <c r="J73" i="11"/>
  <c r="K73" i="11" s="1"/>
  <c r="B141" i="5" s="1"/>
  <c r="C75" i="7"/>
  <c r="D75" i="7" s="1"/>
  <c r="B156" i="5"/>
  <c r="B161" i="5"/>
  <c r="C84" i="7"/>
  <c r="D84" i="7" s="1"/>
  <c r="B160" i="5"/>
  <c r="K68" i="11"/>
  <c r="C105" i="11"/>
  <c r="J64" i="11"/>
  <c r="K64" i="11" s="1"/>
  <c r="J66" i="11"/>
  <c r="K66" i="11" s="1"/>
  <c r="J65" i="11"/>
  <c r="K65" i="11" s="1"/>
  <c r="K70" i="11"/>
  <c r="B153" i="5" s="1"/>
  <c r="H96" i="11" l="1"/>
  <c r="B103" i="2"/>
  <c r="C86" i="7"/>
  <c r="D86" i="7" s="1"/>
  <c r="B162" i="5"/>
  <c r="H97" i="11"/>
  <c r="C77" i="7"/>
  <c r="D77" i="7" s="1"/>
  <c r="B158" i="5"/>
  <c r="C76" i="7"/>
  <c r="D76" i="7" s="1"/>
  <c r="B157" i="5"/>
  <c r="K93" i="11"/>
  <c r="C58" i="7" s="1"/>
  <c r="C83" i="7" s="1"/>
  <c r="D83" i="7" s="1"/>
  <c r="B104" i="2"/>
  <c r="B96" i="2"/>
  <c r="C85" i="1" s="1"/>
  <c r="B105" i="2"/>
  <c r="B97" i="2"/>
  <c r="C86" i="1" s="1"/>
  <c r="C81" i="1"/>
  <c r="B60" i="1"/>
  <c r="C60" i="1" s="1"/>
  <c r="B61" i="1"/>
  <c r="C61" i="1" s="1"/>
  <c r="B59" i="1"/>
  <c r="C59" i="1" s="1"/>
  <c r="C92" i="7"/>
  <c r="D92" i="7" s="1"/>
  <c r="C66" i="7"/>
  <c r="D66" i="7" s="1"/>
  <c r="B149" i="5"/>
  <c r="B63" i="2" s="1"/>
  <c r="C78" i="1"/>
  <c r="B62" i="1"/>
  <c r="C62" i="1" s="1"/>
  <c r="B151" i="5"/>
  <c r="C77" i="1"/>
  <c r="C64" i="7"/>
  <c r="D64" i="7" s="1"/>
  <c r="C90" i="7"/>
  <c r="D90" i="7" s="1"/>
  <c r="B147" i="5"/>
  <c r="B61" i="2" s="1"/>
  <c r="C91" i="7"/>
  <c r="D91" i="7" s="1"/>
  <c r="C65" i="7"/>
  <c r="D65" i="7" s="1"/>
  <c r="B148" i="5"/>
  <c r="B62" i="2" s="1"/>
  <c r="C79" i="1"/>
  <c r="C103" i="11"/>
  <c r="C107" i="11"/>
  <c r="C63" i="7"/>
  <c r="C102" i="7"/>
  <c r="D102" i="7" s="1"/>
  <c r="C113" i="11"/>
  <c r="C89" i="7"/>
  <c r="D89" i="7" s="1"/>
  <c r="B146" i="5"/>
  <c r="B60" i="2" s="1"/>
  <c r="B93" i="2" l="1"/>
  <c r="C82" i="1" s="1"/>
  <c r="B101" i="2"/>
  <c r="B94" i="2"/>
  <c r="C83" i="1" s="1"/>
  <c r="B102" i="2"/>
  <c r="B98" i="2"/>
  <c r="C87" i="1" s="1"/>
  <c r="C79" i="7"/>
  <c r="D79" i="7" s="1"/>
  <c r="C82" i="7"/>
  <c r="D82" i="7" s="1"/>
  <c r="C71" i="7"/>
  <c r="D71" i="7" s="1"/>
  <c r="C72" i="7"/>
  <c r="D72" i="7" s="1"/>
  <c r="C69" i="7"/>
  <c r="D69" i="7" s="1"/>
  <c r="C80" i="7"/>
  <c r="D80" i="7" s="1"/>
  <c r="C70" i="7"/>
  <c r="D70" i="7" s="1"/>
  <c r="C81" i="7"/>
  <c r="D81" i="7" s="1"/>
  <c r="C68" i="7"/>
  <c r="D68" i="7" s="1"/>
  <c r="B66" i="1"/>
  <c r="C66" i="1" s="1"/>
  <c r="B67" i="2"/>
  <c r="B65" i="1"/>
  <c r="C65" i="1" s="1"/>
  <c r="B66" i="2"/>
  <c r="B65" i="2"/>
  <c r="B64" i="1"/>
  <c r="C64" i="1" s="1"/>
  <c r="C76" i="1"/>
  <c r="C6" i="1"/>
  <c r="D59" i="1" s="1"/>
  <c r="D63" i="7"/>
  <c r="C9" i="1"/>
  <c r="D62" i="1" s="1"/>
  <c r="C8" i="1"/>
  <c r="D61" i="1" s="1"/>
  <c r="B67" i="1"/>
  <c r="C67" i="1" s="1"/>
  <c r="B68" i="2"/>
  <c r="C7" i="1"/>
  <c r="D60" i="1" s="1"/>
  <c r="C74" i="1" l="1"/>
  <c r="C42" i="1"/>
  <c r="C88" i="1"/>
  <c r="D89" i="1" s="1"/>
  <c r="D8" i="1"/>
  <c r="E61" i="1" s="1"/>
  <c r="D9" i="1"/>
  <c r="E62" i="1" s="1"/>
  <c r="D6" i="1"/>
  <c r="E59" i="1" s="1"/>
  <c r="C12" i="1"/>
  <c r="D65" i="1" s="1"/>
  <c r="D7" i="1"/>
  <c r="E60" i="1" s="1"/>
  <c r="C14" i="1"/>
  <c r="D67" i="1" s="1"/>
  <c r="C11" i="1"/>
  <c r="C13" i="1"/>
  <c r="D66" i="1" s="1"/>
  <c r="F42" i="1" l="1"/>
  <c r="E42" i="1"/>
  <c r="G42" i="1"/>
  <c r="B57" i="1"/>
  <c r="C44" i="1" s="1"/>
  <c r="D42" i="1"/>
  <c r="C28" i="1"/>
  <c r="C31" i="1" s="1"/>
  <c r="C41" i="1"/>
  <c r="C47" i="1"/>
  <c r="D64" i="1"/>
  <c r="D12" i="1"/>
  <c r="E65" i="1" s="1"/>
  <c r="E7" i="1"/>
  <c r="F60" i="1" s="1"/>
  <c r="D13" i="1"/>
  <c r="E66" i="1" s="1"/>
  <c r="D14" i="1"/>
  <c r="E67" i="1" s="1"/>
  <c r="E8" i="1"/>
  <c r="F61" i="1" s="1"/>
  <c r="E6" i="1"/>
  <c r="F59" i="1" s="1"/>
  <c r="E9" i="1"/>
  <c r="F62" i="1" s="1"/>
  <c r="D16" i="1"/>
  <c r="D18" i="1"/>
  <c r="D78" i="1" s="1"/>
  <c r="D25" i="1"/>
  <c r="D85" i="1" s="1"/>
  <c r="D21" i="1"/>
  <c r="D24" i="1"/>
  <c r="D84" i="1" s="1"/>
  <c r="D19" i="1"/>
  <c r="D79" i="1" s="1"/>
  <c r="D27" i="1"/>
  <c r="D87" i="1" s="1"/>
  <c r="D17" i="1"/>
  <c r="D77" i="1" s="1"/>
  <c r="D23" i="1"/>
  <c r="D83" i="1" s="1"/>
  <c r="D26" i="1"/>
  <c r="D86" i="1" s="1"/>
  <c r="D36" i="1"/>
  <c r="D35" i="1"/>
  <c r="D22" i="1"/>
  <c r="D82" i="1" s="1"/>
  <c r="C57" i="1" l="1"/>
  <c r="C45" i="1" s="1"/>
  <c r="C48" i="1" s="1"/>
  <c r="C50" i="1" s="1"/>
  <c r="D11" i="1"/>
  <c r="E64" i="1" s="1"/>
  <c r="E11" i="1" s="1"/>
  <c r="F64" i="1" s="1"/>
  <c r="E13" i="1"/>
  <c r="E14" i="1"/>
  <c r="F67" i="1" s="1"/>
  <c r="F9" i="1"/>
  <c r="G62" i="1" s="1"/>
  <c r="D39" i="1"/>
  <c r="D37" i="1"/>
  <c r="D76" i="1"/>
  <c r="F7" i="1"/>
  <c r="G60" i="1" s="1"/>
  <c r="F6" i="1"/>
  <c r="G59" i="1" s="1"/>
  <c r="F8" i="1"/>
  <c r="G61" i="1" s="1"/>
  <c r="E12" i="1"/>
  <c r="F65" i="1" s="1"/>
  <c r="D40" i="1"/>
  <c r="D81" i="1"/>
  <c r="D38" i="1"/>
  <c r="D68" i="1" l="1"/>
  <c r="D46" i="1" s="1"/>
  <c r="D57" i="1"/>
  <c r="D44" i="1" s="1"/>
  <c r="D90" i="1"/>
  <c r="D69" i="1" s="1"/>
  <c r="F66" i="1"/>
  <c r="G8" i="1"/>
  <c r="H61" i="1" s="1"/>
  <c r="F14" i="1"/>
  <c r="G67" i="1" s="1"/>
  <c r="F11" i="1"/>
  <c r="G64" i="1" s="1"/>
  <c r="D74" i="1"/>
  <c r="D88" i="1" s="1"/>
  <c r="G6" i="1"/>
  <c r="F12" i="1"/>
  <c r="G65" i="1" s="1"/>
  <c r="G7" i="1"/>
  <c r="H60" i="1" s="1"/>
  <c r="G9" i="1"/>
  <c r="H62" i="1" s="1"/>
  <c r="D73" i="1" l="1"/>
  <c r="D30" i="1"/>
  <c r="D28" i="1"/>
  <c r="E89" i="1"/>
  <c r="D41" i="1"/>
  <c r="D47" i="1"/>
  <c r="D91" i="1"/>
  <c r="D70" i="1"/>
  <c r="D71" i="1" s="1"/>
  <c r="D72" i="1" s="1"/>
  <c r="F13" i="1"/>
  <c r="G66" i="1" s="1"/>
  <c r="G12" i="1"/>
  <c r="H65" i="1" s="1"/>
  <c r="G11" i="1"/>
  <c r="H64" i="1" s="1"/>
  <c r="H8" i="1"/>
  <c r="I61" i="1" s="1"/>
  <c r="H59" i="1"/>
  <c r="H9" i="1"/>
  <c r="I62" i="1" s="1"/>
  <c r="G14" i="1"/>
  <c r="H67" i="1" s="1"/>
  <c r="H7" i="1"/>
  <c r="I60" i="1" s="1"/>
  <c r="D31" i="1" l="1"/>
  <c r="D45" i="1" s="1"/>
  <c r="E57" i="1" s="1"/>
  <c r="E44" i="1" s="1"/>
  <c r="E17" i="1"/>
  <c r="E77" i="1" s="1"/>
  <c r="E22" i="1"/>
  <c r="E82" i="1" s="1"/>
  <c r="E27" i="1"/>
  <c r="E87" i="1" s="1"/>
  <c r="E18" i="1"/>
  <c r="E78" i="1" s="1"/>
  <c r="E24" i="1"/>
  <c r="E84" i="1" s="1"/>
  <c r="E16" i="1"/>
  <c r="E35" i="1"/>
  <c r="E26" i="1"/>
  <c r="E86" i="1" s="1"/>
  <c r="E25" i="1"/>
  <c r="E85" i="1" s="1"/>
  <c r="E19" i="1"/>
  <c r="E79" i="1" s="1"/>
  <c r="E36" i="1"/>
  <c r="E23" i="1"/>
  <c r="E83" i="1" s="1"/>
  <c r="E21" i="1"/>
  <c r="G13" i="1"/>
  <c r="H66" i="1" s="1"/>
  <c r="H11" i="1"/>
  <c r="I64" i="1" s="1"/>
  <c r="H12" i="1"/>
  <c r="I65" i="1" s="1"/>
  <c r="H14" i="1"/>
  <c r="I67" i="1" s="1"/>
  <c r="H6" i="1"/>
  <c r="I8" i="1"/>
  <c r="J61" i="1" s="1"/>
  <c r="I7" i="1"/>
  <c r="J60" i="1" s="1"/>
  <c r="I9" i="1"/>
  <c r="J62" i="1" s="1"/>
  <c r="D48" i="1" l="1"/>
  <c r="D50" i="1" s="1"/>
  <c r="E39" i="1"/>
  <c r="E37" i="1"/>
  <c r="E76" i="1"/>
  <c r="E81" i="1"/>
  <c r="E40" i="1"/>
  <c r="E38" i="1"/>
  <c r="H13" i="1"/>
  <c r="I66" i="1" s="1"/>
  <c r="I13" i="1" s="1"/>
  <c r="J66" i="1" s="1"/>
  <c r="I59" i="1"/>
  <c r="I6" i="1" s="1"/>
  <c r="J7" i="1"/>
  <c r="K60" i="1" s="1"/>
  <c r="J9" i="1"/>
  <c r="K62" i="1" s="1"/>
  <c r="I14" i="1"/>
  <c r="J67" i="1" s="1"/>
  <c r="I12" i="1"/>
  <c r="J65" i="1" s="1"/>
  <c r="I11" i="1"/>
  <c r="J64" i="1" s="1"/>
  <c r="J8" i="1"/>
  <c r="K61" i="1" s="1"/>
  <c r="E68" i="1" l="1"/>
  <c r="E46" i="1" s="1"/>
  <c r="E74" i="1"/>
  <c r="E88" i="1" s="1"/>
  <c r="E90" i="1"/>
  <c r="J59" i="1"/>
  <c r="J6" i="1" s="1"/>
  <c r="J11" i="1"/>
  <c r="K64" i="1" s="1"/>
  <c r="J14" i="1"/>
  <c r="K67" i="1" s="1"/>
  <c r="K7" i="1"/>
  <c r="L60" i="1" s="1"/>
  <c r="J13" i="1"/>
  <c r="K66" i="1" s="1"/>
  <c r="J12" i="1"/>
  <c r="K65" i="1" s="1"/>
  <c r="K8" i="1"/>
  <c r="L61" i="1" s="1"/>
  <c r="K9" i="1"/>
  <c r="L62" i="1" s="1"/>
  <c r="E73" i="1" l="1"/>
  <c r="E30" i="1"/>
  <c r="E91" i="1"/>
  <c r="E69" i="1"/>
  <c r="E70" i="1"/>
  <c r="F89" i="1"/>
  <c r="E28" i="1"/>
  <c r="E31" i="1" s="1"/>
  <c r="E45" i="1" s="1"/>
  <c r="F57" i="1" s="1"/>
  <c r="E41" i="1"/>
  <c r="E47" i="1"/>
  <c r="K59" i="1"/>
  <c r="L9" i="1"/>
  <c r="M62" i="1" s="1"/>
  <c r="K13" i="1"/>
  <c r="L66" i="1" s="1"/>
  <c r="L7" i="1"/>
  <c r="M60" i="1" s="1"/>
  <c r="L8" i="1"/>
  <c r="M61" i="1" s="1"/>
  <c r="K12" i="1"/>
  <c r="L65" i="1" s="1"/>
  <c r="K11" i="1"/>
  <c r="L64" i="1" s="1"/>
  <c r="K14" i="1"/>
  <c r="L67" i="1" s="1"/>
  <c r="F44" i="1" l="1"/>
  <c r="F18" i="1"/>
  <c r="F78" i="1" s="1"/>
  <c r="F22" i="1"/>
  <c r="F82" i="1" s="1"/>
  <c r="F24" i="1"/>
  <c r="F84" i="1" s="1"/>
  <c r="F25" i="1"/>
  <c r="F85" i="1" s="1"/>
  <c r="F16" i="1"/>
  <c r="F26" i="1"/>
  <c r="F86" i="1" s="1"/>
  <c r="F27" i="1"/>
  <c r="F87" i="1" s="1"/>
  <c r="F21" i="1"/>
  <c r="F36" i="1"/>
  <c r="F19" i="1"/>
  <c r="F79" i="1" s="1"/>
  <c r="F35" i="1"/>
  <c r="F23" i="1"/>
  <c r="F83" i="1" s="1"/>
  <c r="F17" i="1"/>
  <c r="F77" i="1" s="1"/>
  <c r="E48" i="1"/>
  <c r="E50" i="1" s="1"/>
  <c r="E71" i="1"/>
  <c r="E72" i="1" s="1"/>
  <c r="K6" i="1"/>
  <c r="M7" i="1"/>
  <c r="N60" i="1" s="1"/>
  <c r="M9" i="1"/>
  <c r="N62" i="1" s="1"/>
  <c r="L14" i="1"/>
  <c r="M67" i="1" s="1"/>
  <c r="L13" i="1"/>
  <c r="M66" i="1" s="1"/>
  <c r="M8" i="1"/>
  <c r="N61" i="1" s="1"/>
  <c r="L11" i="1"/>
  <c r="M64" i="1" s="1"/>
  <c r="L12" i="1"/>
  <c r="M65" i="1" s="1"/>
  <c r="F81" i="1" l="1"/>
  <c r="F40" i="1"/>
  <c r="F38" i="1"/>
  <c r="F76" i="1"/>
  <c r="F37" i="1"/>
  <c r="F39" i="1"/>
  <c r="L59" i="1"/>
  <c r="M11" i="1"/>
  <c r="N64" i="1" s="1"/>
  <c r="N8" i="1"/>
  <c r="O61" i="1" s="1"/>
  <c r="N9" i="1"/>
  <c r="O62" i="1" s="1"/>
  <c r="M13" i="1"/>
  <c r="N66" i="1" s="1"/>
  <c r="N7" i="1"/>
  <c r="O60" i="1" s="1"/>
  <c r="M14" i="1"/>
  <c r="N67" i="1" s="1"/>
  <c r="M12" i="1"/>
  <c r="N65" i="1" s="1"/>
  <c r="F74" i="1" l="1"/>
  <c r="F88" i="1" s="1"/>
  <c r="F28" i="1" s="1"/>
  <c r="F68" i="1"/>
  <c r="F73" i="1" s="1"/>
  <c r="F90" i="1"/>
  <c r="F91" i="1" s="1"/>
  <c r="L6" i="1"/>
  <c r="N12" i="1"/>
  <c r="O65" i="1" s="1"/>
  <c r="O7" i="1"/>
  <c r="P60" i="1" s="1"/>
  <c r="N11" i="1"/>
  <c r="O64" i="1" s="1"/>
  <c r="N13" i="1"/>
  <c r="O66" i="1" s="1"/>
  <c r="O8" i="1"/>
  <c r="P61" i="1" s="1"/>
  <c r="O9" i="1"/>
  <c r="P62" i="1" s="1"/>
  <c r="N14" i="1"/>
  <c r="O67" i="1" s="1"/>
  <c r="F46" i="1" l="1"/>
  <c r="F30" i="1"/>
  <c r="F31" i="1" s="1"/>
  <c r="F45" i="1" s="1"/>
  <c r="G57" i="1" s="1"/>
  <c r="G89" i="1"/>
  <c r="G24" i="1" s="1"/>
  <c r="G84" i="1" s="1"/>
  <c r="F47" i="1"/>
  <c r="F41" i="1"/>
  <c r="F69" i="1"/>
  <c r="F70" i="1"/>
  <c r="M59" i="1"/>
  <c r="O11" i="1"/>
  <c r="P64" i="1" s="1"/>
  <c r="O12" i="1"/>
  <c r="P65" i="1" s="1"/>
  <c r="P9" i="1"/>
  <c r="Q62" i="1" s="1"/>
  <c r="P7" i="1"/>
  <c r="Q60" i="1" s="1"/>
  <c r="O13" i="1"/>
  <c r="P66" i="1" s="1"/>
  <c r="O14" i="1"/>
  <c r="P67" i="1"/>
  <c r="P8" i="1"/>
  <c r="Q61" i="1" s="1"/>
  <c r="F71" i="1" l="1"/>
  <c r="F72" i="1" s="1"/>
  <c r="G23" i="1"/>
  <c r="G83" i="1" s="1"/>
  <c r="G27" i="1"/>
  <c r="G87" i="1" s="1"/>
  <c r="G16" i="1"/>
  <c r="G76" i="1" s="1"/>
  <c r="G17" i="1"/>
  <c r="G77" i="1" s="1"/>
  <c r="G36" i="1"/>
  <c r="G35" i="1"/>
  <c r="G25" i="1"/>
  <c r="G85" i="1" s="1"/>
  <c r="G21" i="1"/>
  <c r="G81" i="1" s="1"/>
  <c r="G19" i="1"/>
  <c r="G79" i="1" s="1"/>
  <c r="G22" i="1"/>
  <c r="G82" i="1" s="1"/>
  <c r="G18" i="1"/>
  <c r="G78" i="1" s="1"/>
  <c r="G26" i="1"/>
  <c r="G86" i="1" s="1"/>
  <c r="F48" i="1"/>
  <c r="F50" i="1" s="1"/>
  <c r="G44" i="1"/>
  <c r="M6" i="1"/>
  <c r="N59" i="1" s="1"/>
  <c r="P12" i="1"/>
  <c r="Q65" i="1" s="1"/>
  <c r="Q8" i="1"/>
  <c r="R61" i="1" s="1"/>
  <c r="P11" i="1"/>
  <c r="Q64" i="1" s="1"/>
  <c r="P13" i="1"/>
  <c r="Q66" i="1" s="1"/>
  <c r="Q7" i="1"/>
  <c r="R60" i="1" s="1"/>
  <c r="Q9" i="1"/>
  <c r="R62" i="1" s="1"/>
  <c r="P14" i="1"/>
  <c r="Q67" i="1" s="1"/>
  <c r="G38" i="1" l="1"/>
  <c r="G39" i="1"/>
  <c r="G37" i="1"/>
  <c r="G40" i="1"/>
  <c r="G74" i="1"/>
  <c r="G88" i="1" s="1"/>
  <c r="H88" i="1" s="1"/>
  <c r="N6" i="1"/>
  <c r="O59" i="1" s="1"/>
  <c r="O6" i="1" s="1"/>
  <c r="Q13" i="1"/>
  <c r="R66" i="1" s="1"/>
  <c r="Q11" i="1"/>
  <c r="R64" i="1" s="1"/>
  <c r="Q12" i="1"/>
  <c r="R65" i="1" s="1"/>
  <c r="Q14" i="1"/>
  <c r="R67" i="1" s="1"/>
  <c r="R9" i="1"/>
  <c r="S62" i="1" s="1"/>
  <c r="R8" i="1"/>
  <c r="S61" i="1" s="1"/>
  <c r="R7" i="1"/>
  <c r="S60" i="1" s="1"/>
  <c r="G90" i="1" l="1"/>
  <c r="G91" i="1" s="1"/>
  <c r="G28" i="1" s="1"/>
  <c r="H89" i="1"/>
  <c r="H24" i="1" s="1"/>
  <c r="H84" i="1" s="1"/>
  <c r="G41" i="1"/>
  <c r="G68" i="1"/>
  <c r="H47" i="1"/>
  <c r="H41" i="1"/>
  <c r="H28" i="1"/>
  <c r="S9" i="1"/>
  <c r="T62" i="1" s="1"/>
  <c r="R14" i="1"/>
  <c r="S67" i="1" s="1"/>
  <c r="S7" i="1"/>
  <c r="T60" i="1" s="1"/>
  <c r="S8" i="1"/>
  <c r="T61" i="1" s="1"/>
  <c r="R12" i="1"/>
  <c r="S65" i="1" s="1"/>
  <c r="R11" i="1"/>
  <c r="S64" i="1" s="1"/>
  <c r="R13" i="1"/>
  <c r="S66" i="1" s="1"/>
  <c r="P59" i="1"/>
  <c r="G69" i="1" l="1"/>
  <c r="G70" i="1"/>
  <c r="H21" i="1"/>
  <c r="H23" i="1"/>
  <c r="H83" i="1" s="1"/>
  <c r="H18" i="1"/>
  <c r="H78" i="1" s="1"/>
  <c r="H35" i="1"/>
  <c r="H17" i="1"/>
  <c r="H77" i="1" s="1"/>
  <c r="H27" i="1"/>
  <c r="H87" i="1" s="1"/>
  <c r="H19" i="1"/>
  <c r="H79" i="1" s="1"/>
  <c r="H16" i="1"/>
  <c r="H36" i="1"/>
  <c r="H25" i="1"/>
  <c r="H85" i="1" s="1"/>
  <c r="I89" i="1"/>
  <c r="I36" i="1" s="1"/>
  <c r="H22" i="1"/>
  <c r="H82" i="1" s="1"/>
  <c r="H26" i="1"/>
  <c r="H86" i="1" s="1"/>
  <c r="S11" i="1"/>
  <c r="T64" i="1" s="1"/>
  <c r="S13" i="1"/>
  <c r="T66" i="1" s="1"/>
  <c r="S12" i="1"/>
  <c r="T65" i="1" s="1"/>
  <c r="T8" i="1"/>
  <c r="U61" i="1" s="1"/>
  <c r="P6" i="1"/>
  <c r="Q59" i="1" s="1"/>
  <c r="T7" i="1"/>
  <c r="U60" i="1" s="1"/>
  <c r="T9" i="1"/>
  <c r="U62" i="1" s="1"/>
  <c r="S14" i="1"/>
  <c r="T67" i="1" s="1"/>
  <c r="G71" i="1" l="1"/>
  <c r="I23" i="1"/>
  <c r="I83" i="1" s="1"/>
  <c r="I21" i="1"/>
  <c r="I25" i="1"/>
  <c r="I85" i="1" s="1"/>
  <c r="I18" i="1"/>
  <c r="I78" i="1" s="1"/>
  <c r="H39" i="1"/>
  <c r="H38" i="1"/>
  <c r="I27" i="1"/>
  <c r="I87" i="1" s="1"/>
  <c r="I16" i="1"/>
  <c r="I24" i="1"/>
  <c r="I84" i="1" s="1"/>
  <c r="I22" i="1"/>
  <c r="I82" i="1" s="1"/>
  <c r="I19" i="1"/>
  <c r="I79" i="1" s="1"/>
  <c r="I26" i="1"/>
  <c r="I86" i="1" s="1"/>
  <c r="I17" i="1"/>
  <c r="I77" i="1" s="1"/>
  <c r="I35" i="1"/>
  <c r="H37" i="1"/>
  <c r="H40" i="1"/>
  <c r="H76" i="1"/>
  <c r="H81" i="1"/>
  <c r="T11" i="1"/>
  <c r="U64" i="1" s="1"/>
  <c r="Q6" i="1"/>
  <c r="R59" i="1" s="1"/>
  <c r="U9" i="1"/>
  <c r="V62" i="1" s="1"/>
  <c r="U7" i="1"/>
  <c r="V60" i="1" s="1"/>
  <c r="T12" i="1"/>
  <c r="U65" i="1" s="1"/>
  <c r="T14" i="1"/>
  <c r="U67" i="1" s="1"/>
  <c r="T13" i="1"/>
  <c r="U66" i="1" s="1"/>
  <c r="U8" i="1"/>
  <c r="V61" i="1" s="1"/>
  <c r="G72" i="1" l="1"/>
  <c r="G46" i="1" s="1"/>
  <c r="G73" i="1"/>
  <c r="G30" i="1" s="1"/>
  <c r="I81" i="1"/>
  <c r="H90" i="1"/>
  <c r="H69" i="1" s="1"/>
  <c r="I39" i="1"/>
  <c r="I37" i="1"/>
  <c r="I76" i="1"/>
  <c r="I40" i="1"/>
  <c r="I38" i="1"/>
  <c r="H74" i="1"/>
  <c r="H68" i="1"/>
  <c r="V8" i="1"/>
  <c r="W61" i="1" s="1"/>
  <c r="U11" i="1"/>
  <c r="V64" i="1" s="1"/>
  <c r="V9" i="1"/>
  <c r="W62" i="1" s="1"/>
  <c r="R6" i="1"/>
  <c r="S59" i="1" s="1"/>
  <c r="U14" i="1"/>
  <c r="V67" i="1" s="1"/>
  <c r="U12" i="1"/>
  <c r="V65" i="1" s="1"/>
  <c r="U13" i="1"/>
  <c r="V66" i="1" s="1"/>
  <c r="V7" i="1"/>
  <c r="W60" i="1" s="1"/>
  <c r="G47" i="1" l="1"/>
  <c r="G31" i="1"/>
  <c r="G45" i="1" s="1"/>
  <c r="I74" i="1"/>
  <c r="I88" i="1" s="1"/>
  <c r="I68" i="1"/>
  <c r="H91" i="1"/>
  <c r="H70" i="1"/>
  <c r="H71" i="1" s="1"/>
  <c r="H72" i="1" s="1"/>
  <c r="H46" i="1" s="1"/>
  <c r="I90" i="1"/>
  <c r="I70" i="1" s="1"/>
  <c r="V11" i="1"/>
  <c r="W64" i="1" s="1"/>
  <c r="W8" i="1"/>
  <c r="X61" i="1" s="1"/>
  <c r="V13" i="1"/>
  <c r="W66" i="1" s="1"/>
  <c r="V12" i="1"/>
  <c r="W65" i="1" s="1"/>
  <c r="W9" i="1"/>
  <c r="X62" i="1" s="1"/>
  <c r="S6" i="1"/>
  <c r="W7" i="1"/>
  <c r="X60" i="1" s="1"/>
  <c r="V14" i="1"/>
  <c r="W67" i="1" s="1"/>
  <c r="H57" i="1" l="1"/>
  <c r="H44" i="1" s="1"/>
  <c r="G48" i="1"/>
  <c r="G50" i="1" s="1"/>
  <c r="H73" i="1"/>
  <c r="H30" i="1" s="1"/>
  <c r="H31" i="1" s="1"/>
  <c r="H45" i="1" s="1"/>
  <c r="I57" i="1" s="1"/>
  <c r="I44" i="1" s="1"/>
  <c r="I30" i="1"/>
  <c r="I46" i="1"/>
  <c r="J89" i="1"/>
  <c r="J26" i="1" s="1"/>
  <c r="J86" i="1" s="1"/>
  <c r="I41" i="1"/>
  <c r="I73" i="1"/>
  <c r="I47" i="1" s="1"/>
  <c r="I69" i="1"/>
  <c r="I71" i="1" s="1"/>
  <c r="I72" i="1" s="1"/>
  <c r="I91" i="1"/>
  <c r="I28" i="1" s="1"/>
  <c r="W13" i="1"/>
  <c r="X66" i="1" s="1"/>
  <c r="W11" i="1"/>
  <c r="X64" i="1" s="1"/>
  <c r="W12" i="1"/>
  <c r="X65" i="1" s="1"/>
  <c r="X8" i="1"/>
  <c r="Y61" i="1" s="1"/>
  <c r="W14" i="1"/>
  <c r="X67" i="1" s="1"/>
  <c r="X9" i="1"/>
  <c r="Y62" i="1" s="1"/>
  <c r="X7" i="1"/>
  <c r="Y60" i="1" s="1"/>
  <c r="T59" i="1"/>
  <c r="H48" i="1" l="1"/>
  <c r="H50" i="1" s="1"/>
  <c r="I31" i="1"/>
  <c r="I45" i="1" s="1"/>
  <c r="J57" i="1" s="1"/>
  <c r="J44" i="1" s="1"/>
  <c r="J23" i="1"/>
  <c r="J83" i="1" s="1"/>
  <c r="J35" i="1"/>
  <c r="J27" i="1"/>
  <c r="J87" i="1" s="1"/>
  <c r="J21" i="1"/>
  <c r="J81" i="1" s="1"/>
  <c r="J16" i="1"/>
  <c r="J76" i="1" s="1"/>
  <c r="J22" i="1"/>
  <c r="J82" i="1" s="1"/>
  <c r="J19" i="1"/>
  <c r="J79" i="1" s="1"/>
  <c r="J36" i="1"/>
  <c r="J25" i="1"/>
  <c r="J85" i="1" s="1"/>
  <c r="J17" i="1"/>
  <c r="J77" i="1" s="1"/>
  <c r="J18" i="1"/>
  <c r="J78" i="1" s="1"/>
  <c r="J24" i="1"/>
  <c r="J84" i="1" s="1"/>
  <c r="I48" i="1"/>
  <c r="I50" i="1" s="1"/>
  <c r="Y7" i="1"/>
  <c r="Z60" i="1" s="1"/>
  <c r="X13" i="1"/>
  <c r="Y66" i="1" s="1"/>
  <c r="X14" i="1"/>
  <c r="Y67" i="1" s="1"/>
  <c r="X11" i="1"/>
  <c r="Y64" i="1" s="1"/>
  <c r="Y9" i="1"/>
  <c r="Z62" i="1" s="1"/>
  <c r="Y8" i="1"/>
  <c r="Z61" i="1" s="1"/>
  <c r="X12" i="1"/>
  <c r="Y65" i="1" s="1"/>
  <c r="T6" i="1"/>
  <c r="U59" i="1" s="1"/>
  <c r="J39" i="1" l="1"/>
  <c r="J74" i="1"/>
  <c r="J88" i="1" s="1"/>
  <c r="J47" i="1" s="1"/>
  <c r="J37" i="1"/>
  <c r="J38" i="1"/>
  <c r="J40" i="1"/>
  <c r="Z7" i="1"/>
  <c r="AA60" i="1" s="1"/>
  <c r="U6" i="1"/>
  <c r="V59" i="1" s="1"/>
  <c r="Y14" i="1"/>
  <c r="Z67" i="1" s="1"/>
  <c r="Z9" i="1"/>
  <c r="AA62" i="1" s="1"/>
  <c r="Y11" i="1"/>
  <c r="Z64" i="1" s="1"/>
  <c r="Y12" i="1"/>
  <c r="Z65" i="1" s="1"/>
  <c r="Y13" i="1"/>
  <c r="Z66" i="1" s="1"/>
  <c r="Z8" i="1"/>
  <c r="AA61" i="1" s="1"/>
  <c r="K89" i="1" l="1"/>
  <c r="K17" i="1" s="1"/>
  <c r="K77" i="1" s="1"/>
  <c r="J41" i="1"/>
  <c r="J28" i="1"/>
  <c r="J68" i="1"/>
  <c r="J90" i="1"/>
  <c r="J70" i="1" s="1"/>
  <c r="Z11" i="1"/>
  <c r="AA64" i="1" s="1"/>
  <c r="Z14" i="1"/>
  <c r="AA67" i="1" s="1"/>
  <c r="Z13" i="1"/>
  <c r="AA66" i="1" s="1"/>
  <c r="AA7" i="1"/>
  <c r="AB60" i="1" s="1"/>
  <c r="AA9" i="1"/>
  <c r="AB62" i="1" s="1"/>
  <c r="AA8" i="1"/>
  <c r="AB61" i="1" s="1"/>
  <c r="V6" i="1"/>
  <c r="Z12" i="1"/>
  <c r="AA65" i="1" s="1"/>
  <c r="J30" i="1" l="1"/>
  <c r="J46" i="1"/>
  <c r="K18" i="1"/>
  <c r="K78" i="1" s="1"/>
  <c r="K35" i="1"/>
  <c r="K27" i="1"/>
  <c r="K87" i="1" s="1"/>
  <c r="K22" i="1"/>
  <c r="K82" i="1" s="1"/>
  <c r="K26" i="1"/>
  <c r="K86" i="1" s="1"/>
  <c r="K36" i="1"/>
  <c r="K23" i="1"/>
  <c r="K83" i="1" s="1"/>
  <c r="K19" i="1"/>
  <c r="K79" i="1" s="1"/>
  <c r="K24" i="1"/>
  <c r="K84" i="1" s="1"/>
  <c r="K25" i="1"/>
  <c r="K85" i="1" s="1"/>
  <c r="K16" i="1"/>
  <c r="K21" i="1"/>
  <c r="K81" i="1" s="1"/>
  <c r="J31" i="1"/>
  <c r="J45" i="1" s="1"/>
  <c r="K57" i="1" s="1"/>
  <c r="K44" i="1" s="1"/>
  <c r="J73" i="1"/>
  <c r="J69" i="1"/>
  <c r="J71" i="1" s="1"/>
  <c r="J72" i="1" s="1"/>
  <c r="J91" i="1"/>
  <c r="AB9" i="1"/>
  <c r="AC62" i="1" s="1"/>
  <c r="AA11" i="1"/>
  <c r="AB64" i="1" s="1"/>
  <c r="W59" i="1"/>
  <c r="AA14" i="1"/>
  <c r="AB67" i="1" s="1"/>
  <c r="AA13" i="1"/>
  <c r="AB66" i="1" s="1"/>
  <c r="AA12" i="1"/>
  <c r="AB65" i="1" s="1"/>
  <c r="AB7" i="1"/>
  <c r="AC60" i="1" s="1"/>
  <c r="AB8" i="1"/>
  <c r="AC61" i="1" s="1"/>
  <c r="K39" i="1" l="1"/>
  <c r="K40" i="1"/>
  <c r="K37" i="1"/>
  <c r="K76" i="1"/>
  <c r="K74" i="1" s="1"/>
  <c r="K88" i="1" s="1"/>
  <c r="K47" i="1" s="1"/>
  <c r="K38" i="1"/>
  <c r="J48" i="1"/>
  <c r="J50" i="1" s="1"/>
  <c r="AB11" i="1"/>
  <c r="AC64" i="1" s="1"/>
  <c r="AB14" i="1"/>
  <c r="AC67" i="1" s="1"/>
  <c r="AC8" i="1"/>
  <c r="AD61" i="1" s="1"/>
  <c r="AC9" i="1"/>
  <c r="AD62" i="1" s="1"/>
  <c r="AB12" i="1"/>
  <c r="AC65" i="1" s="1"/>
  <c r="W6" i="1"/>
  <c r="AB13" i="1"/>
  <c r="AC66" i="1" s="1"/>
  <c r="AC7" i="1"/>
  <c r="AD60" i="1" s="1"/>
  <c r="K68" i="1" l="1"/>
  <c r="K90" i="1"/>
  <c r="K91" i="1" s="1"/>
  <c r="K28" i="1"/>
  <c r="L89" i="1"/>
  <c r="L24" i="1" s="1"/>
  <c r="L84" i="1" s="1"/>
  <c r="K41" i="1"/>
  <c r="X59" i="1"/>
  <c r="X6" i="1" s="1"/>
  <c r="AC14" i="1"/>
  <c r="AD67" i="1" s="1"/>
  <c r="AD8" i="1"/>
  <c r="AE61" i="1" s="1"/>
  <c r="AC13" i="1"/>
  <c r="AD66" i="1" s="1"/>
  <c r="AC12" i="1"/>
  <c r="AD65" i="1" s="1"/>
  <c r="AD7" i="1"/>
  <c r="AE60" i="1" s="1"/>
  <c r="AD9" i="1"/>
  <c r="AE62" i="1" s="1"/>
  <c r="AC11" i="1"/>
  <c r="AD64" i="1" s="1"/>
  <c r="K30" i="1" l="1"/>
  <c r="K46" i="1"/>
  <c r="K70" i="1"/>
  <c r="K69" i="1"/>
  <c r="L19" i="1"/>
  <c r="L79" i="1" s="1"/>
  <c r="L18" i="1"/>
  <c r="L78" i="1" s="1"/>
  <c r="L22" i="1"/>
  <c r="L82" i="1" s="1"/>
  <c r="L17" i="1"/>
  <c r="L77" i="1" s="1"/>
  <c r="K73" i="1"/>
  <c r="L25" i="1"/>
  <c r="L85" i="1" s="1"/>
  <c r="L26" i="1"/>
  <c r="L86" i="1" s="1"/>
  <c r="L27" i="1"/>
  <c r="L87" i="1" s="1"/>
  <c r="L16" i="1"/>
  <c r="L76" i="1" s="1"/>
  <c r="L35" i="1"/>
  <c r="L23" i="1"/>
  <c r="L83" i="1" s="1"/>
  <c r="L36" i="1"/>
  <c r="L21" i="1"/>
  <c r="L81" i="1" s="1"/>
  <c r="K31" i="1"/>
  <c r="K45" i="1" s="1"/>
  <c r="L57" i="1" s="1"/>
  <c r="L44" i="1" s="1"/>
  <c r="Y59" i="1"/>
  <c r="Y6" i="1" s="1"/>
  <c r="AE7" i="1"/>
  <c r="AF60" i="1" s="1"/>
  <c r="AD12" i="1"/>
  <c r="AE65" i="1" s="1"/>
  <c r="AD11" i="1"/>
  <c r="AE64" i="1" s="1"/>
  <c r="AD14" i="1"/>
  <c r="AE67" i="1" s="1"/>
  <c r="AD13" i="1"/>
  <c r="AE66" i="1" s="1"/>
  <c r="AE9" i="1"/>
  <c r="AF62" i="1" s="1"/>
  <c r="AE8" i="1"/>
  <c r="AF61" i="1" s="1"/>
  <c r="K71" i="1" l="1"/>
  <c r="K72" i="1" s="1"/>
  <c r="L39" i="1"/>
  <c r="L37" i="1"/>
  <c r="L40" i="1"/>
  <c r="L38" i="1"/>
  <c r="K48" i="1"/>
  <c r="K50" i="1" s="1"/>
  <c r="L74" i="1"/>
  <c r="L88" i="1" s="1"/>
  <c r="AE13" i="1"/>
  <c r="AF66" i="1" s="1"/>
  <c r="AF8" i="1"/>
  <c r="AG61" i="1" s="1"/>
  <c r="AE12" i="1"/>
  <c r="AF65" i="1" s="1"/>
  <c r="AE14" i="1"/>
  <c r="AF67" i="1" s="1"/>
  <c r="AF9" i="1"/>
  <c r="AG62" i="1" s="1"/>
  <c r="AF7" i="1"/>
  <c r="AG60" i="1" s="1"/>
  <c r="Z59" i="1"/>
  <c r="AE11" i="1"/>
  <c r="AF64" i="1" s="1"/>
  <c r="L68" i="1" l="1"/>
  <c r="L90" i="1"/>
  <c r="L70" i="1" s="1"/>
  <c r="M89" i="1"/>
  <c r="L41" i="1"/>
  <c r="L28" i="1"/>
  <c r="L47" i="1"/>
  <c r="AG9" i="1"/>
  <c r="AH62" i="1" s="1"/>
  <c r="AF11" i="1"/>
  <c r="AG64" i="1" s="1"/>
  <c r="AF13" i="1"/>
  <c r="AG66" i="1" s="1"/>
  <c r="AF14" i="1"/>
  <c r="AG67" i="1" s="1"/>
  <c r="Z6" i="1"/>
  <c r="AA59" i="1" s="1"/>
  <c r="AF12" i="1"/>
  <c r="AG65" i="1" s="1"/>
  <c r="AG7" i="1"/>
  <c r="AH60" i="1" s="1"/>
  <c r="AG8" i="1"/>
  <c r="AH61" i="1" s="1"/>
  <c r="L73" i="1" l="1"/>
  <c r="L46" i="1"/>
  <c r="L30" i="1"/>
  <c r="L31" i="1" s="1"/>
  <c r="L45" i="1" s="1"/>
  <c r="M57" i="1" s="1"/>
  <c r="M44" i="1" s="1"/>
  <c r="L91" i="1"/>
  <c r="L69" i="1"/>
  <c r="L71" i="1" s="1"/>
  <c r="L72" i="1" s="1"/>
  <c r="M27" i="1"/>
  <c r="M87" i="1" s="1"/>
  <c r="M16" i="1"/>
  <c r="M17" i="1"/>
  <c r="M77" i="1" s="1"/>
  <c r="M22" i="1"/>
  <c r="M82" i="1" s="1"/>
  <c r="M35" i="1"/>
  <c r="M36" i="1"/>
  <c r="M18" i="1"/>
  <c r="M78" i="1" s="1"/>
  <c r="M25" i="1"/>
  <c r="M85" i="1" s="1"/>
  <c r="M19" i="1"/>
  <c r="M79" i="1" s="1"/>
  <c r="M24" i="1"/>
  <c r="M84" i="1" s="1"/>
  <c r="M21" i="1"/>
  <c r="M26" i="1"/>
  <c r="M86" i="1" s="1"/>
  <c r="M23" i="1"/>
  <c r="M83" i="1" s="1"/>
  <c r="AG14" i="1"/>
  <c r="AH67" i="1" s="1"/>
  <c r="AH8" i="1"/>
  <c r="AI61" i="1" s="1"/>
  <c r="AH9" i="1"/>
  <c r="AI62" i="1" s="1"/>
  <c r="AH7" i="1"/>
  <c r="AI60" i="1" s="1"/>
  <c r="AG12" i="1"/>
  <c r="AH65" i="1" s="1"/>
  <c r="AG13" i="1"/>
  <c r="AH66" i="1" s="1"/>
  <c r="AA6" i="1"/>
  <c r="AB59" i="1" s="1"/>
  <c r="AG11" i="1"/>
  <c r="AH64" i="1" s="1"/>
  <c r="L48" i="1" l="1"/>
  <c r="L50" i="1" s="1"/>
  <c r="M37" i="1"/>
  <c r="M39" i="1"/>
  <c r="M76" i="1"/>
  <c r="M40" i="1"/>
  <c r="M38" i="1"/>
  <c r="M81" i="1"/>
  <c r="AI9" i="1"/>
  <c r="AJ62" i="1" s="1"/>
  <c r="AH11" i="1"/>
  <c r="AI64" i="1" s="1"/>
  <c r="AH14" i="1"/>
  <c r="AI67" i="1" s="1"/>
  <c r="AH12" i="1"/>
  <c r="AI65" i="1" s="1"/>
  <c r="AI7" i="1"/>
  <c r="AJ60" i="1" s="1"/>
  <c r="AH13" i="1"/>
  <c r="AI66" i="1" s="1"/>
  <c r="AB6" i="1"/>
  <c r="AC59" i="1" s="1"/>
  <c r="AI8" i="1"/>
  <c r="AJ61" i="1" s="1"/>
  <c r="M74" i="1" l="1"/>
  <c r="M88" i="1" s="1"/>
  <c r="M41" i="1" s="1"/>
  <c r="M90" i="1"/>
  <c r="M69" i="1" s="1"/>
  <c r="M68" i="1"/>
  <c r="M46" i="1" s="1"/>
  <c r="AI13" i="1"/>
  <c r="AJ66" i="1" s="1"/>
  <c r="AJ8" i="1"/>
  <c r="AK61" i="1" s="1"/>
  <c r="AJ9" i="1"/>
  <c r="AK62" i="1" s="1"/>
  <c r="AJ7" i="1"/>
  <c r="AK60" i="1" s="1"/>
  <c r="AI14" i="1"/>
  <c r="AJ67" i="1" s="1"/>
  <c r="AI12" i="1"/>
  <c r="AJ65" i="1" s="1"/>
  <c r="AC6" i="1"/>
  <c r="AD59" i="1" s="1"/>
  <c r="AI11" i="1"/>
  <c r="AJ64" i="1" s="1"/>
  <c r="M28" i="1" l="1"/>
  <c r="N89" i="1"/>
  <c r="N21" i="1" s="1"/>
  <c r="M47" i="1"/>
  <c r="M70" i="1"/>
  <c r="M71" i="1" s="1"/>
  <c r="M72" i="1" s="1"/>
  <c r="M91" i="1"/>
  <c r="M30" i="1"/>
  <c r="M73" i="1"/>
  <c r="AK7" i="1"/>
  <c r="AL60" i="1" s="1"/>
  <c r="AJ14" i="1"/>
  <c r="AK67" i="1" s="1"/>
  <c r="AJ12" i="1"/>
  <c r="AK65" i="1" s="1"/>
  <c r="AJ13" i="1"/>
  <c r="AK66" i="1" s="1"/>
  <c r="AJ11" i="1"/>
  <c r="AK64" i="1" s="1"/>
  <c r="AK9" i="1"/>
  <c r="AL62" i="1" s="1"/>
  <c r="AD6" i="1"/>
  <c r="AK8" i="1"/>
  <c r="AL61" i="1" s="1"/>
  <c r="N17" i="1" l="1"/>
  <c r="N77" i="1" s="1"/>
  <c r="N24" i="1"/>
  <c r="N84" i="1" s="1"/>
  <c r="N18" i="1"/>
  <c r="N78" i="1" s="1"/>
  <c r="N35" i="1"/>
  <c r="N23" i="1"/>
  <c r="N83" i="1" s="1"/>
  <c r="N36" i="1"/>
  <c r="N26" i="1"/>
  <c r="N86" i="1" s="1"/>
  <c r="N22" i="1"/>
  <c r="N82" i="1" s="1"/>
  <c r="N19" i="1"/>
  <c r="N79" i="1" s="1"/>
  <c r="N16" i="1"/>
  <c r="N76" i="1" s="1"/>
  <c r="N27" i="1"/>
  <c r="N87" i="1" s="1"/>
  <c r="N25" i="1"/>
  <c r="N85" i="1" s="1"/>
  <c r="M31" i="1"/>
  <c r="M45" i="1" s="1"/>
  <c r="N57" i="1" s="1"/>
  <c r="N44" i="1" s="1"/>
  <c r="N81" i="1"/>
  <c r="AK12" i="1"/>
  <c r="AL65" i="1" s="1"/>
  <c r="AK11" i="1"/>
  <c r="AL64" i="1" s="1"/>
  <c r="AL9" i="1"/>
  <c r="AM62" i="1" s="1"/>
  <c r="AL8" i="1"/>
  <c r="AM61" i="1" s="1"/>
  <c r="AK14" i="1"/>
  <c r="AL67" i="1" s="1"/>
  <c r="AE59" i="1"/>
  <c r="AL7" i="1"/>
  <c r="AM60" i="1" s="1"/>
  <c r="AK13" i="1"/>
  <c r="AL66" i="1" s="1"/>
  <c r="N39" i="1" l="1"/>
  <c r="N37" i="1"/>
  <c r="N40" i="1"/>
  <c r="N38" i="1"/>
  <c r="M48" i="1"/>
  <c r="M50" i="1" s="1"/>
  <c r="N74" i="1"/>
  <c r="N88" i="1" s="1"/>
  <c r="O89" i="1" s="1"/>
  <c r="AL13" i="1"/>
  <c r="AM66" i="1" s="1"/>
  <c r="AM7" i="1"/>
  <c r="AN60" i="1" s="1"/>
  <c r="AL14" i="1"/>
  <c r="AM67" i="1" s="1"/>
  <c r="AM9" i="1"/>
  <c r="AN62" i="1" s="1"/>
  <c r="AL11" i="1"/>
  <c r="AM64" i="1" s="1"/>
  <c r="AL12" i="1"/>
  <c r="AM65" i="1" s="1"/>
  <c r="AE6" i="1"/>
  <c r="AF59" i="1" s="1"/>
  <c r="AM8" i="1"/>
  <c r="AN61" i="1" s="1"/>
  <c r="N68" i="1" l="1"/>
  <c r="N41" i="1"/>
  <c r="N47" i="1"/>
  <c r="N28" i="1"/>
  <c r="N90" i="1"/>
  <c r="N91" i="1" s="1"/>
  <c r="O36" i="1"/>
  <c r="O17" i="1"/>
  <c r="O77" i="1" s="1"/>
  <c r="O26" i="1"/>
  <c r="O86" i="1" s="1"/>
  <c r="O23" i="1"/>
  <c r="O83" i="1" s="1"/>
  <c r="O22" i="1"/>
  <c r="O82" i="1" s="1"/>
  <c r="O18" i="1"/>
  <c r="O78" i="1" s="1"/>
  <c r="O21" i="1"/>
  <c r="O35" i="1"/>
  <c r="O16" i="1"/>
  <c r="O24" i="1"/>
  <c r="O84" i="1" s="1"/>
  <c r="O25" i="1"/>
  <c r="O85" i="1" s="1"/>
  <c r="O27" i="1"/>
  <c r="O87" i="1" s="1"/>
  <c r="O19" i="1"/>
  <c r="O79" i="1" s="1"/>
  <c r="AM13" i="1"/>
  <c r="AN66" i="1" s="1"/>
  <c r="AN8" i="1"/>
  <c r="AO61" i="1" s="1"/>
  <c r="AM11" i="1"/>
  <c r="AN64" i="1" s="1"/>
  <c r="AM14" i="1"/>
  <c r="AN67" i="1" s="1"/>
  <c r="AN9" i="1"/>
  <c r="AO62" i="1" s="1"/>
  <c r="AM12" i="1"/>
  <c r="AN65" i="1" s="1"/>
  <c r="AF6" i="1"/>
  <c r="AG59" i="1" s="1"/>
  <c r="AN7" i="1"/>
  <c r="AO60" i="1" s="1"/>
  <c r="N30" i="1" l="1"/>
  <c r="N46" i="1"/>
  <c r="N31" i="1"/>
  <c r="N45" i="1" s="1"/>
  <c r="O57" i="1" s="1"/>
  <c r="O44" i="1" s="1"/>
  <c r="N73" i="1"/>
  <c r="N69" i="1"/>
  <c r="N70" i="1"/>
  <c r="O81" i="1"/>
  <c r="O40" i="1"/>
  <c r="O38" i="1"/>
  <c r="O76" i="1"/>
  <c r="O37" i="1"/>
  <c r="O39" i="1"/>
  <c r="AG6" i="1"/>
  <c r="AO7" i="1"/>
  <c r="AP60" i="1" s="1"/>
  <c r="AP7" i="1" s="1"/>
  <c r="AO9" i="1"/>
  <c r="AP62" i="1" s="1"/>
  <c r="AP9" i="1" s="1"/>
  <c r="AN14" i="1"/>
  <c r="AO67" i="1" s="1"/>
  <c r="AN13" i="1"/>
  <c r="AO66" i="1" s="1"/>
  <c r="AN11" i="1"/>
  <c r="AO64" i="1" s="1"/>
  <c r="AN12" i="1"/>
  <c r="AO65" i="1" s="1"/>
  <c r="AO8" i="1"/>
  <c r="AP61" i="1" s="1"/>
  <c r="AP8" i="1" s="1"/>
  <c r="N71" i="1" l="1"/>
  <c r="N72" i="1" s="1"/>
  <c r="N48" i="1"/>
  <c r="N50" i="1" s="1"/>
  <c r="O74" i="1"/>
  <c r="O88" i="1" s="1"/>
  <c r="P89" i="1" s="1"/>
  <c r="O68" i="1"/>
  <c r="O90" i="1"/>
  <c r="O91" i="1" s="1"/>
  <c r="AO12" i="1"/>
  <c r="AP65" i="1" s="1"/>
  <c r="AP12" i="1" s="1"/>
  <c r="AO11" i="1"/>
  <c r="AP64" i="1" s="1"/>
  <c r="AP11" i="1" s="1"/>
  <c r="AO14" i="1"/>
  <c r="AP67" i="1" s="1"/>
  <c r="AP14" i="1" s="1"/>
  <c r="AH59" i="1"/>
  <c r="AO13" i="1"/>
  <c r="AP66" i="1" s="1"/>
  <c r="AP13" i="1" s="1"/>
  <c r="O30" i="1" l="1"/>
  <c r="O46" i="1"/>
  <c r="O41" i="1"/>
  <c r="O28" i="1"/>
  <c r="O31" i="1" s="1"/>
  <c r="O45" i="1" s="1"/>
  <c r="P57" i="1" s="1"/>
  <c r="P44" i="1" s="1"/>
  <c r="O47" i="1"/>
  <c r="O73" i="1"/>
  <c r="O69" i="1"/>
  <c r="O70" i="1"/>
  <c r="P22" i="1"/>
  <c r="P82" i="1" s="1"/>
  <c r="P35" i="1"/>
  <c r="P24" i="1"/>
  <c r="P84" i="1" s="1"/>
  <c r="P19" i="1"/>
  <c r="P79" i="1" s="1"/>
  <c r="P16" i="1"/>
  <c r="P18" i="1"/>
  <c r="P78" i="1" s="1"/>
  <c r="P26" i="1"/>
  <c r="P86" i="1" s="1"/>
  <c r="P25" i="1"/>
  <c r="P85" i="1" s="1"/>
  <c r="P17" i="1"/>
  <c r="P77" i="1" s="1"/>
  <c r="P23" i="1"/>
  <c r="P83" i="1" s="1"/>
  <c r="P21" i="1"/>
  <c r="P36" i="1"/>
  <c r="P27" i="1"/>
  <c r="P87" i="1" s="1"/>
  <c r="AH6" i="1"/>
  <c r="AI59" i="1" s="1"/>
  <c r="O71" i="1" l="1"/>
  <c r="O72" i="1" s="1"/>
  <c r="P39" i="1"/>
  <c r="P76" i="1"/>
  <c r="P37" i="1"/>
  <c r="P38" i="1"/>
  <c r="P40" i="1"/>
  <c r="P81" i="1"/>
  <c r="O48" i="1"/>
  <c r="O50" i="1" s="1"/>
  <c r="AI6" i="1"/>
  <c r="AJ59" i="1" s="1"/>
  <c r="P90" i="1" l="1"/>
  <c r="P91" i="1" s="1"/>
  <c r="P68" i="1"/>
  <c r="P74" i="1"/>
  <c r="P88" i="1" s="1"/>
  <c r="AJ6" i="1"/>
  <c r="AK59" i="1" s="1"/>
  <c r="P69" i="1" l="1"/>
  <c r="P70" i="1"/>
  <c r="P28" i="1"/>
  <c r="Q89" i="1"/>
  <c r="P41" i="1"/>
  <c r="P46" i="1"/>
  <c r="P73" i="1"/>
  <c r="P47" i="1" s="1"/>
  <c r="P30" i="1"/>
  <c r="AK6" i="1"/>
  <c r="P71" i="1" l="1"/>
  <c r="P72" i="1" s="1"/>
  <c r="P31" i="1"/>
  <c r="P45" i="1" s="1"/>
  <c r="Q57" i="1" s="1"/>
  <c r="Q22" i="1"/>
  <c r="Q82" i="1" s="1"/>
  <c r="Q18" i="1"/>
  <c r="Q78" i="1" s="1"/>
  <c r="Q16" i="1"/>
  <c r="Q23" i="1"/>
  <c r="Q83" i="1" s="1"/>
  <c r="Q35" i="1"/>
  <c r="Q24" i="1"/>
  <c r="Q84" i="1" s="1"/>
  <c r="Q36" i="1"/>
  <c r="Q17" i="1"/>
  <c r="Q77" i="1" s="1"/>
  <c r="Q27" i="1"/>
  <c r="Q87" i="1" s="1"/>
  <c r="Q26" i="1"/>
  <c r="Q86" i="1" s="1"/>
  <c r="Q19" i="1"/>
  <c r="Q79" i="1" s="1"/>
  <c r="Q25" i="1"/>
  <c r="Q85" i="1" s="1"/>
  <c r="Q21" i="1"/>
  <c r="AL59" i="1"/>
  <c r="Q81" i="1" l="1"/>
  <c r="Q40" i="1"/>
  <c r="Q38" i="1"/>
  <c r="Q39" i="1"/>
  <c r="Q76" i="1"/>
  <c r="Q37" i="1"/>
  <c r="Q44" i="1"/>
  <c r="P48" i="1"/>
  <c r="P50" i="1" s="1"/>
  <c r="AL6" i="1"/>
  <c r="AM59" i="1" s="1"/>
  <c r="Q90" i="1" l="1"/>
  <c r="Q69" i="1" s="1"/>
  <c r="Q68" i="1"/>
  <c r="Q74" i="1"/>
  <c r="Q88" i="1" s="1"/>
  <c r="AM6" i="1"/>
  <c r="AN59" i="1" s="1"/>
  <c r="Q73" i="1" l="1"/>
  <c r="Q46" i="1"/>
  <c r="Q70" i="1"/>
  <c r="Q71" i="1" s="1"/>
  <c r="Q72" i="1" s="1"/>
  <c r="Q91" i="1"/>
  <c r="Q30" i="1"/>
  <c r="Q41" i="1"/>
  <c r="Q28" i="1"/>
  <c r="Q47" i="1"/>
  <c r="R89" i="1"/>
  <c r="AN6" i="1"/>
  <c r="Q31" i="1" l="1"/>
  <c r="Q45" i="1" s="1"/>
  <c r="R57" i="1" s="1"/>
  <c r="R44" i="1" s="1"/>
  <c r="R21" i="1"/>
  <c r="R23" i="1"/>
  <c r="R83" i="1" s="1"/>
  <c r="R26" i="1"/>
  <c r="R86" i="1" s="1"/>
  <c r="R16" i="1"/>
  <c r="R22" i="1"/>
  <c r="R82" i="1" s="1"/>
  <c r="R24" i="1"/>
  <c r="R84" i="1" s="1"/>
  <c r="R35" i="1"/>
  <c r="R25" i="1"/>
  <c r="R85" i="1" s="1"/>
  <c r="R17" i="1"/>
  <c r="R77" i="1" s="1"/>
  <c r="R27" i="1"/>
  <c r="R87" i="1" s="1"/>
  <c r="R36" i="1"/>
  <c r="R18" i="1"/>
  <c r="R78" i="1" s="1"/>
  <c r="R19" i="1"/>
  <c r="R79" i="1" s="1"/>
  <c r="AO59" i="1"/>
  <c r="Q48" i="1" l="1"/>
  <c r="Q50" i="1" s="1"/>
  <c r="R39" i="1"/>
  <c r="R76" i="1"/>
  <c r="R37" i="1"/>
  <c r="R40" i="1"/>
  <c r="R38" i="1"/>
  <c r="R81" i="1"/>
  <c r="AO6" i="1"/>
  <c r="R68" i="1" l="1"/>
  <c r="R90" i="1"/>
  <c r="R74" i="1"/>
  <c r="R88" i="1" s="1"/>
  <c r="AP59" i="1"/>
  <c r="R30" i="1" l="1"/>
  <c r="R46" i="1"/>
  <c r="R73" i="1"/>
  <c r="R41" i="1"/>
  <c r="S89" i="1"/>
  <c r="R47" i="1"/>
  <c r="R69" i="1"/>
  <c r="R70" i="1"/>
  <c r="R91" i="1"/>
  <c r="R28" i="1" s="1"/>
  <c r="R31" i="1" s="1"/>
  <c r="R45" i="1" s="1"/>
  <c r="S57" i="1" s="1"/>
  <c r="S44" i="1" s="1"/>
  <c r="AP6" i="1"/>
  <c r="R71" i="1" l="1"/>
  <c r="R72" i="1" s="1"/>
  <c r="S25" i="1"/>
  <c r="S85" i="1" s="1"/>
  <c r="S23" i="1"/>
  <c r="S83" i="1" s="1"/>
  <c r="S27" i="1"/>
  <c r="S87" i="1" s="1"/>
  <c r="S36" i="1"/>
  <c r="S16" i="1"/>
  <c r="S19" i="1"/>
  <c r="S79" i="1" s="1"/>
  <c r="S21" i="1"/>
  <c r="S24" i="1"/>
  <c r="S84" i="1" s="1"/>
  <c r="S17" i="1"/>
  <c r="S77" i="1" s="1"/>
  <c r="S18" i="1"/>
  <c r="S78" i="1" s="1"/>
  <c r="S22" i="1"/>
  <c r="S82" i="1" s="1"/>
  <c r="S35" i="1"/>
  <c r="S26" i="1"/>
  <c r="S86" i="1" s="1"/>
  <c r="R48" i="1"/>
  <c r="R50" i="1" s="1"/>
  <c r="S40" i="1" l="1"/>
  <c r="S81" i="1"/>
  <c r="S38" i="1"/>
  <c r="S76" i="1"/>
  <c r="S74" i="1" s="1"/>
  <c r="S88" i="1" s="1"/>
  <c r="S37" i="1"/>
  <c r="S39" i="1"/>
  <c r="S90" i="1" l="1"/>
  <c r="S91" i="1" s="1"/>
  <c r="S68" i="1"/>
  <c r="S46" i="1" s="1"/>
  <c r="T89" i="1"/>
  <c r="S47" i="1"/>
  <c r="S41" i="1"/>
  <c r="S28" i="1"/>
  <c r="S70" i="1" l="1"/>
  <c r="S69" i="1"/>
  <c r="T27" i="1"/>
  <c r="T87" i="1" s="1"/>
  <c r="T25" i="1"/>
  <c r="T85" i="1" s="1"/>
  <c r="T35" i="1"/>
  <c r="T16" i="1"/>
  <c r="T21" i="1"/>
  <c r="T22" i="1"/>
  <c r="T82" i="1" s="1"/>
  <c r="T17" i="1"/>
  <c r="T77" i="1" s="1"/>
  <c r="T26" i="1"/>
  <c r="T86" i="1" s="1"/>
  <c r="T18" i="1"/>
  <c r="T78" i="1" s="1"/>
  <c r="T36" i="1"/>
  <c r="T24" i="1"/>
  <c r="T84" i="1" s="1"/>
  <c r="T19" i="1"/>
  <c r="T79" i="1" s="1"/>
  <c r="T23" i="1"/>
  <c r="T83" i="1" s="1"/>
  <c r="S30" i="1"/>
  <c r="S31" i="1" s="1"/>
  <c r="S73" i="1"/>
  <c r="S71" i="1" l="1"/>
  <c r="S72" i="1" s="1"/>
  <c r="S45" i="1"/>
  <c r="T40" i="1"/>
  <c r="T81" i="1"/>
  <c r="T38" i="1"/>
  <c r="T37" i="1"/>
  <c r="T76" i="1"/>
  <c r="T39" i="1"/>
  <c r="T74" i="1" l="1"/>
  <c r="T88" i="1" s="1"/>
  <c r="T90" i="1"/>
  <c r="T69" i="1" s="1"/>
  <c r="T68" i="1"/>
  <c r="T57" i="1"/>
  <c r="T44" i="1" s="1"/>
  <c r="S48" i="1"/>
  <c r="S50" i="1" s="1"/>
  <c r="T30" i="1" l="1"/>
  <c r="T46" i="1"/>
  <c r="U89" i="1"/>
  <c r="U16" i="1" s="1"/>
  <c r="T41" i="1"/>
  <c r="T91" i="1"/>
  <c r="T70" i="1"/>
  <c r="T71" i="1" s="1"/>
  <c r="T72" i="1" s="1"/>
  <c r="T73" i="1"/>
  <c r="T47" i="1" s="1"/>
  <c r="T28" i="1" l="1"/>
  <c r="T31" i="1" s="1"/>
  <c r="T45" i="1" s="1"/>
  <c r="U23" i="1"/>
  <c r="U83" i="1" s="1"/>
  <c r="U17" i="1"/>
  <c r="U77" i="1" s="1"/>
  <c r="U25" i="1"/>
  <c r="U85" i="1" s="1"/>
  <c r="U24" i="1"/>
  <c r="U84" i="1" s="1"/>
  <c r="U22" i="1"/>
  <c r="U82" i="1" s="1"/>
  <c r="U26" i="1"/>
  <c r="U86" i="1" s="1"/>
  <c r="U35" i="1"/>
  <c r="U21" i="1"/>
  <c r="U27" i="1"/>
  <c r="U87" i="1" s="1"/>
  <c r="U18" i="1"/>
  <c r="U78" i="1" s="1"/>
  <c r="U19" i="1"/>
  <c r="U79" i="1" s="1"/>
  <c r="U36" i="1"/>
  <c r="U76" i="1"/>
  <c r="U57" i="1" l="1"/>
  <c r="U44" i="1" s="1"/>
  <c r="T48" i="1"/>
  <c r="T50" i="1" s="1"/>
  <c r="U37" i="1"/>
  <c r="U39" i="1"/>
  <c r="U38" i="1"/>
  <c r="U81" i="1"/>
  <c r="U74" i="1" s="1"/>
  <c r="U88" i="1" s="1"/>
  <c r="U40" i="1"/>
  <c r="U90" i="1" l="1"/>
  <c r="U70" i="1" s="1"/>
  <c r="U68" i="1"/>
  <c r="V89" i="1"/>
  <c r="U41" i="1"/>
  <c r="U30" i="1" l="1"/>
  <c r="U46" i="1"/>
  <c r="U91" i="1"/>
  <c r="U28" i="1" s="1"/>
  <c r="U31" i="1" s="1"/>
  <c r="U45" i="1" s="1"/>
  <c r="V57" i="1" s="1"/>
  <c r="V44" i="1" s="1"/>
  <c r="U69" i="1"/>
  <c r="U71" i="1" s="1"/>
  <c r="U72" i="1" s="1"/>
  <c r="U73" i="1"/>
  <c r="U47" i="1" s="1"/>
  <c r="V21" i="1"/>
  <c r="V36" i="1"/>
  <c r="V27" i="1"/>
  <c r="V87" i="1" s="1"/>
  <c r="V17" i="1"/>
  <c r="V77" i="1" s="1"/>
  <c r="V22" i="1"/>
  <c r="V82" i="1" s="1"/>
  <c r="V25" i="1"/>
  <c r="V85" i="1" s="1"/>
  <c r="V24" i="1"/>
  <c r="V84" i="1" s="1"/>
  <c r="V18" i="1"/>
  <c r="V78" i="1" s="1"/>
  <c r="V26" i="1"/>
  <c r="V86" i="1" s="1"/>
  <c r="V16" i="1"/>
  <c r="V23" i="1"/>
  <c r="V83" i="1" s="1"/>
  <c r="V35" i="1"/>
  <c r="V19" i="1"/>
  <c r="V79" i="1" s="1"/>
  <c r="U48" i="1" l="1"/>
  <c r="U50" i="1" s="1"/>
  <c r="V76" i="1"/>
  <c r="V39" i="1"/>
  <c r="V37" i="1"/>
  <c r="V38" i="1"/>
  <c r="V81" i="1"/>
  <c r="V40" i="1"/>
  <c r="V68" i="1" l="1"/>
  <c r="V90" i="1"/>
  <c r="V74" i="1"/>
  <c r="V88" i="1" s="1"/>
  <c r="V30" i="1" l="1"/>
  <c r="V46" i="1"/>
  <c r="V73" i="1"/>
  <c r="V28" i="1"/>
  <c r="W89" i="1"/>
  <c r="V41" i="1"/>
  <c r="V47" i="1"/>
  <c r="V91" i="1"/>
  <c r="V70" i="1"/>
  <c r="V69" i="1"/>
  <c r="V31" i="1" l="1"/>
  <c r="V45" i="1" s="1"/>
  <c r="W57" i="1" s="1"/>
  <c r="W44" i="1" s="1"/>
  <c r="V71" i="1"/>
  <c r="V72" i="1" s="1"/>
  <c r="W36" i="1"/>
  <c r="W24" i="1"/>
  <c r="W84" i="1" s="1"/>
  <c r="W19" i="1"/>
  <c r="W79" i="1" s="1"/>
  <c r="W27" i="1"/>
  <c r="W87" i="1" s="1"/>
  <c r="W18" i="1"/>
  <c r="W78" i="1" s="1"/>
  <c r="W16" i="1"/>
  <c r="W23" i="1"/>
  <c r="W83" i="1" s="1"/>
  <c r="W35" i="1"/>
  <c r="W21" i="1"/>
  <c r="W25" i="1"/>
  <c r="W85" i="1" s="1"/>
  <c r="W17" i="1"/>
  <c r="W77" i="1" s="1"/>
  <c r="W26" i="1"/>
  <c r="W86" i="1" s="1"/>
  <c r="W22" i="1"/>
  <c r="W82" i="1" s="1"/>
  <c r="V48" i="1" l="1"/>
  <c r="V50" i="1" s="1"/>
  <c r="W76" i="1"/>
  <c r="W37" i="1"/>
  <c r="W39" i="1"/>
  <c r="W38" i="1"/>
  <c r="W81" i="1"/>
  <c r="W40" i="1"/>
  <c r="W90" i="1" l="1"/>
  <c r="W91" i="1" s="1"/>
  <c r="W68" i="1"/>
  <c r="W74" i="1"/>
  <c r="W88" i="1" s="1"/>
  <c r="X89" i="1" s="1"/>
  <c r="W30" i="1" l="1"/>
  <c r="W46" i="1"/>
  <c r="W70" i="1"/>
  <c r="W69" i="1"/>
  <c r="W73" i="1"/>
  <c r="W47" i="1"/>
  <c r="W28" i="1"/>
  <c r="W41" i="1"/>
  <c r="X23" i="1"/>
  <c r="X83" i="1" s="1"/>
  <c r="X19" i="1"/>
  <c r="X79" i="1" s="1"/>
  <c r="X18" i="1"/>
  <c r="X78" i="1" s="1"/>
  <c r="X24" i="1"/>
  <c r="X84" i="1" s="1"/>
  <c r="X35" i="1"/>
  <c r="X25" i="1"/>
  <c r="X85" i="1" s="1"/>
  <c r="X26" i="1"/>
  <c r="X86" i="1" s="1"/>
  <c r="X36" i="1"/>
  <c r="X16" i="1"/>
  <c r="X27" i="1"/>
  <c r="X87" i="1" s="1"/>
  <c r="X17" i="1"/>
  <c r="X77" i="1" s="1"/>
  <c r="X21" i="1"/>
  <c r="X22" i="1"/>
  <c r="X82" i="1" s="1"/>
  <c r="W31" i="1" l="1"/>
  <c r="W45" i="1" s="1"/>
  <c r="W48" i="1" s="1"/>
  <c r="W50" i="1" s="1"/>
  <c r="W71" i="1"/>
  <c r="W72" i="1" s="1"/>
  <c r="X81" i="1"/>
  <c r="X40" i="1"/>
  <c r="X38" i="1"/>
  <c r="X39" i="1"/>
  <c r="X76" i="1"/>
  <c r="X37" i="1"/>
  <c r="X57" i="1" l="1"/>
  <c r="X44" i="1" s="1"/>
  <c r="X74" i="1"/>
  <c r="X88" i="1" s="1"/>
  <c r="X28" i="1" s="1"/>
  <c r="X68" i="1"/>
  <c r="X90" i="1"/>
  <c r="X30" i="1" l="1"/>
  <c r="X46" i="1"/>
  <c r="Y89" i="1"/>
  <c r="Y25" i="1" s="1"/>
  <c r="Y85" i="1" s="1"/>
  <c r="X41" i="1"/>
  <c r="X47" i="1"/>
  <c r="X31" i="1"/>
  <c r="X45" i="1" s="1"/>
  <c r="X73" i="1"/>
  <c r="X70" i="1"/>
  <c r="X69" i="1"/>
  <c r="X91" i="1"/>
  <c r="Y21" i="1" l="1"/>
  <c r="Y81" i="1" s="1"/>
  <c r="Y27" i="1"/>
  <c r="Y87" i="1" s="1"/>
  <c r="Y16" i="1"/>
  <c r="Y76" i="1" s="1"/>
  <c r="Y36" i="1"/>
  <c r="Y26" i="1"/>
  <c r="Y86" i="1" s="1"/>
  <c r="Y24" i="1"/>
  <c r="Y84" i="1" s="1"/>
  <c r="Y18" i="1"/>
  <c r="Y78" i="1" s="1"/>
  <c r="Y35" i="1"/>
  <c r="Y19" i="1"/>
  <c r="Y79" i="1" s="1"/>
  <c r="Y23" i="1"/>
  <c r="Y83" i="1" s="1"/>
  <c r="Y22" i="1"/>
  <c r="Y82" i="1" s="1"/>
  <c r="Y17" i="1"/>
  <c r="Y77" i="1" s="1"/>
  <c r="X71" i="1"/>
  <c r="X72" i="1" s="1"/>
  <c r="Y57" i="1"/>
  <c r="Y44" i="1" s="1"/>
  <c r="X48" i="1"/>
  <c r="X50" i="1" s="1"/>
  <c r="Y40" i="1" l="1"/>
  <c r="Y38" i="1"/>
  <c r="Y37" i="1"/>
  <c r="Y39" i="1"/>
  <c r="Y74" i="1"/>
  <c r="Y88" i="1" s="1"/>
  <c r="Y28" i="1" s="1"/>
  <c r="Y90" i="1" l="1"/>
  <c r="Y68" i="1"/>
  <c r="Y73" i="1" s="1"/>
  <c r="Y46" i="1"/>
  <c r="Y47" i="1"/>
  <c r="Y41" i="1"/>
  <c r="Z89" i="1"/>
  <c r="Z22" i="1" s="1"/>
  <c r="Z82" i="1" s="1"/>
  <c r="Y70" i="1"/>
  <c r="Y69" i="1"/>
  <c r="Y91" i="1"/>
  <c r="Y30" i="1" l="1"/>
  <c r="Y31" i="1" s="1"/>
  <c r="Z23" i="1"/>
  <c r="Z83" i="1" s="1"/>
  <c r="Z24" i="1"/>
  <c r="Z84" i="1" s="1"/>
  <c r="Z36" i="1"/>
  <c r="Z35" i="1"/>
  <c r="Z18" i="1"/>
  <c r="Z78" i="1" s="1"/>
  <c r="Z26" i="1"/>
  <c r="Z86" i="1" s="1"/>
  <c r="Z16" i="1"/>
  <c r="Z76" i="1" s="1"/>
  <c r="Z17" i="1"/>
  <c r="Z77" i="1" s="1"/>
  <c r="Z19" i="1"/>
  <c r="Z79" i="1" s="1"/>
  <c r="Z25" i="1"/>
  <c r="Z85" i="1" s="1"/>
  <c r="Z21" i="1"/>
  <c r="Z81" i="1" s="1"/>
  <c r="Z27" i="1"/>
  <c r="Z87" i="1" s="1"/>
  <c r="Y71" i="1"/>
  <c r="Y72" i="1" s="1"/>
  <c r="Y45" i="1"/>
  <c r="Z37" i="1" l="1"/>
  <c r="Z39" i="1"/>
  <c r="Z38" i="1"/>
  <c r="Z40" i="1"/>
  <c r="Z74" i="1"/>
  <c r="Z88" i="1" s="1"/>
  <c r="Z57" i="1"/>
  <c r="Z44" i="1" s="1"/>
  <c r="Y48" i="1"/>
  <c r="Y50" i="1" s="1"/>
  <c r="Z90" i="1" l="1"/>
  <c r="Z91" i="1" s="1"/>
  <c r="Z68" i="1"/>
  <c r="Z41" i="1"/>
  <c r="Z47" i="1"/>
  <c r="AA89" i="1"/>
  <c r="Z28" i="1"/>
  <c r="Z30" i="1" l="1"/>
  <c r="Z46" i="1"/>
  <c r="Z70" i="1"/>
  <c r="Z69" i="1"/>
  <c r="Z73" i="1"/>
  <c r="Z31" i="1"/>
  <c r="Z45" i="1" s="1"/>
  <c r="AA57" i="1" s="1"/>
  <c r="AA44" i="1" s="1"/>
  <c r="AA17" i="1"/>
  <c r="AA77" i="1" s="1"/>
  <c r="AA24" i="1"/>
  <c r="AA84" i="1" s="1"/>
  <c r="AA21" i="1"/>
  <c r="AA27" i="1"/>
  <c r="AA87" i="1" s="1"/>
  <c r="AA36" i="1"/>
  <c r="AA23" i="1"/>
  <c r="AA83" i="1" s="1"/>
  <c r="AA18" i="1"/>
  <c r="AA78" i="1" s="1"/>
  <c r="AA35" i="1"/>
  <c r="AA22" i="1"/>
  <c r="AA82" i="1" s="1"/>
  <c r="AA26" i="1"/>
  <c r="AA86" i="1" s="1"/>
  <c r="AA16" i="1"/>
  <c r="AA25" i="1"/>
  <c r="AA85" i="1" s="1"/>
  <c r="AA19" i="1"/>
  <c r="AA79" i="1" s="1"/>
  <c r="Z71" i="1" l="1"/>
  <c r="Z72" i="1" s="1"/>
  <c r="Z48" i="1"/>
  <c r="Z50" i="1" s="1"/>
  <c r="AA76" i="1"/>
  <c r="AA39" i="1"/>
  <c r="AA37" i="1"/>
  <c r="AA40" i="1"/>
  <c r="AA81" i="1"/>
  <c r="AA38" i="1"/>
  <c r="AA90" i="1" l="1"/>
  <c r="AA91" i="1" s="1"/>
  <c r="AA68" i="1"/>
  <c r="AA74" i="1"/>
  <c r="AA88" i="1" s="1"/>
  <c r="AA69" i="1" l="1"/>
  <c r="AA70" i="1"/>
  <c r="AA28" i="1"/>
  <c r="AA46" i="1"/>
  <c r="AA73" i="1"/>
  <c r="AA47" i="1" s="1"/>
  <c r="AA30" i="1"/>
  <c r="AB89" i="1"/>
  <c r="AA41" i="1"/>
  <c r="AB88" i="1"/>
  <c r="AA31" i="1" l="1"/>
  <c r="AA45" i="1" s="1"/>
  <c r="AB57" i="1" s="1"/>
  <c r="AB44" i="1" s="1"/>
  <c r="AA71" i="1"/>
  <c r="AA72" i="1" s="1"/>
  <c r="AB28" i="1"/>
  <c r="AB47" i="1"/>
  <c r="AC89" i="1"/>
  <c r="AB41" i="1"/>
  <c r="AC88" i="1"/>
  <c r="AB16" i="1"/>
  <c r="AB17" i="1"/>
  <c r="AB77" i="1" s="1"/>
  <c r="AB27" i="1"/>
  <c r="AB87" i="1" s="1"/>
  <c r="AB24" i="1"/>
  <c r="AB84" i="1" s="1"/>
  <c r="AB19" i="1"/>
  <c r="AB79" i="1" s="1"/>
  <c r="AB21" i="1"/>
  <c r="AB35" i="1"/>
  <c r="AB26" i="1"/>
  <c r="AB86" i="1" s="1"/>
  <c r="AB18" i="1"/>
  <c r="AB78" i="1" s="1"/>
  <c r="AB22" i="1"/>
  <c r="AB82" i="1" s="1"/>
  <c r="AB46" i="1"/>
  <c r="AB25" i="1"/>
  <c r="AB85" i="1" s="1"/>
  <c r="AB23" i="1"/>
  <c r="AB83" i="1" s="1"/>
  <c r="AB36" i="1"/>
  <c r="AA48" i="1" l="1"/>
  <c r="AA50" i="1" s="1"/>
  <c r="AC24" i="1"/>
  <c r="AC84" i="1" s="1"/>
  <c r="AC17" i="1"/>
  <c r="AC77" i="1" s="1"/>
  <c r="AC22" i="1"/>
  <c r="AC82" i="1" s="1"/>
  <c r="AC36" i="1"/>
  <c r="AC23" i="1"/>
  <c r="AC83" i="1" s="1"/>
  <c r="AC21" i="1"/>
  <c r="AC26" i="1"/>
  <c r="AC86" i="1" s="1"/>
  <c r="AC46" i="1"/>
  <c r="AC25" i="1"/>
  <c r="AC85" i="1" s="1"/>
  <c r="AC16" i="1"/>
  <c r="AC35" i="1"/>
  <c r="AC27" i="1"/>
  <c r="AC87" i="1" s="1"/>
  <c r="AC18" i="1"/>
  <c r="AC78" i="1" s="1"/>
  <c r="AC19" i="1"/>
  <c r="AC79" i="1" s="1"/>
  <c r="AB39" i="1"/>
  <c r="AB76" i="1"/>
  <c r="AB37" i="1"/>
  <c r="AB38" i="1"/>
  <c r="AB40" i="1"/>
  <c r="AB81" i="1"/>
  <c r="AC41" i="1"/>
  <c r="AC28" i="1"/>
  <c r="AD89" i="1"/>
  <c r="AC47" i="1"/>
  <c r="AD88" i="1"/>
  <c r="AE88" i="1" s="1"/>
  <c r="AB90" i="1" l="1"/>
  <c r="AB91" i="1" s="1"/>
  <c r="AB68" i="1"/>
  <c r="AC37" i="1"/>
  <c r="AC76" i="1"/>
  <c r="AC39" i="1"/>
  <c r="AD18" i="1"/>
  <c r="AD78" i="1" s="1"/>
  <c r="AD25" i="1"/>
  <c r="AD85" i="1" s="1"/>
  <c r="AD27" i="1"/>
  <c r="AD87" i="1" s="1"/>
  <c r="AD36" i="1"/>
  <c r="AD19" i="1"/>
  <c r="AD79" i="1" s="1"/>
  <c r="AD46" i="1"/>
  <c r="AD26" i="1"/>
  <c r="AD86" i="1" s="1"/>
  <c r="AD23" i="1"/>
  <c r="AD83" i="1" s="1"/>
  <c r="AD35" i="1"/>
  <c r="AD17" i="1"/>
  <c r="AD77" i="1" s="1"/>
  <c r="AD16" i="1"/>
  <c r="AD21" i="1"/>
  <c r="AD24" i="1"/>
  <c r="AD84" i="1" s="1"/>
  <c r="AD22" i="1"/>
  <c r="AD82" i="1" s="1"/>
  <c r="AE47" i="1"/>
  <c r="AE28" i="1"/>
  <c r="AE41" i="1"/>
  <c r="AC81" i="1"/>
  <c r="AC38" i="1"/>
  <c r="AC40" i="1"/>
  <c r="AD28" i="1"/>
  <c r="AD47" i="1"/>
  <c r="AD41" i="1"/>
  <c r="AE89" i="1"/>
  <c r="AF89" i="1" s="1"/>
  <c r="AF88" i="1"/>
  <c r="AB74" i="1"/>
  <c r="AB70" i="1" l="1"/>
  <c r="AB69" i="1"/>
  <c r="AC68" i="1"/>
  <c r="AC30" i="1" s="1"/>
  <c r="AC31" i="1" s="1"/>
  <c r="AC90" i="1"/>
  <c r="AC69" i="1" s="1"/>
  <c r="AF26" i="1"/>
  <c r="AF24" i="1"/>
  <c r="AF19" i="1"/>
  <c r="AF17" i="1"/>
  <c r="AF27" i="1"/>
  <c r="AF35" i="1"/>
  <c r="AF46" i="1"/>
  <c r="AF16" i="1"/>
  <c r="AF22" i="1"/>
  <c r="AF18" i="1"/>
  <c r="AF25" i="1"/>
  <c r="AF23" i="1"/>
  <c r="AF21" i="1"/>
  <c r="AF36" i="1"/>
  <c r="AF41" i="1"/>
  <c r="AF28" i="1"/>
  <c r="AF47" i="1"/>
  <c r="AG89" i="1"/>
  <c r="AB73" i="1"/>
  <c r="AB30" i="1"/>
  <c r="AB31" i="1" s="1"/>
  <c r="AB45" i="1" s="1"/>
  <c r="AE46" i="1"/>
  <c r="AE24" i="1"/>
  <c r="AE84" i="1" s="1"/>
  <c r="AE22" i="1"/>
  <c r="AE82" i="1" s="1"/>
  <c r="AE21" i="1"/>
  <c r="AE36" i="1"/>
  <c r="AE35" i="1"/>
  <c r="AE26" i="1"/>
  <c r="AE86" i="1" s="1"/>
  <c r="AE27" i="1"/>
  <c r="AE87" i="1" s="1"/>
  <c r="AE17" i="1"/>
  <c r="AE77" i="1" s="1"/>
  <c r="AE16" i="1"/>
  <c r="AE23" i="1"/>
  <c r="AE83" i="1" s="1"/>
  <c r="AE19" i="1"/>
  <c r="AE79" i="1" s="1"/>
  <c r="AE25" i="1"/>
  <c r="AE85" i="1" s="1"/>
  <c r="AE18" i="1"/>
  <c r="AE78" i="1" s="1"/>
  <c r="AC74" i="1"/>
  <c r="AD39" i="1"/>
  <c r="AD76" i="1"/>
  <c r="AD37" i="1"/>
  <c r="AD81" i="1"/>
  <c r="AD38" i="1"/>
  <c r="AD40" i="1"/>
  <c r="AG88" i="1"/>
  <c r="AH88" i="1" s="1"/>
  <c r="AB71" i="1" l="1"/>
  <c r="AB72" i="1" s="1"/>
  <c r="AC73" i="1"/>
  <c r="AD90" i="1"/>
  <c r="AD69" i="1" s="1"/>
  <c r="AC91" i="1"/>
  <c r="AC70" i="1"/>
  <c r="AC71" i="1" s="1"/>
  <c r="AC72" i="1" s="1"/>
  <c r="AF87" i="1"/>
  <c r="AH41" i="1"/>
  <c r="AH47" i="1"/>
  <c r="AH28" i="1"/>
  <c r="AG26" i="1"/>
  <c r="AG25" i="1"/>
  <c r="AG24" i="1"/>
  <c r="AG18" i="1"/>
  <c r="AG16" i="1"/>
  <c r="AG22" i="1"/>
  <c r="AG17" i="1"/>
  <c r="AG27" i="1"/>
  <c r="AG36" i="1"/>
  <c r="AG35" i="1"/>
  <c r="AG46" i="1"/>
  <c r="AG19" i="1"/>
  <c r="AG23" i="1"/>
  <c r="AG21" i="1"/>
  <c r="AF38" i="1"/>
  <c r="AF40" i="1"/>
  <c r="AG41" i="1"/>
  <c r="AG28" i="1"/>
  <c r="AG47" i="1"/>
  <c r="AH89" i="1"/>
  <c r="AD74" i="1"/>
  <c r="AE39" i="1"/>
  <c r="AE37" i="1"/>
  <c r="AE76" i="1"/>
  <c r="AF83" i="1"/>
  <c r="AF77" i="1"/>
  <c r="AD68" i="1"/>
  <c r="AF85" i="1"/>
  <c r="AF79" i="1"/>
  <c r="AF78" i="1"/>
  <c r="AF84" i="1"/>
  <c r="AE38" i="1"/>
  <c r="AE81" i="1"/>
  <c r="AF81" i="1" s="1"/>
  <c r="AE40" i="1"/>
  <c r="AI88" i="1"/>
  <c r="AF82" i="1"/>
  <c r="AF86" i="1"/>
  <c r="AC57" i="1"/>
  <c r="AB48" i="1"/>
  <c r="AB50" i="1" s="1"/>
  <c r="AF37" i="1"/>
  <c r="AF39" i="1"/>
  <c r="AD91" i="1" l="1"/>
  <c r="AD70" i="1"/>
  <c r="AD71" i="1" s="1"/>
  <c r="AD72" i="1" s="1"/>
  <c r="AG83" i="1"/>
  <c r="AG87" i="1"/>
  <c r="AE74" i="1"/>
  <c r="AE68" i="1"/>
  <c r="AE30" i="1" s="1"/>
  <c r="AE31" i="1" s="1"/>
  <c r="AG86" i="1"/>
  <c r="AG77" i="1"/>
  <c r="AF76" i="1"/>
  <c r="AF68" i="1"/>
  <c r="AF30" i="1" s="1"/>
  <c r="AF31" i="1" s="1"/>
  <c r="AD30" i="1"/>
  <c r="AD31" i="1" s="1"/>
  <c r="AD73" i="1"/>
  <c r="AG82" i="1"/>
  <c r="AH23" i="1"/>
  <c r="AH22" i="1"/>
  <c r="AH18" i="1"/>
  <c r="AH46" i="1"/>
  <c r="AH16" i="1"/>
  <c r="AH27" i="1"/>
  <c r="AH19" i="1"/>
  <c r="AH25" i="1"/>
  <c r="AH36" i="1"/>
  <c r="AH21" i="1"/>
  <c r="AH24" i="1"/>
  <c r="AH35" i="1"/>
  <c r="AH17" i="1"/>
  <c r="AH26" i="1"/>
  <c r="AG39" i="1"/>
  <c r="AG37" i="1"/>
  <c r="AC44" i="1"/>
  <c r="AC45" i="1"/>
  <c r="AD57" i="1" s="1"/>
  <c r="AG79" i="1"/>
  <c r="AG78" i="1"/>
  <c r="AG81" i="1"/>
  <c r="AG38" i="1"/>
  <c r="AG40" i="1"/>
  <c r="AF90" i="1"/>
  <c r="AE90" i="1"/>
  <c r="AG84" i="1"/>
  <c r="AI41" i="1"/>
  <c r="AI47" i="1"/>
  <c r="AI28" i="1"/>
  <c r="AJ88" i="1"/>
  <c r="AK88" i="1" s="1"/>
  <c r="AG85" i="1"/>
  <c r="AI89" i="1"/>
  <c r="AH83" i="1" l="1"/>
  <c r="AH87" i="1"/>
  <c r="AG90" i="1"/>
  <c r="AG70" i="1" s="1"/>
  <c r="AF74" i="1"/>
  <c r="AG76" i="1"/>
  <c r="AH86" i="1"/>
  <c r="AH82" i="1"/>
  <c r="AH79" i="1"/>
  <c r="AE73" i="1"/>
  <c r="AF73" i="1" s="1"/>
  <c r="AG68" i="1"/>
  <c r="AH77" i="1"/>
  <c r="AK47" i="1"/>
  <c r="AK41" i="1"/>
  <c r="AK28" i="1"/>
  <c r="AD45" i="1"/>
  <c r="AE57" i="1" s="1"/>
  <c r="AD44" i="1"/>
  <c r="AC48" i="1"/>
  <c r="AC50" i="1" s="1"/>
  <c r="AJ41" i="1"/>
  <c r="AJ28" i="1"/>
  <c r="AJ47" i="1"/>
  <c r="AH84" i="1"/>
  <c r="AI22" i="1"/>
  <c r="AI23" i="1"/>
  <c r="AI24" i="1"/>
  <c r="AI36" i="1"/>
  <c r="AI16" i="1"/>
  <c r="AI46" i="1"/>
  <c r="AI25" i="1"/>
  <c r="AI21" i="1"/>
  <c r="AI19" i="1"/>
  <c r="AI18" i="1"/>
  <c r="AI17" i="1"/>
  <c r="AI27" i="1"/>
  <c r="AI35" i="1"/>
  <c r="AI26" i="1"/>
  <c r="AJ89" i="1"/>
  <c r="AH81" i="1"/>
  <c r="AH40" i="1"/>
  <c r="AH38" i="1"/>
  <c r="AL88" i="1"/>
  <c r="AE91" i="1"/>
  <c r="AE70" i="1"/>
  <c r="AE69" i="1"/>
  <c r="AH37" i="1"/>
  <c r="AH76" i="1"/>
  <c r="AH39" i="1"/>
  <c r="AF70" i="1"/>
  <c r="AF91" i="1"/>
  <c r="AF69" i="1"/>
  <c r="AH78" i="1"/>
  <c r="AH85" i="1"/>
  <c r="AI87" i="1" l="1"/>
  <c r="AI83" i="1"/>
  <c r="AH68" i="1"/>
  <c r="AH30" i="1" s="1"/>
  <c r="AH31" i="1" s="1"/>
  <c r="AG73" i="1"/>
  <c r="AI78" i="1"/>
  <c r="AI82" i="1"/>
  <c r="AI86" i="1"/>
  <c r="AI79" i="1"/>
  <c r="AG91" i="1"/>
  <c r="AG69" i="1"/>
  <c r="AG71" i="1" s="1"/>
  <c r="AG72" i="1" s="1"/>
  <c r="AG74" i="1"/>
  <c r="AH74" i="1" s="1"/>
  <c r="AI77" i="1"/>
  <c r="AI84" i="1"/>
  <c r="AD48" i="1"/>
  <c r="AD50" i="1" s="1"/>
  <c r="AH90" i="1"/>
  <c r="AH69" i="1" s="1"/>
  <c r="AE71" i="1"/>
  <c r="AE72" i="1" s="1"/>
  <c r="AG30" i="1"/>
  <c r="AG31" i="1" s="1"/>
  <c r="AF71" i="1"/>
  <c r="AF72" i="1" s="1"/>
  <c r="AJ26" i="1"/>
  <c r="AJ36" i="1"/>
  <c r="AJ17" i="1"/>
  <c r="AJ27" i="1"/>
  <c r="AJ87" i="1" s="1"/>
  <c r="AJ22" i="1"/>
  <c r="AJ24" i="1"/>
  <c r="AJ35" i="1"/>
  <c r="AJ25" i="1"/>
  <c r="AJ18" i="1"/>
  <c r="AJ23" i="1"/>
  <c r="AJ16" i="1"/>
  <c r="AJ46" i="1"/>
  <c r="AJ19" i="1"/>
  <c r="AJ21" i="1"/>
  <c r="AI85" i="1"/>
  <c r="AK89" i="1"/>
  <c r="AE45" i="1"/>
  <c r="AF57" i="1" s="1"/>
  <c r="AE44" i="1"/>
  <c r="AI38" i="1"/>
  <c r="AI81" i="1"/>
  <c r="AI40" i="1"/>
  <c r="AL47" i="1"/>
  <c r="AL41" i="1"/>
  <c r="AL28" i="1"/>
  <c r="AM88" i="1"/>
  <c r="AI76" i="1"/>
  <c r="AI39" i="1"/>
  <c r="AI37" i="1"/>
  <c r="AH73" i="1" l="1"/>
  <c r="AJ83" i="1"/>
  <c r="AJ82" i="1"/>
  <c r="AJ86" i="1"/>
  <c r="AJ78" i="1"/>
  <c r="AJ84" i="1"/>
  <c r="AJ79" i="1"/>
  <c r="AJ77" i="1"/>
  <c r="AH70" i="1"/>
  <c r="AH71" i="1" s="1"/>
  <c r="AH72" i="1" s="1"/>
  <c r="AI74" i="1"/>
  <c r="AH91" i="1"/>
  <c r="AI68" i="1"/>
  <c r="AM28" i="1"/>
  <c r="AM47" i="1"/>
  <c r="AM41" i="1"/>
  <c r="AN88" i="1"/>
  <c r="AJ37" i="1"/>
  <c r="AJ39" i="1"/>
  <c r="AJ76" i="1"/>
  <c r="AE48" i="1"/>
  <c r="AE50" i="1" s="1"/>
  <c r="AI90" i="1"/>
  <c r="AF44" i="1"/>
  <c r="AF45" i="1"/>
  <c r="AG57" i="1" s="1"/>
  <c r="AK17" i="1"/>
  <c r="AK25" i="1"/>
  <c r="AK24" i="1"/>
  <c r="AK19" i="1"/>
  <c r="AK22" i="1"/>
  <c r="AK21" i="1"/>
  <c r="AK27" i="1"/>
  <c r="AK87" i="1" s="1"/>
  <c r="AK46" i="1"/>
  <c r="AK16" i="1"/>
  <c r="AK18" i="1"/>
  <c r="AK23" i="1"/>
  <c r="AK26" i="1"/>
  <c r="AK35" i="1"/>
  <c r="AK36" i="1"/>
  <c r="AL89" i="1"/>
  <c r="AJ85" i="1"/>
  <c r="AJ40" i="1"/>
  <c r="AJ81" i="1"/>
  <c r="AJ38" i="1"/>
  <c r="AK82" i="1" l="1"/>
  <c r="AK78" i="1"/>
  <c r="AI73" i="1"/>
  <c r="AK83" i="1"/>
  <c r="AK79" i="1"/>
  <c r="AK86" i="1"/>
  <c r="AI30" i="1"/>
  <c r="AI31" i="1" s="1"/>
  <c r="AK84" i="1"/>
  <c r="AK77" i="1"/>
  <c r="AJ68" i="1"/>
  <c r="AK81" i="1"/>
  <c r="AK38" i="1"/>
  <c r="AK40" i="1"/>
  <c r="AI69" i="1"/>
  <c r="AI70" i="1"/>
  <c r="AI91" i="1"/>
  <c r="AJ90" i="1"/>
  <c r="AN41" i="1"/>
  <c r="AN28" i="1"/>
  <c r="AN47" i="1"/>
  <c r="AK85" i="1"/>
  <c r="AJ74" i="1"/>
  <c r="AK39" i="1"/>
  <c r="AK76" i="1"/>
  <c r="AK37" i="1"/>
  <c r="AG44" i="1"/>
  <c r="AG45" i="1"/>
  <c r="AH57" i="1" s="1"/>
  <c r="AL22" i="1"/>
  <c r="AL17" i="1"/>
  <c r="AL25" i="1"/>
  <c r="AL36" i="1"/>
  <c r="AL23" i="1"/>
  <c r="AL24" i="1"/>
  <c r="AL16" i="1"/>
  <c r="AL19" i="1"/>
  <c r="AL18" i="1"/>
  <c r="AL78" i="1" s="1"/>
  <c r="AL35" i="1"/>
  <c r="AL46" i="1"/>
  <c r="AL21" i="1"/>
  <c r="AL27" i="1"/>
  <c r="AL87" i="1" s="1"/>
  <c r="AL26" i="1"/>
  <c r="AM89" i="1"/>
  <c r="AF48" i="1"/>
  <c r="AF50" i="1" s="1"/>
  <c r="AO88" i="1"/>
  <c r="AP88" i="1" s="1"/>
  <c r="AL82" i="1" l="1"/>
  <c r="AL79" i="1"/>
  <c r="AJ73" i="1"/>
  <c r="AL83" i="1"/>
  <c r="AL86" i="1"/>
  <c r="AL84" i="1"/>
  <c r="AI71" i="1"/>
  <c r="AI72" i="1" s="1"/>
  <c r="AL77" i="1"/>
  <c r="AJ30" i="1"/>
  <c r="AJ31" i="1" s="1"/>
  <c r="AK68" i="1"/>
  <c r="AK30" i="1" s="1"/>
  <c r="AK31" i="1" s="1"/>
  <c r="AP28" i="1"/>
  <c r="AP41" i="1"/>
  <c r="AP47" i="1"/>
  <c r="AG48" i="1"/>
  <c r="AG50" i="1" s="1"/>
  <c r="AK90" i="1"/>
  <c r="AL39" i="1"/>
  <c r="AL76" i="1"/>
  <c r="AL37" i="1"/>
  <c r="AL40" i="1"/>
  <c r="AL81" i="1"/>
  <c r="AL38" i="1"/>
  <c r="AL85" i="1"/>
  <c r="AK74" i="1"/>
  <c r="AJ91" i="1"/>
  <c r="AJ69" i="1"/>
  <c r="AJ70" i="1"/>
  <c r="AH45" i="1"/>
  <c r="AI57" i="1" s="1"/>
  <c r="AH44" i="1"/>
  <c r="AM46" i="1"/>
  <c r="AM21" i="1"/>
  <c r="AM36" i="1"/>
  <c r="AM18" i="1"/>
  <c r="AM78" i="1" s="1"/>
  <c r="AM27" i="1"/>
  <c r="AM87" i="1" s="1"/>
  <c r="AM24" i="1"/>
  <c r="AM17" i="1"/>
  <c r="AM26" i="1"/>
  <c r="AM22" i="1"/>
  <c r="AM16" i="1"/>
  <c r="AM23" i="1"/>
  <c r="AM19" i="1"/>
  <c r="AM79" i="1" s="1"/>
  <c r="AM35" i="1"/>
  <c r="AM25" i="1"/>
  <c r="AN89" i="1"/>
  <c r="AO41" i="1"/>
  <c r="AO47" i="1"/>
  <c r="AO28" i="1"/>
  <c r="AM82" i="1" l="1"/>
  <c r="AM77" i="1"/>
  <c r="AM83" i="1"/>
  <c r="AM86" i="1"/>
  <c r="AH48" i="1"/>
  <c r="AH50" i="1" s="1"/>
  <c r="AM84" i="1"/>
  <c r="AK73" i="1"/>
  <c r="AL68" i="1"/>
  <c r="AL30" i="1" s="1"/>
  <c r="AL31" i="1" s="1"/>
  <c r="AL90" i="1"/>
  <c r="AL91" i="1" s="1"/>
  <c r="AN19" i="1"/>
  <c r="AN79" i="1" s="1"/>
  <c r="AN17" i="1"/>
  <c r="AN36" i="1"/>
  <c r="AN22" i="1"/>
  <c r="AN46" i="1"/>
  <c r="AN25" i="1"/>
  <c r="AN27" i="1"/>
  <c r="AN87" i="1" s="1"/>
  <c r="AN35" i="1"/>
  <c r="AN23" i="1"/>
  <c r="AN24" i="1"/>
  <c r="AN21" i="1"/>
  <c r="AN16" i="1"/>
  <c r="AN18" i="1"/>
  <c r="AN78" i="1" s="1"/>
  <c r="AN26" i="1"/>
  <c r="AO89" i="1"/>
  <c r="AI44" i="1"/>
  <c r="AI45" i="1"/>
  <c r="AJ57" i="1" s="1"/>
  <c r="AM81" i="1"/>
  <c r="AM40" i="1"/>
  <c r="AM38" i="1"/>
  <c r="AJ71" i="1"/>
  <c r="AJ72" i="1" s="1"/>
  <c r="AM37" i="1"/>
  <c r="AM39" i="1"/>
  <c r="AM76" i="1"/>
  <c r="AK69" i="1"/>
  <c r="AK91" i="1"/>
  <c r="AK70" i="1"/>
  <c r="AM85" i="1"/>
  <c r="AL74" i="1"/>
  <c r="AN82" i="1" l="1"/>
  <c r="AN77" i="1"/>
  <c r="AN86" i="1"/>
  <c r="AN83" i="1"/>
  <c r="AN84" i="1"/>
  <c r="AL73" i="1"/>
  <c r="AM68" i="1"/>
  <c r="AM74" i="1"/>
  <c r="AL69" i="1"/>
  <c r="AL70" i="1"/>
  <c r="AM90" i="1"/>
  <c r="AM69" i="1" s="1"/>
  <c r="AN85" i="1"/>
  <c r="AN81" i="1"/>
  <c r="AN38" i="1"/>
  <c r="AN40" i="1"/>
  <c r="AI48" i="1"/>
  <c r="AI50" i="1" s="1"/>
  <c r="AK71" i="1"/>
  <c r="AK72" i="1" s="1"/>
  <c r="AJ45" i="1"/>
  <c r="AK57" i="1" s="1"/>
  <c r="AJ44" i="1"/>
  <c r="AO24" i="1"/>
  <c r="AO23" i="1"/>
  <c r="AO22" i="1"/>
  <c r="AO82" i="1" s="1"/>
  <c r="AO18" i="1"/>
  <c r="AO78" i="1" s="1"/>
  <c r="AO26" i="1"/>
  <c r="AO17" i="1"/>
  <c r="AO77" i="1" s="1"/>
  <c r="AO25" i="1"/>
  <c r="AO19" i="1"/>
  <c r="AO79" i="1" s="1"/>
  <c r="AO16" i="1"/>
  <c r="AO27" i="1"/>
  <c r="AO87" i="1" s="1"/>
  <c r="AO46" i="1"/>
  <c r="AO21" i="1"/>
  <c r="AO36" i="1"/>
  <c r="AO35" i="1"/>
  <c r="AP89" i="1"/>
  <c r="AN39" i="1"/>
  <c r="AN37" i="1"/>
  <c r="AN76" i="1"/>
  <c r="AO86" i="1" l="1"/>
  <c r="AO84" i="1"/>
  <c r="AO83" i="1"/>
  <c r="AM73" i="1"/>
  <c r="AM70" i="1"/>
  <c r="AM71" i="1" s="1"/>
  <c r="AM72" i="1" s="1"/>
  <c r="AM30" i="1"/>
  <c r="AM31" i="1" s="1"/>
  <c r="AL71" i="1"/>
  <c r="AL72" i="1" s="1"/>
  <c r="AN90" i="1"/>
  <c r="AN91" i="1" s="1"/>
  <c r="AM91" i="1"/>
  <c r="AN74" i="1"/>
  <c r="AJ48" i="1"/>
  <c r="AJ50" i="1" s="1"/>
  <c r="AO76" i="1"/>
  <c r="AO39" i="1"/>
  <c r="AO37" i="1"/>
  <c r="AP25" i="1"/>
  <c r="AP19" i="1"/>
  <c r="AP79" i="1" s="1"/>
  <c r="AP36" i="1"/>
  <c r="AP23" i="1"/>
  <c r="AP18" i="1"/>
  <c r="AP78" i="1" s="1"/>
  <c r="AP24" i="1"/>
  <c r="AP17" i="1"/>
  <c r="AP77" i="1" s="1"/>
  <c r="AP22" i="1"/>
  <c r="AP82" i="1" s="1"/>
  <c r="AP35" i="1"/>
  <c r="AP21" i="1"/>
  <c r="AP27" i="1"/>
  <c r="AP87" i="1" s="1"/>
  <c r="AP46" i="1"/>
  <c r="AP16" i="1"/>
  <c r="AP26" i="1"/>
  <c r="AO85" i="1"/>
  <c r="AK44" i="1"/>
  <c r="AK45" i="1"/>
  <c r="AL57" i="1" s="1"/>
  <c r="AN68" i="1"/>
  <c r="AO81" i="1"/>
  <c r="AO38" i="1"/>
  <c r="AO40" i="1"/>
  <c r="AP86" i="1" l="1"/>
  <c r="AP84" i="1"/>
  <c r="AP83" i="1"/>
  <c r="AP85" i="1"/>
  <c r="AN69" i="1"/>
  <c r="AN70" i="1"/>
  <c r="AO90" i="1"/>
  <c r="AO70" i="1" s="1"/>
  <c r="AO68" i="1"/>
  <c r="AO30" i="1" s="1"/>
  <c r="AO31" i="1" s="1"/>
  <c r="AK48" i="1"/>
  <c r="AK50" i="1" s="1"/>
  <c r="AO74" i="1"/>
  <c r="AN73" i="1"/>
  <c r="AN30" i="1"/>
  <c r="AN31" i="1" s="1"/>
  <c r="AL45" i="1"/>
  <c r="AM57" i="1" s="1"/>
  <c r="AL44" i="1"/>
  <c r="AP76" i="1"/>
  <c r="AP39" i="1"/>
  <c r="AP37" i="1"/>
  <c r="AP81" i="1"/>
  <c r="AP38" i="1"/>
  <c r="AP40" i="1"/>
  <c r="AN71" i="1" l="1"/>
  <c r="AN72" i="1" s="1"/>
  <c r="AO69" i="1"/>
  <c r="AO71" i="1" s="1"/>
  <c r="AO72" i="1" s="1"/>
  <c r="AO91" i="1"/>
  <c r="AP90" i="1"/>
  <c r="AP70" i="1" s="1"/>
  <c r="AO73" i="1"/>
  <c r="AP68" i="1"/>
  <c r="AP30" i="1" s="1"/>
  <c r="AP31" i="1" s="1"/>
  <c r="AL48" i="1"/>
  <c r="AL50" i="1" s="1"/>
  <c r="AP74" i="1"/>
  <c r="AM45" i="1"/>
  <c r="AN57" i="1" s="1"/>
  <c r="AM44" i="1"/>
  <c r="AP73" i="1" l="1"/>
  <c r="AP91" i="1"/>
  <c r="AP69" i="1"/>
  <c r="AP71" i="1" s="1"/>
  <c r="AP72" i="1" s="1"/>
  <c r="AM48" i="1"/>
  <c r="AM50" i="1" s="1"/>
  <c r="AN45" i="1"/>
  <c r="AO57" i="1" s="1"/>
  <c r="AN44" i="1"/>
  <c r="AN48" i="1" l="1"/>
  <c r="AN50" i="1" s="1"/>
  <c r="AO44" i="1"/>
  <c r="AO45" i="1"/>
  <c r="AP57" i="1" s="1"/>
  <c r="AO48" i="1" l="1"/>
  <c r="AO50" i="1" s="1"/>
  <c r="AP44" i="1"/>
  <c r="AP45" i="1"/>
  <c r="AP48" i="1" l="1"/>
  <c r="AP50" i="1" s="1"/>
  <c r="B52" i="1" l="1"/>
</calcChain>
</file>

<file path=xl/comments1.xml><?xml version="1.0" encoding="utf-8"?>
<comments xmlns="http://schemas.openxmlformats.org/spreadsheetml/2006/main">
  <authors>
    <author>Ian Carlton</author>
  </authors>
  <commentList>
    <comment ref="A8" authorId="0">
      <text>
        <r>
          <rPr>
            <b/>
            <sz val="9"/>
            <color indexed="81"/>
            <rFont val="Verdana"/>
          </rPr>
          <t>Ian Carlton:</t>
        </r>
        <r>
          <rPr>
            <sz val="9"/>
            <color indexed="81"/>
            <rFont val="Verdana"/>
          </rPr>
          <t xml:space="preserve">
Question for Liming: Does our data assume the inefficiency of building layouts?  If so, we do NOT need to incorporate this.
</t>
        </r>
      </text>
    </comment>
  </commentList>
</comments>
</file>

<file path=xl/comments2.xml><?xml version="1.0" encoding="utf-8"?>
<comments xmlns="http://schemas.openxmlformats.org/spreadsheetml/2006/main">
  <authors>
    <author>Pedro Peterson</author>
  </authors>
  <commentList>
    <comment ref="B52" authorId="0">
      <text>
        <r>
          <rPr>
            <b/>
            <sz val="9"/>
            <color indexed="81"/>
            <rFont val="Geneva"/>
          </rPr>
          <t>Pedro Peterson:</t>
        </r>
        <r>
          <rPr>
            <sz val="9"/>
            <color indexed="81"/>
            <rFont val="Geneva"/>
          </rPr>
          <t xml:space="preserve">
Based on inventory of AH in-lieu fees
IAN: We currently do not use this because we do not assume a % of units will be affordable.  Add later?</t>
        </r>
      </text>
    </comment>
    <comment ref="C101" authorId="0">
      <text>
        <r>
          <rPr>
            <b/>
            <sz val="9"/>
            <color indexed="81"/>
            <rFont val="Geneva"/>
          </rPr>
          <t>Pedro Peterson:</t>
        </r>
        <r>
          <rPr>
            <sz val="9"/>
            <color indexed="81"/>
            <rFont val="Geneva"/>
          </rPr>
          <t xml:space="preserve">
Based on inventory of AH in-lieu fees
IAN: We currently do not use this because we do not assume a % of units will be affordable.  Add later?</t>
        </r>
      </text>
    </comment>
  </commentList>
</comments>
</file>

<file path=xl/comments3.xml><?xml version="1.0" encoding="utf-8"?>
<comments xmlns="http://schemas.openxmlformats.org/spreadsheetml/2006/main">
  <authors>
    <author>Ian Carlton</author>
    <author>Pedro Peterson</author>
    <author>demo</author>
  </authors>
  <commentList>
    <comment ref="C6" authorId="0">
      <text>
        <r>
          <rPr>
            <b/>
            <sz val="9"/>
            <color indexed="81"/>
            <rFont val="Verdana"/>
          </rPr>
          <t>Ian Carlton:</t>
        </r>
        <r>
          <rPr>
            <sz val="9"/>
            <color indexed="81"/>
            <rFont val="Verdana"/>
          </rPr>
          <t xml:space="preserve">
Hyunkyoo: what is right size?</t>
        </r>
      </text>
    </comment>
    <comment ref="C10" authorId="1">
      <text>
        <r>
          <rPr>
            <b/>
            <sz val="9"/>
            <color indexed="81"/>
            <rFont val="Geneva"/>
          </rPr>
          <t>Pedro Peterson:</t>
        </r>
        <r>
          <rPr>
            <sz val="9"/>
            <color indexed="81"/>
            <rFont val="Geneva"/>
          </rPr>
          <t xml:space="preserve">
We should maintain this and add a caluclation on the cost model side that estimates an in lieu fee for all park provision.</t>
        </r>
      </text>
    </comment>
    <comment ref="C48" authorId="2">
      <text>
        <r>
          <rPr>
            <b/>
            <sz val="9"/>
            <color indexed="81"/>
            <rFont val="Tahoma"/>
            <charset val="1"/>
          </rPr>
          <t>demo:</t>
        </r>
        <r>
          <rPr>
            <sz val="9"/>
            <color indexed="81"/>
            <rFont val="Tahoma"/>
            <charset val="1"/>
          </rPr>
          <t xml:space="preserve">
changing cell - previous value:
=IF(C39=1,ROUNDDOWN((C33-C5)/C41,0)+1,IF(C38=1,ROUNDDOWN(C33/C41,0),1))</t>
        </r>
      </text>
    </comment>
    <comment ref="H56" authorId="1">
      <text>
        <r>
          <rPr>
            <b/>
            <sz val="9"/>
            <color indexed="81"/>
            <rFont val="Geneva"/>
          </rPr>
          <t>Pedro Peterson:</t>
        </r>
        <r>
          <rPr>
            <sz val="9"/>
            <color indexed="81"/>
            <rFont val="Geneva"/>
          </rPr>
          <t xml:space="preserve">
This is a lookup of information in the zoning tables.</t>
        </r>
      </text>
    </comment>
    <comment ref="D63" authorId="2">
      <text>
        <r>
          <rPr>
            <b/>
            <sz val="9"/>
            <color indexed="81"/>
            <rFont val="Tahoma"/>
            <charset val="1"/>
          </rPr>
          <t>demo:</t>
        </r>
        <r>
          <rPr>
            <sz val="9"/>
            <color indexed="81"/>
            <rFont val="Tahoma"/>
            <charset val="1"/>
          </rPr>
          <t xml:space="preserve">
multiplier of 1BR SF times average - got from buildings data</t>
        </r>
      </text>
    </comment>
    <comment ref="D67" authorId="2">
      <text>
        <r>
          <rPr>
            <b/>
            <sz val="9"/>
            <color indexed="81"/>
            <rFont val="Tahoma"/>
            <charset val="1"/>
          </rPr>
          <t>demo:</t>
        </r>
        <r>
          <rPr>
            <sz val="9"/>
            <color indexed="81"/>
            <rFont val="Tahoma"/>
            <charset val="1"/>
          </rPr>
          <t xml:space="preserve">
average multifamily unit</t>
        </r>
      </text>
    </comment>
    <comment ref="D68" authorId="2">
      <text>
        <r>
          <rPr>
            <b/>
            <sz val="9"/>
            <color indexed="81"/>
            <rFont val="Tahoma"/>
            <charset val="1"/>
          </rPr>
          <t>demo:</t>
        </r>
        <r>
          <rPr>
            <sz val="9"/>
            <color indexed="81"/>
            <rFont val="Tahoma"/>
            <charset val="1"/>
          </rPr>
          <t xml:space="preserve">
multiplier of 1BR MF  times average - got from large apartment data</t>
        </r>
      </text>
    </comment>
    <comment ref="D73" authorId="2">
      <text>
        <r>
          <rPr>
            <b/>
            <sz val="9"/>
            <color indexed="81"/>
            <rFont val="Tahoma"/>
            <charset val="1"/>
          </rPr>
          <t>demo:</t>
        </r>
        <r>
          <rPr>
            <sz val="9"/>
            <color indexed="81"/>
            <rFont val="Tahoma"/>
            <charset val="1"/>
          </rPr>
          <t xml:space="preserve">
multiplier for rental units (not emperically determined)</t>
        </r>
      </text>
    </comment>
    <comment ref="I88" authorId="2">
      <text>
        <r>
          <rPr>
            <b/>
            <sz val="9"/>
            <color indexed="81"/>
            <rFont val="Tahoma"/>
            <charset val="1"/>
          </rPr>
          <t>fletcher:</t>
        </r>
        <r>
          <rPr>
            <sz val="9"/>
            <color indexed="81"/>
            <rFont val="Tahoma"/>
            <charset val="1"/>
          </rPr>
          <t xml:space="preserve">
used to be SUM(I78:I85)+IF(C39,C6,0)
</t>
        </r>
      </text>
    </comment>
    <comment ref="J89" authorId="2">
      <text>
        <r>
          <rPr>
            <b/>
            <sz val="9"/>
            <color indexed="81"/>
            <rFont val="Tahoma"/>
            <charset val="1"/>
          </rPr>
          <t>fletcher:
again this is overly constrained - will need to fix this up later</t>
        </r>
        <r>
          <rPr>
            <sz val="9"/>
            <color indexed="81"/>
            <rFont val="Tahoma"/>
            <charset val="1"/>
          </rPr>
          <t xml:space="preserve">
IF(C39,K88-K78-IF(C39,C6,0),0)</t>
        </r>
      </text>
    </comment>
    <comment ref="J90" authorId="2">
      <text>
        <r>
          <rPr>
            <b/>
            <sz val="9"/>
            <color indexed="81"/>
            <rFont val="Tahoma"/>
            <charset val="1"/>
          </rPr>
          <t>same deal:
we need one constraint for ground floor area and then one for all of the square footage</t>
        </r>
        <r>
          <rPr>
            <sz val="9"/>
            <color indexed="81"/>
            <rFont val="Tahoma"/>
            <charset val="1"/>
          </rPr>
          <t xml:space="preserve">
C90*(C37*(C28-K88))</t>
        </r>
      </text>
    </comment>
    <comment ref="J91" authorId="2">
      <text>
        <r>
          <rPr>
            <b/>
            <sz val="9"/>
            <color indexed="81"/>
            <rFont val="Tahoma"/>
            <charset val="1"/>
          </rPr>
          <t>fletcher:</t>
        </r>
        <r>
          <rPr>
            <sz val="9"/>
            <color indexed="81"/>
            <rFont val="Tahoma"/>
            <charset val="1"/>
          </rPr>
          <t xml:space="preserve">
there was a complicated expression here before.  Unfortunately this is an overly constrained problem.  The input of one constraint can't be dependent on the output of the other.  But yes, there needs to be a constraint that the sum is less than some total.  Will need to come back to this
C49-IF(C39,K88,0)-SUM(K79:K85)-SUMPRODUCT(E68:E76,K68:K76)</t>
        </r>
      </text>
    </comment>
    <comment ref="J92" authorId="2">
      <text>
        <r>
          <rPr>
            <b/>
            <sz val="9"/>
            <color indexed="81"/>
            <rFont val="Tahoma"/>
            <charset val="1"/>
          </rPr>
          <t>fletcher:</t>
        </r>
        <r>
          <rPr>
            <sz val="9"/>
            <color indexed="81"/>
            <rFont val="Tahoma"/>
            <charset val="1"/>
          </rPr>
          <t xml:space="preserve">
the max number of underground parking spaces</t>
        </r>
      </text>
    </comment>
    <comment ref="C95" authorId="0">
      <text>
        <r>
          <rPr>
            <b/>
            <sz val="9"/>
            <color indexed="81"/>
            <rFont val="Verdana"/>
          </rPr>
          <t>Ian Carlton:</t>
        </r>
        <r>
          <rPr>
            <sz val="9"/>
            <color indexed="81"/>
            <rFont val="Verdana"/>
          </rPr>
          <t xml:space="preserve">
These are not incorporated into this model due to limitations of my skills in Excel or the limitations of Excel.  They will need to be included as constraints for the optimization process.</t>
        </r>
      </text>
    </comment>
  </commentList>
</comments>
</file>

<file path=xl/sharedStrings.xml><?xml version="1.0" encoding="utf-8"?>
<sst xmlns="http://schemas.openxmlformats.org/spreadsheetml/2006/main" count="856" uniqueCount="301">
  <si>
    <t>Average top quintile (based on $/sq ft), buffer, bldg type</t>
  </si>
  <si>
    <t>Retail-Neighborhood</t>
  </si>
  <si>
    <t>Retail-Auto</t>
  </si>
  <si>
    <t>Retail-Big Box</t>
  </si>
  <si>
    <t>Office</t>
  </si>
  <si>
    <t>Industrial</t>
  </si>
  <si>
    <t>Warehouse</t>
  </si>
  <si>
    <t>Lodging</t>
  </si>
  <si>
    <t>Could be a lookup table if it varies</t>
  </si>
  <si>
    <t>Fixed Variables</t>
  </si>
  <si>
    <t>Parks fee (in lieu fee calculation)</t>
  </si>
  <si>
    <t>TBD</t>
  </si>
  <si>
    <t>Minimum l obby in multistory</t>
  </si>
  <si>
    <t>Max floors of underground parking</t>
  </si>
  <si>
    <t>stories</t>
  </si>
  <si>
    <t>Buildable Land Area (Sq Ft)</t>
  </si>
  <si>
    <t>SFam units on a lot must be less than or equal to 1</t>
  </si>
  <si>
    <t>Complete lookup tables</t>
  </si>
  <si>
    <t>Seller price model (land value)*</t>
  </si>
  <si>
    <t>Screening filters</t>
  </si>
  <si>
    <t>Write ACSP paper</t>
  </si>
  <si>
    <t>Non-Residential Vacancy</t>
  </si>
  <si>
    <t>Query</t>
  </si>
  <si>
    <t>Taxes</t>
  </si>
  <si>
    <t>Insurance</t>
  </si>
  <si>
    <t>Look-up  table</t>
  </si>
  <si>
    <t>of land + construction cost</t>
  </si>
  <si>
    <t>of revenues</t>
  </si>
  <si>
    <t>square feet</t>
  </si>
  <si>
    <t>"Determine building forms" model</t>
  </si>
  <si>
    <t>2 BR</t>
  </si>
  <si>
    <t>3 BR</t>
  </si>
  <si>
    <t>4+ BR</t>
  </si>
  <si>
    <t>Single family</t>
  </si>
  <si>
    <t>Uses</t>
  </si>
  <si>
    <t>Commercial</t>
  </si>
  <si>
    <t>Construction Loan Rate</t>
  </si>
  <si>
    <t>Perm Loan Term</t>
  </si>
  <si>
    <t>Lowrise (&lt;25 ft)</t>
  </si>
  <si>
    <t>Built area</t>
  </si>
  <si>
    <t>Available footprint</t>
  </si>
  <si>
    <t>Skyscraper (&gt;120 ft)</t>
  </si>
  <si>
    <t>Buildable area</t>
  </si>
  <si>
    <t>Parking total</t>
  </si>
  <si>
    <t>Parking Required</t>
  </si>
  <si>
    <t>Must be less than or equal to</t>
  </si>
  <si>
    <t>Residential for Sale Absorption-Vacant units</t>
  </si>
  <si>
    <t>Sales/Rent start date</t>
  </si>
  <si>
    <t>Timeline model</t>
  </si>
  <si>
    <t>Perm_Loan Interest payment</t>
  </si>
  <si>
    <t>Borrow For-Rent Perm_Loan</t>
  </si>
  <si>
    <t>Sold For-Rent</t>
  </si>
  <si>
    <t>Perm loan payment</t>
  </si>
  <si>
    <t>Max Perm Loan</t>
  </si>
  <si>
    <t>Seasoned rents</t>
  </si>
  <si>
    <t>Midrise (&lt;85 ft)</t>
  </si>
  <si>
    <t>Highrise (&gt;85 ft)</t>
  </si>
  <si>
    <t>Surface</t>
  </si>
  <si>
    <t>Deck</t>
  </si>
  <si>
    <t>Underground</t>
  </si>
  <si>
    <t>"Impact fee" look-up table</t>
  </si>
  <si>
    <t>Zoning</t>
  </si>
  <si>
    <t>R-1</t>
  </si>
  <si>
    <t>Multifamily</t>
  </si>
  <si>
    <t>MR-1</t>
  </si>
  <si>
    <t>MX-R</t>
  </si>
  <si>
    <t>MX-O</t>
  </si>
  <si>
    <t>C-2</t>
  </si>
  <si>
    <t>M-2</t>
  </si>
  <si>
    <t>Size of parking stall</t>
  </si>
  <si>
    <t>Square feet</t>
  </si>
  <si>
    <t>Total Costs</t>
  </si>
  <si>
    <t>Total Revenues</t>
  </si>
  <si>
    <t>IRR</t>
  </si>
  <si>
    <t>Periods per year</t>
  </si>
  <si>
    <t>NPV</t>
  </si>
  <si>
    <t>Discount rate</t>
  </si>
  <si>
    <t>Construction equity</t>
  </si>
  <si>
    <t>Construction Loan Size</t>
  </si>
  <si>
    <t>Lookup Table Values</t>
  </si>
  <si>
    <t>Algorithm Outputs</t>
  </si>
  <si>
    <t>Algorithm</t>
  </si>
  <si>
    <t>Public Contribution</t>
  </si>
  <si>
    <t>Residential</t>
  </si>
  <si>
    <t>Open Space</t>
  </si>
  <si>
    <t>Parking</t>
  </si>
  <si>
    <t>Construction start date</t>
  </si>
  <si>
    <t>Non-Residential Absorption-Vacant Sq Ft</t>
  </si>
  <si>
    <t>Non-Residential Absorption-Sq Ft in construction pipeline</t>
  </si>
  <si>
    <t>Residential for Rent-Vacant Units</t>
  </si>
  <si>
    <t>Residential for Rent-Units in construction pipeline</t>
  </si>
  <si>
    <t>Residential CONDO Sales Revenue</t>
  </si>
  <si>
    <t>Remaining CONDO sales</t>
  </si>
  <si>
    <t>Remaining SINGLE FAMILY sales</t>
  </si>
  <si>
    <t>Residential SINGLE FAMILY Sales Revenue</t>
  </si>
  <si>
    <t>Residential for Sale Absorption-Units prior yr</t>
  </si>
  <si>
    <t>Residential for Sale-Price per unit</t>
  </si>
  <si>
    <t>Residential for Sale-Proposed Units: Condo</t>
  </si>
  <si>
    <t>Residential for Sale-Proposed Units: Single Fam</t>
  </si>
  <si>
    <t>Residential for Rent-Proposed Units</t>
  </si>
  <si>
    <t>Non-Residential-Proposed Sq Ft</t>
  </si>
  <si>
    <t>Non-Residential Absorption-Sq Ft prior yr</t>
  </si>
  <si>
    <t>Query inputs</t>
  </si>
  <si>
    <t>total annual figure from demand model</t>
  </si>
  <si>
    <t>Condo</t>
  </si>
  <si>
    <t>Single Family</t>
  </si>
  <si>
    <t>average top quintile (based on $/sq ft), buffer, bldg type</t>
  </si>
  <si>
    <t>Lookup of Open_Space_Req table</t>
  </si>
  <si>
    <t>Lookup of Min_Use_Size Table</t>
  </si>
  <si>
    <t>Mock Alowable_Uses lookup table</t>
  </si>
  <si>
    <t>Lookup of Allowable_Uses table based on zoning designation of parcel</t>
  </si>
  <si>
    <t>Note: Data is in columns to the right --&gt;</t>
  </si>
  <si>
    <t>Parcel Characteristics</t>
  </si>
  <si>
    <t>Other equity (Land+)</t>
  </si>
  <si>
    <t>Outstanding Const loan balance</t>
  </si>
  <si>
    <t>CAP Rate</t>
  </si>
  <si>
    <t>Cap_rate</t>
  </si>
  <si>
    <t>LTV Max</t>
  </si>
  <si>
    <t>DCR Max</t>
  </si>
  <si>
    <t>Query Outputs</t>
  </si>
  <si>
    <t>Operating_Cost</t>
  </si>
  <si>
    <t>Query buffer for vacancy based on buffer distance in a lookup table</t>
  </si>
  <si>
    <t>LTV</t>
  </si>
  <si>
    <t>DCR</t>
  </si>
  <si>
    <t>Taxes during construction</t>
  </si>
  <si>
    <t>Total project square footage</t>
  </si>
  <si>
    <t>of revenue</t>
  </si>
  <si>
    <t>Non-Residential Absorption-Total Existing Sq Ft</t>
  </si>
  <si>
    <t>total annual figure from buffer query of pipeline</t>
  </si>
  <si>
    <t>total annual figure from buffer query</t>
  </si>
  <si>
    <t>Must be greater than or equal to</t>
  </si>
  <si>
    <t>Multifamily/Condo</t>
  </si>
  <si>
    <t>Revenue Model</t>
  </si>
  <si>
    <t>Cost Model</t>
  </si>
  <si>
    <t>From parcel file</t>
  </si>
  <si>
    <t>Maximum floor area (based on height)</t>
  </si>
  <si>
    <t>Maximum floor area (based on FAR)</t>
  </si>
  <si>
    <t>Max-Min Model</t>
  </si>
  <si>
    <t>Midrise (&lt; 45 ft)</t>
  </si>
  <si>
    <t>total annual figure from parcel model</t>
  </si>
  <si>
    <t>Residential for Rent-Total Units in buffer</t>
  </si>
  <si>
    <t>Non-Res Rent Revenue</t>
  </si>
  <si>
    <t>TBD - Liming?</t>
  </si>
  <si>
    <t>Needs to be evaluated b/c leasing is not the same!… should this be a for-sale product?</t>
  </si>
  <si>
    <t>Non-Res</t>
  </si>
  <si>
    <t>Non-Residential-Annual revenue per sq ft</t>
  </si>
  <si>
    <t>Residential for Rent-Annual revenue per Unit</t>
  </si>
  <si>
    <t>Residential for Rent-Units absorbed prior yr</t>
  </si>
  <si>
    <t>Revenue model for Single Family, Single Family builder, Condo</t>
  </si>
  <si>
    <t>Seller price model and other cost models</t>
  </si>
  <si>
    <t>Absorption calcs in revenue model</t>
  </si>
  <si>
    <t>periods</t>
  </si>
  <si>
    <t>total</t>
  </si>
  <si>
    <t>Table</t>
  </si>
  <si>
    <t>Loan_Rate</t>
  </si>
  <si>
    <t>Max year of sale from occupancy</t>
  </si>
  <si>
    <t>Residential Rent Revenue</t>
  </si>
  <si>
    <t>Residential Sales Revenue</t>
  </si>
  <si>
    <t>Residential Sales Absorption</t>
  </si>
  <si>
    <t>Residential Rent Absorption</t>
  </si>
  <si>
    <t>Non-Res Lease Operating Costs</t>
  </si>
  <si>
    <t>Res Rental Operating Costs</t>
  </si>
  <si>
    <t>For-Rent/Lease Sale</t>
  </si>
  <si>
    <t>Property Taxes</t>
  </si>
  <si>
    <t>Property Insurance</t>
  </si>
  <si>
    <t>per SF of rented residential</t>
  </si>
  <si>
    <t>Residential Operating Costs</t>
  </si>
  <si>
    <t>Non-Res Operating Costs (NNN leases)</t>
  </si>
  <si>
    <t>Variable Operating Costs</t>
  </si>
  <si>
    <t>Land + other equity</t>
  </si>
  <si>
    <t>Residential Rent Square Footage</t>
  </si>
  <si>
    <t>Residential Vacancy</t>
  </si>
  <si>
    <t>Ground Floor Retail (if yes, =1)</t>
  </si>
  <si>
    <t>From zoning user interface data</t>
  </si>
  <si>
    <t>Lookup Floor_to_floor table based on zoning</t>
  </si>
  <si>
    <t>Lookup Multistory_Use table based on zoning</t>
  </si>
  <si>
    <t>Lookup Ground_floor_retail table based on zoning</t>
  </si>
  <si>
    <t>Perm Loan Rate</t>
  </si>
  <si>
    <t>years</t>
  </si>
  <si>
    <t>Const_Loan_rate</t>
  </si>
  <si>
    <t>Loan_Term</t>
  </si>
  <si>
    <t>Reference variables</t>
  </si>
  <si>
    <t>Non-Residential Leases ($)</t>
  </si>
  <si>
    <t>Residential for Sale Absorption-Vacant Units</t>
  </si>
  <si>
    <t>Residential for Sale Absorption-Units in construction pipeline</t>
  </si>
  <si>
    <t>Minimum Sq Ft or Units</t>
  </si>
  <si>
    <t>Parking per unit or 1000 sq ft</t>
  </si>
  <si>
    <t>Ground floor retail parking per 1000 sq ft</t>
  </si>
  <si>
    <t>Floor Area Ratio</t>
  </si>
  <si>
    <t>Model variables</t>
  </si>
  <si>
    <t>Single Family Residential - One-off builder</t>
  </si>
  <si>
    <t>R-1: Builder</t>
  </si>
  <si>
    <t>R-3: Builder</t>
  </si>
  <si>
    <t>Priority</t>
  </si>
  <si>
    <t>*=Liming</t>
  </si>
  <si>
    <t>Other cost models</t>
  </si>
  <si>
    <t>Construction cost model</t>
  </si>
  <si>
    <t>For-Rent Seasoning Threshold</t>
  </si>
  <si>
    <t>Perm loan size</t>
  </si>
  <si>
    <t>Proforma</t>
  </si>
  <si>
    <t>Assumptions</t>
  </si>
  <si>
    <t>of cost</t>
  </si>
  <si>
    <t>Costs</t>
  </si>
  <si>
    <t>Revenue</t>
  </si>
  <si>
    <t>per period</t>
  </si>
  <si>
    <t>Net Income</t>
  </si>
  <si>
    <t>Ground Floor Parking (sq ft)</t>
  </si>
  <si>
    <t>Surface Parking (sq ft)</t>
  </si>
  <si>
    <t>Deck Parking (sq ft)</t>
  </si>
  <si>
    <t>Underground Parking (units)</t>
  </si>
  <si>
    <t>Floors</t>
  </si>
  <si>
    <t>Parking Requirements</t>
  </si>
  <si>
    <t>Lookup of Zoning code information</t>
  </si>
  <si>
    <t>"Building forms" model</t>
  </si>
  <si>
    <t>periods to lease up</t>
  </si>
  <si>
    <t>periods to rent out</t>
  </si>
  <si>
    <t>Construction Cost Basis for Loan</t>
  </si>
  <si>
    <t>Single Family Residential - Detached</t>
  </si>
  <si>
    <t>Ground Floor Retail</t>
  </si>
  <si>
    <t>1 BR + studio</t>
  </si>
  <si>
    <t>Variable</t>
  </si>
  <si>
    <t>Perm loan occupancy threshold</t>
  </si>
  <si>
    <t>of potential rent revenue</t>
  </si>
  <si>
    <t>Revenue model</t>
  </si>
  <si>
    <t>Sell For-Rent</t>
  </si>
  <si>
    <t>For-Rent Sales Price</t>
  </si>
  <si>
    <t>R-3</t>
  </si>
  <si>
    <t>Lot Size Query</t>
  </si>
  <si>
    <t>Unit Size Query</t>
  </si>
  <si>
    <t>Efficiency</t>
  </si>
  <si>
    <t>Maximum Floor Area</t>
  </si>
  <si>
    <t>Based on Construction_Cost lookup table from RS Means data</t>
  </si>
  <si>
    <t>Based on Construction_Cost_Mult lookup table from RS Means data</t>
  </si>
  <si>
    <t>Other/Infrastructure</t>
  </si>
  <si>
    <t>Local Cost multiplier</t>
  </si>
  <si>
    <t>Impact fees (per Housing unit)</t>
  </si>
  <si>
    <t>Based on Impact_Fee lookup table based on jurisdiction</t>
  </si>
  <si>
    <t>Inclusionary_Housing look-up table</t>
  </si>
  <si>
    <t>Affordable housing (per unit)</t>
  </si>
  <si>
    <t>Parks/open space (per sq ft)</t>
  </si>
  <si>
    <t>Roads (per sq ft)</t>
  </si>
  <si>
    <t>Allowable Uses</t>
  </si>
  <si>
    <t>Building information</t>
  </si>
  <si>
    <t>Lookup of Use_Efficiency table</t>
  </si>
  <si>
    <t>Lookup Surface_Park_Efficiency table based on zoning</t>
  </si>
  <si>
    <t>Information Table</t>
  </si>
  <si>
    <t>Zoning &amp; Use-type information</t>
  </si>
  <si>
    <t>Parcel Calculations</t>
  </si>
  <si>
    <t>Lookup Single_Family_Zoning_Class table based on zoning</t>
  </si>
  <si>
    <t>Multi-story (If yes, =1)</t>
  </si>
  <si>
    <t>Parcel Size (Sq Ft)</t>
  </si>
  <si>
    <t>Footprint (sq ft)</t>
  </si>
  <si>
    <t>Maximum Number of floors</t>
  </si>
  <si>
    <t>For-Rent NOI</t>
  </si>
  <si>
    <t>Const_Loan repayment</t>
  </si>
  <si>
    <t>Const_Loan Interest payment</t>
  </si>
  <si>
    <t>Perm_Loan repayment</t>
  </si>
  <si>
    <t>Perm Loan Proceeds</t>
  </si>
  <si>
    <t>period #</t>
  </si>
  <si>
    <t>sq ft</t>
  </si>
  <si>
    <t>Single Family Builder (if yes, =1)</t>
  </si>
  <si>
    <t>Maximum Sq Ft or Units</t>
  </si>
  <si>
    <t>Model Values For Spreadsheet Testing</t>
  </si>
  <si>
    <t>If single family builder…</t>
  </si>
  <si>
    <t>Must be less than</t>
  </si>
  <si>
    <t>If not single family builder…</t>
  </si>
  <si>
    <t>Other Variables</t>
  </si>
  <si>
    <t>Ground Floor Parking</t>
  </si>
  <si>
    <t>total annual figure from buffer query of demand model?</t>
  </si>
  <si>
    <t>Average 80%-90% ($/sq ft), buffer, bldg type, bldg criteria, trans criteria</t>
  </si>
  <si>
    <t>For Rent</t>
  </si>
  <si>
    <t>Residential for Sale Absorption-Total units in buffer</t>
  </si>
  <si>
    <t>With ground floor retail, footprint equals…</t>
  </si>
  <si>
    <t>Ground floor retail floor to floor height</t>
  </si>
  <si>
    <t>ft</t>
  </si>
  <si>
    <t>Attached garage parking (/unit)</t>
  </si>
  <si>
    <t>Building height</t>
  </si>
  <si>
    <t>Total costs</t>
  </si>
  <si>
    <t>Height</t>
  </si>
  <si>
    <t>$ / SqFt or Unit</t>
  </si>
  <si>
    <t>SqFt or Units</t>
  </si>
  <si>
    <t>Adjusted Local Cost</t>
  </si>
  <si>
    <t>Open Space Req for Home Builders</t>
  </si>
  <si>
    <t>of parcel</t>
  </si>
  <si>
    <t>Front Setback (ft)</t>
  </si>
  <si>
    <t>Side Setbacks (ft)</t>
  </si>
  <si>
    <t>Rear Setback (ft)</t>
  </si>
  <si>
    <t>Building Height (ft)</t>
  </si>
  <si>
    <t>Non-footprint available for surface parking (%)</t>
  </si>
  <si>
    <t>Floor-to-floor Height (above GF uses) (ft)</t>
  </si>
  <si>
    <t>Non-Residential-Leasable Sq Ft Efficiency</t>
  </si>
  <si>
    <t>From Leasable_Efficiency lookup table</t>
  </si>
  <si>
    <t>Constraining Formulae for Optimization</t>
  </si>
  <si>
    <t>80%-90% average size based on buffer query of similar units ranked by $/sq ft… either 1 mile buffer if sample &gt;= 50 or use averages from larger geography</t>
  </si>
  <si>
    <t>Based on various lookup tables</t>
  </si>
  <si>
    <t>Multiplies lookup table value times  local cost multiplier</t>
  </si>
  <si>
    <t>Geometry Engine Queries</t>
  </si>
  <si>
    <t>Based on outputs from geometry engine with zoning setback inputs</t>
  </si>
  <si>
    <t>Taken from assessor's data. Will need to standardize it so that it matches a lookup table like the example above.</t>
  </si>
  <si>
    <t>Total footprint sqft:</t>
  </si>
  <si>
    <t>Total floor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</si>
</sst>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8" formatCode="&quot;$&quot;#,##0.00_);[Red]\(&quot;$&quot;#,##0.00\)"/>
    <numFmt numFmtId="44" formatCode="_(&quot;$&quot;* #,##0.00_);_(&quot;$&quot;* \(#,##0.00\);_(&quot;$&quot;* &quot;-&quot;??_);_(@_)"/>
    <numFmt numFmtId="43" formatCode="_(* #,##0.00_);_(* \(#,##0.00\);_(* &quot;-&quot;??_);_(@_)"/>
    <numFmt numFmtId="164" formatCode="&quot;$&quot;#,##0"/>
    <numFmt numFmtId="165" formatCode="_(&quot;$&quot;* #,##0.0_);_(&quot;$&quot;* \(#,##0.0\);_(&quot;$&quot;* &quot;-&quot;??_);_(@_)"/>
    <numFmt numFmtId="166" formatCode="_(&quot;$&quot;* #,##0_);_(&quot;$&quot;* \(#,##0\);_(&quot;$&quot;* &quot;-&quot;??_);_(@_)"/>
    <numFmt numFmtId="167" formatCode="0.0%"/>
    <numFmt numFmtId="168" formatCode="_(* #,##0_);_(* \(#,##0\);_(* &quot;-&quot;??_);_(@_)"/>
  </numFmts>
  <fonts count="21">
    <font>
      <sz val="10"/>
      <name val="Verdana"/>
    </font>
    <font>
      <b/>
      <sz val="10"/>
      <name val="Verdana"/>
    </font>
    <font>
      <i/>
      <sz val="10"/>
      <name val="Verdana"/>
    </font>
    <font>
      <b/>
      <i/>
      <sz val="10"/>
      <name val="Verdana"/>
    </font>
    <font>
      <sz val="10"/>
      <name val="Verdana"/>
    </font>
    <font>
      <b/>
      <sz val="12"/>
      <name val="Verdana"/>
    </font>
    <font>
      <sz val="9"/>
      <color indexed="81"/>
      <name val="Geneva"/>
    </font>
    <font>
      <b/>
      <sz val="9"/>
      <color indexed="81"/>
      <name val="Geneva"/>
    </font>
    <font>
      <sz val="8"/>
      <name val="Verdana"/>
    </font>
    <font>
      <i/>
      <u/>
      <sz val="10"/>
      <name val="Verdana"/>
    </font>
    <font>
      <sz val="10"/>
      <color indexed="12"/>
      <name val="Verdana"/>
    </font>
    <font>
      <b/>
      <i/>
      <u/>
      <sz val="10"/>
      <name val="Verdana"/>
    </font>
    <font>
      <sz val="10"/>
      <color indexed="10"/>
      <name val="Verdana"/>
    </font>
    <font>
      <sz val="9"/>
      <color indexed="81"/>
      <name val="Verdana"/>
    </font>
    <font>
      <b/>
      <sz val="9"/>
      <color indexed="81"/>
      <name val="Verdana"/>
    </font>
    <font>
      <i/>
      <sz val="8"/>
      <name val="Verdana"/>
    </font>
    <font>
      <b/>
      <sz val="11"/>
      <color theme="0"/>
      <name val="Calibri"/>
      <family val="2"/>
      <scheme val="minor"/>
    </font>
    <font>
      <sz val="11"/>
      <color rgb="FF006100"/>
      <name val="Calibri"/>
      <family val="2"/>
      <scheme val="minor"/>
    </font>
    <font>
      <sz val="9"/>
      <color indexed="81"/>
      <name val="Tahoma"/>
      <charset val="1"/>
    </font>
    <font>
      <b/>
      <sz val="9"/>
      <color indexed="81"/>
      <name val="Tahoma"/>
      <charset val="1"/>
    </font>
    <font>
      <sz val="10"/>
      <name val="Verdana"/>
      <family val="2"/>
    </font>
  </fonts>
  <fills count="9">
    <fill>
      <patternFill patternType="none"/>
    </fill>
    <fill>
      <patternFill patternType="gray125"/>
    </fill>
    <fill>
      <patternFill patternType="solid">
        <fgColor indexed="10"/>
        <bgColor indexed="64"/>
      </patternFill>
    </fill>
    <fill>
      <patternFill patternType="solid">
        <fgColor indexed="48"/>
        <bgColor indexed="64"/>
      </patternFill>
    </fill>
    <fill>
      <patternFill patternType="solid">
        <fgColor indexed="51"/>
        <bgColor indexed="64"/>
      </patternFill>
    </fill>
    <fill>
      <patternFill patternType="solid">
        <fgColor indexed="42"/>
        <bgColor indexed="64"/>
      </patternFill>
    </fill>
    <fill>
      <patternFill patternType="solid">
        <fgColor indexed="41"/>
        <bgColor indexed="64"/>
      </patternFill>
    </fill>
    <fill>
      <patternFill patternType="solid">
        <fgColor rgb="FFA5A5A5"/>
      </patternFill>
    </fill>
    <fill>
      <patternFill patternType="solid">
        <fgColor rgb="FFC6EFCE"/>
      </patternFill>
    </fill>
  </fills>
  <borders count="13">
    <border>
      <left/>
      <right/>
      <top/>
      <bottom/>
      <diagonal/>
    </border>
    <border>
      <left/>
      <right/>
      <top/>
      <bottom style="thin">
        <color indexed="64"/>
      </bottom>
      <diagonal/>
    </border>
    <border>
      <left/>
      <right/>
      <top style="thin">
        <color indexed="64"/>
      </top>
      <bottom style="medium">
        <color indexed="64"/>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double">
        <color rgb="FF3F3F3F"/>
      </left>
      <right style="double">
        <color rgb="FF3F3F3F"/>
      </right>
      <top style="double">
        <color rgb="FF3F3F3F"/>
      </top>
      <bottom style="double">
        <color rgb="FF3F3F3F"/>
      </bottom>
      <diagonal/>
    </border>
  </borders>
  <cellStyleXfs count="4">
    <xf numFmtId="0" fontId="0" fillId="0" borderId="0"/>
    <xf numFmtId="0" fontId="16" fillId="7" borderId="12" applyNumberFormat="0" applyAlignment="0" applyProtection="0"/>
    <xf numFmtId="43" fontId="4" fillId="0" borderId="0" applyFont="0" applyFill="0" applyBorder="0" applyAlignment="0" applyProtection="0"/>
    <xf numFmtId="0" fontId="17" fillId="8" borderId="0" applyNumberFormat="0" applyBorder="0" applyAlignment="0" applyProtection="0"/>
  </cellStyleXfs>
  <cellXfs count="137">
    <xf numFmtId="0" fontId="0" fillId="0" borderId="0" xfId="0"/>
    <xf numFmtId="9" fontId="0" fillId="0" borderId="0" xfId="0" applyNumberFormat="1"/>
    <xf numFmtId="10" fontId="0" fillId="0" borderId="0" xfId="0" applyNumberFormat="1"/>
    <xf numFmtId="0" fontId="0" fillId="0" borderId="1" xfId="0" applyBorder="1"/>
    <xf numFmtId="0" fontId="0" fillId="0" borderId="2" xfId="0" applyBorder="1"/>
    <xf numFmtId="166" fontId="0" fillId="0" borderId="0" xfId="0" applyNumberFormat="1"/>
    <xf numFmtId="166" fontId="0" fillId="0" borderId="2" xfId="0" applyNumberFormat="1" applyBorder="1"/>
    <xf numFmtId="166" fontId="0" fillId="0" borderId="1" xfId="0" applyNumberFormat="1" applyBorder="1"/>
    <xf numFmtId="0" fontId="5" fillId="0" borderId="0" xfId="0" applyFont="1"/>
    <xf numFmtId="0" fontId="3" fillId="0" borderId="1" xfId="0" applyFont="1" applyBorder="1"/>
    <xf numFmtId="0" fontId="3" fillId="0" borderId="0" xfId="0" applyFont="1"/>
    <xf numFmtId="8" fontId="0" fillId="0" borderId="0" xfId="0" applyNumberFormat="1"/>
    <xf numFmtId="0" fontId="3" fillId="0" borderId="3" xfId="0" applyFont="1" applyBorder="1"/>
    <xf numFmtId="166" fontId="0" fillId="0" borderId="3" xfId="0" applyNumberFormat="1" applyBorder="1"/>
    <xf numFmtId="0" fontId="0" fillId="0" borderId="3" xfId="0" applyBorder="1"/>
    <xf numFmtId="0" fontId="0" fillId="0" borderId="0" xfId="0" applyNumberFormat="1"/>
    <xf numFmtId="0" fontId="0" fillId="0" borderId="0" xfId="0" applyBorder="1"/>
    <xf numFmtId="166" fontId="0" fillId="0" borderId="0" xfId="0" applyNumberFormat="1" applyFill="1"/>
    <xf numFmtId="0" fontId="0" fillId="0" borderId="0" xfId="0" applyAlignment="1">
      <alignment horizontal="left" indent="1"/>
    </xf>
    <xf numFmtId="168" fontId="0" fillId="0" borderId="0" xfId="2" applyNumberFormat="1" applyFont="1"/>
    <xf numFmtId="0" fontId="0" fillId="0" borderId="0" xfId="0" applyFill="1" applyAlignment="1">
      <alignment horizontal="left" indent="1"/>
    </xf>
    <xf numFmtId="0" fontId="0" fillId="0" borderId="0" xfId="0" applyFill="1"/>
    <xf numFmtId="166" fontId="0" fillId="0" borderId="0" xfId="0" applyNumberFormat="1" applyFill="1" applyBorder="1"/>
    <xf numFmtId="0" fontId="0" fillId="0" borderId="0" xfId="0" applyAlignment="1">
      <alignment horizontal="left"/>
    </xf>
    <xf numFmtId="0" fontId="0" fillId="0" borderId="0" xfId="0" applyFill="1" applyBorder="1" applyAlignment="1">
      <alignment horizontal="left" indent="1"/>
    </xf>
    <xf numFmtId="166" fontId="0" fillId="0" borderId="0" xfId="0" applyNumberFormat="1" applyBorder="1"/>
    <xf numFmtId="0" fontId="0" fillId="0" borderId="0" xfId="0" applyFill="1" applyBorder="1"/>
    <xf numFmtId="0" fontId="0" fillId="0" borderId="0" xfId="0" applyFill="1" applyAlignment="1">
      <alignment horizontal="left"/>
    </xf>
    <xf numFmtId="0" fontId="0" fillId="0" borderId="0" xfId="0" applyFill="1" applyBorder="1" applyAlignment="1">
      <alignment horizontal="left"/>
    </xf>
    <xf numFmtId="0" fontId="1" fillId="0" borderId="0" xfId="0" applyFont="1"/>
    <xf numFmtId="168" fontId="0" fillId="0" borderId="0" xfId="2" applyNumberFormat="1" applyFont="1" applyAlignment="1">
      <alignment horizontal="right"/>
    </xf>
    <xf numFmtId="9" fontId="0" fillId="0" borderId="0" xfId="0" applyNumberFormat="1" applyFill="1"/>
    <xf numFmtId="44" fontId="0" fillId="0" borderId="0" xfId="0" applyNumberFormat="1" applyFill="1"/>
    <xf numFmtId="168" fontId="0" fillId="0" borderId="0" xfId="2" applyNumberFormat="1" applyFont="1" applyFill="1"/>
    <xf numFmtId="0" fontId="2" fillId="0" borderId="0" xfId="0" applyFont="1" applyFill="1" applyAlignment="1">
      <alignment horizontal="left"/>
    </xf>
    <xf numFmtId="0" fontId="2" fillId="0" borderId="0" xfId="0" applyFont="1"/>
    <xf numFmtId="0" fontId="0" fillId="0" borderId="0" xfId="0" applyBorder="1" applyAlignment="1">
      <alignment horizontal="left" indent="1"/>
    </xf>
    <xf numFmtId="1" fontId="0" fillId="0" borderId="0" xfId="0" applyNumberFormat="1" applyFill="1"/>
    <xf numFmtId="168" fontId="0" fillId="2" borderId="0" xfId="2" applyNumberFormat="1" applyFont="1" applyFill="1"/>
    <xf numFmtId="165" fontId="0" fillId="0" borderId="0" xfId="0" applyNumberFormat="1"/>
    <xf numFmtId="0" fontId="0" fillId="0" borderId="0" xfId="0" applyNumberFormat="1" applyFill="1"/>
    <xf numFmtId="167" fontId="0" fillId="0" borderId="0" xfId="0" applyNumberFormat="1"/>
    <xf numFmtId="0" fontId="0" fillId="0" borderId="0" xfId="0" applyFill="1" applyAlignment="1">
      <alignment horizontal="left" indent="2"/>
    </xf>
    <xf numFmtId="0" fontId="0" fillId="0" borderId="0" xfId="0" applyFill="1" applyBorder="1" applyAlignment="1">
      <alignment horizontal="left" indent="2"/>
    </xf>
    <xf numFmtId="0" fontId="0" fillId="0" borderId="0" xfId="2" applyNumberFormat="1" applyFont="1" applyFill="1"/>
    <xf numFmtId="0" fontId="0" fillId="0" borderId="0" xfId="0" applyAlignment="1">
      <alignment horizontal="left" indent="2"/>
    </xf>
    <xf numFmtId="1" fontId="0" fillId="2" borderId="0" xfId="0" applyNumberFormat="1" applyFill="1"/>
    <xf numFmtId="9" fontId="4" fillId="2" borderId="0" xfId="0" applyNumberFormat="1" applyFont="1" applyFill="1"/>
    <xf numFmtId="166" fontId="0" fillId="3" borderId="0" xfId="0" applyNumberFormat="1" applyFill="1"/>
    <xf numFmtId="0" fontId="0" fillId="3" borderId="0" xfId="2" applyNumberFormat="1" applyFont="1" applyFill="1"/>
    <xf numFmtId="0" fontId="0" fillId="3" borderId="0" xfId="0" applyFill="1"/>
    <xf numFmtId="10" fontId="0" fillId="0" borderId="0" xfId="0" applyNumberFormat="1" applyFill="1"/>
    <xf numFmtId="0" fontId="9" fillId="0" borderId="0" xfId="0" applyFont="1" applyFill="1" applyAlignment="1">
      <alignment horizontal="left"/>
    </xf>
    <xf numFmtId="0" fontId="9" fillId="0" borderId="0" xfId="0" applyFont="1"/>
    <xf numFmtId="166" fontId="0" fillId="4" borderId="0" xfId="0" applyNumberFormat="1" applyFill="1" applyBorder="1"/>
    <xf numFmtId="0" fontId="0" fillId="0" borderId="0" xfId="0" applyNumberFormat="1" applyBorder="1" applyAlignment="1"/>
    <xf numFmtId="9" fontId="0" fillId="0" borderId="0" xfId="0" applyNumberFormat="1" applyBorder="1"/>
    <xf numFmtId="0" fontId="0" fillId="0" borderId="0" xfId="0" applyBorder="1" applyAlignment="1">
      <alignment horizontal="left"/>
    </xf>
    <xf numFmtId="3" fontId="0" fillId="0" borderId="0" xfId="0" applyNumberFormat="1"/>
    <xf numFmtId="0" fontId="4" fillId="0" borderId="0" xfId="0" applyFont="1"/>
    <xf numFmtId="0" fontId="4" fillId="0" borderId="0" xfId="0" applyFont="1" applyBorder="1" applyAlignment="1">
      <alignment horizontal="left" wrapText="1"/>
    </xf>
    <xf numFmtId="3" fontId="0" fillId="0" borderId="0" xfId="0" applyNumberFormat="1" applyFill="1"/>
    <xf numFmtId="0" fontId="0" fillId="5" borderId="0" xfId="0" applyFill="1" applyBorder="1"/>
    <xf numFmtId="0" fontId="0" fillId="0" borderId="0" xfId="0" applyNumberFormat="1" applyFill="1" applyBorder="1" applyAlignment="1"/>
    <xf numFmtId="0" fontId="8" fillId="0" borderId="0" xfId="0" applyFont="1" applyFill="1" applyBorder="1" applyAlignment="1">
      <alignment horizontal="left" wrapText="1"/>
    </xf>
    <xf numFmtId="9" fontId="0" fillId="0" borderId="0" xfId="0" applyNumberFormat="1" applyBorder="1" applyAlignment="1">
      <alignment horizontal="right"/>
    </xf>
    <xf numFmtId="0" fontId="1" fillId="0" borderId="0" xfId="0" applyFont="1" applyBorder="1" applyAlignment="1">
      <alignment wrapText="1"/>
    </xf>
    <xf numFmtId="0" fontId="0" fillId="0" borderId="0" xfId="0" applyFill="1" applyAlignment="1">
      <alignment horizontal="left" indent="3"/>
    </xf>
    <xf numFmtId="0" fontId="0" fillId="0" borderId="0" xfId="0" applyAlignment="1">
      <alignment horizontal="left" indent="3"/>
    </xf>
    <xf numFmtId="0" fontId="10" fillId="0" borderId="0" xfId="0" applyFont="1"/>
    <xf numFmtId="0" fontId="0" fillId="0" borderId="0" xfId="0" applyFill="1" applyAlignment="1">
      <alignment horizontal="right"/>
    </xf>
    <xf numFmtId="0" fontId="4" fillId="0" borderId="0" xfId="0" applyFont="1" applyAlignment="1">
      <alignment wrapText="1"/>
    </xf>
    <xf numFmtId="0" fontId="4" fillId="0" borderId="0" xfId="0" applyFont="1" applyBorder="1" applyAlignment="1">
      <alignment wrapText="1"/>
    </xf>
    <xf numFmtId="0" fontId="11" fillId="0" borderId="0" xfId="0" applyFont="1"/>
    <xf numFmtId="0" fontId="8" fillId="0" borderId="0" xfId="0" applyFont="1" applyBorder="1" applyAlignment="1">
      <alignment horizontal="left" wrapText="1"/>
    </xf>
    <xf numFmtId="0" fontId="0" fillId="0" borderId="0" xfId="0" applyAlignment="1">
      <alignment horizontal="center" wrapText="1"/>
    </xf>
    <xf numFmtId="0" fontId="12" fillId="0" borderId="0" xfId="0" applyFont="1"/>
    <xf numFmtId="0" fontId="4" fillId="0" borderId="0" xfId="0" applyFont="1" applyFill="1" applyAlignment="1">
      <alignment horizontal="right"/>
    </xf>
    <xf numFmtId="0" fontId="4" fillId="0" borderId="0" xfId="0" applyFont="1" applyFill="1"/>
    <xf numFmtId="0" fontId="11" fillId="0" borderId="0" xfId="0" applyFont="1" applyBorder="1" applyAlignment="1">
      <alignment horizontal="left" wrapText="1"/>
    </xf>
    <xf numFmtId="3" fontId="0" fillId="0" borderId="0" xfId="0" applyNumberFormat="1" applyFill="1" applyBorder="1"/>
    <xf numFmtId="0" fontId="1" fillId="5" borderId="0" xfId="0" applyFont="1" applyFill="1" applyBorder="1" applyAlignment="1">
      <alignment wrapText="1"/>
    </xf>
    <xf numFmtId="0" fontId="8" fillId="5" borderId="0" xfId="0" applyFont="1" applyFill="1" applyBorder="1" applyAlignment="1">
      <alignment horizontal="left" wrapText="1"/>
    </xf>
    <xf numFmtId="3" fontId="0" fillId="5" borderId="0" xfId="0" applyNumberFormat="1" applyFill="1" applyBorder="1"/>
    <xf numFmtId="0" fontId="11" fillId="5" borderId="4" xfId="0" applyFont="1" applyFill="1" applyBorder="1"/>
    <xf numFmtId="0" fontId="0" fillId="5" borderId="5" xfId="0" applyFill="1" applyBorder="1"/>
    <xf numFmtId="0" fontId="0" fillId="5" borderId="6" xfId="0" applyFill="1" applyBorder="1"/>
    <xf numFmtId="0" fontId="1" fillId="5" borderId="7" xfId="0" applyFont="1" applyFill="1" applyBorder="1" applyAlignment="1">
      <alignment wrapText="1"/>
    </xf>
    <xf numFmtId="0" fontId="1" fillId="5" borderId="8" xfId="0" applyFont="1" applyFill="1" applyBorder="1" applyAlignment="1">
      <alignment wrapText="1"/>
    </xf>
    <xf numFmtId="0" fontId="8" fillId="5" borderId="7" xfId="0" applyFont="1" applyFill="1" applyBorder="1" applyAlignment="1">
      <alignment horizontal="left" wrapText="1"/>
    </xf>
    <xf numFmtId="0" fontId="0" fillId="5" borderId="8" xfId="0" applyFill="1" applyBorder="1" applyAlignment="1">
      <alignment horizontal="center" wrapText="1"/>
    </xf>
    <xf numFmtId="0" fontId="0" fillId="5" borderId="7" xfId="0" applyFill="1" applyBorder="1"/>
    <xf numFmtId="0" fontId="0" fillId="5" borderId="8" xfId="0" applyFill="1" applyBorder="1"/>
    <xf numFmtId="0" fontId="11" fillId="0" borderId="0" xfId="0" applyFont="1" applyFill="1" applyBorder="1" applyAlignment="1">
      <alignment horizontal="left"/>
    </xf>
    <xf numFmtId="0" fontId="0" fillId="0" borderId="0" xfId="0" applyNumberFormat="1" applyBorder="1" applyAlignment="1">
      <alignment horizontal="right"/>
    </xf>
    <xf numFmtId="0" fontId="0" fillId="2" borderId="7" xfId="0" applyFill="1" applyBorder="1"/>
    <xf numFmtId="0" fontId="0" fillId="5" borderId="9" xfId="0" applyFill="1" applyBorder="1"/>
    <xf numFmtId="0" fontId="4" fillId="0" borderId="0" xfId="0" applyFont="1" applyAlignment="1">
      <alignment horizontal="left" indent="1"/>
    </xf>
    <xf numFmtId="1" fontId="0" fillId="5" borderId="0" xfId="0" applyNumberFormat="1" applyFill="1" applyBorder="1"/>
    <xf numFmtId="1" fontId="0" fillId="5" borderId="10" xfId="0" applyNumberFormat="1" applyFill="1" applyBorder="1"/>
    <xf numFmtId="0" fontId="1" fillId="0" borderId="0" xfId="0" applyFont="1" applyAlignment="1">
      <alignment wrapText="1"/>
    </xf>
    <xf numFmtId="0" fontId="1" fillId="0" borderId="0" xfId="0" applyFont="1" applyFill="1" applyAlignment="1">
      <alignment wrapText="1"/>
    </xf>
    <xf numFmtId="3" fontId="4" fillId="0" borderId="0" xfId="0" applyNumberFormat="1" applyFont="1"/>
    <xf numFmtId="168" fontId="0" fillId="0" borderId="0" xfId="2" applyNumberFormat="1" applyFont="1" applyFill="1" applyAlignment="1">
      <alignment horizontal="right"/>
    </xf>
    <xf numFmtId="166" fontId="0" fillId="0" borderId="0" xfId="2" applyNumberFormat="1" applyFont="1"/>
    <xf numFmtId="44" fontId="10" fillId="0" borderId="0" xfId="0" applyNumberFormat="1" applyFont="1"/>
    <xf numFmtId="0" fontId="4" fillId="2" borderId="0" xfId="0" applyFont="1" applyFill="1"/>
    <xf numFmtId="9" fontId="0" fillId="0" borderId="0" xfId="2" applyNumberFormat="1" applyFont="1" applyFill="1"/>
    <xf numFmtId="0" fontId="11" fillId="6" borderId="4" xfId="0" applyFont="1" applyFill="1" applyBorder="1"/>
    <xf numFmtId="0" fontId="0" fillId="6" borderId="6" xfId="0" applyFill="1" applyBorder="1"/>
    <xf numFmtId="0" fontId="4" fillId="6" borderId="7" xfId="0" applyFont="1" applyFill="1" applyBorder="1" applyAlignment="1">
      <alignment horizontal="left"/>
    </xf>
    <xf numFmtId="0" fontId="0" fillId="6" borderId="8" xfId="0" applyFill="1" applyBorder="1"/>
    <xf numFmtId="0" fontId="0" fillId="6" borderId="7" xfId="0" applyFill="1" applyBorder="1" applyAlignment="1">
      <alignment horizontal="left" indent="1"/>
    </xf>
    <xf numFmtId="168" fontId="0" fillId="6" borderId="8" xfId="2" quotePrefix="1" applyNumberFormat="1" applyFont="1" applyFill="1" applyBorder="1"/>
    <xf numFmtId="0" fontId="2" fillId="6" borderId="7" xfId="0" applyFont="1" applyFill="1" applyBorder="1" applyAlignment="1">
      <alignment horizontal="left" indent="2"/>
    </xf>
    <xf numFmtId="168" fontId="0" fillId="6" borderId="8" xfId="0" quotePrefix="1" applyNumberFormat="1" applyFill="1" applyBorder="1"/>
    <xf numFmtId="0" fontId="0" fillId="6" borderId="7" xfId="0" applyFill="1" applyBorder="1" applyAlignment="1">
      <alignment horizontal="left" indent="2"/>
    </xf>
    <xf numFmtId="0" fontId="0" fillId="6" borderId="7" xfId="0" applyFill="1" applyBorder="1"/>
    <xf numFmtId="168" fontId="0" fillId="6" borderId="8" xfId="0" applyNumberFormat="1" applyFill="1" applyBorder="1"/>
    <xf numFmtId="0" fontId="0" fillId="6" borderId="9" xfId="0" applyFill="1" applyBorder="1" applyAlignment="1">
      <alignment horizontal="left" indent="1"/>
    </xf>
    <xf numFmtId="168" fontId="0" fillId="6" borderId="11" xfId="0" applyNumberFormat="1" applyFill="1" applyBorder="1"/>
    <xf numFmtId="0" fontId="15" fillId="0" borderId="0" xfId="0" applyFont="1" applyAlignment="1">
      <alignment wrapText="1"/>
    </xf>
    <xf numFmtId="0" fontId="8" fillId="0" borderId="0" xfId="0" applyFont="1" applyFill="1" applyAlignment="1">
      <alignment wrapText="1"/>
    </xf>
    <xf numFmtId="0" fontId="1" fillId="0" borderId="0" xfId="0" applyFont="1" applyFill="1" applyBorder="1" applyAlignment="1">
      <alignment wrapText="1"/>
    </xf>
    <xf numFmtId="0" fontId="0" fillId="0" borderId="0" xfId="0" applyFill="1" applyBorder="1" applyAlignment="1">
      <alignment horizontal="center" wrapText="1"/>
    </xf>
    <xf numFmtId="0" fontId="1" fillId="0" borderId="0" xfId="0" applyFont="1" applyFill="1" applyBorder="1" applyAlignment="1">
      <alignment horizontal="left"/>
    </xf>
    <xf numFmtId="3" fontId="4" fillId="0" borderId="0" xfId="0" applyNumberFormat="1" applyFont="1" applyFill="1"/>
    <xf numFmtId="0" fontId="16" fillId="7" borderId="12" xfId="1" applyAlignment="1">
      <alignment horizontal="right"/>
    </xf>
    <xf numFmtId="166" fontId="16" fillId="7" borderId="12" xfId="1" applyNumberFormat="1"/>
    <xf numFmtId="164" fontId="16" fillId="7" borderId="12" xfId="1" applyNumberFormat="1"/>
    <xf numFmtId="44" fontId="16" fillId="7" borderId="12" xfId="1" applyNumberFormat="1"/>
    <xf numFmtId="3" fontId="17" fillId="8" borderId="12" xfId="3" applyNumberFormat="1" applyBorder="1"/>
    <xf numFmtId="0" fontId="17" fillId="8" borderId="12" xfId="3" applyBorder="1" applyAlignment="1">
      <alignment horizontal="right"/>
    </xf>
    <xf numFmtId="0" fontId="17" fillId="8" borderId="0" xfId="3" applyBorder="1"/>
    <xf numFmtId="4" fontId="0" fillId="5" borderId="8" xfId="0" applyNumberFormat="1" applyFill="1" applyBorder="1"/>
    <xf numFmtId="0" fontId="20" fillId="0" borderId="0" xfId="0" applyFont="1" applyAlignment="1"/>
    <xf numFmtId="0" fontId="0" fillId="0" borderId="0" xfId="0" applyAlignment="1"/>
  </cellXfs>
  <cellStyles count="4">
    <cellStyle name="Check Cell" xfId="1" builtinId="23"/>
    <cellStyle name="Comma" xfId="2" builtinId="3"/>
    <cellStyle name="Good" xfId="3" builtinId="26"/>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zoomScaleNormal="100" workbookViewId="0"/>
  </sheetViews>
  <sheetFormatPr defaultColWidth="11" defaultRowHeight="12.75"/>
  <cols>
    <col min="1" max="1" width="7.25" bestFit="1" customWidth="1"/>
  </cols>
  <sheetData>
    <row r="1" spans="1:2">
      <c r="A1" s="10" t="s">
        <v>193</v>
      </c>
      <c r="B1" s="10" t="s">
        <v>81</v>
      </c>
    </row>
    <row r="2" spans="1:2">
      <c r="A2">
        <v>1</v>
      </c>
      <c r="B2" t="s">
        <v>223</v>
      </c>
    </row>
    <row r="3" spans="1:2">
      <c r="A3">
        <v>2</v>
      </c>
      <c r="B3" t="s">
        <v>150</v>
      </c>
    </row>
    <row r="4" spans="1:2">
      <c r="A4">
        <v>3</v>
      </c>
      <c r="B4" t="s">
        <v>196</v>
      </c>
    </row>
    <row r="5" spans="1:2">
      <c r="A5">
        <v>4</v>
      </c>
      <c r="B5" t="s">
        <v>195</v>
      </c>
    </row>
    <row r="6" spans="1:2">
      <c r="A6">
        <v>5</v>
      </c>
      <c r="B6" t="s">
        <v>29</v>
      </c>
    </row>
    <row r="7" spans="1:2">
      <c r="A7">
        <v>6</v>
      </c>
      <c r="B7" t="s">
        <v>48</v>
      </c>
    </row>
    <row r="8" spans="1:2">
      <c r="A8">
        <v>7</v>
      </c>
      <c r="B8" t="s">
        <v>18</v>
      </c>
    </row>
    <row r="9" spans="1:2">
      <c r="A9">
        <v>8</v>
      </c>
      <c r="B9" t="s">
        <v>17</v>
      </c>
    </row>
    <row r="10" spans="1:2">
      <c r="A10">
        <v>9</v>
      </c>
      <c r="B10" t="s">
        <v>19</v>
      </c>
    </row>
    <row r="11" spans="1:2">
      <c r="A11">
        <v>10</v>
      </c>
      <c r="B11" t="s">
        <v>20</v>
      </c>
    </row>
    <row r="13" spans="1:2">
      <c r="B13" t="s">
        <v>194</v>
      </c>
    </row>
  </sheetData>
  <pageMargins left="0.75" right="0.75" top="1" bottom="1" header="0.5" footer="0.5"/>
  <pageSetup paperSize="0"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93"/>
  <sheetViews>
    <sheetView tabSelected="1" topLeftCell="A30" zoomScaleNormal="100" workbookViewId="0">
      <pane xSplit="1" topLeftCell="B1" activePane="topRight" state="frozen"/>
      <selection pane="topRight" activeCell="E53" sqref="E53"/>
    </sheetView>
  </sheetViews>
  <sheetFormatPr defaultColWidth="11" defaultRowHeight="12.75"/>
  <cols>
    <col min="1" max="1" width="28.125" customWidth="1"/>
    <col min="2" max="2" width="14.25" bestFit="1" customWidth="1"/>
    <col min="3" max="3" width="15.875" bestFit="1" customWidth="1"/>
    <col min="4" max="17" width="15.125" bestFit="1" customWidth="1"/>
    <col min="18" max="20" width="14.125" bestFit="1" customWidth="1"/>
    <col min="21" max="25" width="12.625" bestFit="1" customWidth="1"/>
    <col min="26" max="27" width="13.25" bestFit="1" customWidth="1"/>
    <col min="28" max="42" width="12.625" bestFit="1" customWidth="1"/>
  </cols>
  <sheetData>
    <row r="1" spans="1:48" ht="15">
      <c r="A1" s="8" t="s">
        <v>199</v>
      </c>
      <c r="B1" s="8"/>
    </row>
    <row r="3" spans="1:48">
      <c r="B3">
        <v>0</v>
      </c>
      <c r="C3">
        <v>1</v>
      </c>
      <c r="D3">
        <v>2</v>
      </c>
      <c r="E3">
        <v>3</v>
      </c>
      <c r="F3">
        <v>4</v>
      </c>
      <c r="G3">
        <v>5</v>
      </c>
      <c r="H3">
        <v>6</v>
      </c>
      <c r="I3">
        <v>7</v>
      </c>
      <c r="J3">
        <v>8</v>
      </c>
      <c r="K3">
        <v>9</v>
      </c>
      <c r="L3">
        <v>10</v>
      </c>
      <c r="M3">
        <v>11</v>
      </c>
      <c r="N3">
        <v>12</v>
      </c>
      <c r="O3">
        <v>13</v>
      </c>
      <c r="P3">
        <v>14</v>
      </c>
      <c r="Q3">
        <v>15</v>
      </c>
      <c r="R3">
        <v>16</v>
      </c>
      <c r="S3">
        <v>17</v>
      </c>
      <c r="T3">
        <v>18</v>
      </c>
      <c r="U3">
        <v>19</v>
      </c>
      <c r="V3">
        <v>20</v>
      </c>
      <c r="W3">
        <v>21</v>
      </c>
      <c r="X3">
        <v>22</v>
      </c>
      <c r="Y3">
        <v>23</v>
      </c>
      <c r="Z3">
        <v>24</v>
      </c>
      <c r="AA3">
        <v>25</v>
      </c>
      <c r="AB3">
        <v>26</v>
      </c>
      <c r="AC3">
        <v>27</v>
      </c>
      <c r="AD3">
        <v>28</v>
      </c>
      <c r="AE3">
        <v>29</v>
      </c>
      <c r="AF3">
        <v>30</v>
      </c>
      <c r="AG3">
        <v>31</v>
      </c>
      <c r="AH3">
        <v>32</v>
      </c>
      <c r="AI3">
        <v>33</v>
      </c>
      <c r="AJ3">
        <v>34</v>
      </c>
      <c r="AK3">
        <v>35</v>
      </c>
      <c r="AL3">
        <v>36</v>
      </c>
      <c r="AM3">
        <v>37</v>
      </c>
      <c r="AN3">
        <v>38</v>
      </c>
      <c r="AO3">
        <v>39</v>
      </c>
      <c r="AP3">
        <v>40</v>
      </c>
    </row>
    <row r="4" spans="1:48" s="3" customFormat="1">
      <c r="A4" s="9" t="s">
        <v>203</v>
      </c>
      <c r="B4" s="9"/>
    </row>
    <row r="5" spans="1:48">
      <c r="A5" t="s">
        <v>91</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row>
    <row r="6" spans="1:48" s="21" customFormat="1">
      <c r="A6" s="20" t="s">
        <v>219</v>
      </c>
      <c r="B6" s="17">
        <v>0</v>
      </c>
      <c r="C6" s="5">
        <f>IF(AND(C$3&gt;='Proforma Inputs'!$B$44,C59&gt;0),IF(C59&lt;'Proforma Inputs'!$B53,C59,'Proforma Inputs'!$B53),0)</f>
        <v>0</v>
      </c>
      <c r="D6" s="5">
        <f>IF(AND(D$3&gt;='Proforma Inputs'!$B$44,D59&gt;0),IF(D59&lt;'Proforma Inputs'!$B53,D59,'Proforma Inputs'!$B53),0)</f>
        <v>0</v>
      </c>
      <c r="E6" s="5">
        <f>IF(AND(E$3&gt;='Proforma Inputs'!$B$44,E59&gt;0),IF(E59&lt;'Proforma Inputs'!$B53,E59,'Proforma Inputs'!$B53),0)</f>
        <v>0</v>
      </c>
      <c r="F6" s="5">
        <f>IF(AND(F$3&gt;='Proforma Inputs'!$B$44,F59&gt;0),IF(F59&lt;'Proforma Inputs'!$B53,F59,'Proforma Inputs'!$B53),0)</f>
        <v>0</v>
      </c>
      <c r="G6" s="5">
        <f>IF(AND(G$3&gt;='Proforma Inputs'!$B$44,G59&gt;0),IF(G59&lt;'Proforma Inputs'!$B53,G59,'Proforma Inputs'!$B53),0)</f>
        <v>250000</v>
      </c>
      <c r="H6" s="5">
        <f>IF(AND(H$3&gt;='Proforma Inputs'!$B$44,H59&gt;0),IF(H59&lt;'Proforma Inputs'!$B53,H59,'Proforma Inputs'!$B53),0)</f>
        <v>250000</v>
      </c>
      <c r="I6" s="5">
        <f>IF(AND(I$3&gt;='Proforma Inputs'!$B$44,I59&gt;0),IF(I59&lt;'Proforma Inputs'!$B53,I59,'Proforma Inputs'!$B53),0)</f>
        <v>250000</v>
      </c>
      <c r="J6" s="5">
        <f>IF(AND(J$3&gt;='Proforma Inputs'!$B$44,J59&gt;0),IF(J59&lt;'Proforma Inputs'!$B53,J59,'Proforma Inputs'!$B53),0)</f>
        <v>250000</v>
      </c>
      <c r="K6" s="5">
        <f>IF(AND(K$3&gt;='Proforma Inputs'!$B$44,K59&gt;0),IF(K59&lt;'Proforma Inputs'!$B53,K59,'Proforma Inputs'!$B53),0)</f>
        <v>250000</v>
      </c>
      <c r="L6" s="5">
        <f>IF(AND(L$3&gt;='Proforma Inputs'!$B$44,L59&gt;0),IF(L59&lt;'Proforma Inputs'!$B53,L59,'Proforma Inputs'!$B53),0)</f>
        <v>250000</v>
      </c>
      <c r="M6" s="5">
        <f>IF(AND(M$3&gt;='Proforma Inputs'!$B$44,M59&gt;0),IF(M59&lt;'Proforma Inputs'!$B53,M59,'Proforma Inputs'!$B53),0)</f>
        <v>250000</v>
      </c>
      <c r="N6" s="5">
        <f>IF(AND(N$3&gt;='Proforma Inputs'!$B$44,N59&gt;0),IF(N59&lt;'Proforma Inputs'!$B53,N59,'Proforma Inputs'!$B53),0)</f>
        <v>250000</v>
      </c>
      <c r="O6" s="5">
        <f>IF(AND(O$3&gt;='Proforma Inputs'!$B$44,O59&gt;0),IF(O59&lt;'Proforma Inputs'!$B53,O59,'Proforma Inputs'!$B53),0)</f>
        <v>0</v>
      </c>
      <c r="P6" s="5">
        <f>IF(AND(P$3&gt;='Proforma Inputs'!$B$44,P59&gt;0),IF(P59&lt;'Proforma Inputs'!$B53,P59,'Proforma Inputs'!$B53),0)</f>
        <v>0</v>
      </c>
      <c r="Q6" s="5">
        <f>IF(AND(Q$3&gt;='Proforma Inputs'!$B$44,Q59&gt;0),IF(Q59&lt;'Proforma Inputs'!$B53,Q59,'Proforma Inputs'!$B53),0)</f>
        <v>0</v>
      </c>
      <c r="R6" s="5">
        <f>IF(AND(R$3&gt;='Proforma Inputs'!$B$44,R59&gt;0),IF(R59&lt;'Proforma Inputs'!$B53,R59,'Proforma Inputs'!$B53),0)</f>
        <v>0</v>
      </c>
      <c r="S6" s="5">
        <f>IF(AND(S$3&gt;='Proforma Inputs'!$B$44,S59&gt;0),IF(S59&lt;'Proforma Inputs'!$B53,S59,'Proforma Inputs'!$B53),0)</f>
        <v>0</v>
      </c>
      <c r="T6" s="5">
        <f>IF(AND(T$3&gt;='Proforma Inputs'!$B$44,T59&gt;0),IF(T59&lt;'Proforma Inputs'!$B53,T59,'Proforma Inputs'!$B53),0)</f>
        <v>0</v>
      </c>
      <c r="U6" s="5">
        <f>IF(AND(U$3&gt;='Proforma Inputs'!$B$44,U59&gt;0),IF(U59&lt;'Proforma Inputs'!$B53,U59,'Proforma Inputs'!$B53),0)</f>
        <v>0</v>
      </c>
      <c r="V6" s="5">
        <f>IF(AND(V$3&gt;='Proforma Inputs'!$B$44,V59&gt;0),IF(V59&lt;'Proforma Inputs'!$B53,V59,'Proforma Inputs'!$B53),0)</f>
        <v>0</v>
      </c>
      <c r="W6" s="5">
        <f>IF(AND(W$3&gt;='Proforma Inputs'!$B$44,W59&gt;0),IF(W59&lt;'Proforma Inputs'!$B53,W59,'Proforma Inputs'!$B53),0)</f>
        <v>0</v>
      </c>
      <c r="X6" s="5">
        <f>IF(AND(X$3&gt;='Proforma Inputs'!$B$44,X59&gt;0),IF(X59&lt;'Proforma Inputs'!$B53,X59,'Proforma Inputs'!$B53),0)</f>
        <v>0</v>
      </c>
      <c r="Y6" s="5">
        <f>IF(AND(Y$3&gt;='Proforma Inputs'!$B$44,Y59&gt;0),IF(Y59&lt;'Proforma Inputs'!$B53,Y59,'Proforma Inputs'!$B53),0)</f>
        <v>0</v>
      </c>
      <c r="Z6" s="5">
        <f>IF(AND(Z$3&gt;='Proforma Inputs'!$B$44,Z59&gt;0),IF(Z59&lt;'Proforma Inputs'!$B53,Z59,'Proforma Inputs'!$B53),0)</f>
        <v>0</v>
      </c>
      <c r="AA6" s="5">
        <f>IF(AND(AA$3&gt;='Proforma Inputs'!$B$44,AA59&gt;0),IF(AA59&lt;'Proforma Inputs'!$B53,AA59,'Proforma Inputs'!$B53),0)</f>
        <v>0</v>
      </c>
      <c r="AB6" s="5">
        <f>IF(AND(AB$3&gt;='Proforma Inputs'!$B$44,AB59&gt;0),IF(AB59&lt;'Proforma Inputs'!$B53,AB59,'Proforma Inputs'!$B53),0)</f>
        <v>0</v>
      </c>
      <c r="AC6" s="5">
        <f>IF(AND(AC$3&gt;='Proforma Inputs'!$B$44,AC59&gt;0),IF(AC59&lt;'Proforma Inputs'!$B53,AC59,'Proforma Inputs'!$B53),0)</f>
        <v>0</v>
      </c>
      <c r="AD6" s="5">
        <f>IF(AND(AD$3&gt;='Proforma Inputs'!$B$44,AD59&gt;0),IF(AD59&lt;'Proforma Inputs'!$B53,AD59,'Proforma Inputs'!$B53),0)</f>
        <v>0</v>
      </c>
      <c r="AE6" s="5">
        <f>IF(AND(AE$3&gt;='Proforma Inputs'!$B$44,AE59&gt;0),IF(AE59&lt;'Proforma Inputs'!$B53,AE59,'Proforma Inputs'!$B53),0)</f>
        <v>0</v>
      </c>
      <c r="AF6" s="5">
        <f>IF(AND(AF$3&gt;='Proforma Inputs'!$B$44,AF59&gt;0),IF(AF59&lt;'Proforma Inputs'!$B53,AF59,'Proforma Inputs'!$B53),0)</f>
        <v>0</v>
      </c>
      <c r="AG6" s="5">
        <f>IF(AND(AG$3&gt;='Proforma Inputs'!$B$44,AG59&gt;0),IF(AG59&lt;'Proforma Inputs'!$B53,AG59,'Proforma Inputs'!$B53),0)</f>
        <v>0</v>
      </c>
      <c r="AH6" s="5">
        <f>IF(AND(AH$3&gt;='Proforma Inputs'!$B$44,AH59&gt;0),IF(AH59&lt;'Proforma Inputs'!$B53,AH59,'Proforma Inputs'!$B53),0)</f>
        <v>0</v>
      </c>
      <c r="AI6" s="5">
        <f>IF(AND(AI$3&gt;='Proforma Inputs'!$B$44,AI59&gt;0),IF(AI59&lt;'Proforma Inputs'!$B53,AI59,'Proforma Inputs'!$B53),0)</f>
        <v>0</v>
      </c>
      <c r="AJ6" s="5">
        <f>IF(AND(AJ$3&gt;='Proforma Inputs'!$B$44,AJ59&gt;0),IF(AJ59&lt;'Proforma Inputs'!$B53,AJ59,'Proforma Inputs'!$B53),0)</f>
        <v>0</v>
      </c>
      <c r="AK6" s="5">
        <f>IF(AND(AK$3&gt;='Proforma Inputs'!$B$44,AK59&gt;0),IF(AK59&lt;'Proforma Inputs'!$B53,AK59,'Proforma Inputs'!$B53),0)</f>
        <v>0</v>
      </c>
      <c r="AL6" s="5">
        <f>IF(AND(AL$3&gt;='Proforma Inputs'!$B$44,AL59&gt;0),IF(AL59&lt;'Proforma Inputs'!$B53,AL59,'Proforma Inputs'!$B53),0)</f>
        <v>0</v>
      </c>
      <c r="AM6" s="5">
        <f>IF(AND(AM$3&gt;='Proforma Inputs'!$B$44,AM59&gt;0),IF(AM59&lt;'Proforma Inputs'!$B53,AM59,'Proforma Inputs'!$B53),0)</f>
        <v>0</v>
      </c>
      <c r="AN6" s="5">
        <f>IF(AND(AN$3&gt;='Proforma Inputs'!$B$44,AN59&gt;0),IF(AN59&lt;'Proforma Inputs'!$B53,AN59,'Proforma Inputs'!$B53),0)</f>
        <v>0</v>
      </c>
      <c r="AO6" s="5">
        <f>IF(AND(AO$3&gt;='Proforma Inputs'!$B$44,AO59&gt;0),IF(AO59&lt;'Proforma Inputs'!$B53,AO59,'Proforma Inputs'!$B53),0)</f>
        <v>0</v>
      </c>
      <c r="AP6" s="5">
        <f>IF(AND(AP$3&gt;='Proforma Inputs'!$B$44,AP59&gt;0),IF(AP59&lt;'Proforma Inputs'!$B53,AP59,'Proforma Inputs'!$B53),0)</f>
        <v>0</v>
      </c>
      <c r="AQ6" s="5"/>
      <c r="AR6" s="5"/>
      <c r="AS6" s="5"/>
      <c r="AT6" s="5"/>
      <c r="AU6" s="5"/>
      <c r="AV6" s="5"/>
    </row>
    <row r="7" spans="1:48" s="21" customFormat="1">
      <c r="A7" s="20" t="s">
        <v>30</v>
      </c>
      <c r="B7" s="17">
        <v>0</v>
      </c>
      <c r="C7" s="5">
        <f>IF(AND(C$3&gt;='Proforma Inputs'!$B$44,C60&gt;0),IF(C60&lt;'Proforma Inputs'!$B54,C60,'Proforma Inputs'!$B54),0)</f>
        <v>0</v>
      </c>
      <c r="D7" s="5">
        <f>IF(AND(D$3&gt;='Proforma Inputs'!$B$44,D60&gt;0),IF(D60&lt;'Proforma Inputs'!$B54,D60,'Proforma Inputs'!$B54),0)</f>
        <v>0</v>
      </c>
      <c r="E7" s="5">
        <f>IF(AND(E$3&gt;='Proforma Inputs'!$B$44,E60&gt;0),IF(E60&lt;'Proforma Inputs'!$B54,E60,'Proforma Inputs'!$B54),0)</f>
        <v>0</v>
      </c>
      <c r="F7" s="5">
        <f>IF(AND(F$3&gt;='Proforma Inputs'!$B$44,F60&gt;0),IF(F60&lt;'Proforma Inputs'!$B54,F60,'Proforma Inputs'!$B54),0)</f>
        <v>0</v>
      </c>
      <c r="G7" s="5">
        <f>IF(AND(G$3&gt;='Proforma Inputs'!$B$44,G60&gt;0),IF(G60&lt;'Proforma Inputs'!$B54,G60,'Proforma Inputs'!$B54),0)</f>
        <v>300000</v>
      </c>
      <c r="H7" s="5">
        <f>IF(AND(H$3&gt;='Proforma Inputs'!$B$44,H60&gt;0),IF(H60&lt;'Proforma Inputs'!$B54,H60,'Proforma Inputs'!$B54),0)</f>
        <v>300000</v>
      </c>
      <c r="I7" s="5">
        <f>IF(AND(I$3&gt;='Proforma Inputs'!$B$44,I60&gt;0),IF(I60&lt;'Proforma Inputs'!$B54,I60,'Proforma Inputs'!$B54),0)</f>
        <v>300000</v>
      </c>
      <c r="J7" s="5">
        <f>IF(AND(J$3&gt;='Proforma Inputs'!$B$44,J60&gt;0),IF(J60&lt;'Proforma Inputs'!$B54,J60,'Proforma Inputs'!$B54),0)</f>
        <v>300000</v>
      </c>
      <c r="K7" s="5">
        <f>IF(AND(K$3&gt;='Proforma Inputs'!$B$44,K60&gt;0),IF(K60&lt;'Proforma Inputs'!$B54,K60,'Proforma Inputs'!$B54),0)</f>
        <v>300000</v>
      </c>
      <c r="L7" s="5">
        <f>IF(AND(L$3&gt;='Proforma Inputs'!$B$44,L60&gt;0),IF(L60&lt;'Proforma Inputs'!$B54,L60,'Proforma Inputs'!$B54),0)</f>
        <v>300000</v>
      </c>
      <c r="M7" s="5">
        <f>IF(AND(M$3&gt;='Proforma Inputs'!$B$44,M60&gt;0),IF(M60&lt;'Proforma Inputs'!$B54,M60,'Proforma Inputs'!$B54),0)</f>
        <v>300000</v>
      </c>
      <c r="N7" s="5">
        <f>IF(AND(N$3&gt;='Proforma Inputs'!$B$44,N60&gt;0),IF(N60&lt;'Proforma Inputs'!$B54,N60,'Proforma Inputs'!$B54),0)</f>
        <v>300000</v>
      </c>
      <c r="O7" s="5">
        <f>IF(AND(O$3&gt;='Proforma Inputs'!$B$44,O60&gt;0),IF(O60&lt;'Proforma Inputs'!$B54,O60,'Proforma Inputs'!$B54),0)</f>
        <v>300000</v>
      </c>
      <c r="P7" s="5">
        <f>IF(AND(P$3&gt;='Proforma Inputs'!$B$44,P60&gt;0),IF(P60&lt;'Proforma Inputs'!$B54,P60,'Proforma Inputs'!$B54),0)</f>
        <v>300000</v>
      </c>
      <c r="Q7" s="5">
        <f>IF(AND(Q$3&gt;='Proforma Inputs'!$B$44,Q60&gt;0),IF(Q60&lt;'Proforma Inputs'!$B54,Q60,'Proforma Inputs'!$B54),0)</f>
        <v>0</v>
      </c>
      <c r="R7" s="5">
        <f>IF(AND(R$3&gt;='Proforma Inputs'!$B$44,R60&gt;0),IF(R60&lt;'Proforma Inputs'!$B54,R60,'Proforma Inputs'!$B54),0)</f>
        <v>0</v>
      </c>
      <c r="S7" s="5">
        <f>IF(AND(S$3&gt;='Proforma Inputs'!$B$44,S60&gt;0),IF(S60&lt;'Proforma Inputs'!$B54,S60,'Proforma Inputs'!$B54),0)</f>
        <v>0</v>
      </c>
      <c r="T7" s="5">
        <f>IF(AND(T$3&gt;='Proforma Inputs'!$B$44,T60&gt;0),IF(T60&lt;'Proforma Inputs'!$B54,T60,'Proforma Inputs'!$B54),0)</f>
        <v>0</v>
      </c>
      <c r="U7" s="5">
        <f>IF(AND(U$3&gt;='Proforma Inputs'!$B$44,U60&gt;0),IF(U60&lt;'Proforma Inputs'!$B54,U60,'Proforma Inputs'!$B54),0)</f>
        <v>0</v>
      </c>
      <c r="V7" s="5">
        <f>IF(AND(V$3&gt;='Proforma Inputs'!$B$44,V60&gt;0),IF(V60&lt;'Proforma Inputs'!$B54,V60,'Proforma Inputs'!$B54),0)</f>
        <v>0</v>
      </c>
      <c r="W7" s="5">
        <f>IF(AND(W$3&gt;='Proforma Inputs'!$B$44,W60&gt;0),IF(W60&lt;'Proforma Inputs'!$B54,W60,'Proforma Inputs'!$B54),0)</f>
        <v>0</v>
      </c>
      <c r="X7" s="5">
        <f>IF(AND(X$3&gt;='Proforma Inputs'!$B$44,X60&gt;0),IF(X60&lt;'Proforma Inputs'!$B54,X60,'Proforma Inputs'!$B54),0)</f>
        <v>0</v>
      </c>
      <c r="Y7" s="5">
        <f>IF(AND(Y$3&gt;='Proforma Inputs'!$B$44,Y60&gt;0),IF(Y60&lt;'Proforma Inputs'!$B54,Y60,'Proforma Inputs'!$B54),0)</f>
        <v>0</v>
      </c>
      <c r="Z7" s="5">
        <f>IF(AND(Z$3&gt;='Proforma Inputs'!$B$44,Z60&gt;0),IF(Z60&lt;'Proforma Inputs'!$B54,Z60,'Proforma Inputs'!$B54),0)</f>
        <v>0</v>
      </c>
      <c r="AA7" s="5">
        <f>IF(AND(AA$3&gt;='Proforma Inputs'!$B$44,AA60&gt;0),IF(AA60&lt;'Proforma Inputs'!$B54,AA60,'Proforma Inputs'!$B54),0)</f>
        <v>0</v>
      </c>
      <c r="AB7" s="5">
        <f>IF(AND(AB$3&gt;='Proforma Inputs'!$B$44,AB60&gt;0),IF(AB60&lt;'Proforma Inputs'!$B54,AB60,'Proforma Inputs'!$B54),0)</f>
        <v>0</v>
      </c>
      <c r="AC7" s="5">
        <f>IF(AND(AC$3&gt;='Proforma Inputs'!$B$44,AC60&gt;0),IF(AC60&lt;'Proforma Inputs'!$B54,AC60,'Proforma Inputs'!$B54),0)</f>
        <v>0</v>
      </c>
      <c r="AD7" s="5">
        <f>IF(AND(AD$3&gt;='Proforma Inputs'!$B$44,AD60&gt;0),IF(AD60&lt;'Proforma Inputs'!$B54,AD60,'Proforma Inputs'!$B54),0)</f>
        <v>0</v>
      </c>
      <c r="AE7" s="5">
        <f>IF(AND(AE$3&gt;='Proforma Inputs'!$B$44,AE60&gt;0),IF(AE60&lt;'Proforma Inputs'!$B54,AE60,'Proforma Inputs'!$B54),0)</f>
        <v>0</v>
      </c>
      <c r="AF7" s="5">
        <f>IF(AND(AF$3&gt;='Proforma Inputs'!$B$44,AF60&gt;0),IF(AF60&lt;'Proforma Inputs'!$B54,AF60,'Proforma Inputs'!$B54),0)</f>
        <v>0</v>
      </c>
      <c r="AG7" s="5">
        <f>IF(AND(AG$3&gt;='Proforma Inputs'!$B$44,AG60&gt;0),IF(AG60&lt;'Proforma Inputs'!$B54,AG60,'Proforma Inputs'!$B54),0)</f>
        <v>0</v>
      </c>
      <c r="AH7" s="5">
        <f>IF(AND(AH$3&gt;='Proforma Inputs'!$B$44,AH60&gt;0),IF(AH60&lt;'Proforma Inputs'!$B54,AH60,'Proforma Inputs'!$B54),0)</f>
        <v>0</v>
      </c>
      <c r="AI7" s="5">
        <f>IF(AND(AI$3&gt;='Proforma Inputs'!$B$44,AI60&gt;0),IF(AI60&lt;'Proforma Inputs'!$B54,AI60,'Proforma Inputs'!$B54),0)</f>
        <v>0</v>
      </c>
      <c r="AJ7" s="5">
        <f>IF(AND(AJ$3&gt;='Proforma Inputs'!$B$44,AJ60&gt;0),IF(AJ60&lt;'Proforma Inputs'!$B54,AJ60,'Proforma Inputs'!$B54),0)</f>
        <v>0</v>
      </c>
      <c r="AK7" s="5">
        <f>IF(AND(AK$3&gt;='Proforma Inputs'!$B$44,AK60&gt;0),IF(AK60&lt;'Proforma Inputs'!$B54,AK60,'Proforma Inputs'!$B54),0)</f>
        <v>0</v>
      </c>
      <c r="AL7" s="5">
        <f>IF(AND(AL$3&gt;='Proforma Inputs'!$B$44,AL60&gt;0),IF(AL60&lt;'Proforma Inputs'!$B54,AL60,'Proforma Inputs'!$B54),0)</f>
        <v>0</v>
      </c>
      <c r="AM7" s="5">
        <f>IF(AND(AM$3&gt;='Proforma Inputs'!$B$44,AM60&gt;0),IF(AM60&lt;'Proforma Inputs'!$B54,AM60,'Proforma Inputs'!$B54),0)</f>
        <v>0</v>
      </c>
      <c r="AN7" s="5">
        <f>IF(AND(AN$3&gt;='Proforma Inputs'!$B$44,AN60&gt;0),IF(AN60&lt;'Proforma Inputs'!$B54,AN60,'Proforma Inputs'!$B54),0)</f>
        <v>0</v>
      </c>
      <c r="AO7" s="5">
        <f>IF(AND(AO$3&gt;='Proforma Inputs'!$B$44,AO60&gt;0),IF(AO60&lt;'Proforma Inputs'!$B54,AO60,'Proforma Inputs'!$B54),0)</f>
        <v>0</v>
      </c>
      <c r="AP7" s="5">
        <f>IF(AND(AP$3&gt;='Proforma Inputs'!$B$44,AP60&gt;0),IF(AP60&lt;'Proforma Inputs'!$B54,AP60,'Proforma Inputs'!$B54),0)</f>
        <v>0</v>
      </c>
      <c r="AQ7" s="5"/>
      <c r="AR7" s="5"/>
      <c r="AS7" s="5"/>
      <c r="AT7" s="5"/>
      <c r="AU7" s="5"/>
      <c r="AV7" s="5"/>
    </row>
    <row r="8" spans="1:48" s="21" customFormat="1">
      <c r="A8" s="20" t="s">
        <v>31</v>
      </c>
      <c r="B8" s="17">
        <v>0</v>
      </c>
      <c r="C8" s="5">
        <f>IF(AND(C$3&gt;='Proforma Inputs'!$B$44,C61&gt;0),IF(C61&lt;'Proforma Inputs'!$B55,C61,'Proforma Inputs'!$B55),0)</f>
        <v>0</v>
      </c>
      <c r="D8" s="5">
        <f>IF(AND(D$3&gt;='Proforma Inputs'!$B$44,D61&gt;0),IF(D61&lt;'Proforma Inputs'!$B55,D61,'Proforma Inputs'!$B55),0)</f>
        <v>0</v>
      </c>
      <c r="E8" s="5">
        <f>IF(AND(E$3&gt;='Proforma Inputs'!$B$44,E61&gt;0),IF(E61&lt;'Proforma Inputs'!$B55,E61,'Proforma Inputs'!$B55),0)</f>
        <v>0</v>
      </c>
      <c r="F8" s="5">
        <f>IF(AND(F$3&gt;='Proforma Inputs'!$B$44,F61&gt;0),IF(F61&lt;'Proforma Inputs'!$B55,F61,'Proforma Inputs'!$B55),0)</f>
        <v>0</v>
      </c>
      <c r="G8" s="5">
        <f>IF(AND(G$3&gt;='Proforma Inputs'!$B$44,G61&gt;0),IF(G61&lt;'Proforma Inputs'!$B55,G61,'Proforma Inputs'!$B55),0)</f>
        <v>350000</v>
      </c>
      <c r="H8" s="5">
        <f>IF(AND(H$3&gt;='Proforma Inputs'!$B$44,H61&gt;0),IF(H61&lt;'Proforma Inputs'!$B55,H61,'Proforma Inputs'!$B55),0)</f>
        <v>350000</v>
      </c>
      <c r="I8" s="5">
        <f>IF(AND(I$3&gt;='Proforma Inputs'!$B$44,I61&gt;0),IF(I61&lt;'Proforma Inputs'!$B55,I61,'Proforma Inputs'!$B55),0)</f>
        <v>350000</v>
      </c>
      <c r="J8" s="5">
        <f>IF(AND(J$3&gt;='Proforma Inputs'!$B$44,J61&gt;0),IF(J61&lt;'Proforma Inputs'!$B55,J61,'Proforma Inputs'!$B55),0)</f>
        <v>350000</v>
      </c>
      <c r="K8" s="5">
        <f>IF(AND(K$3&gt;='Proforma Inputs'!$B$44,K61&gt;0),IF(K61&lt;'Proforma Inputs'!$B55,K61,'Proforma Inputs'!$B55),0)</f>
        <v>350000</v>
      </c>
      <c r="L8" s="5">
        <f>IF(AND(L$3&gt;='Proforma Inputs'!$B$44,L61&gt;0),IF(L61&lt;'Proforma Inputs'!$B55,L61,'Proforma Inputs'!$B55),0)</f>
        <v>350000</v>
      </c>
      <c r="M8" s="5">
        <f>IF(AND(M$3&gt;='Proforma Inputs'!$B$44,M61&gt;0),IF(M61&lt;'Proforma Inputs'!$B55,M61,'Proforma Inputs'!$B55),0)</f>
        <v>350000</v>
      </c>
      <c r="N8" s="5">
        <f>IF(AND(N$3&gt;='Proforma Inputs'!$B$44,N61&gt;0),IF(N61&lt;'Proforma Inputs'!$B55,N61,'Proforma Inputs'!$B55),0)</f>
        <v>350000</v>
      </c>
      <c r="O8" s="5">
        <f>IF(AND(O$3&gt;='Proforma Inputs'!$B$44,O61&gt;0),IF(O61&lt;'Proforma Inputs'!$B55,O61,'Proforma Inputs'!$B55),0)</f>
        <v>350000</v>
      </c>
      <c r="P8" s="5">
        <f>IF(AND(P$3&gt;='Proforma Inputs'!$B$44,P61&gt;0),IF(P61&lt;'Proforma Inputs'!$B55,P61,'Proforma Inputs'!$B55),0)</f>
        <v>350000</v>
      </c>
      <c r="Q8" s="5">
        <f>IF(AND(Q$3&gt;='Proforma Inputs'!$B$44,Q61&gt;0),IF(Q61&lt;'Proforma Inputs'!$B55,Q61,'Proforma Inputs'!$B55),0)</f>
        <v>350000</v>
      </c>
      <c r="R8" s="5">
        <f>IF(AND(R$3&gt;='Proforma Inputs'!$B$44,R61&gt;0),IF(R61&lt;'Proforma Inputs'!$B55,R61,'Proforma Inputs'!$B55),0)</f>
        <v>150000</v>
      </c>
      <c r="S8" s="5">
        <f>IF(AND(S$3&gt;='Proforma Inputs'!$B$44,S61&gt;0),IF(S61&lt;'Proforma Inputs'!$B55,S61,'Proforma Inputs'!$B55),0)</f>
        <v>0</v>
      </c>
      <c r="T8" s="5">
        <f>IF(AND(T$3&gt;='Proforma Inputs'!$B$44,T61&gt;0),IF(T61&lt;'Proforma Inputs'!$B55,T61,'Proforma Inputs'!$B55),0)</f>
        <v>0</v>
      </c>
      <c r="U8" s="5">
        <f>IF(AND(U$3&gt;='Proforma Inputs'!$B$44,U61&gt;0),IF(U61&lt;'Proforma Inputs'!$B55,U61,'Proforma Inputs'!$B55),0)</f>
        <v>0</v>
      </c>
      <c r="V8" s="5">
        <f>IF(AND(V$3&gt;='Proforma Inputs'!$B$44,V61&gt;0),IF(V61&lt;'Proforma Inputs'!$B55,V61,'Proforma Inputs'!$B55),0)</f>
        <v>0</v>
      </c>
      <c r="W8" s="5">
        <f>IF(AND(W$3&gt;='Proforma Inputs'!$B$44,W61&gt;0),IF(W61&lt;'Proforma Inputs'!$B55,W61,'Proforma Inputs'!$B55),0)</f>
        <v>0</v>
      </c>
      <c r="X8" s="5">
        <f>IF(AND(X$3&gt;='Proforma Inputs'!$B$44,X61&gt;0),IF(X61&lt;'Proforma Inputs'!$B55,X61,'Proforma Inputs'!$B55),0)</f>
        <v>0</v>
      </c>
      <c r="Y8" s="5">
        <f>IF(AND(Y$3&gt;='Proforma Inputs'!$B$44,Y61&gt;0),IF(Y61&lt;'Proforma Inputs'!$B55,Y61,'Proforma Inputs'!$B55),0)</f>
        <v>0</v>
      </c>
      <c r="Z8" s="5">
        <f>IF(AND(Z$3&gt;='Proforma Inputs'!$B$44,Z61&gt;0),IF(Z61&lt;'Proforma Inputs'!$B55,Z61,'Proforma Inputs'!$B55),0)</f>
        <v>0</v>
      </c>
      <c r="AA8" s="5">
        <f>IF(AND(AA$3&gt;='Proforma Inputs'!$B$44,AA61&gt;0),IF(AA61&lt;'Proforma Inputs'!$B55,AA61,'Proforma Inputs'!$B55),0)</f>
        <v>0</v>
      </c>
      <c r="AB8" s="5">
        <f>IF(AND(AB$3&gt;='Proforma Inputs'!$B$44,AB61&gt;0),IF(AB61&lt;'Proforma Inputs'!$B55,AB61,'Proforma Inputs'!$B55),0)</f>
        <v>0</v>
      </c>
      <c r="AC8" s="5">
        <f>IF(AND(AC$3&gt;='Proforma Inputs'!$B$44,AC61&gt;0),IF(AC61&lt;'Proforma Inputs'!$B55,AC61,'Proforma Inputs'!$B55),0)</f>
        <v>0</v>
      </c>
      <c r="AD8" s="5">
        <f>IF(AND(AD$3&gt;='Proforma Inputs'!$B$44,AD61&gt;0),IF(AD61&lt;'Proforma Inputs'!$B55,AD61,'Proforma Inputs'!$B55),0)</f>
        <v>0</v>
      </c>
      <c r="AE8" s="5">
        <f>IF(AND(AE$3&gt;='Proforma Inputs'!$B$44,AE61&gt;0),IF(AE61&lt;'Proforma Inputs'!$B55,AE61,'Proforma Inputs'!$B55),0)</f>
        <v>0</v>
      </c>
      <c r="AF8" s="5">
        <f>IF(AND(AF$3&gt;='Proforma Inputs'!$B$44,AF61&gt;0),IF(AF61&lt;'Proforma Inputs'!$B55,AF61,'Proforma Inputs'!$B55),0)</f>
        <v>0</v>
      </c>
      <c r="AG8" s="5">
        <f>IF(AND(AG$3&gt;='Proforma Inputs'!$B$44,AG61&gt;0),IF(AG61&lt;'Proforma Inputs'!$B55,AG61,'Proforma Inputs'!$B55),0)</f>
        <v>0</v>
      </c>
      <c r="AH8" s="5">
        <f>IF(AND(AH$3&gt;='Proforma Inputs'!$B$44,AH61&gt;0),IF(AH61&lt;'Proforma Inputs'!$B55,AH61,'Proforma Inputs'!$B55),0)</f>
        <v>0</v>
      </c>
      <c r="AI8" s="5">
        <f>IF(AND(AI$3&gt;='Proforma Inputs'!$B$44,AI61&gt;0),IF(AI61&lt;'Proforma Inputs'!$B55,AI61,'Proforma Inputs'!$B55),0)</f>
        <v>0</v>
      </c>
      <c r="AJ8" s="5">
        <f>IF(AND(AJ$3&gt;='Proforma Inputs'!$B$44,AJ61&gt;0),IF(AJ61&lt;'Proforma Inputs'!$B55,AJ61,'Proforma Inputs'!$B55),0)</f>
        <v>0</v>
      </c>
      <c r="AK8" s="5">
        <f>IF(AND(AK$3&gt;='Proforma Inputs'!$B$44,AK61&gt;0),IF(AK61&lt;'Proforma Inputs'!$B55,AK61,'Proforma Inputs'!$B55),0)</f>
        <v>0</v>
      </c>
      <c r="AL8" s="5">
        <f>IF(AND(AL$3&gt;='Proforma Inputs'!$B$44,AL61&gt;0),IF(AL61&lt;'Proforma Inputs'!$B55,AL61,'Proforma Inputs'!$B55),0)</f>
        <v>0</v>
      </c>
      <c r="AM8" s="5">
        <f>IF(AND(AM$3&gt;='Proforma Inputs'!$B$44,AM61&gt;0),IF(AM61&lt;'Proforma Inputs'!$B55,AM61,'Proforma Inputs'!$B55),0)</f>
        <v>0</v>
      </c>
      <c r="AN8" s="5">
        <f>IF(AND(AN$3&gt;='Proforma Inputs'!$B$44,AN61&gt;0),IF(AN61&lt;'Proforma Inputs'!$B55,AN61,'Proforma Inputs'!$B55),0)</f>
        <v>0</v>
      </c>
      <c r="AO8" s="5">
        <f>IF(AND(AO$3&gt;='Proforma Inputs'!$B$44,AO61&gt;0),IF(AO61&lt;'Proforma Inputs'!$B55,AO61,'Proforma Inputs'!$B55),0)</f>
        <v>0</v>
      </c>
      <c r="AP8" s="5">
        <f>IF(AND(AP$3&gt;='Proforma Inputs'!$B$44,AP61&gt;0),IF(AP61&lt;'Proforma Inputs'!$B55,AP61,'Proforma Inputs'!$B55),0)</f>
        <v>0</v>
      </c>
      <c r="AQ8" s="5"/>
      <c r="AR8" s="5"/>
      <c r="AS8" s="5"/>
      <c r="AT8" s="5"/>
      <c r="AU8" s="5"/>
      <c r="AV8" s="5"/>
    </row>
    <row r="9" spans="1:48" s="26" customFormat="1">
      <c r="A9" s="24" t="s">
        <v>32</v>
      </c>
      <c r="B9" s="22">
        <v>0</v>
      </c>
      <c r="C9" s="25">
        <f>IF(AND(C$3&gt;='Proforma Inputs'!$B$44,C62&gt;0),IF(C62&lt;'Proforma Inputs'!$B56,C62,'Proforma Inputs'!$B56),0)</f>
        <v>0</v>
      </c>
      <c r="D9" s="25">
        <f>IF(AND(D$3&gt;='Proforma Inputs'!$B$44,D62&gt;0),IF(D62&lt;'Proforma Inputs'!$B56,D62,'Proforma Inputs'!$B56),0)</f>
        <v>0</v>
      </c>
      <c r="E9" s="25">
        <f>IF(AND(E$3&gt;='Proforma Inputs'!$B$44,E62&gt;0),IF(E62&lt;'Proforma Inputs'!$B56,E62,'Proforma Inputs'!$B56),0)</f>
        <v>0</v>
      </c>
      <c r="F9" s="25">
        <f>IF(AND(F$3&gt;='Proforma Inputs'!$B$44,F62&gt;0),IF(F62&lt;'Proforma Inputs'!$B56,F62,'Proforma Inputs'!$B56),0)</f>
        <v>0</v>
      </c>
      <c r="G9" s="25">
        <f>IF(AND(G$3&gt;='Proforma Inputs'!$B$44,G62&gt;0),IF(G62&lt;'Proforma Inputs'!$B56,G62,'Proforma Inputs'!$B56),0)</f>
        <v>400000</v>
      </c>
      <c r="H9" s="25">
        <f>IF(AND(H$3&gt;='Proforma Inputs'!$B$44,H62&gt;0),IF(H62&lt;'Proforma Inputs'!$B56,H62,'Proforma Inputs'!$B56),0)</f>
        <v>400000</v>
      </c>
      <c r="I9" s="25">
        <f>IF(AND(I$3&gt;='Proforma Inputs'!$B$44,I62&gt;0),IF(I62&lt;'Proforma Inputs'!$B56,I62,'Proforma Inputs'!$B56),0)</f>
        <v>400000</v>
      </c>
      <c r="J9" s="25">
        <f>IF(AND(J$3&gt;='Proforma Inputs'!$B$44,J62&gt;0),IF(J62&lt;'Proforma Inputs'!$B56,J62,'Proforma Inputs'!$B56),0)</f>
        <v>400000</v>
      </c>
      <c r="K9" s="25">
        <f>IF(AND(K$3&gt;='Proforma Inputs'!$B$44,K62&gt;0),IF(K62&lt;'Proforma Inputs'!$B56,K62,'Proforma Inputs'!$B56),0)</f>
        <v>400000</v>
      </c>
      <c r="L9" s="25">
        <f>IF(AND(L$3&gt;='Proforma Inputs'!$B$44,L62&gt;0),IF(L62&lt;'Proforma Inputs'!$B56,L62,'Proforma Inputs'!$B56),0)</f>
        <v>400000</v>
      </c>
      <c r="M9" s="25">
        <f>IF(AND(M$3&gt;='Proforma Inputs'!$B$44,M62&gt;0),IF(M62&lt;'Proforma Inputs'!$B56,M62,'Proforma Inputs'!$B56),0)</f>
        <v>400000</v>
      </c>
      <c r="N9" s="25">
        <f>IF(AND(N$3&gt;='Proforma Inputs'!$B$44,N62&gt;0),IF(N62&lt;'Proforma Inputs'!$B56,N62,'Proforma Inputs'!$B56),0)</f>
        <v>400000</v>
      </c>
      <c r="O9" s="25">
        <f>IF(AND(O$3&gt;='Proforma Inputs'!$B$44,O62&gt;0),IF(O62&lt;'Proforma Inputs'!$B56,O62,'Proforma Inputs'!$B56),0)</f>
        <v>400000</v>
      </c>
      <c r="P9" s="25">
        <f>IF(AND(P$3&gt;='Proforma Inputs'!$B$44,P62&gt;0),IF(P62&lt;'Proforma Inputs'!$B56,P62,'Proforma Inputs'!$B56),0)</f>
        <v>400000</v>
      </c>
      <c r="Q9" s="25">
        <f>IF(AND(Q$3&gt;='Proforma Inputs'!$B$44,Q62&gt;0),IF(Q62&lt;'Proforma Inputs'!$B56,Q62,'Proforma Inputs'!$B56),0)</f>
        <v>400000</v>
      </c>
      <c r="R9" s="25">
        <f>IF(AND(R$3&gt;='Proforma Inputs'!$B$44,R62&gt;0),IF(R62&lt;'Proforma Inputs'!$B56,R62,'Proforma Inputs'!$B56),0)</f>
        <v>400000</v>
      </c>
      <c r="S9" s="25">
        <f>IF(AND(S$3&gt;='Proforma Inputs'!$B$44,S62&gt;0),IF(S62&lt;'Proforma Inputs'!$B56,S62,'Proforma Inputs'!$B56),0)</f>
        <v>200000</v>
      </c>
      <c r="T9" s="25">
        <f>IF(AND(T$3&gt;='Proforma Inputs'!$B$44,T62&gt;0),IF(T62&lt;'Proforma Inputs'!$B56,T62,'Proforma Inputs'!$B56),0)</f>
        <v>0</v>
      </c>
      <c r="U9" s="25">
        <f>IF(AND(U$3&gt;='Proforma Inputs'!$B$44,U62&gt;0),IF(U62&lt;'Proforma Inputs'!$B56,U62,'Proforma Inputs'!$B56),0)</f>
        <v>0</v>
      </c>
      <c r="V9" s="25">
        <f>IF(AND(V$3&gt;='Proforma Inputs'!$B$44,V62&gt;0),IF(V62&lt;'Proforma Inputs'!$B56,V62,'Proforma Inputs'!$B56),0)</f>
        <v>0</v>
      </c>
      <c r="W9" s="25">
        <f>IF(AND(W$3&gt;='Proforma Inputs'!$B$44,W62&gt;0),IF(W62&lt;'Proforma Inputs'!$B56,W62,'Proforma Inputs'!$B56),0)</f>
        <v>0</v>
      </c>
      <c r="X9" s="25">
        <f>IF(AND(X$3&gt;='Proforma Inputs'!$B$44,X62&gt;0),IF(X62&lt;'Proforma Inputs'!$B56,X62,'Proforma Inputs'!$B56),0)</f>
        <v>0</v>
      </c>
      <c r="Y9" s="25">
        <f>IF(AND(Y$3&gt;='Proforma Inputs'!$B$44,Y62&gt;0),IF(Y62&lt;'Proforma Inputs'!$B56,Y62,'Proforma Inputs'!$B56),0)</f>
        <v>0</v>
      </c>
      <c r="Z9" s="25">
        <f>IF(AND(Z$3&gt;='Proforma Inputs'!$B$44,Z62&gt;0),IF(Z62&lt;'Proforma Inputs'!$B56,Z62,'Proforma Inputs'!$B56),0)</f>
        <v>0</v>
      </c>
      <c r="AA9" s="25">
        <f>IF(AND(AA$3&gt;='Proforma Inputs'!$B$44,AA62&gt;0),IF(AA62&lt;'Proforma Inputs'!$B56,AA62,'Proforma Inputs'!$B56),0)</f>
        <v>0</v>
      </c>
      <c r="AB9" s="25">
        <f>IF(AND(AB$3&gt;='Proforma Inputs'!$B$44,AB62&gt;0),IF(AB62&lt;'Proforma Inputs'!$B56,AB62,'Proforma Inputs'!$B56),0)</f>
        <v>0</v>
      </c>
      <c r="AC9" s="25">
        <f>IF(AND(AC$3&gt;='Proforma Inputs'!$B$44,AC62&gt;0),IF(AC62&lt;'Proforma Inputs'!$B56,AC62,'Proforma Inputs'!$B56),0)</f>
        <v>0</v>
      </c>
      <c r="AD9" s="25">
        <f>IF(AND(AD$3&gt;='Proforma Inputs'!$B$44,AD62&gt;0),IF(AD62&lt;'Proforma Inputs'!$B56,AD62,'Proforma Inputs'!$B56),0)</f>
        <v>0</v>
      </c>
      <c r="AE9" s="25">
        <f>IF(AND(AE$3&gt;='Proforma Inputs'!$B$44,AE62&gt;0),IF(AE62&lt;'Proforma Inputs'!$B56,AE62,'Proforma Inputs'!$B56),0)</f>
        <v>0</v>
      </c>
      <c r="AF9" s="25">
        <f>IF(AND(AF$3&gt;='Proforma Inputs'!$B$44,AF62&gt;0),IF(AF62&lt;'Proforma Inputs'!$B56,AF62,'Proforma Inputs'!$B56),0)</f>
        <v>0</v>
      </c>
      <c r="AG9" s="25">
        <f>IF(AND(AG$3&gt;='Proforma Inputs'!$B$44,AG62&gt;0),IF(AG62&lt;'Proforma Inputs'!$B56,AG62,'Proforma Inputs'!$B56),0)</f>
        <v>0</v>
      </c>
      <c r="AH9" s="25">
        <f>IF(AND(AH$3&gt;='Proforma Inputs'!$B$44,AH62&gt;0),IF(AH62&lt;'Proforma Inputs'!$B56,AH62,'Proforma Inputs'!$B56),0)</f>
        <v>0</v>
      </c>
      <c r="AI9" s="25">
        <f>IF(AND(AI$3&gt;='Proforma Inputs'!$B$44,AI62&gt;0),IF(AI62&lt;'Proforma Inputs'!$B56,AI62,'Proforma Inputs'!$B56),0)</f>
        <v>0</v>
      </c>
      <c r="AJ9" s="25">
        <f>IF(AND(AJ$3&gt;='Proforma Inputs'!$B$44,AJ62&gt;0),IF(AJ62&lt;'Proforma Inputs'!$B56,AJ62,'Proforma Inputs'!$B56),0)</f>
        <v>0</v>
      </c>
      <c r="AK9" s="25">
        <f>IF(AND(AK$3&gt;='Proforma Inputs'!$B$44,AK62&gt;0),IF(AK62&lt;'Proforma Inputs'!$B56,AK62,'Proforma Inputs'!$B56),0)</f>
        <v>0</v>
      </c>
      <c r="AL9" s="25">
        <f>IF(AND(AL$3&gt;='Proforma Inputs'!$B$44,AL62&gt;0),IF(AL62&lt;'Proforma Inputs'!$B56,AL62,'Proforma Inputs'!$B56),0)</f>
        <v>0</v>
      </c>
      <c r="AM9" s="25">
        <f>IF(AND(AM$3&gt;='Proforma Inputs'!$B$44,AM62&gt;0),IF(AM62&lt;'Proforma Inputs'!$B56,AM62,'Proforma Inputs'!$B56),0)</f>
        <v>0</v>
      </c>
      <c r="AN9" s="25">
        <f>IF(AND(AN$3&gt;='Proforma Inputs'!$B$44,AN62&gt;0),IF(AN62&lt;'Proforma Inputs'!$B56,AN62,'Proforma Inputs'!$B56),0)</f>
        <v>0</v>
      </c>
      <c r="AO9" s="25">
        <f>IF(AND(AO$3&gt;='Proforma Inputs'!$B$44,AO62&gt;0),IF(AO62&lt;'Proforma Inputs'!$B56,AO62,'Proforma Inputs'!$B56),0)</f>
        <v>0</v>
      </c>
      <c r="AP9" s="25">
        <f>IF(AND(AP$3&gt;='Proforma Inputs'!$B$44,AP62&gt;0),IF(AP62&lt;'Proforma Inputs'!$B56,AP62,'Proforma Inputs'!$B56),0)</f>
        <v>0</v>
      </c>
      <c r="AQ9" s="25"/>
      <c r="AR9" s="25"/>
      <c r="AS9" s="25"/>
      <c r="AT9" s="25"/>
      <c r="AU9" s="25"/>
      <c r="AV9" s="25"/>
    </row>
    <row r="10" spans="1:48">
      <c r="A10" t="s">
        <v>94</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row>
    <row r="11" spans="1:48" s="21" customFormat="1">
      <c r="A11" s="20" t="s">
        <v>219</v>
      </c>
      <c r="B11" s="17">
        <v>0</v>
      </c>
      <c r="C11" s="5">
        <f>IF(AND(C$3&gt;='Proforma Inputs'!$B$44,C64&gt;0),IF(C64&lt;'Proforma Inputs'!$B65,C64,'Proforma Inputs'!$B65),0)</f>
        <v>0</v>
      </c>
      <c r="D11" s="5">
        <f>IF(AND(D$3&gt;='Proforma Inputs'!$B$44,D64&gt;0),IF(D64&lt;'Proforma Inputs'!$B65,D64,'Proforma Inputs'!$B65),0)</f>
        <v>0</v>
      </c>
      <c r="E11" s="5">
        <f>IF(AND(E$3&gt;='Proforma Inputs'!$B$44,E64&gt;0),IF(E64&lt;'Proforma Inputs'!$B65,E64,'Proforma Inputs'!$B65),0)</f>
        <v>0</v>
      </c>
      <c r="F11" s="5">
        <f>IF(AND(F$3&gt;='Proforma Inputs'!$B$44,F64&gt;0),IF(F64&lt;'Proforma Inputs'!$B65,F64,'Proforma Inputs'!$B65),0)</f>
        <v>0</v>
      </c>
      <c r="G11" s="5">
        <f>IF(AND(G$3&gt;='Proforma Inputs'!$B$44,G64&gt;0),IF(G64&lt;'Proforma Inputs'!$B65,G64,'Proforma Inputs'!$B65),0)</f>
        <v>0</v>
      </c>
      <c r="H11" s="5">
        <f>IF(AND(H$3&gt;='Proforma Inputs'!$B$44,H64&gt;0),IF(H64&lt;'Proforma Inputs'!$B65,H64,'Proforma Inputs'!$B65),0)</f>
        <v>0</v>
      </c>
      <c r="I11" s="5">
        <f>IF(AND(I$3&gt;='Proforma Inputs'!$B$44,I64&gt;0),IF(I64&lt;'Proforma Inputs'!$B65,I64,'Proforma Inputs'!$B65),0)</f>
        <v>0</v>
      </c>
      <c r="J11" s="5">
        <f>IF(AND(J$3&gt;='Proforma Inputs'!$B$44,J64&gt;0),IF(J64&lt;'Proforma Inputs'!$B65,J64,'Proforma Inputs'!$B65),0)</f>
        <v>0</v>
      </c>
      <c r="K11" s="5">
        <f>IF(AND(K$3&gt;='Proforma Inputs'!$B$44,K64&gt;0),IF(K64&lt;'Proforma Inputs'!$B65,K64,'Proforma Inputs'!$B65),0)</f>
        <v>0</v>
      </c>
      <c r="L11" s="5">
        <f>IF(AND(L$3&gt;='Proforma Inputs'!$B$44,L64&gt;0),IF(L64&lt;'Proforma Inputs'!$B65,L64,'Proforma Inputs'!$B65),0)</f>
        <v>0</v>
      </c>
      <c r="M11" s="5">
        <f>IF(AND(M$3&gt;='Proforma Inputs'!$B$44,M64&gt;0),IF(M64&lt;'Proforma Inputs'!$B65,M64,'Proforma Inputs'!$B65),0)</f>
        <v>0</v>
      </c>
      <c r="N11" s="5">
        <f>IF(AND(N$3&gt;='Proforma Inputs'!$B$44,N64&gt;0),IF(N64&lt;'Proforma Inputs'!$B65,N64,'Proforma Inputs'!$B65),0)</f>
        <v>0</v>
      </c>
      <c r="O11" s="5">
        <f>IF(AND(O$3&gt;='Proforma Inputs'!$B$44,O64&gt;0),IF(O64&lt;'Proforma Inputs'!$B65,O64,'Proforma Inputs'!$B65),0)</f>
        <v>0</v>
      </c>
      <c r="P11" s="5">
        <f>IF(AND(P$3&gt;='Proforma Inputs'!$B$44,P64&gt;0),IF(P64&lt;'Proforma Inputs'!$B65,P64,'Proforma Inputs'!$B65),0)</f>
        <v>0</v>
      </c>
      <c r="Q11" s="5">
        <f>IF(AND(Q$3&gt;='Proforma Inputs'!$B$44,Q64&gt;0),IF(Q64&lt;'Proforma Inputs'!$B65,Q64,'Proforma Inputs'!$B65),0)</f>
        <v>0</v>
      </c>
      <c r="R11" s="5">
        <f>IF(AND(R$3&gt;='Proforma Inputs'!$B$44,R64&gt;0),IF(R64&lt;'Proforma Inputs'!$B65,R64,'Proforma Inputs'!$B65),0)</f>
        <v>0</v>
      </c>
      <c r="S11" s="5">
        <f>IF(AND(S$3&gt;='Proforma Inputs'!$B$44,S64&gt;0),IF(S64&lt;'Proforma Inputs'!$B65,S64,'Proforma Inputs'!$B65),0)</f>
        <v>0</v>
      </c>
      <c r="T11" s="5">
        <f>IF(AND(T$3&gt;='Proforma Inputs'!$B$44,T64&gt;0),IF(T64&lt;'Proforma Inputs'!$B65,T64,'Proforma Inputs'!$B65),0)</f>
        <v>0</v>
      </c>
      <c r="U11" s="5">
        <f>IF(AND(U$3&gt;='Proforma Inputs'!$B$44,U64&gt;0),IF(U64&lt;'Proforma Inputs'!$B65,U64,'Proforma Inputs'!$B65),0)</f>
        <v>0</v>
      </c>
      <c r="V11" s="5">
        <f>IF(AND(V$3&gt;='Proforma Inputs'!$B$44,V64&gt;0),IF(V64&lt;'Proforma Inputs'!$B65,V64,'Proforma Inputs'!$B65),0)</f>
        <v>0</v>
      </c>
      <c r="W11" s="5">
        <f>IF(AND(W$3&gt;='Proforma Inputs'!$B$44,W64&gt;0),IF(W64&lt;'Proforma Inputs'!$B65,W64,'Proforma Inputs'!$B65),0)</f>
        <v>0</v>
      </c>
      <c r="X11" s="5">
        <f>IF(AND(X$3&gt;='Proforma Inputs'!$B$44,X64&gt;0),IF(X64&lt;'Proforma Inputs'!$B65,X64,'Proforma Inputs'!$B65),0)</f>
        <v>0</v>
      </c>
      <c r="Y11" s="5">
        <f>IF(AND(Y$3&gt;='Proforma Inputs'!$B$44,Y64&gt;0),IF(Y64&lt;'Proforma Inputs'!$B65,Y64,'Proforma Inputs'!$B65),0)</f>
        <v>0</v>
      </c>
      <c r="Z11" s="5">
        <f>IF(AND(Z$3&gt;='Proforma Inputs'!$B$44,Z64&gt;0),IF(Z64&lt;'Proforma Inputs'!$B65,Z64,'Proforma Inputs'!$B65),0)</f>
        <v>0</v>
      </c>
      <c r="AA11" s="5">
        <f>IF(AND(AA$3&gt;='Proforma Inputs'!$B$44,AA64&gt;0),IF(AA64&lt;'Proforma Inputs'!$B65,AA64,'Proforma Inputs'!$B65),0)</f>
        <v>0</v>
      </c>
      <c r="AB11" s="5">
        <f>IF(AND(AB$3&gt;='Proforma Inputs'!$B$44,AB64&gt;0),IF(AB64&lt;'Proforma Inputs'!$B65,AB64,'Proforma Inputs'!$B65),0)</f>
        <v>0</v>
      </c>
      <c r="AC11" s="5">
        <f>IF(AND(AC$3&gt;='Proforma Inputs'!$B$44,AC64&gt;0),IF(AC64&lt;'Proforma Inputs'!$B65,AC64,'Proforma Inputs'!$B65),0)</f>
        <v>0</v>
      </c>
      <c r="AD11" s="5">
        <f>IF(AND(AD$3&gt;='Proforma Inputs'!$B$44,AD64&gt;0),IF(AD64&lt;'Proforma Inputs'!$B65,AD64,'Proforma Inputs'!$B65),0)</f>
        <v>0</v>
      </c>
      <c r="AE11" s="5">
        <f>IF(AND(AE$3&gt;='Proforma Inputs'!$B$44,AE64&gt;0),IF(AE64&lt;'Proforma Inputs'!$B65,AE64,'Proforma Inputs'!$B65),0)</f>
        <v>0</v>
      </c>
      <c r="AF11" s="5">
        <f>IF(AND(AF$3&gt;='Proforma Inputs'!$B$44,AF64&gt;0),IF(AF64&lt;'Proforma Inputs'!$B65,AF64,'Proforma Inputs'!$B65),0)</f>
        <v>0</v>
      </c>
      <c r="AG11" s="5">
        <f>IF(AND(AG$3&gt;='Proforma Inputs'!$B$44,AG64&gt;0),IF(AG64&lt;'Proforma Inputs'!$B65,AG64,'Proforma Inputs'!$B65),0)</f>
        <v>0</v>
      </c>
      <c r="AH11" s="5">
        <f>IF(AND(AH$3&gt;='Proforma Inputs'!$B$44,AH64&gt;0),IF(AH64&lt;'Proforma Inputs'!$B65,AH64,'Proforma Inputs'!$B65),0)</f>
        <v>0</v>
      </c>
      <c r="AI11" s="5">
        <f>IF(AND(AI$3&gt;='Proforma Inputs'!$B$44,AI64&gt;0),IF(AI64&lt;'Proforma Inputs'!$B65,AI64,'Proforma Inputs'!$B65),0)</f>
        <v>0</v>
      </c>
      <c r="AJ11" s="5">
        <f>IF(AND(AJ$3&gt;='Proforma Inputs'!$B$44,AJ64&gt;0),IF(AJ64&lt;'Proforma Inputs'!$B65,AJ64,'Proforma Inputs'!$B65),0)</f>
        <v>0</v>
      </c>
      <c r="AK11" s="5">
        <f>IF(AND(AK$3&gt;='Proforma Inputs'!$B$44,AK64&gt;0),IF(AK64&lt;'Proforma Inputs'!$B65,AK64,'Proforma Inputs'!$B65),0)</f>
        <v>0</v>
      </c>
      <c r="AL11" s="5">
        <f>IF(AND(AL$3&gt;='Proforma Inputs'!$B$44,AL64&gt;0),IF(AL64&lt;'Proforma Inputs'!$B65,AL64,'Proforma Inputs'!$B65),0)</f>
        <v>0</v>
      </c>
      <c r="AM11" s="5">
        <f>IF(AND(AM$3&gt;='Proforma Inputs'!$B$44,AM64&gt;0),IF(AM64&lt;'Proforma Inputs'!$B65,AM64,'Proforma Inputs'!$B65),0)</f>
        <v>0</v>
      </c>
      <c r="AN11" s="5">
        <f>IF(AND(AN$3&gt;='Proforma Inputs'!$B$44,AN64&gt;0),IF(AN64&lt;'Proforma Inputs'!$B65,AN64,'Proforma Inputs'!$B65),0)</f>
        <v>0</v>
      </c>
      <c r="AO11" s="5">
        <f>IF(AND(AO$3&gt;='Proforma Inputs'!$B$44,AO64&gt;0),IF(AO64&lt;'Proforma Inputs'!$B65,AO64,'Proforma Inputs'!$B65),0)</f>
        <v>0</v>
      </c>
      <c r="AP11" s="5">
        <f>IF(AND(AP$3&gt;='Proforma Inputs'!$B$44,AP64&gt;0),IF(AP64&lt;'Proforma Inputs'!$B65,AP64,'Proforma Inputs'!$B65),0)</f>
        <v>0</v>
      </c>
      <c r="AQ11" s="5"/>
      <c r="AR11" s="5"/>
      <c r="AS11" s="5"/>
      <c r="AT11" s="5"/>
      <c r="AU11" s="5"/>
      <c r="AV11" s="5"/>
    </row>
    <row r="12" spans="1:48" s="21" customFormat="1">
      <c r="A12" s="20" t="s">
        <v>30</v>
      </c>
      <c r="B12" s="17">
        <v>0</v>
      </c>
      <c r="C12" s="5">
        <f>IF(AND(C$3&gt;='Proforma Inputs'!$B$44,C65&gt;0),IF(C65&lt;'Proforma Inputs'!$B66,C65,'Proforma Inputs'!$B66),0)</f>
        <v>0</v>
      </c>
      <c r="D12" s="5">
        <f>IF(AND(D$3&gt;='Proforma Inputs'!$B$44,D65&gt;0),IF(D65&lt;'Proforma Inputs'!$B66,D65,'Proforma Inputs'!$B66),0)</f>
        <v>0</v>
      </c>
      <c r="E12" s="5">
        <f>IF(AND(E$3&gt;='Proforma Inputs'!$B$44,E65&gt;0),IF(E65&lt;'Proforma Inputs'!$B66,E65,'Proforma Inputs'!$B66),0)</f>
        <v>0</v>
      </c>
      <c r="F12" s="5">
        <f>IF(AND(F$3&gt;='Proforma Inputs'!$B$44,F65&gt;0),IF(F65&lt;'Proforma Inputs'!$B66,F65,'Proforma Inputs'!$B66),0)</f>
        <v>0</v>
      </c>
      <c r="G12" s="5">
        <f>IF(AND(G$3&gt;='Proforma Inputs'!$B$44,G65&gt;0),IF(G65&lt;'Proforma Inputs'!$B66,G65,'Proforma Inputs'!$B66),0)</f>
        <v>0</v>
      </c>
      <c r="H12" s="5">
        <f>IF(AND(H$3&gt;='Proforma Inputs'!$B$44,H65&gt;0),IF(H65&lt;'Proforma Inputs'!$B66,H65,'Proforma Inputs'!$B66),0)</f>
        <v>0</v>
      </c>
      <c r="I12" s="5">
        <f>IF(AND(I$3&gt;='Proforma Inputs'!$B$44,I65&gt;0),IF(I65&lt;'Proforma Inputs'!$B66,I65,'Proforma Inputs'!$B66),0)</f>
        <v>0</v>
      </c>
      <c r="J12" s="5">
        <f>IF(AND(J$3&gt;='Proforma Inputs'!$B$44,J65&gt;0),IF(J65&lt;'Proforma Inputs'!$B66,J65,'Proforma Inputs'!$B66),0)</f>
        <v>0</v>
      </c>
      <c r="K12" s="5">
        <f>IF(AND(K$3&gt;='Proforma Inputs'!$B$44,K65&gt;0),IF(K65&lt;'Proforma Inputs'!$B66,K65,'Proforma Inputs'!$B66),0)</f>
        <v>0</v>
      </c>
      <c r="L12" s="5">
        <f>IF(AND(L$3&gt;='Proforma Inputs'!$B$44,L65&gt;0),IF(L65&lt;'Proforma Inputs'!$B66,L65,'Proforma Inputs'!$B66),0)</f>
        <v>0</v>
      </c>
      <c r="M12" s="5">
        <f>IF(AND(M$3&gt;='Proforma Inputs'!$B$44,M65&gt;0),IF(M65&lt;'Proforma Inputs'!$B66,M65,'Proforma Inputs'!$B66),0)</f>
        <v>0</v>
      </c>
      <c r="N12" s="5">
        <f>IF(AND(N$3&gt;='Proforma Inputs'!$B$44,N65&gt;0),IF(N65&lt;'Proforma Inputs'!$B66,N65,'Proforma Inputs'!$B66),0)</f>
        <v>0</v>
      </c>
      <c r="O12" s="5">
        <f>IF(AND(O$3&gt;='Proforma Inputs'!$B$44,O65&gt;0),IF(O65&lt;'Proforma Inputs'!$B66,O65,'Proforma Inputs'!$B66),0)</f>
        <v>0</v>
      </c>
      <c r="P12" s="5">
        <f>IF(AND(P$3&gt;='Proforma Inputs'!$B$44,P65&gt;0),IF(P65&lt;'Proforma Inputs'!$B66,P65,'Proforma Inputs'!$B66),0)</f>
        <v>0</v>
      </c>
      <c r="Q12" s="5">
        <f>IF(AND(Q$3&gt;='Proforma Inputs'!$B$44,Q65&gt;0),IF(Q65&lt;'Proforma Inputs'!$B66,Q65,'Proforma Inputs'!$B66),0)</f>
        <v>0</v>
      </c>
      <c r="R12" s="5">
        <f>IF(AND(R$3&gt;='Proforma Inputs'!$B$44,R65&gt;0),IF(R65&lt;'Proforma Inputs'!$B66,R65,'Proforma Inputs'!$B66),0)</f>
        <v>0</v>
      </c>
      <c r="S12" s="5">
        <f>IF(AND(S$3&gt;='Proforma Inputs'!$B$44,S65&gt;0),IF(S65&lt;'Proforma Inputs'!$B66,S65,'Proforma Inputs'!$B66),0)</f>
        <v>0</v>
      </c>
      <c r="T12" s="5">
        <f>IF(AND(T$3&gt;='Proforma Inputs'!$B$44,T65&gt;0),IF(T65&lt;'Proforma Inputs'!$B66,T65,'Proforma Inputs'!$B66),0)</f>
        <v>0</v>
      </c>
      <c r="U12" s="5">
        <f>IF(AND(U$3&gt;='Proforma Inputs'!$B$44,U65&gt;0),IF(U65&lt;'Proforma Inputs'!$B66,U65,'Proforma Inputs'!$B66),0)</f>
        <v>0</v>
      </c>
      <c r="V12" s="5">
        <f>IF(AND(V$3&gt;='Proforma Inputs'!$B$44,V65&gt;0),IF(V65&lt;'Proforma Inputs'!$B66,V65,'Proforma Inputs'!$B66),0)</f>
        <v>0</v>
      </c>
      <c r="W12" s="5">
        <f>IF(AND(W$3&gt;='Proforma Inputs'!$B$44,W65&gt;0),IF(W65&lt;'Proforma Inputs'!$B66,W65,'Proforma Inputs'!$B66),0)</f>
        <v>0</v>
      </c>
      <c r="X12" s="5">
        <f>IF(AND(X$3&gt;='Proforma Inputs'!$B$44,X65&gt;0),IF(X65&lt;'Proforma Inputs'!$B66,X65,'Proforma Inputs'!$B66),0)</f>
        <v>0</v>
      </c>
      <c r="Y12" s="5">
        <f>IF(AND(Y$3&gt;='Proforma Inputs'!$B$44,Y65&gt;0),IF(Y65&lt;'Proforma Inputs'!$B66,Y65,'Proforma Inputs'!$B66),0)</f>
        <v>0</v>
      </c>
      <c r="Z12" s="5">
        <f>IF(AND(Z$3&gt;='Proforma Inputs'!$B$44,Z65&gt;0),IF(Z65&lt;'Proforma Inputs'!$B66,Z65,'Proforma Inputs'!$B66),0)</f>
        <v>0</v>
      </c>
      <c r="AA12" s="5">
        <f>IF(AND(AA$3&gt;='Proforma Inputs'!$B$44,AA65&gt;0),IF(AA65&lt;'Proforma Inputs'!$B66,AA65,'Proforma Inputs'!$B66),0)</f>
        <v>0</v>
      </c>
      <c r="AB12" s="5">
        <f>IF(AND(AB$3&gt;='Proforma Inputs'!$B$44,AB65&gt;0),IF(AB65&lt;'Proforma Inputs'!$B66,AB65,'Proforma Inputs'!$B66),0)</f>
        <v>0</v>
      </c>
      <c r="AC12" s="5">
        <f>IF(AND(AC$3&gt;='Proforma Inputs'!$B$44,AC65&gt;0),IF(AC65&lt;'Proforma Inputs'!$B66,AC65,'Proforma Inputs'!$B66),0)</f>
        <v>0</v>
      </c>
      <c r="AD12" s="5">
        <f>IF(AND(AD$3&gt;='Proforma Inputs'!$B$44,AD65&gt;0),IF(AD65&lt;'Proforma Inputs'!$B66,AD65,'Proforma Inputs'!$B66),0)</f>
        <v>0</v>
      </c>
      <c r="AE12" s="5">
        <f>IF(AND(AE$3&gt;='Proforma Inputs'!$B$44,AE65&gt;0),IF(AE65&lt;'Proforma Inputs'!$B66,AE65,'Proforma Inputs'!$B66),0)</f>
        <v>0</v>
      </c>
      <c r="AF12" s="5">
        <f>IF(AND(AF$3&gt;='Proforma Inputs'!$B$44,AF65&gt;0),IF(AF65&lt;'Proforma Inputs'!$B66,AF65,'Proforma Inputs'!$B66),0)</f>
        <v>0</v>
      </c>
      <c r="AG12" s="5">
        <f>IF(AND(AG$3&gt;='Proforma Inputs'!$B$44,AG65&gt;0),IF(AG65&lt;'Proforma Inputs'!$B66,AG65,'Proforma Inputs'!$B66),0)</f>
        <v>0</v>
      </c>
      <c r="AH12" s="5">
        <f>IF(AND(AH$3&gt;='Proforma Inputs'!$B$44,AH65&gt;0),IF(AH65&lt;'Proforma Inputs'!$B66,AH65,'Proforma Inputs'!$B66),0)</f>
        <v>0</v>
      </c>
      <c r="AI12" s="5">
        <f>IF(AND(AI$3&gt;='Proforma Inputs'!$B$44,AI65&gt;0),IF(AI65&lt;'Proforma Inputs'!$B66,AI65,'Proforma Inputs'!$B66),0)</f>
        <v>0</v>
      </c>
      <c r="AJ12" s="5">
        <f>IF(AND(AJ$3&gt;='Proforma Inputs'!$B$44,AJ65&gt;0),IF(AJ65&lt;'Proforma Inputs'!$B66,AJ65,'Proforma Inputs'!$B66),0)</f>
        <v>0</v>
      </c>
      <c r="AK12" s="5">
        <f>IF(AND(AK$3&gt;='Proforma Inputs'!$B$44,AK65&gt;0),IF(AK65&lt;'Proforma Inputs'!$B66,AK65,'Proforma Inputs'!$B66),0)</f>
        <v>0</v>
      </c>
      <c r="AL12" s="5">
        <f>IF(AND(AL$3&gt;='Proforma Inputs'!$B$44,AL65&gt;0),IF(AL65&lt;'Proforma Inputs'!$B66,AL65,'Proforma Inputs'!$B66),0)</f>
        <v>0</v>
      </c>
      <c r="AM12" s="5">
        <f>IF(AND(AM$3&gt;='Proforma Inputs'!$B$44,AM65&gt;0),IF(AM65&lt;'Proforma Inputs'!$B66,AM65,'Proforma Inputs'!$B66),0)</f>
        <v>0</v>
      </c>
      <c r="AN12" s="5">
        <f>IF(AND(AN$3&gt;='Proforma Inputs'!$B$44,AN65&gt;0),IF(AN65&lt;'Proforma Inputs'!$B66,AN65,'Proforma Inputs'!$B66),0)</f>
        <v>0</v>
      </c>
      <c r="AO12" s="5">
        <f>IF(AND(AO$3&gt;='Proforma Inputs'!$B$44,AO65&gt;0),IF(AO65&lt;'Proforma Inputs'!$B66,AO65,'Proforma Inputs'!$B66),0)</f>
        <v>0</v>
      </c>
      <c r="AP12" s="5">
        <f>IF(AND(AP$3&gt;='Proforma Inputs'!$B$44,AP65&gt;0),IF(AP65&lt;'Proforma Inputs'!$B66,AP65,'Proforma Inputs'!$B66),0)</f>
        <v>0</v>
      </c>
      <c r="AQ12" s="5"/>
      <c r="AR12" s="5"/>
      <c r="AS12" s="5"/>
      <c r="AT12" s="5"/>
      <c r="AU12" s="5"/>
      <c r="AV12" s="5"/>
    </row>
    <row r="13" spans="1:48" s="21" customFormat="1">
      <c r="A13" s="20" t="s">
        <v>31</v>
      </c>
      <c r="B13" s="17">
        <v>0</v>
      </c>
      <c r="C13" s="5">
        <f>IF(AND(C$3&gt;='Proforma Inputs'!$B$44,C66&gt;0),IF(C66&lt;'Proforma Inputs'!$B67,C66,'Proforma Inputs'!$B67),0)</f>
        <v>0</v>
      </c>
      <c r="D13" s="5">
        <f>IF(AND(D$3&gt;='Proforma Inputs'!$B$44,D66&gt;0),IF(D66&lt;'Proforma Inputs'!$B67,D66,'Proforma Inputs'!$B67),0)</f>
        <v>0</v>
      </c>
      <c r="E13" s="5">
        <f>IF(AND(E$3&gt;='Proforma Inputs'!$B$44,E66&gt;0),IF(E66&lt;'Proforma Inputs'!$B67,E66,'Proforma Inputs'!$B67),0)</f>
        <v>0</v>
      </c>
      <c r="F13" s="5">
        <f>IF(AND(F$3&gt;='Proforma Inputs'!$B$44,F66&gt;0),IF(F66&lt;'Proforma Inputs'!$B67,F66,'Proforma Inputs'!$B67),0)</f>
        <v>0</v>
      </c>
      <c r="G13" s="5">
        <f>IF(AND(G$3&gt;='Proforma Inputs'!$B$44,G66&gt;0),IF(G66&lt;'Proforma Inputs'!$B67,G66,'Proforma Inputs'!$B67),0)</f>
        <v>0</v>
      </c>
      <c r="H13" s="5">
        <f>IF(AND(H$3&gt;='Proforma Inputs'!$B$44,H66&gt;0),IF(H66&lt;'Proforma Inputs'!$B67,H66,'Proforma Inputs'!$B67),0)</f>
        <v>0</v>
      </c>
      <c r="I13" s="5">
        <f>IF(AND(I$3&gt;='Proforma Inputs'!$B$44,I66&gt;0),IF(I66&lt;'Proforma Inputs'!$B67,I66,'Proforma Inputs'!$B67),0)</f>
        <v>0</v>
      </c>
      <c r="J13" s="5">
        <f>IF(AND(J$3&gt;='Proforma Inputs'!$B$44,J66&gt;0),IF(J66&lt;'Proforma Inputs'!$B67,J66,'Proforma Inputs'!$B67),0)</f>
        <v>0</v>
      </c>
      <c r="K13" s="5">
        <f>IF(AND(K$3&gt;='Proforma Inputs'!$B$44,K66&gt;0),IF(K66&lt;'Proforma Inputs'!$B67,K66,'Proforma Inputs'!$B67),0)</f>
        <v>0</v>
      </c>
      <c r="L13" s="5">
        <f>IF(AND(L$3&gt;='Proforma Inputs'!$B$44,L66&gt;0),IF(L66&lt;'Proforma Inputs'!$B67,L66,'Proforma Inputs'!$B67),0)</f>
        <v>0</v>
      </c>
      <c r="M13" s="5">
        <f>IF(AND(M$3&gt;='Proforma Inputs'!$B$44,M66&gt;0),IF(M66&lt;'Proforma Inputs'!$B67,M66,'Proforma Inputs'!$B67),0)</f>
        <v>0</v>
      </c>
      <c r="N13" s="5">
        <f>IF(AND(N$3&gt;='Proforma Inputs'!$B$44,N66&gt;0),IF(N66&lt;'Proforma Inputs'!$B67,N66,'Proforma Inputs'!$B67),0)</f>
        <v>0</v>
      </c>
      <c r="O13" s="5">
        <f>IF(AND(O$3&gt;='Proforma Inputs'!$B$44,O66&gt;0),IF(O66&lt;'Proforma Inputs'!$B67,O66,'Proforma Inputs'!$B67),0)</f>
        <v>0</v>
      </c>
      <c r="P13" s="5">
        <f>IF(AND(P$3&gt;='Proforma Inputs'!$B$44,P66&gt;0),IF(P66&lt;'Proforma Inputs'!$B67,P66,'Proforma Inputs'!$B67),0)</f>
        <v>0</v>
      </c>
      <c r="Q13" s="5">
        <f>IF(AND(Q$3&gt;='Proforma Inputs'!$B$44,Q66&gt;0),IF(Q66&lt;'Proforma Inputs'!$B67,Q66,'Proforma Inputs'!$B67),0)</f>
        <v>0</v>
      </c>
      <c r="R13" s="5">
        <f>IF(AND(R$3&gt;='Proforma Inputs'!$B$44,R66&gt;0),IF(R66&lt;'Proforma Inputs'!$B67,R66,'Proforma Inputs'!$B67),0)</f>
        <v>0</v>
      </c>
      <c r="S13" s="5">
        <f>IF(AND(S$3&gt;='Proforma Inputs'!$B$44,S66&gt;0),IF(S66&lt;'Proforma Inputs'!$B67,S66,'Proforma Inputs'!$B67),0)</f>
        <v>0</v>
      </c>
      <c r="T13" s="5">
        <f>IF(AND(T$3&gt;='Proforma Inputs'!$B$44,T66&gt;0),IF(T66&lt;'Proforma Inputs'!$B67,T66,'Proforma Inputs'!$B67),0)</f>
        <v>0</v>
      </c>
      <c r="U13" s="5">
        <f>IF(AND(U$3&gt;='Proforma Inputs'!$B$44,U66&gt;0),IF(U66&lt;'Proforma Inputs'!$B67,U66,'Proforma Inputs'!$B67),0)</f>
        <v>0</v>
      </c>
      <c r="V13" s="5">
        <f>IF(AND(V$3&gt;='Proforma Inputs'!$B$44,V66&gt;0),IF(V66&lt;'Proforma Inputs'!$B67,V66,'Proforma Inputs'!$B67),0)</f>
        <v>0</v>
      </c>
      <c r="W13" s="5">
        <f>IF(AND(W$3&gt;='Proforma Inputs'!$B$44,W66&gt;0),IF(W66&lt;'Proforma Inputs'!$B67,W66,'Proforma Inputs'!$B67),0)</f>
        <v>0</v>
      </c>
      <c r="X13" s="5">
        <f>IF(AND(X$3&gt;='Proforma Inputs'!$B$44,X66&gt;0),IF(X66&lt;'Proforma Inputs'!$B67,X66,'Proforma Inputs'!$B67),0)</f>
        <v>0</v>
      </c>
      <c r="Y13" s="5">
        <f>IF(AND(Y$3&gt;='Proforma Inputs'!$B$44,Y66&gt;0),IF(Y66&lt;'Proforma Inputs'!$B67,Y66,'Proforma Inputs'!$B67),0)</f>
        <v>0</v>
      </c>
      <c r="Z13" s="5">
        <f>IF(AND(Z$3&gt;='Proforma Inputs'!$B$44,Z66&gt;0),IF(Z66&lt;'Proforma Inputs'!$B67,Z66,'Proforma Inputs'!$B67),0)</f>
        <v>0</v>
      </c>
      <c r="AA13" s="5">
        <f>IF(AND(AA$3&gt;='Proforma Inputs'!$B$44,AA66&gt;0),IF(AA66&lt;'Proforma Inputs'!$B67,AA66,'Proforma Inputs'!$B67),0)</f>
        <v>0</v>
      </c>
      <c r="AB13" s="5">
        <f>IF(AND(AB$3&gt;='Proforma Inputs'!$B$44,AB66&gt;0),IF(AB66&lt;'Proforma Inputs'!$B67,AB66,'Proforma Inputs'!$B67),0)</f>
        <v>0</v>
      </c>
      <c r="AC13" s="5">
        <f>IF(AND(AC$3&gt;='Proforma Inputs'!$B$44,AC66&gt;0),IF(AC66&lt;'Proforma Inputs'!$B67,AC66,'Proforma Inputs'!$B67),0)</f>
        <v>0</v>
      </c>
      <c r="AD13" s="5">
        <f>IF(AND(AD$3&gt;='Proforma Inputs'!$B$44,AD66&gt;0),IF(AD66&lt;'Proforma Inputs'!$B67,AD66,'Proforma Inputs'!$B67),0)</f>
        <v>0</v>
      </c>
      <c r="AE13" s="5">
        <f>IF(AND(AE$3&gt;='Proforma Inputs'!$B$44,AE66&gt;0),IF(AE66&lt;'Proforma Inputs'!$B67,AE66,'Proforma Inputs'!$B67),0)</f>
        <v>0</v>
      </c>
      <c r="AF13" s="5">
        <f>IF(AND(AF$3&gt;='Proforma Inputs'!$B$44,AF66&gt;0),IF(AF66&lt;'Proforma Inputs'!$B67,AF66,'Proforma Inputs'!$B67),0)</f>
        <v>0</v>
      </c>
      <c r="AG13" s="5">
        <f>IF(AND(AG$3&gt;='Proforma Inputs'!$B$44,AG66&gt;0),IF(AG66&lt;'Proforma Inputs'!$B67,AG66,'Proforma Inputs'!$B67),0)</f>
        <v>0</v>
      </c>
      <c r="AH13" s="5">
        <f>IF(AND(AH$3&gt;='Proforma Inputs'!$B$44,AH66&gt;0),IF(AH66&lt;'Proforma Inputs'!$B67,AH66,'Proforma Inputs'!$B67),0)</f>
        <v>0</v>
      </c>
      <c r="AI13" s="5">
        <f>IF(AND(AI$3&gt;='Proforma Inputs'!$B$44,AI66&gt;0),IF(AI66&lt;'Proforma Inputs'!$B67,AI66,'Proforma Inputs'!$B67),0)</f>
        <v>0</v>
      </c>
      <c r="AJ13" s="5">
        <f>IF(AND(AJ$3&gt;='Proforma Inputs'!$B$44,AJ66&gt;0),IF(AJ66&lt;'Proforma Inputs'!$B67,AJ66,'Proforma Inputs'!$B67),0)</f>
        <v>0</v>
      </c>
      <c r="AK13" s="5">
        <f>IF(AND(AK$3&gt;='Proforma Inputs'!$B$44,AK66&gt;0),IF(AK66&lt;'Proforma Inputs'!$B67,AK66,'Proforma Inputs'!$B67),0)</f>
        <v>0</v>
      </c>
      <c r="AL13" s="5">
        <f>IF(AND(AL$3&gt;='Proforma Inputs'!$B$44,AL66&gt;0),IF(AL66&lt;'Proforma Inputs'!$B67,AL66,'Proforma Inputs'!$B67),0)</f>
        <v>0</v>
      </c>
      <c r="AM13" s="5">
        <f>IF(AND(AM$3&gt;='Proforma Inputs'!$B$44,AM66&gt;0),IF(AM66&lt;'Proforma Inputs'!$B67,AM66,'Proforma Inputs'!$B67),0)</f>
        <v>0</v>
      </c>
      <c r="AN13" s="5">
        <f>IF(AND(AN$3&gt;='Proforma Inputs'!$B$44,AN66&gt;0),IF(AN66&lt;'Proforma Inputs'!$B67,AN66,'Proforma Inputs'!$B67),0)</f>
        <v>0</v>
      </c>
      <c r="AO13" s="5">
        <f>IF(AND(AO$3&gt;='Proforma Inputs'!$B$44,AO66&gt;0),IF(AO66&lt;'Proforma Inputs'!$B67,AO66,'Proforma Inputs'!$B67),0)</f>
        <v>0</v>
      </c>
      <c r="AP13" s="5">
        <f>IF(AND(AP$3&gt;='Proforma Inputs'!$B$44,AP66&gt;0),IF(AP66&lt;'Proforma Inputs'!$B67,AP66,'Proforma Inputs'!$B67),0)</f>
        <v>0</v>
      </c>
      <c r="AQ13" s="5"/>
      <c r="AR13" s="5"/>
      <c r="AS13" s="5"/>
      <c r="AT13" s="5"/>
      <c r="AU13" s="5"/>
      <c r="AV13" s="5"/>
    </row>
    <row r="14" spans="1:48" s="26" customFormat="1">
      <c r="A14" s="24" t="s">
        <v>32</v>
      </c>
      <c r="B14" s="22">
        <v>0</v>
      </c>
      <c r="C14" s="5">
        <f>IF(AND(C$3&gt;='Proforma Inputs'!$B$44,C67&gt;0),IF(C67&lt;'Proforma Inputs'!$B68,C67,'Proforma Inputs'!$B68),0)</f>
        <v>0</v>
      </c>
      <c r="D14" s="5">
        <f>IF(AND(D$3&gt;='Proforma Inputs'!$B$44,D67&gt;0),IF(D67&lt;'Proforma Inputs'!$B68,D67,'Proforma Inputs'!$B68),0)</f>
        <v>0</v>
      </c>
      <c r="E14" s="5">
        <f>IF(AND(E$3&gt;='Proforma Inputs'!$B$44,E67&gt;0),IF(E67&lt;'Proforma Inputs'!$B68,E67,'Proforma Inputs'!$B68),0)</f>
        <v>0</v>
      </c>
      <c r="F14" s="5">
        <f>IF(AND(F$3&gt;='Proforma Inputs'!$B$44,F67&gt;0),IF(F67&lt;'Proforma Inputs'!$B68,F67,'Proforma Inputs'!$B68),0)</f>
        <v>0</v>
      </c>
      <c r="G14" s="5">
        <f>IF(AND(G$3&gt;='Proforma Inputs'!$B$44,G67&gt;0),IF(G67&lt;'Proforma Inputs'!$B68,G67,'Proforma Inputs'!$B68),0)</f>
        <v>0</v>
      </c>
      <c r="H14" s="5">
        <f>IF(AND(H$3&gt;='Proforma Inputs'!$B$44,H67&gt;0),IF(H67&lt;'Proforma Inputs'!$B68,H67,'Proforma Inputs'!$B68),0)</f>
        <v>0</v>
      </c>
      <c r="I14" s="5">
        <f>IF(AND(I$3&gt;='Proforma Inputs'!$B$44,I67&gt;0),IF(I67&lt;'Proforma Inputs'!$B68,I67,'Proforma Inputs'!$B68),0)</f>
        <v>0</v>
      </c>
      <c r="J14" s="5">
        <f>IF(AND(J$3&gt;='Proforma Inputs'!$B$44,J67&gt;0),IF(J67&lt;'Proforma Inputs'!$B68,J67,'Proforma Inputs'!$B68),0)</f>
        <v>0</v>
      </c>
      <c r="K14" s="5">
        <f>IF(AND(K$3&gt;='Proforma Inputs'!$B$44,K67&gt;0),IF(K67&lt;'Proforma Inputs'!$B68,K67,'Proforma Inputs'!$B68),0)</f>
        <v>0</v>
      </c>
      <c r="L14" s="5">
        <f>IF(AND(L$3&gt;='Proforma Inputs'!$B$44,L67&gt;0),IF(L67&lt;'Proforma Inputs'!$B68,L67,'Proforma Inputs'!$B68),0)</f>
        <v>0</v>
      </c>
      <c r="M14" s="5">
        <f>IF(AND(M$3&gt;='Proforma Inputs'!$B$44,M67&gt;0),IF(M67&lt;'Proforma Inputs'!$B68,M67,'Proforma Inputs'!$B68),0)</f>
        <v>0</v>
      </c>
      <c r="N14" s="5">
        <f>IF(AND(N$3&gt;='Proforma Inputs'!$B$44,N67&gt;0),IF(N67&lt;'Proforma Inputs'!$B68,N67,'Proforma Inputs'!$B68),0)</f>
        <v>0</v>
      </c>
      <c r="O14" s="5">
        <f>IF(AND(O$3&gt;='Proforma Inputs'!$B$44,O67&gt;0),IF(O67&lt;'Proforma Inputs'!$B68,O67,'Proforma Inputs'!$B68),0)</f>
        <v>0</v>
      </c>
      <c r="P14" s="5">
        <f>IF(AND(P$3&gt;='Proforma Inputs'!$B$44,P67&gt;0),IF(P67&lt;'Proforma Inputs'!$B68,P67,'Proforma Inputs'!$B68),0)</f>
        <v>0</v>
      </c>
      <c r="Q14" s="5">
        <f>IF(AND(Q$3&gt;='Proforma Inputs'!$B$44,Q67&gt;0),IF(Q67&lt;'Proforma Inputs'!$B68,Q67,'Proforma Inputs'!$B68),0)</f>
        <v>0</v>
      </c>
      <c r="R14" s="5">
        <f>IF(AND(R$3&gt;='Proforma Inputs'!$B$44,R67&gt;0),IF(R67&lt;'Proforma Inputs'!$B68,R67,'Proforma Inputs'!$B68),0)</f>
        <v>0</v>
      </c>
      <c r="S14" s="5">
        <f>IF(AND(S$3&gt;='Proforma Inputs'!$B$44,S67&gt;0),IF(S67&lt;'Proforma Inputs'!$B68,S67,'Proforma Inputs'!$B68),0)</f>
        <v>0</v>
      </c>
      <c r="T14" s="5">
        <f>IF(AND(T$3&gt;='Proforma Inputs'!$B$44,T67&gt;0),IF(T67&lt;'Proforma Inputs'!$B68,T67,'Proforma Inputs'!$B68),0)</f>
        <v>0</v>
      </c>
      <c r="U14" s="5">
        <f>IF(AND(U$3&gt;='Proforma Inputs'!$B$44,U67&gt;0),IF(U67&lt;'Proforma Inputs'!$B68,U67,'Proforma Inputs'!$B68),0)</f>
        <v>0</v>
      </c>
      <c r="V14" s="5">
        <f>IF(AND(V$3&gt;='Proforma Inputs'!$B$44,V67&gt;0),IF(V67&lt;'Proforma Inputs'!$B68,V67,'Proforma Inputs'!$B68),0)</f>
        <v>0</v>
      </c>
      <c r="W14" s="5">
        <f>IF(AND(W$3&gt;='Proforma Inputs'!$B$44,W67&gt;0),IF(W67&lt;'Proforma Inputs'!$B68,W67,'Proforma Inputs'!$B68),0)</f>
        <v>0</v>
      </c>
      <c r="X14" s="5">
        <f>IF(AND(X$3&gt;='Proforma Inputs'!$B$44,X67&gt;0),IF(X67&lt;'Proforma Inputs'!$B68,X67,'Proforma Inputs'!$B68),0)</f>
        <v>0</v>
      </c>
      <c r="Y14" s="5">
        <f>IF(AND(Y$3&gt;='Proforma Inputs'!$B$44,Y67&gt;0),IF(Y67&lt;'Proforma Inputs'!$B68,Y67,'Proforma Inputs'!$B68),0)</f>
        <v>0</v>
      </c>
      <c r="Z14" s="5">
        <f>IF(AND(Z$3&gt;='Proforma Inputs'!$B$44,Z67&gt;0),IF(Z67&lt;'Proforma Inputs'!$B68,Z67,'Proforma Inputs'!$B68),0)</f>
        <v>0</v>
      </c>
      <c r="AA14" s="5">
        <f>IF(AND(AA$3&gt;='Proforma Inputs'!$B$44,AA67&gt;0),IF(AA67&lt;'Proforma Inputs'!$B68,AA67,'Proforma Inputs'!$B68),0)</f>
        <v>0</v>
      </c>
      <c r="AB14" s="5">
        <f>IF(AND(AB$3&gt;='Proforma Inputs'!$B$44,AB67&gt;0),IF(AB67&lt;'Proforma Inputs'!$B68,AB67,'Proforma Inputs'!$B68),0)</f>
        <v>0</v>
      </c>
      <c r="AC14" s="5">
        <f>IF(AND(AC$3&gt;='Proforma Inputs'!$B$44,AC67&gt;0),IF(AC67&lt;'Proforma Inputs'!$B68,AC67,'Proforma Inputs'!$B68),0)</f>
        <v>0</v>
      </c>
      <c r="AD14" s="5">
        <f>IF(AND(AD$3&gt;='Proforma Inputs'!$B$44,AD67&gt;0),IF(AD67&lt;'Proforma Inputs'!$B68,AD67,'Proforma Inputs'!$B68),0)</f>
        <v>0</v>
      </c>
      <c r="AE14" s="5">
        <f>IF(AND(AE$3&gt;='Proforma Inputs'!$B$44,AE67&gt;0),IF(AE67&lt;'Proforma Inputs'!$B68,AE67,'Proforma Inputs'!$B68),0)</f>
        <v>0</v>
      </c>
      <c r="AF14" s="5">
        <f>IF(AND(AF$3&gt;='Proforma Inputs'!$B$44,AF67&gt;0),IF(AF67&lt;'Proforma Inputs'!$B68,AF67,'Proforma Inputs'!$B68),0)</f>
        <v>0</v>
      </c>
      <c r="AG14" s="5">
        <f>IF(AND(AG$3&gt;='Proforma Inputs'!$B$44,AG67&gt;0),IF(AG67&lt;'Proforma Inputs'!$B68,AG67,'Proforma Inputs'!$B68),0)</f>
        <v>0</v>
      </c>
      <c r="AH14" s="5">
        <f>IF(AND(AH$3&gt;='Proforma Inputs'!$B$44,AH67&gt;0),IF(AH67&lt;'Proforma Inputs'!$B68,AH67,'Proforma Inputs'!$B68),0)</f>
        <v>0</v>
      </c>
      <c r="AI14" s="5">
        <f>IF(AND(AI$3&gt;='Proforma Inputs'!$B$44,AI67&gt;0),IF(AI67&lt;'Proforma Inputs'!$B68,AI67,'Proforma Inputs'!$B68),0)</f>
        <v>0</v>
      </c>
      <c r="AJ14" s="5">
        <f>IF(AND(AJ$3&gt;='Proforma Inputs'!$B$44,AJ67&gt;0),IF(AJ67&lt;'Proforma Inputs'!$B68,AJ67,'Proforma Inputs'!$B68),0)</f>
        <v>0</v>
      </c>
      <c r="AK14" s="5">
        <f>IF(AND(AK$3&gt;='Proforma Inputs'!$B$44,AK67&gt;0),IF(AK67&lt;'Proforma Inputs'!$B68,AK67,'Proforma Inputs'!$B68),0)</f>
        <v>0</v>
      </c>
      <c r="AL14" s="5">
        <f>IF(AND(AL$3&gt;='Proforma Inputs'!$B$44,AL67&gt;0),IF(AL67&lt;'Proforma Inputs'!$B68,AL67,'Proforma Inputs'!$B68),0)</f>
        <v>0</v>
      </c>
      <c r="AM14" s="5">
        <f>IF(AND(AM$3&gt;='Proforma Inputs'!$B$44,AM67&gt;0),IF(AM67&lt;'Proforma Inputs'!$B68,AM67,'Proforma Inputs'!$B68),0)</f>
        <v>0</v>
      </c>
      <c r="AN14" s="5">
        <f>IF(AND(AN$3&gt;='Proforma Inputs'!$B$44,AN67&gt;0),IF(AN67&lt;'Proforma Inputs'!$B68,AN67,'Proforma Inputs'!$B68),0)</f>
        <v>0</v>
      </c>
      <c r="AO14" s="5">
        <f>IF(AND(AO$3&gt;='Proforma Inputs'!$B$44,AO67&gt;0),IF(AO67&lt;'Proforma Inputs'!$B68,AO67,'Proforma Inputs'!$B68),0)</f>
        <v>0</v>
      </c>
      <c r="AP14" s="5">
        <f>IF(AND(AP$3&gt;='Proforma Inputs'!$B$44,AP67&gt;0),IF(AP67&lt;'Proforma Inputs'!$B68,AP67,'Proforma Inputs'!$B68),0)</f>
        <v>0</v>
      </c>
      <c r="AQ14" s="5"/>
      <c r="AR14" s="5"/>
      <c r="AS14" s="5"/>
      <c r="AT14" s="5"/>
      <c r="AU14" s="5"/>
      <c r="AV14" s="5"/>
    </row>
    <row r="15" spans="1:48" s="16" customFormat="1">
      <c r="A15" s="16" t="s">
        <v>156</v>
      </c>
      <c r="AQ15" s="22"/>
      <c r="AR15" s="22"/>
      <c r="AS15" s="22"/>
      <c r="AT15" s="22"/>
      <c r="AU15" s="22"/>
      <c r="AV15" s="22"/>
    </row>
    <row r="16" spans="1:48" s="16" customFormat="1">
      <c r="A16" s="20" t="s">
        <v>219</v>
      </c>
      <c r="B16" s="22">
        <v>0</v>
      </c>
      <c r="C16" s="22">
        <f>IF(AND(C$3&gt;='Proforma Inputs'!$B$44,C$89=0),IF(B16&lt;'Proforma Inputs'!$B74,B16+'Proforma Inputs'!$B74/'Proforma Inputs'!$B79,B16),0)</f>
        <v>0</v>
      </c>
      <c r="D16" s="22">
        <f>IF(AND(D$3&gt;='Proforma Inputs'!$B$44,D$89=0),IF(C16&lt;'Proforma Inputs'!$B74,C16+'Proforma Inputs'!$B74/'Proforma Inputs'!$B79,C16),0)</f>
        <v>0</v>
      </c>
      <c r="E16" s="22">
        <f>IF(AND(E$3&gt;='Proforma Inputs'!$B$44,E$89=0),IF(D16&lt;'Proforma Inputs'!$B74,D16+'Proforma Inputs'!$B74/'Proforma Inputs'!$B79,D16),0)</f>
        <v>0</v>
      </c>
      <c r="F16" s="22">
        <f>IF(AND(F$3&gt;='Proforma Inputs'!$B$44,F$89=0),IF(E16&lt;'Proforma Inputs'!$B74,E16+'Proforma Inputs'!$B74/'Proforma Inputs'!$B79,E16),0)</f>
        <v>0</v>
      </c>
      <c r="G16" s="22">
        <f>IF(AND(G$3&gt;='Proforma Inputs'!$B$44,G$89=0),IF(F16&lt;'Proforma Inputs'!$B74,F16+'Proforma Inputs'!$B74/'Proforma Inputs'!$B79,F16),0)</f>
        <v>12500</v>
      </c>
      <c r="H16" s="22">
        <f>IF(AND(H$3&gt;='Proforma Inputs'!$B$44,H$89=0),IF(G16&lt;'Proforma Inputs'!$B74,G16+'Proforma Inputs'!$B74/'Proforma Inputs'!$B79,G16),0)</f>
        <v>25000</v>
      </c>
      <c r="I16" s="22">
        <f>IF(AND(I$3&gt;='Proforma Inputs'!$B$44,I$89=0),IF(H16&lt;'Proforma Inputs'!$B74,H16+'Proforma Inputs'!$B74/'Proforma Inputs'!$B79,H16),0)</f>
        <v>37500</v>
      </c>
      <c r="J16" s="22">
        <f>IF(AND(J$3&gt;='Proforma Inputs'!$B$44,J$89=0),IF(I16&lt;'Proforma Inputs'!$B74,I16+'Proforma Inputs'!$B74/'Proforma Inputs'!$B79,I16),0)</f>
        <v>50000</v>
      </c>
      <c r="K16" s="22">
        <f>IF(AND(K$3&gt;='Proforma Inputs'!$B$44,K$89=0),IF(J16&lt;'Proforma Inputs'!$B74,J16+'Proforma Inputs'!$B74/'Proforma Inputs'!$B79,J16),0)</f>
        <v>62500</v>
      </c>
      <c r="L16" s="22">
        <f>IF(AND(L$3&gt;='Proforma Inputs'!$B$44,L$89=0),IF(K16&lt;'Proforma Inputs'!$B74,K16+'Proforma Inputs'!$B74/'Proforma Inputs'!$B79,K16),0)</f>
        <v>75000</v>
      </c>
      <c r="M16" s="22">
        <f>IF(AND(M$3&gt;='Proforma Inputs'!$B$44,M$89=0),IF(L16&lt;'Proforma Inputs'!$B74,L16+'Proforma Inputs'!$B74/'Proforma Inputs'!$B79,L16),0)</f>
        <v>87500</v>
      </c>
      <c r="N16" s="22">
        <f>IF(AND(N$3&gt;='Proforma Inputs'!$B$44,N$89=0),IF(M16&lt;'Proforma Inputs'!$B74,M16+'Proforma Inputs'!$B74/'Proforma Inputs'!$B79,M16),0)</f>
        <v>100000</v>
      </c>
      <c r="O16" s="22">
        <f>IF(AND(O$3&gt;='Proforma Inputs'!$B$44,O$89=0),IF(N16&lt;'Proforma Inputs'!$B74,N16+'Proforma Inputs'!$B74/'Proforma Inputs'!$B79,N16),0)</f>
        <v>100000</v>
      </c>
      <c r="P16" s="22">
        <f>IF(AND(P$3&gt;='Proforma Inputs'!$B$44,P$89=0),IF(O16&lt;'Proforma Inputs'!$B74,O16+'Proforma Inputs'!$B74/'Proforma Inputs'!$B79,O16),0)</f>
        <v>100000</v>
      </c>
      <c r="Q16" s="22">
        <f>IF(AND(Q$3&gt;='Proforma Inputs'!$B$44,Q$89=0),IF(P16&lt;'Proforma Inputs'!$B74,P16+'Proforma Inputs'!$B74/'Proforma Inputs'!$B79,P16),0)</f>
        <v>100000</v>
      </c>
      <c r="R16" s="22">
        <f>IF(AND(R$3&gt;='Proforma Inputs'!$B$44,R$89=0),IF(Q16&lt;'Proforma Inputs'!$B74,Q16+'Proforma Inputs'!$B74/'Proforma Inputs'!$B79,Q16),0)</f>
        <v>100000</v>
      </c>
      <c r="S16" s="22">
        <f>IF(AND(S$3&gt;='Proforma Inputs'!$B$44,S$89=0),IF(R16&lt;'Proforma Inputs'!$B74,R16+'Proforma Inputs'!$B74/'Proforma Inputs'!$B79,R16),0)</f>
        <v>100000</v>
      </c>
      <c r="T16" s="22">
        <f>IF(AND(T$3&gt;='Proforma Inputs'!$B$44,T$89=0),IF(S16&lt;'Proforma Inputs'!$B74,S16+'Proforma Inputs'!$B74/'Proforma Inputs'!$B79,S16),0)</f>
        <v>100000</v>
      </c>
      <c r="U16" s="22">
        <f>IF(AND(U$3&gt;='Proforma Inputs'!$B$44,U$89=0),IF(T16&lt;'Proforma Inputs'!$B74,T16+'Proforma Inputs'!$B74/'Proforma Inputs'!$B79,T16),0)</f>
        <v>0</v>
      </c>
      <c r="V16" s="22">
        <f>IF(AND(V$3&gt;='Proforma Inputs'!$B$44,V$89=0),IF(U16&lt;'Proforma Inputs'!$B74,U16+'Proforma Inputs'!$B74/'Proforma Inputs'!$B79,U16),0)</f>
        <v>0</v>
      </c>
      <c r="W16" s="22">
        <f>IF(AND(W$3&gt;='Proforma Inputs'!$B$44,W$89=0),IF(V16&lt;'Proforma Inputs'!$B74,V16+'Proforma Inputs'!$B74/'Proforma Inputs'!$B79,V16),0)</f>
        <v>0</v>
      </c>
      <c r="X16" s="22">
        <f>IF(AND(X$3&gt;='Proforma Inputs'!$B$44,X$89=0),IF(W16&lt;'Proforma Inputs'!$B74,W16+'Proforma Inputs'!$B74/'Proforma Inputs'!$B79,W16),0)</f>
        <v>0</v>
      </c>
      <c r="Y16" s="22">
        <f>IF(AND(Y$3&gt;='Proforma Inputs'!$B$44,Y$89=0),IF(X16&lt;'Proforma Inputs'!$B74,X16+'Proforma Inputs'!$B74/'Proforma Inputs'!$B79,X16),0)</f>
        <v>0</v>
      </c>
      <c r="Z16" s="22">
        <f>IF(AND(Z$3&gt;='Proforma Inputs'!$B$44,Z$89=0),IF(Y16&lt;'Proforma Inputs'!$B74,Y16+'Proforma Inputs'!$B74/'Proforma Inputs'!$B79,Y16),0)</f>
        <v>0</v>
      </c>
      <c r="AA16" s="22">
        <f>IF(AND(AA$3&gt;='Proforma Inputs'!$B$44,AA$89=0),IF(Z16&lt;'Proforma Inputs'!$B74,Z16+'Proforma Inputs'!$B74/'Proforma Inputs'!$B79,Z16),0)</f>
        <v>0</v>
      </c>
      <c r="AB16" s="22">
        <f>IF(AND(AB$3&gt;='Proforma Inputs'!$B$44,AB$89=0),IF(AA16&lt;'Proforma Inputs'!$B74,AA16+'Proforma Inputs'!$B74/'Proforma Inputs'!$B79,AA16),0)</f>
        <v>0</v>
      </c>
      <c r="AC16" s="22">
        <f>IF(AND(AC$3&gt;='Proforma Inputs'!$B$44,AC$89=0),IF(AB16&lt;'Proforma Inputs'!$B74,AB16+'Proforma Inputs'!$B74/'Proforma Inputs'!$B79,AB16),0)</f>
        <v>0</v>
      </c>
      <c r="AD16" s="22">
        <f>IF(AND(AD$3&gt;='Proforma Inputs'!$B$44,AD$89=0),IF(AC16&lt;'Proforma Inputs'!$B74,AC16+'Proforma Inputs'!$B74/'Proforma Inputs'!$B79,AC16),0)</f>
        <v>0</v>
      </c>
      <c r="AE16" s="22">
        <f>IF(AND(AE$3&gt;='Proforma Inputs'!$B$44,AE$89=0),IF(AD16&lt;'Proforma Inputs'!$B74,AD16+'Proforma Inputs'!$B74/'Proforma Inputs'!$B79,AD16),0)</f>
        <v>0</v>
      </c>
      <c r="AF16" s="22">
        <f>IF(AND(AF$3&gt;='Proforma Inputs'!$B$44,AF$89=0),IF(AE16&lt;'Proforma Inputs'!$B74,AE16+'Proforma Inputs'!$B74/'Proforma Inputs'!$B79,AE16),0)</f>
        <v>0</v>
      </c>
      <c r="AG16" s="22">
        <f>IF(AND(AG$3&gt;='Proforma Inputs'!$B$44,AG$89=0),IF(AF16&lt;'Proforma Inputs'!$B74,AF16+'Proforma Inputs'!$B74/'Proforma Inputs'!$B79,AF16),0)</f>
        <v>0</v>
      </c>
      <c r="AH16" s="22">
        <f>IF(AND(AH$3&gt;='Proforma Inputs'!$B$44,AH$89=0),IF(AG16&lt;'Proforma Inputs'!$B74,AG16+'Proforma Inputs'!$B74/'Proforma Inputs'!$B79,AG16),0)</f>
        <v>0</v>
      </c>
      <c r="AI16" s="22">
        <f>IF(AND(AI$3&gt;='Proforma Inputs'!$B$44,AI$89=0),IF(AH16&lt;'Proforma Inputs'!$B74,AH16+'Proforma Inputs'!$B74/'Proforma Inputs'!$B79,AH16),0)</f>
        <v>0</v>
      </c>
      <c r="AJ16" s="22">
        <f>IF(AND(AJ$3&gt;='Proforma Inputs'!$B$44,AJ$89=0),IF(AI16&lt;'Proforma Inputs'!$B74,AI16+'Proforma Inputs'!$B74/'Proforma Inputs'!$B79,AI16),0)</f>
        <v>0</v>
      </c>
      <c r="AK16" s="22">
        <f>IF(AND(AK$3&gt;='Proforma Inputs'!$B$44,AK$89=0),IF(AJ16&lt;'Proforma Inputs'!$B74,AJ16+'Proforma Inputs'!$B74/'Proforma Inputs'!$B79,AJ16),0)</f>
        <v>0</v>
      </c>
      <c r="AL16" s="22">
        <f>IF(AND(AL$3&gt;='Proforma Inputs'!$B$44,AL$89=0),IF(AK16&lt;'Proforma Inputs'!$B74,AK16+'Proforma Inputs'!$B74/'Proforma Inputs'!$B79,AK16),0)</f>
        <v>0</v>
      </c>
      <c r="AM16" s="22">
        <f>IF(AND(AM$3&gt;='Proforma Inputs'!$B$44,AM$89=0),IF(AL16&lt;'Proforma Inputs'!$B74,AL16+'Proforma Inputs'!$B74/'Proforma Inputs'!$B79,AL16),0)</f>
        <v>0</v>
      </c>
      <c r="AN16" s="22">
        <f>IF(AND(AN$3&gt;='Proforma Inputs'!$B$44,AN$89=0),IF(AM16&lt;'Proforma Inputs'!$B74,AM16+'Proforma Inputs'!$B74/'Proforma Inputs'!$B79,AM16),0)</f>
        <v>0</v>
      </c>
      <c r="AO16" s="22">
        <f>IF(AND(AO$3&gt;='Proforma Inputs'!$B$44,AO$89=0),IF(AN16&lt;'Proforma Inputs'!$B74,AN16+'Proforma Inputs'!$B74/'Proforma Inputs'!$B79,AN16),0)</f>
        <v>0</v>
      </c>
      <c r="AP16" s="22">
        <f>IF(AND(AP$3&gt;='Proforma Inputs'!$B$44,AP$89=0),IF(AO16&lt;'Proforma Inputs'!$B74,AO16+'Proforma Inputs'!$B74/'Proforma Inputs'!$B79,AO16),0)</f>
        <v>0</v>
      </c>
      <c r="AQ16" s="22"/>
      <c r="AR16" s="22"/>
      <c r="AS16" s="22"/>
      <c r="AT16" s="22"/>
      <c r="AU16" s="22"/>
      <c r="AV16" s="22"/>
    </row>
    <row r="17" spans="1:48" s="16" customFormat="1">
      <c r="A17" s="20" t="s">
        <v>30</v>
      </c>
      <c r="B17" s="22">
        <v>0</v>
      </c>
      <c r="C17" s="22">
        <f>IF(AND(C$3&gt;='Proforma Inputs'!$B$44,C$89=0),IF(B17&lt;'Proforma Inputs'!$B75,B17+'Proforma Inputs'!$B75/'Proforma Inputs'!$B80,B17),0)</f>
        <v>0</v>
      </c>
      <c r="D17" s="22">
        <f>IF(AND(D$3&gt;='Proforma Inputs'!$B$44,D$89=0),IF(C17&lt;'Proforma Inputs'!$B75,C17+'Proforma Inputs'!$B75/'Proforma Inputs'!$B80,C17),0)</f>
        <v>0</v>
      </c>
      <c r="E17" s="22">
        <f>IF(AND(E$3&gt;='Proforma Inputs'!$B$44,E$89=0),IF(D17&lt;'Proforma Inputs'!$B75,D17+'Proforma Inputs'!$B75/'Proforma Inputs'!$B80,D17),0)</f>
        <v>0</v>
      </c>
      <c r="F17" s="22">
        <f>IF(AND(F$3&gt;='Proforma Inputs'!$B$44,F$89=0),IF(E17&lt;'Proforma Inputs'!$B75,E17+'Proforma Inputs'!$B75/'Proforma Inputs'!$B80,E17),0)</f>
        <v>0</v>
      </c>
      <c r="G17" s="22">
        <f>IF(AND(G$3&gt;='Proforma Inputs'!$B$44,G$89=0),IF(F17&lt;'Proforma Inputs'!$B75,F17+'Proforma Inputs'!$B75/'Proforma Inputs'!$B80,F17),0)</f>
        <v>50000</v>
      </c>
      <c r="H17" s="22">
        <f>IF(AND(H$3&gt;='Proforma Inputs'!$B$44,H$89=0),IF(G17&lt;'Proforma Inputs'!$B75,G17+'Proforma Inputs'!$B75/'Proforma Inputs'!$B80,G17),0)</f>
        <v>100000</v>
      </c>
      <c r="I17" s="22">
        <f>IF(AND(I$3&gt;='Proforma Inputs'!$B$44,I$89=0),IF(H17&lt;'Proforma Inputs'!$B75,H17+'Proforma Inputs'!$B75/'Proforma Inputs'!$B80,H17),0)</f>
        <v>150000</v>
      </c>
      <c r="J17" s="22">
        <f>IF(AND(J$3&gt;='Proforma Inputs'!$B$44,J$89=0),IF(I17&lt;'Proforma Inputs'!$B75,I17+'Proforma Inputs'!$B75/'Proforma Inputs'!$B80,I17),0)</f>
        <v>200000</v>
      </c>
      <c r="K17" s="22">
        <f>IF(AND(K$3&gt;='Proforma Inputs'!$B$44,K$89=0),IF(J17&lt;'Proforma Inputs'!$B75,J17+'Proforma Inputs'!$B75/'Proforma Inputs'!$B80,J17),0)</f>
        <v>200000</v>
      </c>
      <c r="L17" s="22">
        <f>IF(AND(L$3&gt;='Proforma Inputs'!$B$44,L$89=0),IF(K17&lt;'Proforma Inputs'!$B75,K17+'Proforma Inputs'!$B75/'Proforma Inputs'!$B80,K17),0)</f>
        <v>200000</v>
      </c>
      <c r="M17" s="22">
        <f>IF(AND(M$3&gt;='Proforma Inputs'!$B$44,M$89=0),IF(L17&lt;'Proforma Inputs'!$B75,L17+'Proforma Inputs'!$B75/'Proforma Inputs'!$B80,L17),0)</f>
        <v>200000</v>
      </c>
      <c r="N17" s="22">
        <f>IF(AND(N$3&gt;='Proforma Inputs'!$B$44,N$89=0),IF(M17&lt;'Proforma Inputs'!$B75,M17+'Proforma Inputs'!$B75/'Proforma Inputs'!$B80,M17),0)</f>
        <v>200000</v>
      </c>
      <c r="O17" s="22">
        <f>IF(AND(O$3&gt;='Proforma Inputs'!$B$44,O$89=0),IF(N17&lt;'Proforma Inputs'!$B75,N17+'Proforma Inputs'!$B75/'Proforma Inputs'!$B80,N17),0)</f>
        <v>200000</v>
      </c>
      <c r="P17" s="22">
        <f>IF(AND(P$3&gt;='Proforma Inputs'!$B$44,P$89=0),IF(O17&lt;'Proforma Inputs'!$B75,O17+'Proforma Inputs'!$B75/'Proforma Inputs'!$B80,O17),0)</f>
        <v>200000</v>
      </c>
      <c r="Q17" s="22">
        <f>IF(AND(Q$3&gt;='Proforma Inputs'!$B$44,Q$89=0),IF(P17&lt;'Proforma Inputs'!$B75,P17+'Proforma Inputs'!$B75/'Proforma Inputs'!$B80,P17),0)</f>
        <v>200000</v>
      </c>
      <c r="R17" s="22">
        <f>IF(AND(R$3&gt;='Proforma Inputs'!$B$44,R$89=0),IF(Q17&lt;'Proforma Inputs'!$B75,Q17+'Proforma Inputs'!$B75/'Proforma Inputs'!$B80,Q17),0)</f>
        <v>200000</v>
      </c>
      <c r="S17" s="22">
        <f>IF(AND(S$3&gt;='Proforma Inputs'!$B$44,S$89=0),IF(R17&lt;'Proforma Inputs'!$B75,R17+'Proforma Inputs'!$B75/'Proforma Inputs'!$B80,R17),0)</f>
        <v>200000</v>
      </c>
      <c r="T17" s="22">
        <f>IF(AND(T$3&gt;='Proforma Inputs'!$B$44,T$89=0),IF(S17&lt;'Proforma Inputs'!$B75,S17+'Proforma Inputs'!$B75/'Proforma Inputs'!$B80,S17),0)</f>
        <v>200000</v>
      </c>
      <c r="U17" s="22">
        <f>IF(AND(U$3&gt;='Proforma Inputs'!$B$44,U$89=0),IF(T17&lt;'Proforma Inputs'!$B75,T17+'Proforma Inputs'!$B75/'Proforma Inputs'!$B80,T17),0)</f>
        <v>0</v>
      </c>
      <c r="V17" s="22">
        <f>IF(AND(V$3&gt;='Proforma Inputs'!$B$44,V$89=0),IF(U17&lt;'Proforma Inputs'!$B75,U17+'Proforma Inputs'!$B75/'Proforma Inputs'!$B80,U17),0)</f>
        <v>0</v>
      </c>
      <c r="W17" s="22">
        <f>IF(AND(W$3&gt;='Proforma Inputs'!$B$44,W$89=0),IF(V17&lt;'Proforma Inputs'!$B75,V17+'Proforma Inputs'!$B75/'Proforma Inputs'!$B80,V17),0)</f>
        <v>0</v>
      </c>
      <c r="X17" s="22">
        <f>IF(AND(X$3&gt;='Proforma Inputs'!$B$44,X$89=0),IF(W17&lt;'Proforma Inputs'!$B75,W17+'Proforma Inputs'!$B75/'Proforma Inputs'!$B80,W17),0)</f>
        <v>0</v>
      </c>
      <c r="Y17" s="22">
        <f>IF(AND(Y$3&gt;='Proforma Inputs'!$B$44,Y$89=0),IF(X17&lt;'Proforma Inputs'!$B75,X17+'Proforma Inputs'!$B75/'Proforma Inputs'!$B80,X17),0)</f>
        <v>0</v>
      </c>
      <c r="Z17" s="22">
        <f>IF(AND(Z$3&gt;='Proforma Inputs'!$B$44,Z$89=0),IF(Y17&lt;'Proforma Inputs'!$B75,Y17+'Proforma Inputs'!$B75/'Proforma Inputs'!$B80,Y17),0)</f>
        <v>0</v>
      </c>
      <c r="AA17" s="22">
        <f>IF(AND(AA$3&gt;='Proforma Inputs'!$B$44,AA$89=0),IF(Z17&lt;'Proforma Inputs'!$B75,Z17+'Proforma Inputs'!$B75/'Proforma Inputs'!$B80,Z17),0)</f>
        <v>0</v>
      </c>
      <c r="AB17" s="22">
        <f>IF(AND(AB$3&gt;='Proforma Inputs'!$B$44,AB$89=0),IF(AA17&lt;'Proforma Inputs'!$B75,AA17+'Proforma Inputs'!$B75/'Proforma Inputs'!$B80,AA17),0)</f>
        <v>0</v>
      </c>
      <c r="AC17" s="22">
        <f>IF(AND(AC$3&gt;='Proforma Inputs'!$B$44,AC$89=0),IF(AB17&lt;'Proforma Inputs'!$B75,AB17+'Proforma Inputs'!$B75/'Proforma Inputs'!$B80,AB17),0)</f>
        <v>0</v>
      </c>
      <c r="AD17" s="22">
        <f>IF(AND(AD$3&gt;='Proforma Inputs'!$B$44,AD$89=0),IF(AC17&lt;'Proforma Inputs'!$B75,AC17+'Proforma Inputs'!$B75/'Proforma Inputs'!$B80,AC17),0)</f>
        <v>0</v>
      </c>
      <c r="AE17" s="22">
        <f>IF(AND(AE$3&gt;='Proforma Inputs'!$B$44,AE$89=0),IF(AD17&lt;'Proforma Inputs'!$B75,AD17+'Proforma Inputs'!$B75/'Proforma Inputs'!$B80,AD17),0)</f>
        <v>0</v>
      </c>
      <c r="AF17" s="22">
        <f>IF(AND(AF$3&gt;='Proforma Inputs'!$B$44,AF$89=0),IF(AE17&lt;'Proforma Inputs'!$B75,AE17+'Proforma Inputs'!$B75/'Proforma Inputs'!$B80,AE17),0)</f>
        <v>0</v>
      </c>
      <c r="AG17" s="22">
        <f>IF(AND(AG$3&gt;='Proforma Inputs'!$B$44,AG$89=0),IF(AF17&lt;'Proforma Inputs'!$B75,AF17+'Proforma Inputs'!$B75/'Proforma Inputs'!$B80,AF17),0)</f>
        <v>0</v>
      </c>
      <c r="AH17" s="22">
        <f>IF(AND(AH$3&gt;='Proforma Inputs'!$B$44,AH$89=0),IF(AG17&lt;'Proforma Inputs'!$B75,AG17+'Proforma Inputs'!$B75/'Proforma Inputs'!$B80,AG17),0)</f>
        <v>0</v>
      </c>
      <c r="AI17" s="22">
        <f>IF(AND(AI$3&gt;='Proforma Inputs'!$B$44,AI$89=0),IF(AH17&lt;'Proforma Inputs'!$B75,AH17+'Proforma Inputs'!$B75/'Proforma Inputs'!$B80,AH17),0)</f>
        <v>0</v>
      </c>
      <c r="AJ17" s="22">
        <f>IF(AND(AJ$3&gt;='Proforma Inputs'!$B$44,AJ$89=0),IF(AI17&lt;'Proforma Inputs'!$B75,AI17+'Proforma Inputs'!$B75/'Proforma Inputs'!$B80,AI17),0)</f>
        <v>0</v>
      </c>
      <c r="AK17" s="22">
        <f>IF(AND(AK$3&gt;='Proforma Inputs'!$B$44,AK$89=0),IF(AJ17&lt;'Proforma Inputs'!$B75,AJ17+'Proforma Inputs'!$B75/'Proforma Inputs'!$B80,AJ17),0)</f>
        <v>0</v>
      </c>
      <c r="AL17" s="22">
        <f>IF(AND(AL$3&gt;='Proforma Inputs'!$B$44,AL$89=0),IF(AK17&lt;'Proforma Inputs'!$B75,AK17+'Proforma Inputs'!$B75/'Proforma Inputs'!$B80,AK17),0)</f>
        <v>0</v>
      </c>
      <c r="AM17" s="22">
        <f>IF(AND(AM$3&gt;='Proforma Inputs'!$B$44,AM$89=0),IF(AL17&lt;'Proforma Inputs'!$B75,AL17+'Proforma Inputs'!$B75/'Proforma Inputs'!$B80,AL17),0)</f>
        <v>0</v>
      </c>
      <c r="AN17" s="22">
        <f>IF(AND(AN$3&gt;='Proforma Inputs'!$B$44,AN$89=0),IF(AM17&lt;'Proforma Inputs'!$B75,AM17+'Proforma Inputs'!$B75/'Proforma Inputs'!$B80,AM17),0)</f>
        <v>0</v>
      </c>
      <c r="AO17" s="22">
        <f>IF(AND(AO$3&gt;='Proforma Inputs'!$B$44,AO$89=0),IF(AN17&lt;'Proforma Inputs'!$B75,AN17+'Proforma Inputs'!$B75/'Proforma Inputs'!$B80,AN17),0)</f>
        <v>0</v>
      </c>
      <c r="AP17" s="22">
        <f>IF(AND(AP$3&gt;='Proforma Inputs'!$B$44,AP$89=0),IF(AO17&lt;'Proforma Inputs'!$B75,AO17+'Proforma Inputs'!$B75/'Proforma Inputs'!$B80,AO17),0)</f>
        <v>0</v>
      </c>
      <c r="AQ17" s="22"/>
      <c r="AR17" s="22"/>
      <c r="AS17" s="22"/>
      <c r="AT17" s="22"/>
      <c r="AU17" s="22"/>
      <c r="AV17" s="22"/>
    </row>
    <row r="18" spans="1:48" s="16" customFormat="1">
      <c r="A18" s="20" t="s">
        <v>31</v>
      </c>
      <c r="B18" s="22">
        <v>0</v>
      </c>
      <c r="C18" s="22">
        <f>IF(AND(C$3&gt;='Proforma Inputs'!$B$44,C$89=0),IF(B18&lt;'Proforma Inputs'!$B76,B18+'Proforma Inputs'!$B76/'Proforma Inputs'!$B81,B18),0)</f>
        <v>0</v>
      </c>
      <c r="D18" s="22">
        <f>IF(AND(D$3&gt;='Proforma Inputs'!$B$44,D$89=0),IF(C18&lt;'Proforma Inputs'!$B76,C18+'Proforma Inputs'!$B76/'Proforma Inputs'!$B81,C18),0)</f>
        <v>0</v>
      </c>
      <c r="E18" s="22">
        <f>IF(AND(E$3&gt;='Proforma Inputs'!$B$44,E$89=0),IF(D18&lt;'Proforma Inputs'!$B76,D18+'Proforma Inputs'!$B76/'Proforma Inputs'!$B81,D18),0)</f>
        <v>0</v>
      </c>
      <c r="F18" s="22">
        <f>IF(AND(F$3&gt;='Proforma Inputs'!$B$44,F$89=0),IF(E18&lt;'Proforma Inputs'!$B76,E18+'Proforma Inputs'!$B76/'Proforma Inputs'!$B81,E18),0)</f>
        <v>0</v>
      </c>
      <c r="G18" s="22">
        <f>IF(AND(G$3&gt;='Proforma Inputs'!$B$44,G$89=0),IF(F18&lt;'Proforma Inputs'!$B76,F18+'Proforma Inputs'!$B76/'Proforma Inputs'!$B81,F18),0)</f>
        <v>75000</v>
      </c>
      <c r="H18" s="22">
        <f>IF(AND(H$3&gt;='Proforma Inputs'!$B$44,H$89=0),IF(G18&lt;'Proforma Inputs'!$B76,G18+'Proforma Inputs'!$B76/'Proforma Inputs'!$B81,G18),0)</f>
        <v>150000</v>
      </c>
      <c r="I18" s="22">
        <f>IF(AND(I$3&gt;='Proforma Inputs'!$B$44,I$89=0),IF(H18&lt;'Proforma Inputs'!$B76,H18+'Proforma Inputs'!$B76/'Proforma Inputs'!$B81,H18),0)</f>
        <v>225000</v>
      </c>
      <c r="J18" s="22">
        <f>IF(AND(J$3&gt;='Proforma Inputs'!$B$44,J$89=0),IF(I18&lt;'Proforma Inputs'!$B76,I18+'Proforma Inputs'!$B76/'Proforma Inputs'!$B81,I18),0)</f>
        <v>300000</v>
      </c>
      <c r="K18" s="22">
        <f>IF(AND(K$3&gt;='Proforma Inputs'!$B$44,K$89=0),IF(J18&lt;'Proforma Inputs'!$B76,J18+'Proforma Inputs'!$B76/'Proforma Inputs'!$B81,J18),0)</f>
        <v>300000</v>
      </c>
      <c r="L18" s="22">
        <f>IF(AND(L$3&gt;='Proforma Inputs'!$B$44,L$89=0),IF(K18&lt;'Proforma Inputs'!$B76,K18+'Proforma Inputs'!$B76/'Proforma Inputs'!$B81,K18),0)</f>
        <v>300000</v>
      </c>
      <c r="M18" s="22">
        <f>IF(AND(M$3&gt;='Proforma Inputs'!$B$44,M$89=0),IF(L18&lt;'Proforma Inputs'!$B76,L18+'Proforma Inputs'!$B76/'Proforma Inputs'!$B81,L18),0)</f>
        <v>300000</v>
      </c>
      <c r="N18" s="22">
        <f>IF(AND(N$3&gt;='Proforma Inputs'!$B$44,N$89=0),IF(M18&lt;'Proforma Inputs'!$B76,M18+'Proforma Inputs'!$B76/'Proforma Inputs'!$B81,M18),0)</f>
        <v>300000</v>
      </c>
      <c r="O18" s="22">
        <f>IF(AND(O$3&gt;='Proforma Inputs'!$B$44,O$89=0),IF(N18&lt;'Proforma Inputs'!$B76,N18+'Proforma Inputs'!$B76/'Proforma Inputs'!$B81,N18),0)</f>
        <v>300000</v>
      </c>
      <c r="P18" s="22">
        <f>IF(AND(P$3&gt;='Proforma Inputs'!$B$44,P$89=0),IF(O18&lt;'Proforma Inputs'!$B76,O18+'Proforma Inputs'!$B76/'Proforma Inputs'!$B81,O18),0)</f>
        <v>300000</v>
      </c>
      <c r="Q18" s="22">
        <f>IF(AND(Q$3&gt;='Proforma Inputs'!$B$44,Q$89=0),IF(P18&lt;'Proforma Inputs'!$B76,P18+'Proforma Inputs'!$B76/'Proforma Inputs'!$B81,P18),0)</f>
        <v>300000</v>
      </c>
      <c r="R18" s="22">
        <f>IF(AND(R$3&gt;='Proforma Inputs'!$B$44,R$89=0),IF(Q18&lt;'Proforma Inputs'!$B76,Q18+'Proforma Inputs'!$B76/'Proforma Inputs'!$B81,Q18),0)</f>
        <v>300000</v>
      </c>
      <c r="S18" s="22">
        <f>IF(AND(S$3&gt;='Proforma Inputs'!$B$44,S$89=0),IF(R18&lt;'Proforma Inputs'!$B76,R18+'Proforma Inputs'!$B76/'Proforma Inputs'!$B81,R18),0)</f>
        <v>300000</v>
      </c>
      <c r="T18" s="22">
        <f>IF(AND(T$3&gt;='Proforma Inputs'!$B$44,T$89=0),IF(S18&lt;'Proforma Inputs'!$B76,S18+'Proforma Inputs'!$B76/'Proforma Inputs'!$B81,S18),0)</f>
        <v>300000</v>
      </c>
      <c r="U18" s="22">
        <f>IF(AND(U$3&gt;='Proforma Inputs'!$B$44,U$89=0),IF(T18&lt;'Proforma Inputs'!$B76,T18+'Proforma Inputs'!$B76/'Proforma Inputs'!$B81,T18),0)</f>
        <v>0</v>
      </c>
      <c r="V18" s="22">
        <f>IF(AND(V$3&gt;='Proforma Inputs'!$B$44,V$89=0),IF(U18&lt;'Proforma Inputs'!$B76,U18+'Proforma Inputs'!$B76/'Proforma Inputs'!$B81,U18),0)</f>
        <v>0</v>
      </c>
      <c r="W18" s="22">
        <f>IF(AND(W$3&gt;='Proforma Inputs'!$B$44,W$89=0),IF(V18&lt;'Proforma Inputs'!$B76,V18+'Proforma Inputs'!$B76/'Proforma Inputs'!$B81,V18),0)</f>
        <v>0</v>
      </c>
      <c r="X18" s="22">
        <f>IF(AND(X$3&gt;='Proforma Inputs'!$B$44,X$89=0),IF(W18&lt;'Proforma Inputs'!$B76,W18+'Proforma Inputs'!$B76/'Proforma Inputs'!$B81,W18),0)</f>
        <v>0</v>
      </c>
      <c r="Y18" s="22">
        <f>IF(AND(Y$3&gt;='Proforma Inputs'!$B$44,Y$89=0),IF(X18&lt;'Proforma Inputs'!$B76,X18+'Proforma Inputs'!$B76/'Proforma Inputs'!$B81,X18),0)</f>
        <v>0</v>
      </c>
      <c r="Z18" s="22">
        <f>IF(AND(Z$3&gt;='Proforma Inputs'!$B$44,Z$89=0),IF(Y18&lt;'Proforma Inputs'!$B76,Y18+'Proforma Inputs'!$B76/'Proforma Inputs'!$B81,Y18),0)</f>
        <v>0</v>
      </c>
      <c r="AA18" s="22">
        <f>IF(AND(AA$3&gt;='Proforma Inputs'!$B$44,AA$89=0),IF(Z18&lt;'Proforma Inputs'!$B76,Z18+'Proforma Inputs'!$B76/'Proforma Inputs'!$B81,Z18),0)</f>
        <v>0</v>
      </c>
      <c r="AB18" s="22">
        <f>IF(AND(AB$3&gt;='Proforma Inputs'!$B$44,AB$89=0),IF(AA18&lt;'Proforma Inputs'!$B76,AA18+'Proforma Inputs'!$B76/'Proforma Inputs'!$B81,AA18),0)</f>
        <v>0</v>
      </c>
      <c r="AC18" s="22">
        <f>IF(AND(AC$3&gt;='Proforma Inputs'!$B$44,AC$89=0),IF(AB18&lt;'Proforma Inputs'!$B76,AB18+'Proforma Inputs'!$B76/'Proforma Inputs'!$B81,AB18),0)</f>
        <v>0</v>
      </c>
      <c r="AD18" s="22">
        <f>IF(AND(AD$3&gt;='Proforma Inputs'!$B$44,AD$89=0),IF(AC18&lt;'Proforma Inputs'!$B76,AC18+'Proforma Inputs'!$B76/'Proforma Inputs'!$B81,AC18),0)</f>
        <v>0</v>
      </c>
      <c r="AE18" s="22">
        <f>IF(AND(AE$3&gt;='Proforma Inputs'!$B$44,AE$89=0),IF(AD18&lt;'Proforma Inputs'!$B76,AD18+'Proforma Inputs'!$B76/'Proforma Inputs'!$B81,AD18),0)</f>
        <v>0</v>
      </c>
      <c r="AF18" s="22">
        <f>IF(AND(AF$3&gt;='Proforma Inputs'!$B$44,AF$89=0),IF(AE18&lt;'Proforma Inputs'!$B76,AE18+'Proforma Inputs'!$B76/'Proforma Inputs'!$B81,AE18),0)</f>
        <v>0</v>
      </c>
      <c r="AG18" s="22">
        <f>IF(AND(AG$3&gt;='Proforma Inputs'!$B$44,AG$89=0),IF(AF18&lt;'Proforma Inputs'!$B76,AF18+'Proforma Inputs'!$B76/'Proforma Inputs'!$B81,AF18),0)</f>
        <v>0</v>
      </c>
      <c r="AH18" s="22">
        <f>IF(AND(AH$3&gt;='Proforma Inputs'!$B$44,AH$89=0),IF(AG18&lt;'Proforma Inputs'!$B76,AG18+'Proforma Inputs'!$B76/'Proforma Inputs'!$B81,AG18),0)</f>
        <v>0</v>
      </c>
      <c r="AI18" s="22">
        <f>IF(AND(AI$3&gt;='Proforma Inputs'!$B$44,AI$89=0),IF(AH18&lt;'Proforma Inputs'!$B76,AH18+'Proforma Inputs'!$B76/'Proforma Inputs'!$B81,AH18),0)</f>
        <v>0</v>
      </c>
      <c r="AJ18" s="22">
        <f>IF(AND(AJ$3&gt;='Proforma Inputs'!$B$44,AJ$89=0),IF(AI18&lt;'Proforma Inputs'!$B76,AI18+'Proforma Inputs'!$B76/'Proforma Inputs'!$B81,AI18),0)</f>
        <v>0</v>
      </c>
      <c r="AK18" s="22">
        <f>IF(AND(AK$3&gt;='Proforma Inputs'!$B$44,AK$89=0),IF(AJ18&lt;'Proforma Inputs'!$B76,AJ18+'Proforma Inputs'!$B76/'Proforma Inputs'!$B81,AJ18),0)</f>
        <v>0</v>
      </c>
      <c r="AL18" s="22">
        <f>IF(AND(AL$3&gt;='Proforma Inputs'!$B$44,AL$89=0),IF(AK18&lt;'Proforma Inputs'!$B76,AK18+'Proforma Inputs'!$B76/'Proforma Inputs'!$B81,AK18),0)</f>
        <v>0</v>
      </c>
      <c r="AM18" s="22">
        <f>IF(AND(AM$3&gt;='Proforma Inputs'!$B$44,AM$89=0),IF(AL18&lt;'Proforma Inputs'!$B76,AL18+'Proforma Inputs'!$B76/'Proforma Inputs'!$B81,AL18),0)</f>
        <v>0</v>
      </c>
      <c r="AN18" s="22">
        <f>IF(AND(AN$3&gt;='Proforma Inputs'!$B$44,AN$89=0),IF(AM18&lt;'Proforma Inputs'!$B76,AM18+'Proforma Inputs'!$B76/'Proforma Inputs'!$B81,AM18),0)</f>
        <v>0</v>
      </c>
      <c r="AO18" s="22">
        <f>IF(AND(AO$3&gt;='Proforma Inputs'!$B$44,AO$89=0),IF(AN18&lt;'Proforma Inputs'!$B76,AN18+'Proforma Inputs'!$B76/'Proforma Inputs'!$B81,AN18),0)</f>
        <v>0</v>
      </c>
      <c r="AP18" s="22">
        <f>IF(AND(AP$3&gt;='Proforma Inputs'!$B$44,AP$89=0),IF(AO18&lt;'Proforma Inputs'!$B76,AO18+'Proforma Inputs'!$B76/'Proforma Inputs'!$B81,AO18),0)</f>
        <v>0</v>
      </c>
      <c r="AQ18" s="22"/>
      <c r="AR18" s="22"/>
      <c r="AS18" s="22"/>
      <c r="AT18" s="22"/>
      <c r="AU18" s="22"/>
      <c r="AV18" s="22"/>
    </row>
    <row r="19" spans="1:48" s="16" customFormat="1">
      <c r="A19" s="24" t="s">
        <v>32</v>
      </c>
      <c r="B19" s="22">
        <v>0</v>
      </c>
      <c r="C19" s="22">
        <f>IF(AND(C$3&gt;='Proforma Inputs'!$B$44,C$89=0),IF(B19&lt;'Proforma Inputs'!$B77,B19+'Proforma Inputs'!$B77/'Proforma Inputs'!$B82,B19),0)</f>
        <v>0</v>
      </c>
      <c r="D19" s="22">
        <f>IF(AND(D$3&gt;='Proforma Inputs'!$B$44,D$89=0),IF(C19&lt;'Proforma Inputs'!$B77,C19+'Proforma Inputs'!$B77/'Proforma Inputs'!$B82,C19),0)</f>
        <v>0</v>
      </c>
      <c r="E19" s="22">
        <f>IF(AND(E$3&gt;='Proforma Inputs'!$B$44,E$89=0),IF(D19&lt;'Proforma Inputs'!$B77,D19+'Proforma Inputs'!$B77/'Proforma Inputs'!$B82,D19),0)</f>
        <v>0</v>
      </c>
      <c r="F19" s="22">
        <f>IF(AND(F$3&gt;='Proforma Inputs'!$B$44,F$89=0),IF(E19&lt;'Proforma Inputs'!$B77,E19+'Proforma Inputs'!$B77/'Proforma Inputs'!$B82,E19),0)</f>
        <v>0</v>
      </c>
      <c r="G19" s="22">
        <f>IF(AND(G$3&gt;='Proforma Inputs'!$B$44,G$89=0),IF(F19&lt;'Proforma Inputs'!$B77,F19+'Proforma Inputs'!$B77/'Proforma Inputs'!$B82,F19),0)</f>
        <v>50000</v>
      </c>
      <c r="H19" s="22">
        <f>IF(AND(H$3&gt;='Proforma Inputs'!$B$44,H$89=0),IF(G19&lt;'Proforma Inputs'!$B77,G19+'Proforma Inputs'!$B77/'Proforma Inputs'!$B82,G19),0)</f>
        <v>100000</v>
      </c>
      <c r="I19" s="22">
        <f>IF(AND(I$3&gt;='Proforma Inputs'!$B$44,I$89=0),IF(H19&lt;'Proforma Inputs'!$B77,H19+'Proforma Inputs'!$B77/'Proforma Inputs'!$B82,H19),0)</f>
        <v>150000</v>
      </c>
      <c r="J19" s="22">
        <f>IF(AND(J$3&gt;='Proforma Inputs'!$B$44,J$89=0),IF(I19&lt;'Proforma Inputs'!$B77,I19+'Proforma Inputs'!$B77/'Proforma Inputs'!$B82,I19),0)</f>
        <v>200000</v>
      </c>
      <c r="K19" s="22">
        <f>IF(AND(K$3&gt;='Proforma Inputs'!$B$44,K$89=0),IF(J19&lt;'Proforma Inputs'!$B77,J19+'Proforma Inputs'!$B77/'Proforma Inputs'!$B82,J19),0)</f>
        <v>250000</v>
      </c>
      <c r="L19" s="22">
        <f>IF(AND(L$3&gt;='Proforma Inputs'!$B$44,L$89=0),IF(K19&lt;'Proforma Inputs'!$B77,K19+'Proforma Inputs'!$B77/'Proforma Inputs'!$B82,K19),0)</f>
        <v>300000</v>
      </c>
      <c r="M19" s="22">
        <f>IF(AND(M$3&gt;='Proforma Inputs'!$B$44,M$89=0),IF(L19&lt;'Proforma Inputs'!$B77,L19+'Proforma Inputs'!$B77/'Proforma Inputs'!$B82,L19),0)</f>
        <v>350000</v>
      </c>
      <c r="N19" s="22">
        <f>IF(AND(N$3&gt;='Proforma Inputs'!$B$44,N$89=0),IF(M19&lt;'Proforma Inputs'!$B77,M19+'Proforma Inputs'!$B77/'Proforma Inputs'!$B82,M19),0)</f>
        <v>400000</v>
      </c>
      <c r="O19" s="22">
        <f>IF(AND(O$3&gt;='Proforma Inputs'!$B$44,O$89=0),IF(N19&lt;'Proforma Inputs'!$B77,N19+'Proforma Inputs'!$B77/'Proforma Inputs'!$B82,N19),0)</f>
        <v>400000</v>
      </c>
      <c r="P19" s="22">
        <f>IF(AND(P$3&gt;='Proforma Inputs'!$B$44,P$89=0),IF(O19&lt;'Proforma Inputs'!$B77,O19+'Proforma Inputs'!$B77/'Proforma Inputs'!$B82,O19),0)</f>
        <v>400000</v>
      </c>
      <c r="Q19" s="22">
        <f>IF(AND(Q$3&gt;='Proforma Inputs'!$B$44,Q$89=0),IF(P19&lt;'Proforma Inputs'!$B77,P19+'Proforma Inputs'!$B77/'Proforma Inputs'!$B82,P19),0)</f>
        <v>400000</v>
      </c>
      <c r="R19" s="22">
        <f>IF(AND(R$3&gt;='Proforma Inputs'!$B$44,R$89=0),IF(Q19&lt;'Proforma Inputs'!$B77,Q19+'Proforma Inputs'!$B77/'Proforma Inputs'!$B82,Q19),0)</f>
        <v>400000</v>
      </c>
      <c r="S19" s="22">
        <f>IF(AND(S$3&gt;='Proforma Inputs'!$B$44,S$89=0),IF(R19&lt;'Proforma Inputs'!$B77,R19+'Proforma Inputs'!$B77/'Proforma Inputs'!$B82,R19),0)</f>
        <v>400000</v>
      </c>
      <c r="T19" s="22">
        <f>IF(AND(T$3&gt;='Proforma Inputs'!$B$44,T$89=0),IF(S19&lt;'Proforma Inputs'!$B77,S19+'Proforma Inputs'!$B77/'Proforma Inputs'!$B82,S19),0)</f>
        <v>400000</v>
      </c>
      <c r="U19" s="22">
        <f>IF(AND(U$3&gt;='Proforma Inputs'!$B$44,U$89=0),IF(T19&lt;'Proforma Inputs'!$B77,T19+'Proforma Inputs'!$B77/'Proforma Inputs'!$B82,T19),0)</f>
        <v>0</v>
      </c>
      <c r="V19" s="22">
        <f>IF(AND(V$3&gt;='Proforma Inputs'!$B$44,V$89=0),IF(U19&lt;'Proforma Inputs'!$B77,U19+'Proforma Inputs'!$B77/'Proforma Inputs'!$B82,U19),0)</f>
        <v>0</v>
      </c>
      <c r="W19" s="22">
        <f>IF(AND(W$3&gt;='Proforma Inputs'!$B$44,W$89=0),IF(V19&lt;'Proforma Inputs'!$B77,V19+'Proforma Inputs'!$B77/'Proforma Inputs'!$B82,V19),0)</f>
        <v>0</v>
      </c>
      <c r="X19" s="22">
        <f>IF(AND(X$3&gt;='Proforma Inputs'!$B$44,X$89=0),IF(W19&lt;'Proforma Inputs'!$B77,W19+'Proforma Inputs'!$B77/'Proforma Inputs'!$B82,W19),0)</f>
        <v>0</v>
      </c>
      <c r="Y19" s="22">
        <f>IF(AND(Y$3&gt;='Proforma Inputs'!$B$44,Y$89=0),IF(X19&lt;'Proforma Inputs'!$B77,X19+'Proforma Inputs'!$B77/'Proforma Inputs'!$B82,X19),0)</f>
        <v>0</v>
      </c>
      <c r="Z19" s="22">
        <f>IF(AND(Z$3&gt;='Proforma Inputs'!$B$44,Z$89=0),IF(Y19&lt;'Proforma Inputs'!$B77,Y19+'Proforma Inputs'!$B77/'Proforma Inputs'!$B82,Y19),0)</f>
        <v>0</v>
      </c>
      <c r="AA19" s="22">
        <f>IF(AND(AA$3&gt;='Proforma Inputs'!$B$44,AA$89=0),IF(Z19&lt;'Proforma Inputs'!$B77,Z19+'Proforma Inputs'!$B77/'Proforma Inputs'!$B82,Z19),0)</f>
        <v>0</v>
      </c>
      <c r="AB19" s="22">
        <f>IF(AND(AB$3&gt;='Proforma Inputs'!$B$44,AB$89=0),IF(AA19&lt;'Proforma Inputs'!$B77,AA19+'Proforma Inputs'!$B77/'Proforma Inputs'!$B82,AA19),0)</f>
        <v>0</v>
      </c>
      <c r="AC19" s="22">
        <f>IF(AND(AC$3&gt;='Proforma Inputs'!$B$44,AC$89=0),IF(AB19&lt;'Proforma Inputs'!$B77,AB19+'Proforma Inputs'!$B77/'Proforma Inputs'!$B82,AB19),0)</f>
        <v>0</v>
      </c>
      <c r="AD19" s="22">
        <f>IF(AND(AD$3&gt;='Proforma Inputs'!$B$44,AD$89=0),IF(AC19&lt;'Proforma Inputs'!$B77,AC19+'Proforma Inputs'!$B77/'Proforma Inputs'!$B82,AC19),0)</f>
        <v>0</v>
      </c>
      <c r="AE19" s="22">
        <f>IF(AND(AE$3&gt;='Proforma Inputs'!$B$44,AE$89=0),IF(AD19&lt;'Proforma Inputs'!$B77,AD19+'Proforma Inputs'!$B77/'Proforma Inputs'!$B82,AD19),0)</f>
        <v>0</v>
      </c>
      <c r="AF19" s="22">
        <f>IF(AND(AF$3&gt;='Proforma Inputs'!$B$44,AF$89=0),IF(AE19&lt;'Proforma Inputs'!$B77,AE19+'Proforma Inputs'!$B77/'Proforma Inputs'!$B82,AE19),0)</f>
        <v>0</v>
      </c>
      <c r="AG19" s="22">
        <f>IF(AND(AG$3&gt;='Proforma Inputs'!$B$44,AG$89=0),IF(AF19&lt;'Proforma Inputs'!$B77,AF19+'Proforma Inputs'!$B77/'Proforma Inputs'!$B82,AF19),0)</f>
        <v>0</v>
      </c>
      <c r="AH19" s="22">
        <f>IF(AND(AH$3&gt;='Proforma Inputs'!$B$44,AH$89=0),IF(AG19&lt;'Proforma Inputs'!$B77,AG19+'Proforma Inputs'!$B77/'Proforma Inputs'!$B82,AG19),0)</f>
        <v>0</v>
      </c>
      <c r="AI19" s="22">
        <f>IF(AND(AI$3&gt;='Proforma Inputs'!$B$44,AI$89=0),IF(AH19&lt;'Proforma Inputs'!$B77,AH19+'Proforma Inputs'!$B77/'Proforma Inputs'!$B82,AH19),0)</f>
        <v>0</v>
      </c>
      <c r="AJ19" s="22">
        <f>IF(AND(AJ$3&gt;='Proforma Inputs'!$B$44,AJ$89=0),IF(AI19&lt;'Proforma Inputs'!$B77,AI19+'Proforma Inputs'!$B77/'Proforma Inputs'!$B82,AI19),0)</f>
        <v>0</v>
      </c>
      <c r="AK19" s="22">
        <f>IF(AND(AK$3&gt;='Proforma Inputs'!$B$44,AK$89=0),IF(AJ19&lt;'Proforma Inputs'!$B77,AJ19+'Proforma Inputs'!$B77/'Proforma Inputs'!$B82,AJ19),0)</f>
        <v>0</v>
      </c>
      <c r="AL19" s="22">
        <f>IF(AND(AL$3&gt;='Proforma Inputs'!$B$44,AL$89=0),IF(AK19&lt;'Proforma Inputs'!$B77,AK19+'Proforma Inputs'!$B77/'Proforma Inputs'!$B82,AK19),0)</f>
        <v>0</v>
      </c>
      <c r="AM19" s="22">
        <f>IF(AND(AM$3&gt;='Proforma Inputs'!$B$44,AM$89=0),IF(AL19&lt;'Proforma Inputs'!$B77,AL19+'Proforma Inputs'!$B77/'Proforma Inputs'!$B82,AL19),0)</f>
        <v>0</v>
      </c>
      <c r="AN19" s="22">
        <f>IF(AND(AN$3&gt;='Proforma Inputs'!$B$44,AN$89=0),IF(AM19&lt;'Proforma Inputs'!$B77,AM19+'Proforma Inputs'!$B77/'Proforma Inputs'!$B82,AM19),0)</f>
        <v>0</v>
      </c>
      <c r="AO19" s="22">
        <f>IF(AND(AO$3&gt;='Proforma Inputs'!$B$44,AO$89=0),IF(AN19&lt;'Proforma Inputs'!$B77,AN19+'Proforma Inputs'!$B77/'Proforma Inputs'!$B82,AN19),0)</f>
        <v>0</v>
      </c>
      <c r="AP19" s="22">
        <f>IF(AND(AP$3&gt;='Proforma Inputs'!$B$44,AP$89=0),IF(AO19&lt;'Proforma Inputs'!$B77,AO19+'Proforma Inputs'!$B77/'Proforma Inputs'!$B82,AO19),0)</f>
        <v>0</v>
      </c>
      <c r="AQ19" s="22"/>
      <c r="AR19" s="22"/>
      <c r="AS19" s="22"/>
      <c r="AT19" s="22"/>
      <c r="AU19" s="22"/>
      <c r="AV19" s="22"/>
    </row>
    <row r="20" spans="1:48" s="16" customFormat="1">
      <c r="A20" t="s">
        <v>182</v>
      </c>
    </row>
    <row r="21" spans="1:48" s="16" customFormat="1">
      <c r="A21" s="18" t="s">
        <v>1</v>
      </c>
      <c r="B21" s="22">
        <v>0</v>
      </c>
      <c r="C21" s="22">
        <f>IF(AND(C$3&gt;='Proforma Inputs'!$B$44,C$89=0),IF(B21&lt;'Proforma Inputs'!$B92,B21+'Proforma Inputs'!$B92/'Proforma Inputs'!$B100,B21),0)</f>
        <v>0</v>
      </c>
      <c r="D21" s="22">
        <f>IF(AND(D$3&gt;='Proforma Inputs'!$B$44,D$89=0),IF(C21&lt;'Proforma Inputs'!$B92,C21+'Proforma Inputs'!$B92/'Proforma Inputs'!$B100,C21),0)</f>
        <v>0</v>
      </c>
      <c r="E21" s="22">
        <f>IF(AND(E$3&gt;='Proforma Inputs'!$B$44,E$89=0),IF(D21&lt;'Proforma Inputs'!$B92,D21+'Proforma Inputs'!$B92/'Proforma Inputs'!$B100,D21),0)</f>
        <v>0</v>
      </c>
      <c r="F21" s="22">
        <f>IF(AND(F$3&gt;='Proforma Inputs'!$B$44,F$89=0),IF(E21&lt;'Proforma Inputs'!$B92,E21+'Proforma Inputs'!$B92/'Proforma Inputs'!$B100,E21),0)</f>
        <v>0</v>
      </c>
      <c r="G21" s="22">
        <f>IF(AND(G$3&gt;='Proforma Inputs'!$B$44,G$89=0),IF(F21&lt;'Proforma Inputs'!$B92,F21+'Proforma Inputs'!$B92/'Proforma Inputs'!$B100,F21),0)</f>
        <v>500000</v>
      </c>
      <c r="H21" s="22">
        <f>IF(AND(H$3&gt;='Proforma Inputs'!$B$44,H$89=0),IF(G21&lt;'Proforma Inputs'!$B92,G21+'Proforma Inputs'!$B92/'Proforma Inputs'!$B100,G21),0)</f>
        <v>1000000</v>
      </c>
      <c r="I21" s="22">
        <f>IF(AND(I$3&gt;='Proforma Inputs'!$B$44,I$89=0),IF(H21&lt;'Proforma Inputs'!$B92,H21+'Proforma Inputs'!$B92/'Proforma Inputs'!$B100,H21),0)</f>
        <v>1500000</v>
      </c>
      <c r="J21" s="22">
        <f>IF(AND(J$3&gt;='Proforma Inputs'!$B$44,J$89=0),IF(I21&lt;'Proforma Inputs'!$B92,I21+'Proforma Inputs'!$B92/'Proforma Inputs'!$B100,I21),0)</f>
        <v>2000000</v>
      </c>
      <c r="K21" s="22">
        <f>IF(AND(K$3&gt;='Proforma Inputs'!$B$44,K$89=0),IF(J21&lt;'Proforma Inputs'!$B92,J21+'Proforma Inputs'!$B92/'Proforma Inputs'!$B100,J21),0)</f>
        <v>2500000</v>
      </c>
      <c r="L21" s="22">
        <f>IF(AND(L$3&gt;='Proforma Inputs'!$B$44,L$89=0),IF(K21&lt;'Proforma Inputs'!$B92,K21+'Proforma Inputs'!$B92/'Proforma Inputs'!$B100,K21),0)</f>
        <v>3000000</v>
      </c>
      <c r="M21" s="22">
        <f>IF(AND(M$3&gt;='Proforma Inputs'!$B$44,M$89=0),IF(L21&lt;'Proforma Inputs'!$B92,L21+'Proforma Inputs'!$B92/'Proforma Inputs'!$B100,L21),0)</f>
        <v>3500000</v>
      </c>
      <c r="N21" s="22">
        <f>IF(AND(N$3&gt;='Proforma Inputs'!$B$44,N$89=0),IF(M21&lt;'Proforma Inputs'!$B92,M21+'Proforma Inputs'!$B92/'Proforma Inputs'!$B100,M21),0)</f>
        <v>4000000</v>
      </c>
      <c r="O21" s="22">
        <f>IF(AND(O$3&gt;='Proforma Inputs'!$B$44,O$89=0),IF(N21&lt;'Proforma Inputs'!$B92,N21+'Proforma Inputs'!$B92/'Proforma Inputs'!$B100,N21),0)</f>
        <v>4000000</v>
      </c>
      <c r="P21" s="22">
        <f>IF(AND(P$3&gt;='Proforma Inputs'!$B$44,P$89=0),IF(O21&lt;'Proforma Inputs'!$B92,O21+'Proforma Inputs'!$B92/'Proforma Inputs'!$B100,O21),0)</f>
        <v>4000000</v>
      </c>
      <c r="Q21" s="22">
        <f>IF(AND(Q$3&gt;='Proforma Inputs'!$B$44,Q$89=0),IF(P21&lt;'Proforma Inputs'!$B92,P21+'Proforma Inputs'!$B92/'Proforma Inputs'!$B100,P21),0)</f>
        <v>4000000</v>
      </c>
      <c r="R21" s="22">
        <f>IF(AND(R$3&gt;='Proforma Inputs'!$B$44,R$89=0),IF(Q21&lt;'Proforma Inputs'!$B92,Q21+'Proforma Inputs'!$B92/'Proforma Inputs'!$B100,Q21),0)</f>
        <v>4000000</v>
      </c>
      <c r="S21" s="22">
        <f>IF(AND(S$3&gt;='Proforma Inputs'!$B$44,S$89=0),IF(R21&lt;'Proforma Inputs'!$B92,R21+'Proforma Inputs'!$B92/'Proforma Inputs'!$B100,R21),0)</f>
        <v>4000000</v>
      </c>
      <c r="T21" s="22">
        <f>IF(AND(T$3&gt;='Proforma Inputs'!$B$44,T$89=0),IF(S21&lt;'Proforma Inputs'!$B92,S21+'Proforma Inputs'!$B92/'Proforma Inputs'!$B100,S21),0)</f>
        <v>4000000</v>
      </c>
      <c r="U21" s="22">
        <f>IF(AND(U$3&gt;='Proforma Inputs'!$B$44,U$89=0),IF(T21&lt;'Proforma Inputs'!$B92,T21+'Proforma Inputs'!$B92/'Proforma Inputs'!$B100,T21),0)</f>
        <v>0</v>
      </c>
      <c r="V21" s="22">
        <f>IF(AND(V$3&gt;='Proforma Inputs'!$B$44,V$89=0),IF(U21&lt;'Proforma Inputs'!$B92,U21+'Proforma Inputs'!$B92/'Proforma Inputs'!$B100,U21),0)</f>
        <v>0</v>
      </c>
      <c r="W21" s="22">
        <f>IF(AND(W$3&gt;='Proforma Inputs'!$B$44,W$89=0),IF(V21&lt;'Proforma Inputs'!$B92,V21+'Proforma Inputs'!$B92/'Proforma Inputs'!$B100,V21),0)</f>
        <v>0</v>
      </c>
      <c r="X21" s="22">
        <f>IF(AND(X$3&gt;='Proforma Inputs'!$B$44,X$89=0),IF(W21&lt;'Proforma Inputs'!$B92,W21+'Proforma Inputs'!$B92/'Proforma Inputs'!$B100,W21),0)</f>
        <v>0</v>
      </c>
      <c r="Y21" s="22">
        <f>IF(AND(Y$3&gt;='Proforma Inputs'!$B$44,Y$89=0),IF(X21&lt;'Proforma Inputs'!$B92,X21+'Proforma Inputs'!$B92/'Proforma Inputs'!$B100,X21),0)</f>
        <v>0</v>
      </c>
      <c r="Z21" s="22">
        <f>IF(AND(Z$3&gt;='Proforma Inputs'!$B$44,Z$89=0),IF(Y21&lt;'Proforma Inputs'!$B92,Y21+'Proforma Inputs'!$B92/'Proforma Inputs'!$B100,Y21),0)</f>
        <v>0</v>
      </c>
      <c r="AA21" s="22">
        <f>IF(AND(AA$3&gt;='Proforma Inputs'!$B$44,AA$89=0),IF(Z21&lt;'Proforma Inputs'!$B92,Z21+'Proforma Inputs'!$B92/'Proforma Inputs'!$B100,Z21),0)</f>
        <v>0</v>
      </c>
      <c r="AB21" s="22">
        <f>IF(AND(AB$3&gt;='Proforma Inputs'!$B$44,AB$89=0),IF(AA21&lt;'Proforma Inputs'!$B92,AA21+'Proforma Inputs'!$B92/'Proforma Inputs'!$B100,AA21),0)</f>
        <v>0</v>
      </c>
      <c r="AC21" s="22">
        <f>IF(AND(AC$3&gt;='Proforma Inputs'!$B$44,AC$89=0),IF(AB21&lt;'Proforma Inputs'!$B92,AB21+'Proforma Inputs'!$B92/'Proforma Inputs'!$B100,AB21),0)</f>
        <v>0</v>
      </c>
      <c r="AD21" s="22">
        <f>IF(AND(AD$3&gt;='Proforma Inputs'!$B$44,AD$89=0),IF(AC21&lt;'Proforma Inputs'!$B92,AC21+'Proforma Inputs'!$B92/'Proforma Inputs'!$B100,AC21),0)</f>
        <v>0</v>
      </c>
      <c r="AE21" s="22">
        <f>IF(AND(AE$3&gt;='Proforma Inputs'!$B$44,AE$89=0),IF(AD21&lt;'Proforma Inputs'!$B92,AD21+'Proforma Inputs'!$B92/'Proforma Inputs'!$B100,AD21),0)</f>
        <v>0</v>
      </c>
      <c r="AF21" s="22">
        <f>IF(AND(AF$3&gt;='Proforma Inputs'!$B$44,AF$89=0),IF(AE21&lt;'Proforma Inputs'!$B92,AE21+'Proforma Inputs'!$B92/'Proforma Inputs'!$B100,AE21),0)</f>
        <v>0</v>
      </c>
      <c r="AG21" s="22">
        <f>IF(AND(AG$3&gt;='Proforma Inputs'!$B$44,AG$89=0),IF(AF21&lt;'Proforma Inputs'!$B92,AF21+'Proforma Inputs'!$B92/'Proforma Inputs'!$B100,AF21),0)</f>
        <v>0</v>
      </c>
      <c r="AH21" s="22">
        <f>IF(AND(AH$3&gt;='Proforma Inputs'!$B$44,AH$89=0),IF(AG21&lt;'Proforma Inputs'!$B92,AG21+'Proforma Inputs'!$B92/'Proforma Inputs'!$B100,AG21),0)</f>
        <v>0</v>
      </c>
      <c r="AI21" s="22">
        <f>IF(AND(AI$3&gt;='Proforma Inputs'!$B$44,AI$89=0),IF(AH21&lt;'Proforma Inputs'!$B92,AH21+'Proforma Inputs'!$B92/'Proforma Inputs'!$B100,AH21),0)</f>
        <v>0</v>
      </c>
      <c r="AJ21" s="22">
        <f>IF(AND(AJ$3&gt;='Proforma Inputs'!$B$44,AJ$89=0),IF(AI21&lt;'Proforma Inputs'!$B92,AI21+'Proforma Inputs'!$B92/'Proforma Inputs'!$B100,AI21),0)</f>
        <v>0</v>
      </c>
      <c r="AK21" s="22">
        <f>IF(AND(AK$3&gt;='Proforma Inputs'!$B$44,AK$89=0),IF(AJ21&lt;'Proforma Inputs'!$B92,AJ21+'Proforma Inputs'!$B92/'Proforma Inputs'!$B100,AJ21),0)</f>
        <v>0</v>
      </c>
      <c r="AL21" s="22">
        <f>IF(AND(AL$3&gt;='Proforma Inputs'!$B$44,AL$89=0),IF(AK21&lt;'Proforma Inputs'!$B92,AK21+'Proforma Inputs'!$B92/'Proforma Inputs'!$B100,AK21),0)</f>
        <v>0</v>
      </c>
      <c r="AM21" s="22">
        <f>IF(AND(AM$3&gt;='Proforma Inputs'!$B$44,AM$89=0),IF(AL21&lt;'Proforma Inputs'!$B92,AL21+'Proforma Inputs'!$B92/'Proforma Inputs'!$B100,AL21),0)</f>
        <v>0</v>
      </c>
      <c r="AN21" s="22">
        <f>IF(AND(AN$3&gt;='Proforma Inputs'!$B$44,AN$89=0),IF(AM21&lt;'Proforma Inputs'!$B92,AM21+'Proforma Inputs'!$B92/'Proforma Inputs'!$B100,AM21),0)</f>
        <v>0</v>
      </c>
      <c r="AO21" s="22">
        <f>IF(AND(AO$3&gt;='Proforma Inputs'!$B$44,AO$89=0),IF(AN21&lt;'Proforma Inputs'!$B92,AN21+'Proforma Inputs'!$B92/'Proforma Inputs'!$B100,AN21),0)</f>
        <v>0</v>
      </c>
      <c r="AP21" s="22">
        <f>IF(AND(AP$3&gt;='Proforma Inputs'!$B$44,AP$89=0),IF(AO21&lt;'Proforma Inputs'!$B92,AO21+'Proforma Inputs'!$B92/'Proforma Inputs'!$B100,AO21),0)</f>
        <v>0</v>
      </c>
      <c r="AQ21" s="22"/>
      <c r="AR21" s="22"/>
      <c r="AS21" s="22"/>
      <c r="AT21" s="22"/>
      <c r="AU21" s="22"/>
      <c r="AV21" s="22"/>
    </row>
    <row r="22" spans="1:48" s="16" customFormat="1">
      <c r="A22" s="18" t="s">
        <v>2</v>
      </c>
      <c r="B22" s="22">
        <v>0</v>
      </c>
      <c r="C22" s="22">
        <f>IF(AND(C$3&gt;='Proforma Inputs'!$B$44,C$89=0),IF(B22&lt;'Proforma Inputs'!$B93,B22+'Proforma Inputs'!$B93/'Proforma Inputs'!$B101,B22),0)</f>
        <v>0</v>
      </c>
      <c r="D22" s="22">
        <f>IF(AND(D$3&gt;='Proforma Inputs'!$B$44,D$89=0),IF(C22&lt;'Proforma Inputs'!$B93,C22+'Proforma Inputs'!$B93/'Proforma Inputs'!$B101,C22),0)</f>
        <v>0</v>
      </c>
      <c r="E22" s="22">
        <f>IF(AND(E$3&gt;='Proforma Inputs'!$B$44,E$89=0),IF(D22&lt;'Proforma Inputs'!$B93,D22+'Proforma Inputs'!$B93/'Proforma Inputs'!$B101,D22),0)</f>
        <v>0</v>
      </c>
      <c r="F22" s="22">
        <f>IF(AND(F$3&gt;='Proforma Inputs'!$B$44,F$89=0),IF(E22&lt;'Proforma Inputs'!$B93,E22+'Proforma Inputs'!$B93/'Proforma Inputs'!$B101,E22),0)</f>
        <v>0</v>
      </c>
      <c r="G22" s="22">
        <f>IF(AND(G$3&gt;='Proforma Inputs'!$B$44,G$89=0),IF(F22&lt;'Proforma Inputs'!$B93,F22+'Proforma Inputs'!$B93/'Proforma Inputs'!$B101,F22),0)</f>
        <v>0</v>
      </c>
      <c r="H22" s="22">
        <f>IF(AND(H$3&gt;='Proforma Inputs'!$B$44,H$89=0),IF(G22&lt;'Proforma Inputs'!$B93,G22+'Proforma Inputs'!$B93/'Proforma Inputs'!$B101,G22),0)</f>
        <v>0</v>
      </c>
      <c r="I22" s="22">
        <f>IF(AND(I$3&gt;='Proforma Inputs'!$B$44,I$89=0),IF(H22&lt;'Proforma Inputs'!$B93,H22+'Proforma Inputs'!$B93/'Proforma Inputs'!$B101,H22),0)</f>
        <v>0</v>
      </c>
      <c r="J22" s="22">
        <f>IF(AND(J$3&gt;='Proforma Inputs'!$B$44,J$89=0),IF(I22&lt;'Proforma Inputs'!$B93,I22+'Proforma Inputs'!$B93/'Proforma Inputs'!$B101,I22),0)</f>
        <v>0</v>
      </c>
      <c r="K22" s="22">
        <f>IF(AND(K$3&gt;='Proforma Inputs'!$B$44,K$89=0),IF(J22&lt;'Proforma Inputs'!$B93,J22+'Proforma Inputs'!$B93/'Proforma Inputs'!$B101,J22),0)</f>
        <v>0</v>
      </c>
      <c r="L22" s="22">
        <f>IF(AND(L$3&gt;='Proforma Inputs'!$B$44,L$89=0),IF(K22&lt;'Proforma Inputs'!$B93,K22+'Proforma Inputs'!$B93/'Proforma Inputs'!$B101,K22),0)</f>
        <v>0</v>
      </c>
      <c r="M22" s="22">
        <f>IF(AND(M$3&gt;='Proforma Inputs'!$B$44,M$89=0),IF(L22&lt;'Proforma Inputs'!$B93,L22+'Proforma Inputs'!$B93/'Proforma Inputs'!$B101,L22),0)</f>
        <v>0</v>
      </c>
      <c r="N22" s="22">
        <f>IF(AND(N$3&gt;='Proforma Inputs'!$B$44,N$89=0),IF(M22&lt;'Proforma Inputs'!$B93,M22+'Proforma Inputs'!$B93/'Proforma Inputs'!$B101,M22),0)</f>
        <v>0</v>
      </c>
      <c r="O22" s="22">
        <f>IF(AND(O$3&gt;='Proforma Inputs'!$B$44,O$89=0),IF(N22&lt;'Proforma Inputs'!$B93,N22+'Proforma Inputs'!$B93/'Proforma Inputs'!$B101,N22),0)</f>
        <v>0</v>
      </c>
      <c r="P22" s="22">
        <f>IF(AND(P$3&gt;='Proforma Inputs'!$B$44,P$89=0),IF(O22&lt;'Proforma Inputs'!$B93,O22+'Proforma Inputs'!$B93/'Proforma Inputs'!$B101,O22),0)</f>
        <v>0</v>
      </c>
      <c r="Q22" s="22">
        <f>IF(AND(Q$3&gt;='Proforma Inputs'!$B$44,Q$89=0),IF(P22&lt;'Proforma Inputs'!$B93,P22+'Proforma Inputs'!$B93/'Proforma Inputs'!$B101,P22),0)</f>
        <v>0</v>
      </c>
      <c r="R22" s="22">
        <f>IF(AND(R$3&gt;='Proforma Inputs'!$B$44,R$89=0),IF(Q22&lt;'Proforma Inputs'!$B93,Q22+'Proforma Inputs'!$B93/'Proforma Inputs'!$B101,Q22),0)</f>
        <v>0</v>
      </c>
      <c r="S22" s="22">
        <f>IF(AND(S$3&gt;='Proforma Inputs'!$B$44,S$89=0),IF(R22&lt;'Proforma Inputs'!$B93,R22+'Proforma Inputs'!$B93/'Proforma Inputs'!$B101,R22),0)</f>
        <v>0</v>
      </c>
      <c r="T22" s="22">
        <f>IF(AND(T$3&gt;='Proforma Inputs'!$B$44,T$89=0),IF(S22&lt;'Proforma Inputs'!$B93,S22+'Proforma Inputs'!$B93/'Proforma Inputs'!$B101,S22),0)</f>
        <v>0</v>
      </c>
      <c r="U22" s="22">
        <f>IF(AND(U$3&gt;='Proforma Inputs'!$B$44,U$89=0),IF(T22&lt;'Proforma Inputs'!$B93,T22+'Proforma Inputs'!$B93/'Proforma Inputs'!$B101,T22),0)</f>
        <v>0</v>
      </c>
      <c r="V22" s="22">
        <f>IF(AND(V$3&gt;='Proforma Inputs'!$B$44,V$89=0),IF(U22&lt;'Proforma Inputs'!$B93,U22+'Proforma Inputs'!$B93/'Proforma Inputs'!$B101,U22),0)</f>
        <v>0</v>
      </c>
      <c r="W22" s="22">
        <f>IF(AND(W$3&gt;='Proforma Inputs'!$B$44,W$89=0),IF(V22&lt;'Proforma Inputs'!$B93,V22+'Proforma Inputs'!$B93/'Proforma Inputs'!$B101,V22),0)</f>
        <v>0</v>
      </c>
      <c r="X22" s="22">
        <f>IF(AND(X$3&gt;='Proforma Inputs'!$B$44,X$89=0),IF(W22&lt;'Proforma Inputs'!$B93,W22+'Proforma Inputs'!$B93/'Proforma Inputs'!$B101,W22),0)</f>
        <v>0</v>
      </c>
      <c r="Y22" s="22">
        <f>IF(AND(Y$3&gt;='Proforma Inputs'!$B$44,Y$89=0),IF(X22&lt;'Proforma Inputs'!$B93,X22+'Proforma Inputs'!$B93/'Proforma Inputs'!$B101,X22),0)</f>
        <v>0</v>
      </c>
      <c r="Z22" s="22">
        <f>IF(AND(Z$3&gt;='Proforma Inputs'!$B$44,Z$89=0),IF(Y22&lt;'Proforma Inputs'!$B93,Y22+'Proforma Inputs'!$B93/'Proforma Inputs'!$B101,Y22),0)</f>
        <v>0</v>
      </c>
      <c r="AA22" s="22">
        <f>IF(AND(AA$3&gt;='Proforma Inputs'!$B$44,AA$89=0),IF(Z22&lt;'Proforma Inputs'!$B93,Z22+'Proforma Inputs'!$B93/'Proforma Inputs'!$B101,Z22),0)</f>
        <v>0</v>
      </c>
      <c r="AB22" s="22">
        <f>IF(AND(AB$3&gt;='Proforma Inputs'!$B$44,AB$89=0),IF(AA22&lt;'Proforma Inputs'!$B93,AA22+'Proforma Inputs'!$B93/'Proforma Inputs'!$B101,AA22),0)</f>
        <v>0</v>
      </c>
      <c r="AC22" s="22">
        <f>IF(AND(AC$3&gt;='Proforma Inputs'!$B$44,AC$89=0),IF(AB22&lt;'Proforma Inputs'!$B93,AB22+'Proforma Inputs'!$B93/'Proforma Inputs'!$B101,AB22),0)</f>
        <v>0</v>
      </c>
      <c r="AD22" s="22">
        <f>IF(AND(AD$3&gt;='Proforma Inputs'!$B$44,AD$89=0),IF(AC22&lt;'Proforma Inputs'!$B93,AC22+'Proforma Inputs'!$B93/'Proforma Inputs'!$B101,AC22),0)</f>
        <v>0</v>
      </c>
      <c r="AE22" s="22">
        <f>IF(AND(AE$3&gt;='Proforma Inputs'!$B$44,AE$89=0),IF(AD22&lt;'Proforma Inputs'!$B93,AD22+'Proforma Inputs'!$B93/'Proforma Inputs'!$B101,AD22),0)</f>
        <v>0</v>
      </c>
      <c r="AF22" s="22">
        <f>IF(AND(AF$3&gt;='Proforma Inputs'!$B$44,AF$89=0),IF(AE22&lt;'Proforma Inputs'!$B93,AE22+'Proforma Inputs'!$B93/'Proforma Inputs'!$B101,AE22),0)</f>
        <v>0</v>
      </c>
      <c r="AG22" s="22">
        <f>IF(AND(AG$3&gt;='Proforma Inputs'!$B$44,AG$89=0),IF(AF22&lt;'Proforma Inputs'!$B93,AF22+'Proforma Inputs'!$B93/'Proforma Inputs'!$B101,AF22),0)</f>
        <v>0</v>
      </c>
      <c r="AH22" s="22">
        <f>IF(AND(AH$3&gt;='Proforma Inputs'!$B$44,AH$89=0),IF(AG22&lt;'Proforma Inputs'!$B93,AG22+'Proforma Inputs'!$B93/'Proforma Inputs'!$B101,AG22),0)</f>
        <v>0</v>
      </c>
      <c r="AI22" s="22">
        <f>IF(AND(AI$3&gt;='Proforma Inputs'!$B$44,AI$89=0),IF(AH22&lt;'Proforma Inputs'!$B93,AH22+'Proforma Inputs'!$B93/'Proforma Inputs'!$B101,AH22),0)</f>
        <v>0</v>
      </c>
      <c r="AJ22" s="22">
        <f>IF(AND(AJ$3&gt;='Proforma Inputs'!$B$44,AJ$89=0),IF(AI22&lt;'Proforma Inputs'!$B93,AI22+'Proforma Inputs'!$B93/'Proforma Inputs'!$B101,AI22),0)</f>
        <v>0</v>
      </c>
      <c r="AK22" s="22">
        <f>IF(AND(AK$3&gt;='Proforma Inputs'!$B$44,AK$89=0),IF(AJ22&lt;'Proforma Inputs'!$B93,AJ22+'Proforma Inputs'!$B93/'Proforma Inputs'!$B101,AJ22),0)</f>
        <v>0</v>
      </c>
      <c r="AL22" s="22">
        <f>IF(AND(AL$3&gt;='Proforma Inputs'!$B$44,AL$89=0),IF(AK22&lt;'Proforma Inputs'!$B93,AK22+'Proforma Inputs'!$B93/'Proforma Inputs'!$B101,AK22),0)</f>
        <v>0</v>
      </c>
      <c r="AM22" s="22">
        <f>IF(AND(AM$3&gt;='Proforma Inputs'!$B$44,AM$89=0),IF(AL22&lt;'Proforma Inputs'!$B93,AL22+'Proforma Inputs'!$B93/'Proforma Inputs'!$B101,AL22),0)</f>
        <v>0</v>
      </c>
      <c r="AN22" s="22">
        <f>IF(AND(AN$3&gt;='Proforma Inputs'!$B$44,AN$89=0),IF(AM22&lt;'Proforma Inputs'!$B93,AM22+'Proforma Inputs'!$B93/'Proforma Inputs'!$B101,AM22),0)</f>
        <v>0</v>
      </c>
      <c r="AO22" s="22">
        <f>IF(AND(AO$3&gt;='Proforma Inputs'!$B$44,AO$89=0),IF(AN22&lt;'Proforma Inputs'!$B93,AN22+'Proforma Inputs'!$B93/'Proforma Inputs'!$B101,AN22),0)</f>
        <v>0</v>
      </c>
      <c r="AP22" s="22">
        <f>IF(AND(AP$3&gt;='Proforma Inputs'!$B$44,AP$89=0),IF(AO22&lt;'Proforma Inputs'!$B93,AO22+'Proforma Inputs'!$B93/'Proforma Inputs'!$B101,AO22),0)</f>
        <v>0</v>
      </c>
      <c r="AQ22" s="22"/>
      <c r="AR22" s="22"/>
      <c r="AS22" s="22"/>
      <c r="AT22" s="22"/>
      <c r="AU22" s="22"/>
      <c r="AV22" s="22"/>
    </row>
    <row r="23" spans="1:48" s="16" customFormat="1">
      <c r="A23" s="18" t="s">
        <v>3</v>
      </c>
      <c r="B23" s="22">
        <v>0</v>
      </c>
      <c r="C23" s="22">
        <f>IF(AND(C$3&gt;='Proforma Inputs'!$B$44,C$89=0),IF(B23&lt;'Proforma Inputs'!$B94,B23+'Proforma Inputs'!$B94/'Proforma Inputs'!$B102,B23),0)</f>
        <v>0</v>
      </c>
      <c r="D23" s="22">
        <f>IF(AND(D$3&gt;='Proforma Inputs'!$B$44,D$89=0),IF(C23&lt;'Proforma Inputs'!$B94,C23+'Proforma Inputs'!$B94/'Proforma Inputs'!$B102,C23),0)</f>
        <v>0</v>
      </c>
      <c r="E23" s="22">
        <f>IF(AND(E$3&gt;='Proforma Inputs'!$B$44,E$89=0),IF(D23&lt;'Proforma Inputs'!$B94,D23+'Proforma Inputs'!$B94/'Proforma Inputs'!$B102,D23),0)</f>
        <v>0</v>
      </c>
      <c r="F23" s="22">
        <f>IF(AND(F$3&gt;='Proforma Inputs'!$B$44,F$89=0),IF(E23&lt;'Proforma Inputs'!$B94,E23+'Proforma Inputs'!$B94/'Proforma Inputs'!$B102,E23),0)</f>
        <v>0</v>
      </c>
      <c r="G23" s="22">
        <f>IF(AND(G$3&gt;='Proforma Inputs'!$B$44,G$89=0),IF(F23&lt;'Proforma Inputs'!$B94,F23+'Proforma Inputs'!$B94/'Proforma Inputs'!$B102,F23),0)</f>
        <v>0</v>
      </c>
      <c r="H23" s="22">
        <f>IF(AND(H$3&gt;='Proforma Inputs'!$B$44,H$89=0),IF(G23&lt;'Proforma Inputs'!$B94,G23+'Proforma Inputs'!$B94/'Proforma Inputs'!$B102,G23),0)</f>
        <v>0</v>
      </c>
      <c r="I23" s="22">
        <f>IF(AND(I$3&gt;='Proforma Inputs'!$B$44,I$89=0),IF(H23&lt;'Proforma Inputs'!$B94,H23+'Proforma Inputs'!$B94/'Proforma Inputs'!$B102,H23),0)</f>
        <v>0</v>
      </c>
      <c r="J23" s="22">
        <f>IF(AND(J$3&gt;='Proforma Inputs'!$B$44,J$89=0),IF(I23&lt;'Proforma Inputs'!$B94,I23+'Proforma Inputs'!$B94/'Proforma Inputs'!$B102,I23),0)</f>
        <v>0</v>
      </c>
      <c r="K23" s="22">
        <f>IF(AND(K$3&gt;='Proforma Inputs'!$B$44,K$89=0),IF(J23&lt;'Proforma Inputs'!$B94,J23+'Proforma Inputs'!$B94/'Proforma Inputs'!$B102,J23),0)</f>
        <v>0</v>
      </c>
      <c r="L23" s="22">
        <f>IF(AND(L$3&gt;='Proforma Inputs'!$B$44,L$89=0),IF(K23&lt;'Proforma Inputs'!$B94,K23+'Proforma Inputs'!$B94/'Proforma Inputs'!$B102,K23),0)</f>
        <v>0</v>
      </c>
      <c r="M23" s="22">
        <f>IF(AND(M$3&gt;='Proforma Inputs'!$B$44,M$89=0),IF(L23&lt;'Proforma Inputs'!$B94,L23+'Proforma Inputs'!$B94/'Proforma Inputs'!$B102,L23),0)</f>
        <v>0</v>
      </c>
      <c r="N23" s="22">
        <f>IF(AND(N$3&gt;='Proforma Inputs'!$B$44,N$89=0),IF(M23&lt;'Proforma Inputs'!$B94,M23+'Proforma Inputs'!$B94/'Proforma Inputs'!$B102,M23),0)</f>
        <v>0</v>
      </c>
      <c r="O23" s="22">
        <f>IF(AND(O$3&gt;='Proforma Inputs'!$B$44,O$89=0),IF(N23&lt;'Proforma Inputs'!$B94,N23+'Proforma Inputs'!$B94/'Proforma Inputs'!$B102,N23),0)</f>
        <v>0</v>
      </c>
      <c r="P23" s="22">
        <f>IF(AND(P$3&gt;='Proforma Inputs'!$B$44,P$89=0),IF(O23&lt;'Proforma Inputs'!$B94,O23+'Proforma Inputs'!$B94/'Proforma Inputs'!$B102,O23),0)</f>
        <v>0</v>
      </c>
      <c r="Q23" s="22">
        <f>IF(AND(Q$3&gt;='Proforma Inputs'!$B$44,Q$89=0),IF(P23&lt;'Proforma Inputs'!$B94,P23+'Proforma Inputs'!$B94/'Proforma Inputs'!$B102,P23),0)</f>
        <v>0</v>
      </c>
      <c r="R23" s="22">
        <f>IF(AND(R$3&gt;='Proforma Inputs'!$B$44,R$89=0),IF(Q23&lt;'Proforma Inputs'!$B94,Q23+'Proforma Inputs'!$B94/'Proforma Inputs'!$B102,Q23),0)</f>
        <v>0</v>
      </c>
      <c r="S23" s="22">
        <f>IF(AND(S$3&gt;='Proforma Inputs'!$B$44,S$89=0),IF(R23&lt;'Proforma Inputs'!$B94,R23+'Proforma Inputs'!$B94/'Proforma Inputs'!$B102,R23),0)</f>
        <v>0</v>
      </c>
      <c r="T23" s="22">
        <f>IF(AND(T$3&gt;='Proforma Inputs'!$B$44,T$89=0),IF(S23&lt;'Proforma Inputs'!$B94,S23+'Proforma Inputs'!$B94/'Proforma Inputs'!$B102,S23),0)</f>
        <v>0</v>
      </c>
      <c r="U23" s="22">
        <f>IF(AND(U$3&gt;='Proforma Inputs'!$B$44,U$89=0),IF(T23&lt;'Proforma Inputs'!$B94,T23+'Proforma Inputs'!$B94/'Proforma Inputs'!$B102,T23),0)</f>
        <v>0</v>
      </c>
      <c r="V23" s="22">
        <f>IF(AND(V$3&gt;='Proforma Inputs'!$B$44,V$89=0),IF(U23&lt;'Proforma Inputs'!$B94,U23+'Proforma Inputs'!$B94/'Proforma Inputs'!$B102,U23),0)</f>
        <v>0</v>
      </c>
      <c r="W23" s="22">
        <f>IF(AND(W$3&gt;='Proforma Inputs'!$B$44,W$89=0),IF(V23&lt;'Proforma Inputs'!$B94,V23+'Proforma Inputs'!$B94/'Proforma Inputs'!$B102,V23),0)</f>
        <v>0</v>
      </c>
      <c r="X23" s="22">
        <f>IF(AND(X$3&gt;='Proforma Inputs'!$B$44,X$89=0),IF(W23&lt;'Proforma Inputs'!$B94,W23+'Proforma Inputs'!$B94/'Proforma Inputs'!$B102,W23),0)</f>
        <v>0</v>
      </c>
      <c r="Y23" s="22">
        <f>IF(AND(Y$3&gt;='Proforma Inputs'!$B$44,Y$89=0),IF(X23&lt;'Proforma Inputs'!$B94,X23+'Proforma Inputs'!$B94/'Proforma Inputs'!$B102,X23),0)</f>
        <v>0</v>
      </c>
      <c r="Z23" s="22">
        <f>IF(AND(Z$3&gt;='Proforma Inputs'!$B$44,Z$89=0),IF(Y23&lt;'Proforma Inputs'!$B94,Y23+'Proforma Inputs'!$B94/'Proforma Inputs'!$B102,Y23),0)</f>
        <v>0</v>
      </c>
      <c r="AA23" s="22">
        <f>IF(AND(AA$3&gt;='Proforma Inputs'!$B$44,AA$89=0),IF(Z23&lt;'Proforma Inputs'!$B94,Z23+'Proforma Inputs'!$B94/'Proforma Inputs'!$B102,Z23),0)</f>
        <v>0</v>
      </c>
      <c r="AB23" s="22">
        <f>IF(AND(AB$3&gt;='Proforma Inputs'!$B$44,AB$89=0),IF(AA23&lt;'Proforma Inputs'!$B94,AA23+'Proforma Inputs'!$B94/'Proforma Inputs'!$B102,AA23),0)</f>
        <v>0</v>
      </c>
      <c r="AC23" s="22">
        <f>IF(AND(AC$3&gt;='Proforma Inputs'!$B$44,AC$89=0),IF(AB23&lt;'Proforma Inputs'!$B94,AB23+'Proforma Inputs'!$B94/'Proforma Inputs'!$B102,AB23),0)</f>
        <v>0</v>
      </c>
      <c r="AD23" s="22">
        <f>IF(AND(AD$3&gt;='Proforma Inputs'!$B$44,AD$89=0),IF(AC23&lt;'Proforma Inputs'!$B94,AC23+'Proforma Inputs'!$B94/'Proforma Inputs'!$B102,AC23),0)</f>
        <v>0</v>
      </c>
      <c r="AE23" s="22">
        <f>IF(AND(AE$3&gt;='Proforma Inputs'!$B$44,AE$89=0),IF(AD23&lt;'Proforma Inputs'!$B94,AD23+'Proforma Inputs'!$B94/'Proforma Inputs'!$B102,AD23),0)</f>
        <v>0</v>
      </c>
      <c r="AF23" s="22">
        <f>IF(AND(AF$3&gt;='Proforma Inputs'!$B$44,AF$89=0),IF(AE23&lt;'Proforma Inputs'!$B94,AE23+'Proforma Inputs'!$B94/'Proforma Inputs'!$B102,AE23),0)</f>
        <v>0</v>
      </c>
      <c r="AG23" s="22">
        <f>IF(AND(AG$3&gt;='Proforma Inputs'!$B$44,AG$89=0),IF(AF23&lt;'Proforma Inputs'!$B94,AF23+'Proforma Inputs'!$B94/'Proforma Inputs'!$B102,AF23),0)</f>
        <v>0</v>
      </c>
      <c r="AH23" s="22">
        <f>IF(AND(AH$3&gt;='Proforma Inputs'!$B$44,AH$89=0),IF(AG23&lt;'Proforma Inputs'!$B94,AG23+'Proforma Inputs'!$B94/'Proforma Inputs'!$B102,AG23),0)</f>
        <v>0</v>
      </c>
      <c r="AI23" s="22">
        <f>IF(AND(AI$3&gt;='Proforma Inputs'!$B$44,AI$89=0),IF(AH23&lt;'Proforma Inputs'!$B94,AH23+'Proforma Inputs'!$B94/'Proforma Inputs'!$B102,AH23),0)</f>
        <v>0</v>
      </c>
      <c r="AJ23" s="22">
        <f>IF(AND(AJ$3&gt;='Proforma Inputs'!$B$44,AJ$89=0),IF(AI23&lt;'Proforma Inputs'!$B94,AI23+'Proforma Inputs'!$B94/'Proforma Inputs'!$B102,AI23),0)</f>
        <v>0</v>
      </c>
      <c r="AK23" s="22">
        <f>IF(AND(AK$3&gt;='Proforma Inputs'!$B$44,AK$89=0),IF(AJ23&lt;'Proforma Inputs'!$B94,AJ23+'Proforma Inputs'!$B94/'Proforma Inputs'!$B102,AJ23),0)</f>
        <v>0</v>
      </c>
      <c r="AL23" s="22">
        <f>IF(AND(AL$3&gt;='Proforma Inputs'!$B$44,AL$89=0),IF(AK23&lt;'Proforma Inputs'!$B94,AK23+'Proforma Inputs'!$B94/'Proforma Inputs'!$B102,AK23),0)</f>
        <v>0</v>
      </c>
      <c r="AM23" s="22">
        <f>IF(AND(AM$3&gt;='Proforma Inputs'!$B$44,AM$89=0),IF(AL23&lt;'Proforma Inputs'!$B94,AL23+'Proforma Inputs'!$B94/'Proforma Inputs'!$B102,AL23),0)</f>
        <v>0</v>
      </c>
      <c r="AN23" s="22">
        <f>IF(AND(AN$3&gt;='Proforma Inputs'!$B$44,AN$89=0),IF(AM23&lt;'Proforma Inputs'!$B94,AM23+'Proforma Inputs'!$B94/'Proforma Inputs'!$B102,AM23),0)</f>
        <v>0</v>
      </c>
      <c r="AO23" s="22">
        <f>IF(AND(AO$3&gt;='Proforma Inputs'!$B$44,AO$89=0),IF(AN23&lt;'Proforma Inputs'!$B94,AN23+'Proforma Inputs'!$B94/'Proforma Inputs'!$B102,AN23),0)</f>
        <v>0</v>
      </c>
      <c r="AP23" s="22">
        <f>IF(AND(AP$3&gt;='Proforma Inputs'!$B$44,AP$89=0),IF(AO23&lt;'Proforma Inputs'!$B94,AO23+'Proforma Inputs'!$B94/'Proforma Inputs'!$B102,AO23),0)</f>
        <v>0</v>
      </c>
      <c r="AQ23" s="22"/>
      <c r="AR23" s="22"/>
      <c r="AS23" s="22"/>
      <c r="AT23" s="22"/>
      <c r="AU23" s="22"/>
      <c r="AV23" s="22"/>
    </row>
    <row r="24" spans="1:48" s="16" customFormat="1">
      <c r="A24" s="18" t="s">
        <v>4</v>
      </c>
      <c r="B24" s="22">
        <v>0</v>
      </c>
      <c r="C24" s="22">
        <f>IF(AND(C$3&gt;='Proforma Inputs'!$B$44,C$89=0),IF(B24&lt;'Proforma Inputs'!$B95,B24+'Proforma Inputs'!$B95/'Proforma Inputs'!$B103,B24),0)</f>
        <v>0</v>
      </c>
      <c r="D24" s="22">
        <f>IF(AND(D$3&gt;='Proforma Inputs'!$B$44,D$89=0),IF(C24&lt;'Proforma Inputs'!$B95,C24+'Proforma Inputs'!$B95/'Proforma Inputs'!$B103,C24),0)</f>
        <v>0</v>
      </c>
      <c r="E24" s="22">
        <f>IF(AND(E$3&gt;='Proforma Inputs'!$B$44,E$89=0),IF(D24&lt;'Proforma Inputs'!$B95,D24+'Proforma Inputs'!$B95/'Proforma Inputs'!$B103,D24),0)</f>
        <v>0</v>
      </c>
      <c r="F24" s="22">
        <f>IF(AND(F$3&gt;='Proforma Inputs'!$B$44,F$89=0),IF(E24&lt;'Proforma Inputs'!$B95,E24+'Proforma Inputs'!$B95/'Proforma Inputs'!$B103,E24),0)</f>
        <v>0</v>
      </c>
      <c r="G24" s="22">
        <f>IF(AND(G$3&gt;='Proforma Inputs'!$B$44,G$89=0),IF(F24&lt;'Proforma Inputs'!$B95,F24+'Proforma Inputs'!$B95/'Proforma Inputs'!$B103,F24),0)</f>
        <v>0</v>
      </c>
      <c r="H24" s="22">
        <f>IF(AND(H$3&gt;='Proforma Inputs'!$B$44,H$89=0),IF(G24&lt;'Proforma Inputs'!$B95,G24+'Proforma Inputs'!$B95/'Proforma Inputs'!$B103,G24),0)</f>
        <v>0</v>
      </c>
      <c r="I24" s="22">
        <f>IF(AND(I$3&gt;='Proforma Inputs'!$B$44,I$89=0),IF(H24&lt;'Proforma Inputs'!$B95,H24+'Proforma Inputs'!$B95/'Proforma Inputs'!$B103,H24),0)</f>
        <v>0</v>
      </c>
      <c r="J24" s="22">
        <f>IF(AND(J$3&gt;='Proforma Inputs'!$B$44,J$89=0),IF(I24&lt;'Proforma Inputs'!$B95,I24+'Proforma Inputs'!$B95/'Proforma Inputs'!$B103,I24),0)</f>
        <v>0</v>
      </c>
      <c r="K24" s="22">
        <f>IF(AND(K$3&gt;='Proforma Inputs'!$B$44,K$89=0),IF(J24&lt;'Proforma Inputs'!$B95,J24+'Proforma Inputs'!$B95/'Proforma Inputs'!$B103,J24),0)</f>
        <v>0</v>
      </c>
      <c r="L24" s="22">
        <f>IF(AND(L$3&gt;='Proforma Inputs'!$B$44,L$89=0),IF(K24&lt;'Proforma Inputs'!$B95,K24+'Proforma Inputs'!$B95/'Proforma Inputs'!$B103,K24),0)</f>
        <v>0</v>
      </c>
      <c r="M24" s="22">
        <f>IF(AND(M$3&gt;='Proforma Inputs'!$B$44,M$89=0),IF(L24&lt;'Proforma Inputs'!$B95,L24+'Proforma Inputs'!$B95/'Proforma Inputs'!$B103,L24),0)</f>
        <v>0</v>
      </c>
      <c r="N24" s="22">
        <f>IF(AND(N$3&gt;='Proforma Inputs'!$B$44,N$89=0),IF(M24&lt;'Proforma Inputs'!$B95,M24+'Proforma Inputs'!$B95/'Proforma Inputs'!$B103,M24),0)</f>
        <v>0</v>
      </c>
      <c r="O24" s="22">
        <f>IF(AND(O$3&gt;='Proforma Inputs'!$B$44,O$89=0),IF(N24&lt;'Proforma Inputs'!$B95,N24+'Proforma Inputs'!$B95/'Proforma Inputs'!$B103,N24),0)</f>
        <v>0</v>
      </c>
      <c r="P24" s="22">
        <f>IF(AND(P$3&gt;='Proforma Inputs'!$B$44,P$89=0),IF(O24&lt;'Proforma Inputs'!$B95,O24+'Proforma Inputs'!$B95/'Proforma Inputs'!$B103,O24),0)</f>
        <v>0</v>
      </c>
      <c r="Q24" s="22">
        <f>IF(AND(Q$3&gt;='Proforma Inputs'!$B$44,Q$89=0),IF(P24&lt;'Proforma Inputs'!$B95,P24+'Proforma Inputs'!$B95/'Proforma Inputs'!$B103,P24),0)</f>
        <v>0</v>
      </c>
      <c r="R24" s="22">
        <f>IF(AND(R$3&gt;='Proforma Inputs'!$B$44,R$89=0),IF(Q24&lt;'Proforma Inputs'!$B95,Q24+'Proforma Inputs'!$B95/'Proforma Inputs'!$B103,Q24),0)</f>
        <v>0</v>
      </c>
      <c r="S24" s="22">
        <f>IF(AND(S$3&gt;='Proforma Inputs'!$B$44,S$89=0),IF(R24&lt;'Proforma Inputs'!$B95,R24+'Proforma Inputs'!$B95/'Proforma Inputs'!$B103,R24),0)</f>
        <v>0</v>
      </c>
      <c r="T24" s="22">
        <f>IF(AND(T$3&gt;='Proforma Inputs'!$B$44,T$89=0),IF(S24&lt;'Proforma Inputs'!$B95,S24+'Proforma Inputs'!$B95/'Proforma Inputs'!$B103,S24),0)</f>
        <v>0</v>
      </c>
      <c r="U24" s="22">
        <f>IF(AND(U$3&gt;='Proforma Inputs'!$B$44,U$89=0),IF(T24&lt;'Proforma Inputs'!$B95,T24+'Proforma Inputs'!$B95/'Proforma Inputs'!$B103,T24),0)</f>
        <v>0</v>
      </c>
      <c r="V24" s="22">
        <f>IF(AND(V$3&gt;='Proforma Inputs'!$B$44,V$89=0),IF(U24&lt;'Proforma Inputs'!$B95,U24+'Proforma Inputs'!$B95/'Proforma Inputs'!$B103,U24),0)</f>
        <v>0</v>
      </c>
      <c r="W24" s="22">
        <f>IF(AND(W$3&gt;='Proforma Inputs'!$B$44,W$89=0),IF(V24&lt;'Proforma Inputs'!$B95,V24+'Proforma Inputs'!$B95/'Proforma Inputs'!$B103,V24),0)</f>
        <v>0</v>
      </c>
      <c r="X24" s="22">
        <f>IF(AND(X$3&gt;='Proforma Inputs'!$B$44,X$89=0),IF(W24&lt;'Proforma Inputs'!$B95,W24+'Proforma Inputs'!$B95/'Proforma Inputs'!$B103,W24),0)</f>
        <v>0</v>
      </c>
      <c r="Y24" s="22">
        <f>IF(AND(Y$3&gt;='Proforma Inputs'!$B$44,Y$89=0),IF(X24&lt;'Proforma Inputs'!$B95,X24+'Proforma Inputs'!$B95/'Proforma Inputs'!$B103,X24),0)</f>
        <v>0</v>
      </c>
      <c r="Z24" s="22">
        <f>IF(AND(Z$3&gt;='Proforma Inputs'!$B$44,Z$89=0),IF(Y24&lt;'Proforma Inputs'!$B95,Y24+'Proforma Inputs'!$B95/'Proforma Inputs'!$B103,Y24),0)</f>
        <v>0</v>
      </c>
      <c r="AA24" s="22">
        <f>IF(AND(AA$3&gt;='Proforma Inputs'!$B$44,AA$89=0),IF(Z24&lt;'Proforma Inputs'!$B95,Z24+'Proforma Inputs'!$B95/'Proforma Inputs'!$B103,Z24),0)</f>
        <v>0</v>
      </c>
      <c r="AB24" s="22">
        <f>IF(AND(AB$3&gt;='Proforma Inputs'!$B$44,AB$89=0),IF(AA24&lt;'Proforma Inputs'!$B95,AA24+'Proforma Inputs'!$B95/'Proforma Inputs'!$B103,AA24),0)</f>
        <v>0</v>
      </c>
      <c r="AC24" s="22">
        <f>IF(AND(AC$3&gt;='Proforma Inputs'!$B$44,AC$89=0),IF(AB24&lt;'Proforma Inputs'!$B95,AB24+'Proforma Inputs'!$B95/'Proforma Inputs'!$B103,AB24),0)</f>
        <v>0</v>
      </c>
      <c r="AD24" s="22">
        <f>IF(AND(AD$3&gt;='Proforma Inputs'!$B$44,AD$89=0),IF(AC24&lt;'Proforma Inputs'!$B95,AC24+'Proforma Inputs'!$B95/'Proforma Inputs'!$B103,AC24),0)</f>
        <v>0</v>
      </c>
      <c r="AE24" s="22">
        <f>IF(AND(AE$3&gt;='Proforma Inputs'!$B$44,AE$89=0),IF(AD24&lt;'Proforma Inputs'!$B95,AD24+'Proforma Inputs'!$B95/'Proforma Inputs'!$B103,AD24),0)</f>
        <v>0</v>
      </c>
      <c r="AF24" s="22">
        <f>IF(AND(AF$3&gt;='Proforma Inputs'!$B$44,AF$89=0),IF(AE24&lt;'Proforma Inputs'!$B95,AE24+'Proforma Inputs'!$B95/'Proforma Inputs'!$B103,AE24),0)</f>
        <v>0</v>
      </c>
      <c r="AG24" s="22">
        <f>IF(AND(AG$3&gt;='Proforma Inputs'!$B$44,AG$89=0),IF(AF24&lt;'Proforma Inputs'!$B95,AF24+'Proforma Inputs'!$B95/'Proforma Inputs'!$B103,AF24),0)</f>
        <v>0</v>
      </c>
      <c r="AH24" s="22">
        <f>IF(AND(AH$3&gt;='Proforma Inputs'!$B$44,AH$89=0),IF(AG24&lt;'Proforma Inputs'!$B95,AG24+'Proforma Inputs'!$B95/'Proforma Inputs'!$B103,AG24),0)</f>
        <v>0</v>
      </c>
      <c r="AI24" s="22">
        <f>IF(AND(AI$3&gt;='Proforma Inputs'!$B$44,AI$89=0),IF(AH24&lt;'Proforma Inputs'!$B95,AH24+'Proforma Inputs'!$B95/'Proforma Inputs'!$B103,AH24),0)</f>
        <v>0</v>
      </c>
      <c r="AJ24" s="22">
        <f>IF(AND(AJ$3&gt;='Proforma Inputs'!$B$44,AJ$89=0),IF(AI24&lt;'Proforma Inputs'!$B95,AI24+'Proforma Inputs'!$B95/'Proforma Inputs'!$B103,AI24),0)</f>
        <v>0</v>
      </c>
      <c r="AK24" s="22">
        <f>IF(AND(AK$3&gt;='Proforma Inputs'!$B$44,AK$89=0),IF(AJ24&lt;'Proforma Inputs'!$B95,AJ24+'Proforma Inputs'!$B95/'Proforma Inputs'!$B103,AJ24),0)</f>
        <v>0</v>
      </c>
      <c r="AL24" s="22">
        <f>IF(AND(AL$3&gt;='Proforma Inputs'!$B$44,AL$89=0),IF(AK24&lt;'Proforma Inputs'!$B95,AK24+'Proforma Inputs'!$B95/'Proforma Inputs'!$B103,AK24),0)</f>
        <v>0</v>
      </c>
      <c r="AM24" s="22">
        <f>IF(AND(AM$3&gt;='Proforma Inputs'!$B$44,AM$89=0),IF(AL24&lt;'Proforma Inputs'!$B95,AL24+'Proforma Inputs'!$B95/'Proforma Inputs'!$B103,AL24),0)</f>
        <v>0</v>
      </c>
      <c r="AN24" s="22">
        <f>IF(AND(AN$3&gt;='Proforma Inputs'!$B$44,AN$89=0),IF(AM24&lt;'Proforma Inputs'!$B95,AM24+'Proforma Inputs'!$B95/'Proforma Inputs'!$B103,AM24),0)</f>
        <v>0</v>
      </c>
      <c r="AO24" s="22">
        <f>IF(AND(AO$3&gt;='Proforma Inputs'!$B$44,AO$89=0),IF(AN24&lt;'Proforma Inputs'!$B95,AN24+'Proforma Inputs'!$B95/'Proforma Inputs'!$B103,AN24),0)</f>
        <v>0</v>
      </c>
      <c r="AP24" s="22">
        <f>IF(AND(AP$3&gt;='Proforma Inputs'!$B$44,AP$89=0),IF(AO24&lt;'Proforma Inputs'!$B95,AO24+'Proforma Inputs'!$B95/'Proforma Inputs'!$B103,AO24),0)</f>
        <v>0</v>
      </c>
      <c r="AQ24" s="22"/>
      <c r="AR24" s="22"/>
      <c r="AS24" s="22"/>
      <c r="AT24" s="22"/>
      <c r="AU24" s="22"/>
      <c r="AV24" s="22"/>
    </row>
    <row r="25" spans="1:48" s="16" customFormat="1">
      <c r="A25" s="18" t="s">
        <v>5</v>
      </c>
      <c r="B25" s="22">
        <v>0</v>
      </c>
      <c r="C25" s="22">
        <f>IF(AND(C$3&gt;='Proforma Inputs'!$B$44,C$89=0),IF(B25&lt;'Proforma Inputs'!$B96,B25+'Proforma Inputs'!$B96/'Proforma Inputs'!$B104,B25),0)</f>
        <v>0</v>
      </c>
      <c r="D25" s="22">
        <f>IF(AND(D$3&gt;='Proforma Inputs'!$B$44,D$89=0),IF(C25&lt;'Proforma Inputs'!$B96,C25+'Proforma Inputs'!$B96/'Proforma Inputs'!$B104,C25),0)</f>
        <v>0</v>
      </c>
      <c r="E25" s="22">
        <f>IF(AND(E$3&gt;='Proforma Inputs'!$B$44,E$89=0),IF(D25&lt;'Proforma Inputs'!$B96,D25+'Proforma Inputs'!$B96/'Proforma Inputs'!$B104,D25),0)</f>
        <v>0</v>
      </c>
      <c r="F25" s="22">
        <f>IF(AND(F$3&gt;='Proforma Inputs'!$B$44,F$89=0),IF(E25&lt;'Proforma Inputs'!$B96,E25+'Proforma Inputs'!$B96/'Proforma Inputs'!$B104,E25),0)</f>
        <v>0</v>
      </c>
      <c r="G25" s="22">
        <f>IF(AND(G$3&gt;='Proforma Inputs'!$B$44,G$89=0),IF(F25&lt;'Proforma Inputs'!$B96,F25+'Proforma Inputs'!$B96/'Proforma Inputs'!$B104,F25),0)</f>
        <v>0</v>
      </c>
      <c r="H25" s="22">
        <f>IF(AND(H$3&gt;='Proforma Inputs'!$B$44,H$89=0),IF(G25&lt;'Proforma Inputs'!$B96,G25+'Proforma Inputs'!$B96/'Proforma Inputs'!$B104,G25),0)</f>
        <v>0</v>
      </c>
      <c r="I25" s="22">
        <f>IF(AND(I$3&gt;='Proforma Inputs'!$B$44,I$89=0),IF(H25&lt;'Proforma Inputs'!$B96,H25+'Proforma Inputs'!$B96/'Proforma Inputs'!$B104,H25),0)</f>
        <v>0</v>
      </c>
      <c r="J25" s="22">
        <f>IF(AND(J$3&gt;='Proforma Inputs'!$B$44,J$89=0),IF(I25&lt;'Proforma Inputs'!$B96,I25+'Proforma Inputs'!$B96/'Proforma Inputs'!$B104,I25),0)</f>
        <v>0</v>
      </c>
      <c r="K25" s="22">
        <f>IF(AND(K$3&gt;='Proforma Inputs'!$B$44,K$89=0),IF(J25&lt;'Proforma Inputs'!$B96,J25+'Proforma Inputs'!$B96/'Proforma Inputs'!$B104,J25),0)</f>
        <v>0</v>
      </c>
      <c r="L25" s="22">
        <f>IF(AND(L$3&gt;='Proforma Inputs'!$B$44,L$89=0),IF(K25&lt;'Proforma Inputs'!$B96,K25+'Proforma Inputs'!$B96/'Proforma Inputs'!$B104,K25),0)</f>
        <v>0</v>
      </c>
      <c r="M25" s="22">
        <f>IF(AND(M$3&gt;='Proforma Inputs'!$B$44,M$89=0),IF(L25&lt;'Proforma Inputs'!$B96,L25+'Proforma Inputs'!$B96/'Proforma Inputs'!$B104,L25),0)</f>
        <v>0</v>
      </c>
      <c r="N25" s="22">
        <f>IF(AND(N$3&gt;='Proforma Inputs'!$B$44,N$89=0),IF(M25&lt;'Proforma Inputs'!$B96,M25+'Proforma Inputs'!$B96/'Proforma Inputs'!$B104,M25),0)</f>
        <v>0</v>
      </c>
      <c r="O25" s="22">
        <f>IF(AND(O$3&gt;='Proforma Inputs'!$B$44,O$89=0),IF(N25&lt;'Proforma Inputs'!$B96,N25+'Proforma Inputs'!$B96/'Proforma Inputs'!$B104,N25),0)</f>
        <v>0</v>
      </c>
      <c r="P25" s="22">
        <f>IF(AND(P$3&gt;='Proforma Inputs'!$B$44,P$89=0),IF(O25&lt;'Proforma Inputs'!$B96,O25+'Proforma Inputs'!$B96/'Proforma Inputs'!$B104,O25),0)</f>
        <v>0</v>
      </c>
      <c r="Q25" s="22">
        <f>IF(AND(Q$3&gt;='Proforma Inputs'!$B$44,Q$89=0),IF(P25&lt;'Proforma Inputs'!$B96,P25+'Proforma Inputs'!$B96/'Proforma Inputs'!$B104,P25),0)</f>
        <v>0</v>
      </c>
      <c r="R25" s="22">
        <f>IF(AND(R$3&gt;='Proforma Inputs'!$B$44,R$89=0),IF(Q25&lt;'Proforma Inputs'!$B96,Q25+'Proforma Inputs'!$B96/'Proforma Inputs'!$B104,Q25),0)</f>
        <v>0</v>
      </c>
      <c r="S25" s="22">
        <f>IF(AND(S$3&gt;='Proforma Inputs'!$B$44,S$89=0),IF(R25&lt;'Proforma Inputs'!$B96,R25+'Proforma Inputs'!$B96/'Proforma Inputs'!$B104,R25),0)</f>
        <v>0</v>
      </c>
      <c r="T25" s="22">
        <f>IF(AND(T$3&gt;='Proforma Inputs'!$B$44,T$89=0),IF(S25&lt;'Proforma Inputs'!$B96,S25+'Proforma Inputs'!$B96/'Proforma Inputs'!$B104,S25),0)</f>
        <v>0</v>
      </c>
      <c r="U25" s="22">
        <f>IF(AND(U$3&gt;='Proforma Inputs'!$B$44,U$89=0),IF(T25&lt;'Proforma Inputs'!$B96,T25+'Proforma Inputs'!$B96/'Proforma Inputs'!$B104,T25),0)</f>
        <v>0</v>
      </c>
      <c r="V25" s="22">
        <f>IF(AND(V$3&gt;='Proforma Inputs'!$B$44,V$89=0),IF(U25&lt;'Proforma Inputs'!$B96,U25+'Proforma Inputs'!$B96/'Proforma Inputs'!$B104,U25),0)</f>
        <v>0</v>
      </c>
      <c r="W25" s="22">
        <f>IF(AND(W$3&gt;='Proforma Inputs'!$B$44,W$89=0),IF(V25&lt;'Proforma Inputs'!$B96,V25+'Proforma Inputs'!$B96/'Proforma Inputs'!$B104,V25),0)</f>
        <v>0</v>
      </c>
      <c r="X25" s="22">
        <f>IF(AND(X$3&gt;='Proforma Inputs'!$B$44,X$89=0),IF(W25&lt;'Proforma Inputs'!$B96,W25+'Proforma Inputs'!$B96/'Proforma Inputs'!$B104,W25),0)</f>
        <v>0</v>
      </c>
      <c r="Y25" s="22">
        <f>IF(AND(Y$3&gt;='Proforma Inputs'!$B$44,Y$89=0),IF(X25&lt;'Proforma Inputs'!$B96,X25+'Proforma Inputs'!$B96/'Proforma Inputs'!$B104,X25),0)</f>
        <v>0</v>
      </c>
      <c r="Z25" s="22">
        <f>IF(AND(Z$3&gt;='Proforma Inputs'!$B$44,Z$89=0),IF(Y25&lt;'Proforma Inputs'!$B96,Y25+'Proforma Inputs'!$B96/'Proforma Inputs'!$B104,Y25),0)</f>
        <v>0</v>
      </c>
      <c r="AA25" s="22">
        <f>IF(AND(AA$3&gt;='Proforma Inputs'!$B$44,AA$89=0),IF(Z25&lt;'Proforma Inputs'!$B96,Z25+'Proforma Inputs'!$B96/'Proforma Inputs'!$B104,Z25),0)</f>
        <v>0</v>
      </c>
      <c r="AB25" s="22">
        <f>IF(AND(AB$3&gt;='Proforma Inputs'!$B$44,AB$89=0),IF(AA25&lt;'Proforma Inputs'!$B96,AA25+'Proforma Inputs'!$B96/'Proforma Inputs'!$B104,AA25),0)</f>
        <v>0</v>
      </c>
      <c r="AC25" s="22">
        <f>IF(AND(AC$3&gt;='Proforma Inputs'!$B$44,AC$89=0),IF(AB25&lt;'Proforma Inputs'!$B96,AB25+'Proforma Inputs'!$B96/'Proforma Inputs'!$B104,AB25),0)</f>
        <v>0</v>
      </c>
      <c r="AD25" s="22">
        <f>IF(AND(AD$3&gt;='Proforma Inputs'!$B$44,AD$89=0),IF(AC25&lt;'Proforma Inputs'!$B96,AC25+'Proforma Inputs'!$B96/'Proforma Inputs'!$B104,AC25),0)</f>
        <v>0</v>
      </c>
      <c r="AE25" s="22">
        <f>IF(AND(AE$3&gt;='Proforma Inputs'!$B$44,AE$89=0),IF(AD25&lt;'Proforma Inputs'!$B96,AD25+'Proforma Inputs'!$B96/'Proforma Inputs'!$B104,AD25),0)</f>
        <v>0</v>
      </c>
      <c r="AF25" s="22">
        <f>IF(AND(AF$3&gt;='Proforma Inputs'!$B$44,AF$89=0),IF(AE25&lt;'Proforma Inputs'!$B96,AE25+'Proforma Inputs'!$B96/'Proforma Inputs'!$B104,AE25),0)</f>
        <v>0</v>
      </c>
      <c r="AG25" s="22">
        <f>IF(AND(AG$3&gt;='Proforma Inputs'!$B$44,AG$89=0),IF(AF25&lt;'Proforma Inputs'!$B96,AF25+'Proforma Inputs'!$B96/'Proforma Inputs'!$B104,AF25),0)</f>
        <v>0</v>
      </c>
      <c r="AH25" s="22">
        <f>IF(AND(AH$3&gt;='Proforma Inputs'!$B$44,AH$89=0),IF(AG25&lt;'Proforma Inputs'!$B96,AG25+'Proforma Inputs'!$B96/'Proforma Inputs'!$B104,AG25),0)</f>
        <v>0</v>
      </c>
      <c r="AI25" s="22">
        <f>IF(AND(AI$3&gt;='Proforma Inputs'!$B$44,AI$89=0),IF(AH25&lt;'Proforma Inputs'!$B96,AH25+'Proforma Inputs'!$B96/'Proforma Inputs'!$B104,AH25),0)</f>
        <v>0</v>
      </c>
      <c r="AJ25" s="22">
        <f>IF(AND(AJ$3&gt;='Proforma Inputs'!$B$44,AJ$89=0),IF(AI25&lt;'Proforma Inputs'!$B96,AI25+'Proforma Inputs'!$B96/'Proforma Inputs'!$B104,AI25),0)</f>
        <v>0</v>
      </c>
      <c r="AK25" s="22">
        <f>IF(AND(AK$3&gt;='Proforma Inputs'!$B$44,AK$89=0),IF(AJ25&lt;'Proforma Inputs'!$B96,AJ25+'Proforma Inputs'!$B96/'Proforma Inputs'!$B104,AJ25),0)</f>
        <v>0</v>
      </c>
      <c r="AL25" s="22">
        <f>IF(AND(AL$3&gt;='Proforma Inputs'!$B$44,AL$89=0),IF(AK25&lt;'Proforma Inputs'!$B96,AK25+'Proforma Inputs'!$B96/'Proforma Inputs'!$B104,AK25),0)</f>
        <v>0</v>
      </c>
      <c r="AM25" s="22">
        <f>IF(AND(AM$3&gt;='Proforma Inputs'!$B$44,AM$89=0),IF(AL25&lt;'Proforma Inputs'!$B96,AL25+'Proforma Inputs'!$B96/'Proforma Inputs'!$B104,AL25),0)</f>
        <v>0</v>
      </c>
      <c r="AN25" s="22">
        <f>IF(AND(AN$3&gt;='Proforma Inputs'!$B$44,AN$89=0),IF(AM25&lt;'Proforma Inputs'!$B96,AM25+'Proforma Inputs'!$B96/'Proforma Inputs'!$B104,AM25),0)</f>
        <v>0</v>
      </c>
      <c r="AO25" s="22">
        <f>IF(AND(AO$3&gt;='Proforma Inputs'!$B$44,AO$89=0),IF(AN25&lt;'Proforma Inputs'!$B96,AN25+'Proforma Inputs'!$B96/'Proforma Inputs'!$B104,AN25),0)</f>
        <v>0</v>
      </c>
      <c r="AP25" s="22">
        <f>IF(AND(AP$3&gt;='Proforma Inputs'!$B$44,AP$89=0),IF(AO25&lt;'Proforma Inputs'!$B96,AO25+'Proforma Inputs'!$B96/'Proforma Inputs'!$B104,AO25),0)</f>
        <v>0</v>
      </c>
      <c r="AQ25" s="22"/>
      <c r="AR25" s="22"/>
      <c r="AS25" s="22"/>
      <c r="AT25" s="22"/>
      <c r="AU25" s="22"/>
      <c r="AV25" s="22"/>
    </row>
    <row r="26" spans="1:48" s="16" customFormat="1">
      <c r="A26" s="18" t="s">
        <v>6</v>
      </c>
      <c r="B26" s="22">
        <v>0</v>
      </c>
      <c r="C26" s="22">
        <f>IF(AND(C$3&gt;='Proforma Inputs'!$B$44,C$89=0),IF(B26&lt;'Proforma Inputs'!$B97,B26+'Proforma Inputs'!$B97/'Proforma Inputs'!$B105,B26),0)</f>
        <v>0</v>
      </c>
      <c r="D26" s="22">
        <f>IF(AND(D$3&gt;='Proforma Inputs'!$B$44,D$89=0),IF(C26&lt;'Proforma Inputs'!$B97,C26+'Proforma Inputs'!$B97/'Proforma Inputs'!$B105,C26),0)</f>
        <v>0</v>
      </c>
      <c r="E26" s="22">
        <f>IF(AND(E$3&gt;='Proforma Inputs'!$B$44,E$89=0),IF(D26&lt;'Proforma Inputs'!$B97,D26+'Proforma Inputs'!$B97/'Proforma Inputs'!$B105,D26),0)</f>
        <v>0</v>
      </c>
      <c r="F26" s="22">
        <f>IF(AND(F$3&gt;='Proforma Inputs'!$B$44,F$89=0),IF(E26&lt;'Proforma Inputs'!$B97,E26+'Proforma Inputs'!$B97/'Proforma Inputs'!$B105,E26),0)</f>
        <v>0</v>
      </c>
      <c r="G26" s="22">
        <f>IF(AND(G$3&gt;='Proforma Inputs'!$B$44,G$89=0),IF(F26&lt;'Proforma Inputs'!$B97,F26+'Proforma Inputs'!$B97/'Proforma Inputs'!$B105,F26),0)</f>
        <v>0</v>
      </c>
      <c r="H26" s="22">
        <f>IF(AND(H$3&gt;='Proforma Inputs'!$B$44,H$89=0),IF(G26&lt;'Proforma Inputs'!$B97,G26+'Proforma Inputs'!$B97/'Proforma Inputs'!$B105,G26),0)</f>
        <v>0</v>
      </c>
      <c r="I26" s="22">
        <f>IF(AND(I$3&gt;='Proforma Inputs'!$B$44,I$89=0),IF(H26&lt;'Proforma Inputs'!$B97,H26+'Proforma Inputs'!$B97/'Proforma Inputs'!$B105,H26),0)</f>
        <v>0</v>
      </c>
      <c r="J26" s="22">
        <f>IF(AND(J$3&gt;='Proforma Inputs'!$B$44,J$89=0),IF(I26&lt;'Proforma Inputs'!$B97,I26+'Proforma Inputs'!$B97/'Proforma Inputs'!$B105,I26),0)</f>
        <v>0</v>
      </c>
      <c r="K26" s="22">
        <f>IF(AND(K$3&gt;='Proforma Inputs'!$B$44,K$89=0),IF(J26&lt;'Proforma Inputs'!$B97,J26+'Proforma Inputs'!$B97/'Proforma Inputs'!$B105,J26),0)</f>
        <v>0</v>
      </c>
      <c r="L26" s="22">
        <f>IF(AND(L$3&gt;='Proforma Inputs'!$B$44,L$89=0),IF(K26&lt;'Proforma Inputs'!$B97,K26+'Proforma Inputs'!$B97/'Proforma Inputs'!$B105,K26),0)</f>
        <v>0</v>
      </c>
      <c r="M26" s="22">
        <f>IF(AND(M$3&gt;='Proforma Inputs'!$B$44,M$89=0),IF(L26&lt;'Proforma Inputs'!$B97,L26+'Proforma Inputs'!$B97/'Proforma Inputs'!$B105,L26),0)</f>
        <v>0</v>
      </c>
      <c r="N26" s="22">
        <f>IF(AND(N$3&gt;='Proforma Inputs'!$B$44,N$89=0),IF(M26&lt;'Proforma Inputs'!$B97,M26+'Proforma Inputs'!$B97/'Proforma Inputs'!$B105,M26),0)</f>
        <v>0</v>
      </c>
      <c r="O26" s="22">
        <f>IF(AND(O$3&gt;='Proforma Inputs'!$B$44,O$89=0),IF(N26&lt;'Proforma Inputs'!$B97,N26+'Proforma Inputs'!$B97/'Proforma Inputs'!$B105,N26),0)</f>
        <v>0</v>
      </c>
      <c r="P26" s="22">
        <f>IF(AND(P$3&gt;='Proforma Inputs'!$B$44,P$89=0),IF(O26&lt;'Proforma Inputs'!$B97,O26+'Proforma Inputs'!$B97/'Proforma Inputs'!$B105,O26),0)</f>
        <v>0</v>
      </c>
      <c r="Q26" s="22">
        <f>IF(AND(Q$3&gt;='Proforma Inputs'!$B$44,Q$89=0),IF(P26&lt;'Proforma Inputs'!$B97,P26+'Proforma Inputs'!$B97/'Proforma Inputs'!$B105,P26),0)</f>
        <v>0</v>
      </c>
      <c r="R26" s="22">
        <f>IF(AND(R$3&gt;='Proforma Inputs'!$B$44,R$89=0),IF(Q26&lt;'Proforma Inputs'!$B97,Q26+'Proforma Inputs'!$B97/'Proforma Inputs'!$B105,Q26),0)</f>
        <v>0</v>
      </c>
      <c r="S26" s="22">
        <f>IF(AND(S$3&gt;='Proforma Inputs'!$B$44,S$89=0),IF(R26&lt;'Proforma Inputs'!$B97,R26+'Proforma Inputs'!$B97/'Proforma Inputs'!$B105,R26),0)</f>
        <v>0</v>
      </c>
      <c r="T26" s="22">
        <f>IF(AND(T$3&gt;='Proforma Inputs'!$B$44,T$89=0),IF(S26&lt;'Proforma Inputs'!$B97,S26+'Proforma Inputs'!$B97/'Proforma Inputs'!$B105,S26),0)</f>
        <v>0</v>
      </c>
      <c r="U26" s="22">
        <f>IF(AND(U$3&gt;='Proforma Inputs'!$B$44,U$89=0),IF(T26&lt;'Proforma Inputs'!$B97,T26+'Proforma Inputs'!$B97/'Proforma Inputs'!$B105,T26),0)</f>
        <v>0</v>
      </c>
      <c r="V26" s="22">
        <f>IF(AND(V$3&gt;='Proforma Inputs'!$B$44,V$89=0),IF(U26&lt;'Proforma Inputs'!$B97,U26+'Proforma Inputs'!$B97/'Proforma Inputs'!$B105,U26),0)</f>
        <v>0</v>
      </c>
      <c r="W26" s="22">
        <f>IF(AND(W$3&gt;='Proforma Inputs'!$B$44,W$89=0),IF(V26&lt;'Proforma Inputs'!$B97,V26+'Proforma Inputs'!$B97/'Proforma Inputs'!$B105,V26),0)</f>
        <v>0</v>
      </c>
      <c r="X26" s="22">
        <f>IF(AND(X$3&gt;='Proforma Inputs'!$B$44,X$89=0),IF(W26&lt;'Proforma Inputs'!$B97,W26+'Proforma Inputs'!$B97/'Proforma Inputs'!$B105,W26),0)</f>
        <v>0</v>
      </c>
      <c r="Y26" s="22">
        <f>IF(AND(Y$3&gt;='Proforma Inputs'!$B$44,Y$89=0),IF(X26&lt;'Proforma Inputs'!$B97,X26+'Proforma Inputs'!$B97/'Proforma Inputs'!$B105,X26),0)</f>
        <v>0</v>
      </c>
      <c r="Z26" s="22">
        <f>IF(AND(Z$3&gt;='Proforma Inputs'!$B$44,Z$89=0),IF(Y26&lt;'Proforma Inputs'!$B97,Y26+'Proforma Inputs'!$B97/'Proforma Inputs'!$B105,Y26),0)</f>
        <v>0</v>
      </c>
      <c r="AA26" s="22">
        <f>IF(AND(AA$3&gt;='Proforma Inputs'!$B$44,AA$89=0),IF(Z26&lt;'Proforma Inputs'!$B97,Z26+'Proforma Inputs'!$B97/'Proforma Inputs'!$B105,Z26),0)</f>
        <v>0</v>
      </c>
      <c r="AB26" s="22">
        <f>IF(AND(AB$3&gt;='Proforma Inputs'!$B$44,AB$89=0),IF(AA26&lt;'Proforma Inputs'!$B97,AA26+'Proforma Inputs'!$B97/'Proforma Inputs'!$B105,AA26),0)</f>
        <v>0</v>
      </c>
      <c r="AC26" s="22">
        <f>IF(AND(AC$3&gt;='Proforma Inputs'!$B$44,AC$89=0),IF(AB26&lt;'Proforma Inputs'!$B97,AB26+'Proforma Inputs'!$B97/'Proforma Inputs'!$B105,AB26),0)</f>
        <v>0</v>
      </c>
      <c r="AD26" s="22">
        <f>IF(AND(AD$3&gt;='Proforma Inputs'!$B$44,AD$89=0),IF(AC26&lt;'Proforma Inputs'!$B97,AC26+'Proforma Inputs'!$B97/'Proforma Inputs'!$B105,AC26),0)</f>
        <v>0</v>
      </c>
      <c r="AE26" s="22">
        <f>IF(AND(AE$3&gt;='Proforma Inputs'!$B$44,AE$89=0),IF(AD26&lt;'Proforma Inputs'!$B97,AD26+'Proforma Inputs'!$B97/'Proforma Inputs'!$B105,AD26),0)</f>
        <v>0</v>
      </c>
      <c r="AF26" s="22">
        <f>IF(AND(AF$3&gt;='Proforma Inputs'!$B$44,AF$89=0),IF(AE26&lt;'Proforma Inputs'!$B97,AE26+'Proforma Inputs'!$B97/'Proforma Inputs'!$B105,AE26),0)</f>
        <v>0</v>
      </c>
      <c r="AG26" s="22">
        <f>IF(AND(AG$3&gt;='Proforma Inputs'!$B$44,AG$89=0),IF(AF26&lt;'Proforma Inputs'!$B97,AF26+'Proforma Inputs'!$B97/'Proforma Inputs'!$B105,AF26),0)</f>
        <v>0</v>
      </c>
      <c r="AH26" s="22">
        <f>IF(AND(AH$3&gt;='Proforma Inputs'!$B$44,AH$89=0),IF(AG26&lt;'Proforma Inputs'!$B97,AG26+'Proforma Inputs'!$B97/'Proforma Inputs'!$B105,AG26),0)</f>
        <v>0</v>
      </c>
      <c r="AI26" s="22">
        <f>IF(AND(AI$3&gt;='Proforma Inputs'!$B$44,AI$89=0),IF(AH26&lt;'Proforma Inputs'!$B97,AH26+'Proforma Inputs'!$B97/'Proforma Inputs'!$B105,AH26),0)</f>
        <v>0</v>
      </c>
      <c r="AJ26" s="22">
        <f>IF(AND(AJ$3&gt;='Proforma Inputs'!$B$44,AJ$89=0),IF(AI26&lt;'Proforma Inputs'!$B97,AI26+'Proforma Inputs'!$B97/'Proforma Inputs'!$B105,AI26),0)</f>
        <v>0</v>
      </c>
      <c r="AK26" s="22">
        <f>IF(AND(AK$3&gt;='Proforma Inputs'!$B$44,AK$89=0),IF(AJ26&lt;'Proforma Inputs'!$B97,AJ26+'Proforma Inputs'!$B97/'Proforma Inputs'!$B105,AJ26),0)</f>
        <v>0</v>
      </c>
      <c r="AL26" s="22">
        <f>IF(AND(AL$3&gt;='Proforma Inputs'!$B$44,AL$89=0),IF(AK26&lt;'Proforma Inputs'!$B97,AK26+'Proforma Inputs'!$B97/'Proforma Inputs'!$B105,AK26),0)</f>
        <v>0</v>
      </c>
      <c r="AM26" s="22">
        <f>IF(AND(AM$3&gt;='Proforma Inputs'!$B$44,AM$89=0),IF(AL26&lt;'Proforma Inputs'!$B97,AL26+'Proforma Inputs'!$B97/'Proforma Inputs'!$B105,AL26),0)</f>
        <v>0</v>
      </c>
      <c r="AN26" s="22">
        <f>IF(AND(AN$3&gt;='Proforma Inputs'!$B$44,AN$89=0),IF(AM26&lt;'Proforma Inputs'!$B97,AM26+'Proforma Inputs'!$B97/'Proforma Inputs'!$B105,AM26),0)</f>
        <v>0</v>
      </c>
      <c r="AO26" s="22">
        <f>IF(AND(AO$3&gt;='Proforma Inputs'!$B$44,AO$89=0),IF(AN26&lt;'Proforma Inputs'!$B97,AN26+'Proforma Inputs'!$B97/'Proforma Inputs'!$B105,AN26),0)</f>
        <v>0</v>
      </c>
      <c r="AP26" s="22">
        <f>IF(AND(AP$3&gt;='Proforma Inputs'!$B$44,AP$89=0),IF(AO26&lt;'Proforma Inputs'!$B97,AO26+'Proforma Inputs'!$B97/'Proforma Inputs'!$B105,AO26),0)</f>
        <v>0</v>
      </c>
      <c r="AQ26" s="22"/>
      <c r="AR26" s="22"/>
      <c r="AS26" s="22"/>
      <c r="AT26" s="22"/>
      <c r="AU26" s="22"/>
      <c r="AV26" s="22"/>
    </row>
    <row r="27" spans="1:48" s="16" customFormat="1">
      <c r="A27" s="18" t="s">
        <v>7</v>
      </c>
      <c r="B27" s="22">
        <v>0</v>
      </c>
      <c r="C27" s="22">
        <f>IF(AND(C$3&gt;='Proforma Inputs'!$B$44,C$89=0),IF(B27&lt;'Proforma Inputs'!$B98,B27+'Proforma Inputs'!$B98/'Proforma Inputs'!$B106,B27),0)</f>
        <v>0</v>
      </c>
      <c r="D27" s="22">
        <f>IF(AND(D$3&gt;='Proforma Inputs'!$B$44,D$89=0),IF(C27&lt;'Proforma Inputs'!$B98,C27+'Proforma Inputs'!$B98/'Proforma Inputs'!$B106,C27),0)</f>
        <v>0</v>
      </c>
      <c r="E27" s="22">
        <f>IF(AND(E$3&gt;='Proforma Inputs'!$B$44,E$89=0),IF(D27&lt;'Proforma Inputs'!$B98,D27+'Proforma Inputs'!$B98/'Proforma Inputs'!$B106,D27),0)</f>
        <v>0</v>
      </c>
      <c r="F27" s="22">
        <f>IF(AND(F$3&gt;='Proforma Inputs'!$B$44,F$89=0),IF(E27&lt;'Proforma Inputs'!$B98,E27+'Proforma Inputs'!$B98/'Proforma Inputs'!$B106,E27),0)</f>
        <v>0</v>
      </c>
      <c r="G27" s="22">
        <f>IF(AND(G$3&gt;='Proforma Inputs'!$B$44,G$89=0),IF(F27&lt;'Proforma Inputs'!$B98,F27+'Proforma Inputs'!$B98/'Proforma Inputs'!$B106,F27),0)</f>
        <v>0</v>
      </c>
      <c r="H27" s="22">
        <f>IF(AND(H$3&gt;='Proforma Inputs'!$B$44,H$89=0),IF(G27&lt;'Proforma Inputs'!$B98,G27+'Proforma Inputs'!$B98/'Proforma Inputs'!$B106,G27),0)</f>
        <v>0</v>
      </c>
      <c r="I27" s="22">
        <f>IF(AND(I$3&gt;='Proforma Inputs'!$B$44,I$89=0),IF(H27&lt;'Proforma Inputs'!$B98,H27+'Proforma Inputs'!$B98/'Proforma Inputs'!$B106,H27),0)</f>
        <v>0</v>
      </c>
      <c r="J27" s="22">
        <f>IF(AND(J$3&gt;='Proforma Inputs'!$B$44,J$89=0),IF(I27&lt;'Proforma Inputs'!$B98,I27+'Proforma Inputs'!$B98/'Proforma Inputs'!$B106,I27),0)</f>
        <v>0</v>
      </c>
      <c r="K27" s="22">
        <f>IF(AND(K$3&gt;='Proforma Inputs'!$B$44,K$89=0),IF(J27&lt;'Proforma Inputs'!$B98,J27+'Proforma Inputs'!$B98/'Proforma Inputs'!$B106,J27),0)</f>
        <v>0</v>
      </c>
      <c r="L27" s="22">
        <f>IF(AND(L$3&gt;='Proforma Inputs'!$B$44,L$89=0),IF(K27&lt;'Proforma Inputs'!$B98,K27+'Proforma Inputs'!$B98/'Proforma Inputs'!$B106,K27),0)</f>
        <v>0</v>
      </c>
      <c r="M27" s="22">
        <f>IF(AND(M$3&gt;='Proforma Inputs'!$B$44,M$89=0),IF(L27&lt;'Proforma Inputs'!$B98,L27+'Proforma Inputs'!$B98/'Proforma Inputs'!$B106,L27),0)</f>
        <v>0</v>
      </c>
      <c r="N27" s="22">
        <f>IF(AND(N$3&gt;='Proforma Inputs'!$B$44,N$89=0),IF(M27&lt;'Proforma Inputs'!$B98,M27+'Proforma Inputs'!$B98/'Proforma Inputs'!$B106,M27),0)</f>
        <v>0</v>
      </c>
      <c r="O27" s="22">
        <f>IF(AND(O$3&gt;='Proforma Inputs'!$B$44,O$89=0),IF(N27&lt;'Proforma Inputs'!$B98,N27+'Proforma Inputs'!$B98/'Proforma Inputs'!$B106,N27),0)</f>
        <v>0</v>
      </c>
      <c r="P27" s="22">
        <f>IF(AND(P$3&gt;='Proforma Inputs'!$B$44,P$89=0),IF(O27&lt;'Proforma Inputs'!$B98,O27+'Proforma Inputs'!$B98/'Proforma Inputs'!$B106,O27),0)</f>
        <v>0</v>
      </c>
      <c r="Q27" s="22">
        <f>IF(AND(Q$3&gt;='Proforma Inputs'!$B$44,Q$89=0),IF(P27&lt;'Proforma Inputs'!$B98,P27+'Proforma Inputs'!$B98/'Proforma Inputs'!$B106,P27),0)</f>
        <v>0</v>
      </c>
      <c r="R27" s="22">
        <f>IF(AND(R$3&gt;='Proforma Inputs'!$B$44,R$89=0),IF(Q27&lt;'Proforma Inputs'!$B98,Q27+'Proforma Inputs'!$B98/'Proforma Inputs'!$B106,Q27),0)</f>
        <v>0</v>
      </c>
      <c r="S27" s="22">
        <f>IF(AND(S$3&gt;='Proforma Inputs'!$B$44,S$89=0),IF(R27&lt;'Proforma Inputs'!$B98,R27+'Proforma Inputs'!$B98/'Proforma Inputs'!$B106,R27),0)</f>
        <v>0</v>
      </c>
      <c r="T27" s="22">
        <f>IF(AND(T$3&gt;='Proforma Inputs'!$B$44,T$89=0),IF(S27&lt;'Proforma Inputs'!$B98,S27+'Proforma Inputs'!$B98/'Proforma Inputs'!$B106,S27),0)</f>
        <v>0</v>
      </c>
      <c r="U27" s="22">
        <f>IF(AND(U$3&gt;='Proforma Inputs'!$B$44,U$89=0),IF(T27&lt;'Proforma Inputs'!$B98,T27+'Proforma Inputs'!$B98/'Proforma Inputs'!$B106,T27),0)</f>
        <v>0</v>
      </c>
      <c r="V27" s="22">
        <f>IF(AND(V$3&gt;='Proforma Inputs'!$B$44,V$89=0),IF(U27&lt;'Proforma Inputs'!$B98,U27+'Proforma Inputs'!$B98/'Proforma Inputs'!$B106,U27),0)</f>
        <v>0</v>
      </c>
      <c r="W27" s="22">
        <f>IF(AND(W$3&gt;='Proforma Inputs'!$B$44,W$89=0),IF(V27&lt;'Proforma Inputs'!$B98,V27+'Proforma Inputs'!$B98/'Proforma Inputs'!$B106,V27),0)</f>
        <v>0</v>
      </c>
      <c r="X27" s="22">
        <f>IF(AND(X$3&gt;='Proforma Inputs'!$B$44,X$89=0),IF(W27&lt;'Proforma Inputs'!$B98,W27+'Proforma Inputs'!$B98/'Proforma Inputs'!$B106,W27),0)</f>
        <v>0</v>
      </c>
      <c r="Y27" s="22">
        <f>IF(AND(Y$3&gt;='Proforma Inputs'!$B$44,Y$89=0),IF(X27&lt;'Proforma Inputs'!$B98,X27+'Proforma Inputs'!$B98/'Proforma Inputs'!$B106,X27),0)</f>
        <v>0</v>
      </c>
      <c r="Z27" s="22">
        <f>IF(AND(Z$3&gt;='Proforma Inputs'!$B$44,Z$89=0),IF(Y27&lt;'Proforma Inputs'!$B98,Y27+'Proforma Inputs'!$B98/'Proforma Inputs'!$B106,Y27),0)</f>
        <v>0</v>
      </c>
      <c r="AA27" s="22">
        <f>IF(AND(AA$3&gt;='Proforma Inputs'!$B$44,AA$89=0),IF(Z27&lt;'Proforma Inputs'!$B98,Z27+'Proforma Inputs'!$B98/'Proforma Inputs'!$B106,Z27),0)</f>
        <v>0</v>
      </c>
      <c r="AB27" s="22">
        <f>IF(AND(AB$3&gt;='Proforma Inputs'!$B$44,AB$89=0),IF(AA27&lt;'Proforma Inputs'!$B98,AA27+'Proforma Inputs'!$B98/'Proforma Inputs'!$B106,AA27),0)</f>
        <v>0</v>
      </c>
      <c r="AC27" s="22">
        <f>IF(AND(AC$3&gt;='Proforma Inputs'!$B$44,AC$89=0),IF(AB27&lt;'Proforma Inputs'!$B98,AB27+'Proforma Inputs'!$B98/'Proforma Inputs'!$B106,AB27),0)</f>
        <v>0</v>
      </c>
      <c r="AD27" s="22">
        <f>IF(AND(AD$3&gt;='Proforma Inputs'!$B$44,AD$89=0),IF(AC27&lt;'Proforma Inputs'!$B98,AC27+'Proforma Inputs'!$B98/'Proforma Inputs'!$B106,AC27),0)</f>
        <v>0</v>
      </c>
      <c r="AE27" s="22">
        <f>IF(AND(AE$3&gt;='Proforma Inputs'!$B$44,AE$89=0),IF(AD27&lt;'Proforma Inputs'!$B98,AD27+'Proforma Inputs'!$B98/'Proforma Inputs'!$B106,AD27),0)</f>
        <v>0</v>
      </c>
      <c r="AF27" s="22">
        <f>IF(AND(AF$3&gt;='Proforma Inputs'!$B$44,AF$89=0),IF(AE27&lt;'Proforma Inputs'!$B98,AE27+'Proforma Inputs'!$B98/'Proforma Inputs'!$B106,AE27),0)</f>
        <v>0</v>
      </c>
      <c r="AG27" s="22">
        <f>IF(AND(AG$3&gt;='Proforma Inputs'!$B$44,AG$89=0),IF(AF27&lt;'Proforma Inputs'!$B98,AF27+'Proforma Inputs'!$B98/'Proforma Inputs'!$B106,AF27),0)</f>
        <v>0</v>
      </c>
      <c r="AH27" s="22">
        <f>IF(AND(AH$3&gt;='Proforma Inputs'!$B$44,AH$89=0),IF(AG27&lt;'Proforma Inputs'!$B98,AG27+'Proforma Inputs'!$B98/'Proforma Inputs'!$B106,AG27),0)</f>
        <v>0</v>
      </c>
      <c r="AI27" s="22">
        <f>IF(AND(AI$3&gt;='Proforma Inputs'!$B$44,AI$89=0),IF(AH27&lt;'Proforma Inputs'!$B98,AH27+'Proforma Inputs'!$B98/'Proforma Inputs'!$B106,AH27),0)</f>
        <v>0</v>
      </c>
      <c r="AJ27" s="22">
        <f>IF(AND(AJ$3&gt;='Proforma Inputs'!$B$44,AJ$89=0),IF(AI27&lt;'Proforma Inputs'!$B98,AI27+'Proforma Inputs'!$B98/'Proforma Inputs'!$B106,AI27),0)</f>
        <v>0</v>
      </c>
      <c r="AK27" s="22">
        <f>IF(AND(AK$3&gt;='Proforma Inputs'!$B$44,AK$89=0),IF(AJ27&lt;'Proforma Inputs'!$B98,AJ27+'Proforma Inputs'!$B98/'Proforma Inputs'!$B106,AJ27),0)</f>
        <v>0</v>
      </c>
      <c r="AL27" s="22">
        <f>IF(AND(AL$3&gt;='Proforma Inputs'!$B$44,AL$89=0),IF(AK27&lt;'Proforma Inputs'!$B98,AK27+'Proforma Inputs'!$B98/'Proforma Inputs'!$B106,AK27),0)</f>
        <v>0</v>
      </c>
      <c r="AM27" s="22">
        <f>IF(AND(AM$3&gt;='Proforma Inputs'!$B$44,AM$89=0),IF(AL27&lt;'Proforma Inputs'!$B98,AL27+'Proforma Inputs'!$B98/'Proforma Inputs'!$B106,AL27),0)</f>
        <v>0</v>
      </c>
      <c r="AN27" s="22">
        <f>IF(AND(AN$3&gt;='Proforma Inputs'!$B$44,AN$89=0),IF(AM27&lt;'Proforma Inputs'!$B98,AM27+'Proforma Inputs'!$B98/'Proforma Inputs'!$B106,AM27),0)</f>
        <v>0</v>
      </c>
      <c r="AO27" s="22">
        <f>IF(AND(AO$3&gt;='Proforma Inputs'!$B$44,AO$89=0),IF(AN27&lt;'Proforma Inputs'!$B98,AN27+'Proforma Inputs'!$B98/'Proforma Inputs'!$B106,AN27),0)</f>
        <v>0</v>
      </c>
      <c r="AP27" s="22">
        <f>IF(AND(AP$3&gt;='Proforma Inputs'!$B$44,AP$89=0),IF(AO27&lt;'Proforma Inputs'!$B98,AO27+'Proforma Inputs'!$B98/'Proforma Inputs'!$B106,AO27),0)</f>
        <v>0</v>
      </c>
      <c r="AQ27" s="22"/>
      <c r="AR27" s="22"/>
      <c r="AS27" s="22"/>
      <c r="AT27" s="22"/>
      <c r="AU27" s="22"/>
      <c r="AV27" s="22"/>
    </row>
    <row r="28" spans="1:48" s="16" customFormat="1">
      <c r="A28" s="16" t="s">
        <v>162</v>
      </c>
      <c r="B28" s="22">
        <v>0</v>
      </c>
      <c r="C28" s="22">
        <f t="shared" ref="C28:AP28" si="0">IF(C88=1,C91,0)</f>
        <v>0</v>
      </c>
      <c r="D28" s="22">
        <f t="shared" si="0"/>
        <v>0</v>
      </c>
      <c r="E28" s="22">
        <f t="shared" si="0"/>
        <v>0</v>
      </c>
      <c r="F28" s="22">
        <f t="shared" si="0"/>
        <v>0</v>
      </c>
      <c r="G28" s="22">
        <f t="shared" si="0"/>
        <v>0</v>
      </c>
      <c r="H28" s="22">
        <f t="shared" si="0"/>
        <v>0</v>
      </c>
      <c r="I28" s="22">
        <f t="shared" si="0"/>
        <v>0</v>
      </c>
      <c r="J28" s="22">
        <f t="shared" si="0"/>
        <v>0</v>
      </c>
      <c r="K28" s="22">
        <f t="shared" si="0"/>
        <v>0</v>
      </c>
      <c r="L28" s="22">
        <f t="shared" si="0"/>
        <v>0</v>
      </c>
      <c r="M28" s="22">
        <f t="shared" si="0"/>
        <v>0</v>
      </c>
      <c r="N28" s="22">
        <f t="shared" si="0"/>
        <v>0</v>
      </c>
      <c r="O28" s="22">
        <f t="shared" si="0"/>
        <v>0</v>
      </c>
      <c r="P28" s="22">
        <f t="shared" si="0"/>
        <v>0</v>
      </c>
      <c r="Q28" s="22">
        <f t="shared" si="0"/>
        <v>0</v>
      </c>
      <c r="R28" s="22">
        <f t="shared" si="0"/>
        <v>0</v>
      </c>
      <c r="S28" s="22">
        <f t="shared" si="0"/>
        <v>0</v>
      </c>
      <c r="T28" s="22">
        <f t="shared" si="0"/>
        <v>53124999.999999993</v>
      </c>
      <c r="U28" s="22">
        <f t="shared" si="0"/>
        <v>0</v>
      </c>
      <c r="V28" s="22">
        <f t="shared" si="0"/>
        <v>0</v>
      </c>
      <c r="W28" s="22">
        <f t="shared" si="0"/>
        <v>0</v>
      </c>
      <c r="X28" s="22">
        <f t="shared" si="0"/>
        <v>0</v>
      </c>
      <c r="Y28" s="22">
        <f t="shared" si="0"/>
        <v>0</v>
      </c>
      <c r="Z28" s="22">
        <f t="shared" si="0"/>
        <v>0</v>
      </c>
      <c r="AA28" s="22">
        <f t="shared" si="0"/>
        <v>0</v>
      </c>
      <c r="AB28" s="22">
        <f t="shared" si="0"/>
        <v>0</v>
      </c>
      <c r="AC28" s="22">
        <f t="shared" si="0"/>
        <v>0</v>
      </c>
      <c r="AD28" s="22">
        <f t="shared" si="0"/>
        <v>0</v>
      </c>
      <c r="AE28" s="22">
        <f t="shared" si="0"/>
        <v>0</v>
      </c>
      <c r="AF28" s="22">
        <f t="shared" si="0"/>
        <v>0</v>
      </c>
      <c r="AG28" s="22">
        <f t="shared" si="0"/>
        <v>0</v>
      </c>
      <c r="AH28" s="22">
        <f t="shared" si="0"/>
        <v>0</v>
      </c>
      <c r="AI28" s="22">
        <f t="shared" si="0"/>
        <v>0</v>
      </c>
      <c r="AJ28" s="22">
        <f t="shared" si="0"/>
        <v>0</v>
      </c>
      <c r="AK28" s="22">
        <f t="shared" si="0"/>
        <v>0</v>
      </c>
      <c r="AL28" s="22">
        <f t="shared" si="0"/>
        <v>0</v>
      </c>
      <c r="AM28" s="22">
        <f t="shared" si="0"/>
        <v>0</v>
      </c>
      <c r="AN28" s="22">
        <f t="shared" si="0"/>
        <v>0</v>
      </c>
      <c r="AO28" s="22">
        <f t="shared" si="0"/>
        <v>0</v>
      </c>
      <c r="AP28" s="22">
        <f t="shared" si="0"/>
        <v>0</v>
      </c>
      <c r="AQ28" s="22"/>
      <c r="AR28" s="22"/>
      <c r="AS28" s="22"/>
      <c r="AT28" s="22"/>
      <c r="AU28" s="22"/>
      <c r="AV28" s="22"/>
    </row>
    <row r="29" spans="1:48" s="16" customFormat="1">
      <c r="A29" s="28" t="s">
        <v>82</v>
      </c>
      <c r="B29" s="22">
        <v>0</v>
      </c>
      <c r="C29" s="22">
        <f>IF(C3&lt;'Proforma Inputs'!$B$44,'Proforma Inputs'!$B$37/('Proforma Inputs'!$B$44-'Proforma Inputs'!$B$43),0)</f>
        <v>0</v>
      </c>
      <c r="D29" s="22">
        <f>IF(D3&lt;'Proforma Inputs'!$B$44,'Proforma Inputs'!$B$37/('Proforma Inputs'!$B$44-'Proforma Inputs'!$B$43),0)</f>
        <v>0</v>
      </c>
      <c r="E29" s="22">
        <f>IF(E3&lt;'Proforma Inputs'!$B$44,'Proforma Inputs'!$B$37/('Proforma Inputs'!$B$44-'Proforma Inputs'!$B$43),0)</f>
        <v>0</v>
      </c>
      <c r="F29" s="22">
        <f>IF(F3&lt;'Proforma Inputs'!$B$44,'Proforma Inputs'!$B$37/('Proforma Inputs'!$B$44-'Proforma Inputs'!$B$43),0)</f>
        <v>0</v>
      </c>
      <c r="G29" s="22">
        <f>IF(G3&lt;'Proforma Inputs'!$B$44,'Proforma Inputs'!$B$37/('Proforma Inputs'!$B$44-'Proforma Inputs'!$B$43),0)</f>
        <v>0</v>
      </c>
      <c r="H29" s="22">
        <f>IF(H3&lt;'Proforma Inputs'!$B$44,'Proforma Inputs'!$B$37/('Proforma Inputs'!$B$44-'Proforma Inputs'!$B$43),0)</f>
        <v>0</v>
      </c>
      <c r="I29" s="22">
        <f>IF(I3&lt;'Proforma Inputs'!$B$44,'Proforma Inputs'!$B$37/('Proforma Inputs'!$B$44-'Proforma Inputs'!$B$43),0)</f>
        <v>0</v>
      </c>
      <c r="J29" s="22">
        <f>IF(J3&lt;'Proforma Inputs'!$B$44,'Proforma Inputs'!$B$37/('Proforma Inputs'!$B$44-'Proforma Inputs'!$B$43),0)</f>
        <v>0</v>
      </c>
      <c r="K29" s="22">
        <f>IF(K3&lt;'Proforma Inputs'!$B$44,'Proforma Inputs'!$B$37/('Proforma Inputs'!$B$44-'Proforma Inputs'!$B$43),0)</f>
        <v>0</v>
      </c>
      <c r="L29" s="22">
        <f>IF(L3&lt;'Proforma Inputs'!$B$44,'Proforma Inputs'!$B$37/('Proforma Inputs'!$B$44-'Proforma Inputs'!$B$43),0)</f>
        <v>0</v>
      </c>
      <c r="M29" s="22">
        <f>IF(M3&lt;'Proforma Inputs'!$B$44,'Proforma Inputs'!$B$37/('Proforma Inputs'!$B$44-'Proforma Inputs'!$B$43),0)</f>
        <v>0</v>
      </c>
      <c r="N29" s="22">
        <f>IF(N3&lt;'Proforma Inputs'!$B$44,'Proforma Inputs'!$B$37/('Proforma Inputs'!$B$44-'Proforma Inputs'!$B$43),0)</f>
        <v>0</v>
      </c>
      <c r="O29" s="22">
        <f>IF(O3&lt;'Proforma Inputs'!$B$44,'Proforma Inputs'!$B$37/('Proforma Inputs'!$B$44-'Proforma Inputs'!$B$43),0)</f>
        <v>0</v>
      </c>
      <c r="P29" s="22">
        <f>IF(P3&lt;'Proforma Inputs'!$B$44,'Proforma Inputs'!$B$37/('Proforma Inputs'!$B$44-'Proforma Inputs'!$B$43),0)</f>
        <v>0</v>
      </c>
      <c r="Q29" s="22">
        <f>IF(Q3&lt;'Proforma Inputs'!$B$44,'Proforma Inputs'!$B$37/('Proforma Inputs'!$B$44-'Proforma Inputs'!$B$43),0)</f>
        <v>0</v>
      </c>
      <c r="R29" s="22">
        <f>IF(R3&lt;'Proforma Inputs'!$B$44,'Proforma Inputs'!$B$37/('Proforma Inputs'!$B$44-'Proforma Inputs'!$B$43),0)</f>
        <v>0</v>
      </c>
      <c r="S29" s="22">
        <f>IF(S3&lt;'Proforma Inputs'!$B$44,'Proforma Inputs'!$B$37/('Proforma Inputs'!$B$44-'Proforma Inputs'!$B$43),0)</f>
        <v>0</v>
      </c>
      <c r="T29" s="22">
        <f>IF(T3&lt;'Proforma Inputs'!$B$44,'Proforma Inputs'!$B$37/('Proforma Inputs'!$B$44-'Proforma Inputs'!$B$43),0)</f>
        <v>0</v>
      </c>
      <c r="U29" s="22">
        <f>IF(U3&lt;'Proforma Inputs'!$B$44,'Proforma Inputs'!$B$37/('Proforma Inputs'!$B$44-'Proforma Inputs'!$B$43),0)</f>
        <v>0</v>
      </c>
      <c r="V29" s="22">
        <f>IF(V3&lt;'Proforma Inputs'!$B$44,'Proforma Inputs'!$B$37/('Proforma Inputs'!$B$44-'Proforma Inputs'!$B$43),0)</f>
        <v>0</v>
      </c>
      <c r="W29" s="22">
        <f>IF(W3&lt;'Proforma Inputs'!$B$44,'Proforma Inputs'!$B$37/('Proforma Inputs'!$B$44-'Proforma Inputs'!$B$43),0)</f>
        <v>0</v>
      </c>
      <c r="X29" s="22">
        <f>IF(X3&lt;'Proforma Inputs'!$B$44,'Proforma Inputs'!$B$37/('Proforma Inputs'!$B$44-'Proforma Inputs'!$B$43),0)</f>
        <v>0</v>
      </c>
      <c r="Y29" s="22">
        <f>IF(Y3&lt;'Proforma Inputs'!$B$44,'Proforma Inputs'!$B$37/('Proforma Inputs'!$B$44-'Proforma Inputs'!$B$43),0)</f>
        <v>0</v>
      </c>
      <c r="Z29" s="22">
        <f>IF(Z3&lt;'Proforma Inputs'!$B$44,'Proforma Inputs'!$B$37/('Proforma Inputs'!$B$44-'Proforma Inputs'!$B$43),0)</f>
        <v>0</v>
      </c>
      <c r="AA29" s="22">
        <f>IF(AA3&lt;'Proforma Inputs'!$B$44,'Proforma Inputs'!$B$37/('Proforma Inputs'!$B$44-'Proforma Inputs'!$B$43),0)</f>
        <v>0</v>
      </c>
      <c r="AB29" s="22">
        <f>IF(AB3&lt;'Proforma Inputs'!$B$44,'Proforma Inputs'!$B$37/('Proforma Inputs'!$B$44-'Proforma Inputs'!$B$43),0)</f>
        <v>0</v>
      </c>
      <c r="AC29" s="22">
        <f>IF(AC3&lt;'Proforma Inputs'!$B$44,'Proforma Inputs'!$B$37/('Proforma Inputs'!$B$44-'Proforma Inputs'!$B$43),0)</f>
        <v>0</v>
      </c>
      <c r="AD29" s="22">
        <f>IF(AD3&lt;'Proforma Inputs'!$B$44,'Proforma Inputs'!$B$37/('Proforma Inputs'!$B$44-'Proforma Inputs'!$B$43),0)</f>
        <v>0</v>
      </c>
      <c r="AE29" s="22">
        <f>IF(AE3&lt;'Proforma Inputs'!$B$44,'Proforma Inputs'!$B$37/('Proforma Inputs'!$B$44-'Proforma Inputs'!$B$43),0)</f>
        <v>0</v>
      </c>
      <c r="AF29" s="22">
        <f>IF(AF3&lt;'Proforma Inputs'!$B$44,'Proforma Inputs'!$B$37/('Proforma Inputs'!$B$44-'Proforma Inputs'!$B$43),0)</f>
        <v>0</v>
      </c>
      <c r="AG29" s="22">
        <f>IF(AG3&lt;'Proforma Inputs'!$B$44,'Proforma Inputs'!$B$37/('Proforma Inputs'!$B$44-'Proforma Inputs'!$B$43),0)</f>
        <v>0</v>
      </c>
      <c r="AH29" s="22">
        <f>IF(AH3&lt;'Proforma Inputs'!$B$44,'Proforma Inputs'!$B$37/('Proforma Inputs'!$B$44-'Proforma Inputs'!$B$43),0)</f>
        <v>0</v>
      </c>
      <c r="AI29" s="22">
        <f>IF(AI3&lt;'Proforma Inputs'!$B$44,'Proforma Inputs'!$B$37/('Proforma Inputs'!$B$44-'Proforma Inputs'!$B$43),0)</f>
        <v>0</v>
      </c>
      <c r="AJ29" s="22">
        <f>IF(AJ3&lt;'Proforma Inputs'!$B$44,'Proforma Inputs'!$B$37/('Proforma Inputs'!$B$44-'Proforma Inputs'!$B$43),0)</f>
        <v>0</v>
      </c>
      <c r="AK29" s="22">
        <f>IF(AK3&lt;'Proforma Inputs'!$B$44,'Proforma Inputs'!$B$37/('Proforma Inputs'!$B$44-'Proforma Inputs'!$B$43),0)</f>
        <v>0</v>
      </c>
      <c r="AL29" s="22">
        <f>IF(AL3&lt;'Proforma Inputs'!$B$44,'Proforma Inputs'!$B$37/('Proforma Inputs'!$B$44-'Proforma Inputs'!$B$43),0)</f>
        <v>0</v>
      </c>
      <c r="AM29" s="22">
        <f>IF(AM3&lt;'Proforma Inputs'!$B$44,'Proforma Inputs'!$B$37/('Proforma Inputs'!$B$44-'Proforma Inputs'!$B$43),0)</f>
        <v>0</v>
      </c>
      <c r="AN29" s="22">
        <f>IF(AN3&lt;'Proforma Inputs'!$B$44,'Proforma Inputs'!$B$37/('Proforma Inputs'!$B$44-'Proforma Inputs'!$B$43),0)</f>
        <v>0</v>
      </c>
      <c r="AO29" s="22">
        <f>IF(AO3&lt;'Proforma Inputs'!$B$44,'Proforma Inputs'!$B$37/('Proforma Inputs'!$B$44-'Proforma Inputs'!$B$43),0)</f>
        <v>0</v>
      </c>
      <c r="AP29" s="22">
        <f>IF(AP3&lt;'Proforma Inputs'!$B$44,'Proforma Inputs'!$B$37/('Proforma Inputs'!$B$44-'Proforma Inputs'!$B$43),0)</f>
        <v>0</v>
      </c>
      <c r="AQ29" s="22"/>
      <c r="AR29" s="22"/>
      <c r="AS29" s="22"/>
      <c r="AT29" s="22"/>
      <c r="AU29" s="22"/>
      <c r="AV29" s="22"/>
    </row>
    <row r="30" spans="1:48">
      <c r="A30" t="s">
        <v>257</v>
      </c>
      <c r="B30" s="17">
        <v>0</v>
      </c>
      <c r="C30" s="17">
        <f>IF(C68=1,C73,0)</f>
        <v>0</v>
      </c>
      <c r="D30" s="17">
        <f t="shared" ref="D30:AP30" si="1">IF(D68=1,D73,0)</f>
        <v>0</v>
      </c>
      <c r="E30" s="17">
        <f t="shared" si="1"/>
        <v>0</v>
      </c>
      <c r="F30" s="17">
        <f t="shared" si="1"/>
        <v>0</v>
      </c>
      <c r="G30" s="17">
        <f t="shared" si="1"/>
        <v>1500931.5361752608</v>
      </c>
      <c r="H30" s="17">
        <f t="shared" si="1"/>
        <v>0</v>
      </c>
      <c r="I30" s="17">
        <f t="shared" si="1"/>
        <v>0</v>
      </c>
      <c r="J30" s="17">
        <f t="shared" si="1"/>
        <v>0</v>
      </c>
      <c r="K30" s="17">
        <f t="shared" si="1"/>
        <v>0</v>
      </c>
      <c r="L30" s="17">
        <f t="shared" si="1"/>
        <v>0</v>
      </c>
      <c r="M30" s="17">
        <f t="shared" si="1"/>
        <v>0</v>
      </c>
      <c r="N30" s="17">
        <f t="shared" si="1"/>
        <v>0</v>
      </c>
      <c r="O30" s="17">
        <f t="shared" si="1"/>
        <v>0</v>
      </c>
      <c r="P30" s="17">
        <f t="shared" si="1"/>
        <v>0</v>
      </c>
      <c r="Q30" s="17">
        <f t="shared" si="1"/>
        <v>0</v>
      </c>
      <c r="R30" s="17">
        <f t="shared" si="1"/>
        <v>0</v>
      </c>
      <c r="S30" s="17">
        <f t="shared" si="1"/>
        <v>0</v>
      </c>
      <c r="T30" s="17">
        <f t="shared" si="1"/>
        <v>0</v>
      </c>
      <c r="U30" s="17">
        <f t="shared" si="1"/>
        <v>0</v>
      </c>
      <c r="V30" s="17">
        <f t="shared" si="1"/>
        <v>0</v>
      </c>
      <c r="W30" s="17">
        <f t="shared" si="1"/>
        <v>0</v>
      </c>
      <c r="X30" s="17">
        <f t="shared" si="1"/>
        <v>0</v>
      </c>
      <c r="Y30" s="17">
        <f t="shared" si="1"/>
        <v>0</v>
      </c>
      <c r="Z30" s="17">
        <f t="shared" si="1"/>
        <v>0</v>
      </c>
      <c r="AA30" s="17">
        <f t="shared" si="1"/>
        <v>0</v>
      </c>
      <c r="AB30" s="17">
        <f t="shared" si="1"/>
        <v>0</v>
      </c>
      <c r="AC30" s="17">
        <f t="shared" si="1"/>
        <v>0</v>
      </c>
      <c r="AD30" s="17">
        <f t="shared" si="1"/>
        <v>0</v>
      </c>
      <c r="AE30" s="17">
        <f t="shared" si="1"/>
        <v>0</v>
      </c>
      <c r="AF30" s="17">
        <f t="shared" si="1"/>
        <v>0</v>
      </c>
      <c r="AG30" s="17">
        <f t="shared" si="1"/>
        <v>0</v>
      </c>
      <c r="AH30" s="17">
        <f t="shared" si="1"/>
        <v>0</v>
      </c>
      <c r="AI30" s="17">
        <f t="shared" si="1"/>
        <v>0</v>
      </c>
      <c r="AJ30" s="17">
        <f t="shared" si="1"/>
        <v>0</v>
      </c>
      <c r="AK30" s="17">
        <f t="shared" si="1"/>
        <v>0</v>
      </c>
      <c r="AL30" s="17">
        <f t="shared" si="1"/>
        <v>0</v>
      </c>
      <c r="AM30" s="17">
        <f t="shared" si="1"/>
        <v>0</v>
      </c>
      <c r="AN30" s="17">
        <f t="shared" si="1"/>
        <v>0</v>
      </c>
      <c r="AO30" s="17">
        <f t="shared" si="1"/>
        <v>0</v>
      </c>
      <c r="AP30" s="17">
        <f t="shared" si="1"/>
        <v>0</v>
      </c>
      <c r="AQ30" s="17"/>
      <c r="AR30" s="17"/>
      <c r="AS30" s="17"/>
      <c r="AT30" s="17"/>
      <c r="AU30" s="17"/>
      <c r="AV30" s="17"/>
    </row>
    <row r="31" spans="1:48" s="4" customFormat="1" ht="13.5" thickBot="1">
      <c r="A31" s="4" t="s">
        <v>72</v>
      </c>
      <c r="B31" s="6">
        <v>0</v>
      </c>
      <c r="C31" s="6">
        <f>SUM(C5:C30)</f>
        <v>0</v>
      </c>
      <c r="D31" s="6">
        <f t="shared" ref="D31:AP31" si="2">SUM(D5:D30)</f>
        <v>0</v>
      </c>
      <c r="E31" s="6">
        <f t="shared" si="2"/>
        <v>0</v>
      </c>
      <c r="F31" s="6">
        <f t="shared" si="2"/>
        <v>0</v>
      </c>
      <c r="G31" s="6">
        <f t="shared" si="2"/>
        <v>3488431.5361752608</v>
      </c>
      <c r="H31" s="6">
        <f t="shared" si="2"/>
        <v>2675000</v>
      </c>
      <c r="I31" s="6">
        <f t="shared" si="2"/>
        <v>3362500</v>
      </c>
      <c r="J31" s="6">
        <f t="shared" si="2"/>
        <v>4050000</v>
      </c>
      <c r="K31" s="6">
        <f t="shared" si="2"/>
        <v>4612500</v>
      </c>
      <c r="L31" s="6">
        <f t="shared" si="2"/>
        <v>5175000</v>
      </c>
      <c r="M31" s="6">
        <f t="shared" si="2"/>
        <v>5737500</v>
      </c>
      <c r="N31" s="6">
        <f t="shared" si="2"/>
        <v>6300000</v>
      </c>
      <c r="O31" s="6">
        <f t="shared" si="2"/>
        <v>6050000</v>
      </c>
      <c r="P31" s="6">
        <f t="shared" si="2"/>
        <v>6050000</v>
      </c>
      <c r="Q31" s="6">
        <f t="shared" si="2"/>
        <v>5750000</v>
      </c>
      <c r="R31" s="6">
        <f t="shared" si="2"/>
        <v>5550000</v>
      </c>
      <c r="S31" s="6">
        <f t="shared" si="2"/>
        <v>5200000</v>
      </c>
      <c r="T31" s="6">
        <f t="shared" si="2"/>
        <v>58124999.999999993</v>
      </c>
      <c r="U31" s="6">
        <f t="shared" si="2"/>
        <v>0</v>
      </c>
      <c r="V31" s="6">
        <f t="shared" si="2"/>
        <v>0</v>
      </c>
      <c r="W31" s="6">
        <f t="shared" si="2"/>
        <v>0</v>
      </c>
      <c r="X31" s="6">
        <f t="shared" si="2"/>
        <v>0</v>
      </c>
      <c r="Y31" s="6">
        <f t="shared" si="2"/>
        <v>0</v>
      </c>
      <c r="Z31" s="6">
        <f t="shared" si="2"/>
        <v>0</v>
      </c>
      <c r="AA31" s="6">
        <f t="shared" si="2"/>
        <v>0</v>
      </c>
      <c r="AB31" s="6">
        <f t="shared" si="2"/>
        <v>0</v>
      </c>
      <c r="AC31" s="6">
        <f t="shared" si="2"/>
        <v>0</v>
      </c>
      <c r="AD31" s="6">
        <f t="shared" si="2"/>
        <v>0</v>
      </c>
      <c r="AE31" s="6">
        <f t="shared" si="2"/>
        <v>0</v>
      </c>
      <c r="AF31" s="6">
        <f t="shared" si="2"/>
        <v>0</v>
      </c>
      <c r="AG31" s="6">
        <f t="shared" si="2"/>
        <v>0</v>
      </c>
      <c r="AH31" s="6">
        <f t="shared" si="2"/>
        <v>0</v>
      </c>
      <c r="AI31" s="6">
        <f t="shared" si="2"/>
        <v>0</v>
      </c>
      <c r="AJ31" s="6">
        <f t="shared" si="2"/>
        <v>0</v>
      </c>
      <c r="AK31" s="6">
        <f t="shared" si="2"/>
        <v>0</v>
      </c>
      <c r="AL31" s="6">
        <f t="shared" si="2"/>
        <v>0</v>
      </c>
      <c r="AM31" s="6">
        <f t="shared" si="2"/>
        <v>0</v>
      </c>
      <c r="AN31" s="6">
        <f t="shared" si="2"/>
        <v>0</v>
      </c>
      <c r="AO31" s="6">
        <f t="shared" si="2"/>
        <v>0</v>
      </c>
      <c r="AP31" s="6">
        <f t="shared" si="2"/>
        <v>0</v>
      </c>
      <c r="AQ31" s="6"/>
      <c r="AR31" s="6"/>
      <c r="AS31" s="6"/>
      <c r="AT31" s="6"/>
      <c r="AU31" s="6"/>
      <c r="AV31" s="6"/>
    </row>
    <row r="32" spans="1:48">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row>
    <row r="33" spans="1:48" s="3" customFormat="1">
      <c r="A33" s="9" t="s">
        <v>202</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row>
    <row r="34" spans="1:48" s="16" customFormat="1">
      <c r="A34" t="s">
        <v>161</v>
      </c>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row>
    <row r="35" spans="1:48" s="16" customFormat="1">
      <c r="A35" s="18" t="s">
        <v>23</v>
      </c>
      <c r="B35" s="5">
        <f>IF(AND(B89=0,B3&gt;='Proforma Inputs'!$B$44),-('Proforma Inputs'!$B$41+'Proforma Inputs'!$B$40)*('Proforma Inputs'!$B$71/'Proforma Inputs'!$B$72)*'Proforma Inputs'!$B$17,0)</f>
        <v>0</v>
      </c>
      <c r="C35" s="5">
        <f>IF(AND(C89=0,C3&gt;='Proforma Inputs'!$B$44),-('Proforma Inputs'!$B$41+'Proforma Inputs'!$B$40)*('Proforma Inputs'!$B$71/'Proforma Inputs'!$B$72)*'Proforma Inputs'!$B$17,0)</f>
        <v>0</v>
      </c>
      <c r="D35" s="5">
        <f>IF(AND(D89=0,D3&gt;='Proforma Inputs'!$B$44),-('Proforma Inputs'!$B$41+'Proforma Inputs'!$B$40)*('Proforma Inputs'!$B$71/'Proforma Inputs'!$B$72)*'Proforma Inputs'!$B$17,0)</f>
        <v>0</v>
      </c>
      <c r="E35" s="5">
        <f>IF(AND(E89=0,E3&gt;='Proforma Inputs'!$B$44),-('Proforma Inputs'!$B$41+'Proforma Inputs'!$B$40)*('Proforma Inputs'!$B$71/'Proforma Inputs'!$B$72)*'Proforma Inputs'!$B$17,0)</f>
        <v>0</v>
      </c>
      <c r="F35" s="5">
        <f>IF(AND(F89=0,F3&gt;='Proforma Inputs'!$B$44),-('Proforma Inputs'!$B$41+'Proforma Inputs'!$B$40)*('Proforma Inputs'!$B$71/'Proforma Inputs'!$B$72)*'Proforma Inputs'!$B$17,0)</f>
        <v>0</v>
      </c>
      <c r="G35" s="5">
        <f>IF(AND(G89=0,G3&gt;='Proforma Inputs'!$B$44),-('Proforma Inputs'!$B$41+'Proforma Inputs'!$B$40)*('Proforma Inputs'!$B$71/'Proforma Inputs'!$B$72)*'Proforma Inputs'!$B$17,0)</f>
        <v>-350000</v>
      </c>
      <c r="H35" s="5">
        <f>IF(AND(H89=0,H3&gt;='Proforma Inputs'!$B$44),-('Proforma Inputs'!$B$41+'Proforma Inputs'!$B$40)*('Proforma Inputs'!$B$71/'Proforma Inputs'!$B$72)*'Proforma Inputs'!$B$17,0)</f>
        <v>-350000</v>
      </c>
      <c r="I35" s="5">
        <f>IF(AND(I89=0,I3&gt;='Proforma Inputs'!$B$44),-('Proforma Inputs'!$B$41+'Proforma Inputs'!$B$40)*('Proforma Inputs'!$B$71/'Proforma Inputs'!$B$72)*'Proforma Inputs'!$B$17,0)</f>
        <v>-350000</v>
      </c>
      <c r="J35" s="5">
        <f>IF(AND(J89=0,J3&gt;='Proforma Inputs'!$B$44),-('Proforma Inputs'!$B$41+'Proforma Inputs'!$B$40)*('Proforma Inputs'!$B$71/'Proforma Inputs'!$B$72)*'Proforma Inputs'!$B$17,0)</f>
        <v>-350000</v>
      </c>
      <c r="K35" s="5">
        <f>IF(AND(K89=0,K3&gt;='Proforma Inputs'!$B$44),-('Proforma Inputs'!$B$41+'Proforma Inputs'!$B$40)*('Proforma Inputs'!$B$71/'Proforma Inputs'!$B$72)*'Proforma Inputs'!$B$17,0)</f>
        <v>-350000</v>
      </c>
      <c r="L35" s="5">
        <f>IF(AND(L89=0,L3&gt;='Proforma Inputs'!$B$44),-('Proforma Inputs'!$B$41+'Proforma Inputs'!$B$40)*('Proforma Inputs'!$B$71/'Proforma Inputs'!$B$72)*'Proforma Inputs'!$B$17,0)</f>
        <v>-350000</v>
      </c>
      <c r="M35" s="5">
        <f>IF(AND(M89=0,M3&gt;='Proforma Inputs'!$B$44),-('Proforma Inputs'!$B$41+'Proforma Inputs'!$B$40)*('Proforma Inputs'!$B$71/'Proforma Inputs'!$B$72)*'Proforma Inputs'!$B$17,0)</f>
        <v>-350000</v>
      </c>
      <c r="N35" s="5">
        <f>IF(AND(N89=0,N3&gt;='Proforma Inputs'!$B$44),-('Proforma Inputs'!$B$41+'Proforma Inputs'!$B$40)*('Proforma Inputs'!$B$71/'Proforma Inputs'!$B$72)*'Proforma Inputs'!$B$17,0)</f>
        <v>-350000</v>
      </c>
      <c r="O35" s="5">
        <f>IF(AND(O89=0,O3&gt;='Proforma Inputs'!$B$44),-('Proforma Inputs'!$B$41+'Proforma Inputs'!$B$40)*('Proforma Inputs'!$B$71/'Proforma Inputs'!$B$72)*'Proforma Inputs'!$B$17,0)</f>
        <v>-350000</v>
      </c>
      <c r="P35" s="5">
        <f>IF(AND(P89=0,P3&gt;='Proforma Inputs'!$B$44),-('Proforma Inputs'!$B$41+'Proforma Inputs'!$B$40)*('Proforma Inputs'!$B$71/'Proforma Inputs'!$B$72)*'Proforma Inputs'!$B$17,0)</f>
        <v>-350000</v>
      </c>
      <c r="Q35" s="5">
        <f>IF(AND(Q89=0,Q3&gt;='Proforma Inputs'!$B$44),-('Proforma Inputs'!$B$41+'Proforma Inputs'!$B$40)*('Proforma Inputs'!$B$71/'Proforma Inputs'!$B$72)*'Proforma Inputs'!$B$17,0)</f>
        <v>-350000</v>
      </c>
      <c r="R35" s="5">
        <f>IF(AND(R89=0,R3&gt;='Proforma Inputs'!$B$44),-('Proforma Inputs'!$B$41+'Proforma Inputs'!$B$40)*('Proforma Inputs'!$B$71/'Proforma Inputs'!$B$72)*'Proforma Inputs'!$B$17,0)</f>
        <v>-350000</v>
      </c>
      <c r="S35" s="5">
        <f>IF(AND(S89=0,S3&gt;='Proforma Inputs'!$B$44),-('Proforma Inputs'!$B$41+'Proforma Inputs'!$B$40)*('Proforma Inputs'!$B$71/'Proforma Inputs'!$B$72)*'Proforma Inputs'!$B$17,0)</f>
        <v>-350000</v>
      </c>
      <c r="T35" s="5">
        <f>IF(AND(T89=0,T3&gt;='Proforma Inputs'!$B$44),-('Proforma Inputs'!$B$41+'Proforma Inputs'!$B$40)*('Proforma Inputs'!$B$71/'Proforma Inputs'!$B$72)*'Proforma Inputs'!$B$17,0)</f>
        <v>-350000</v>
      </c>
      <c r="U35" s="5">
        <f>IF(AND(U89=0,U3&gt;='Proforma Inputs'!$B$44),-('Proforma Inputs'!$B$41+'Proforma Inputs'!$B$40)*('Proforma Inputs'!$B$71/'Proforma Inputs'!$B$72)*'Proforma Inputs'!$B$17,0)</f>
        <v>0</v>
      </c>
      <c r="V35" s="5">
        <f>IF(AND(V89=0,V3&gt;='Proforma Inputs'!$B$44),-('Proforma Inputs'!$B$41+'Proforma Inputs'!$B$40)*('Proforma Inputs'!$B$71/'Proforma Inputs'!$B$72)*'Proforma Inputs'!$B$17,0)</f>
        <v>0</v>
      </c>
      <c r="W35" s="5">
        <f>IF(AND(W89=0,W3&gt;='Proforma Inputs'!$B$44),-('Proforma Inputs'!$B$41+'Proforma Inputs'!$B$40)*('Proforma Inputs'!$B$71/'Proforma Inputs'!$B$72)*'Proforma Inputs'!$B$17,0)</f>
        <v>0</v>
      </c>
      <c r="X35" s="5">
        <f>IF(AND(X89=0,X3&gt;='Proforma Inputs'!$B$44),-('Proforma Inputs'!$B$41+'Proforma Inputs'!$B$40)*('Proforma Inputs'!$B$71/'Proforma Inputs'!$B$72)*'Proforma Inputs'!$B$17,0)</f>
        <v>0</v>
      </c>
      <c r="Y35" s="5">
        <f>IF(AND(Y89=0,Y3&gt;='Proforma Inputs'!$B$44),-('Proforma Inputs'!$B$41+'Proforma Inputs'!$B$40)*('Proforma Inputs'!$B$71/'Proforma Inputs'!$B$72)*'Proforma Inputs'!$B$17,0)</f>
        <v>0</v>
      </c>
      <c r="Z35" s="5">
        <f>IF(AND(Z89=0,Z3&gt;='Proforma Inputs'!$B$44),-('Proforma Inputs'!$B$41+'Proforma Inputs'!$B$40)*('Proforma Inputs'!$B$71/'Proforma Inputs'!$B$72)*'Proforma Inputs'!$B$17,0)</f>
        <v>0</v>
      </c>
      <c r="AA35" s="5">
        <f>IF(AND(AA89=0,AA3&gt;='Proforma Inputs'!$B$44),-('Proforma Inputs'!$B$41+'Proforma Inputs'!$B$40)*('Proforma Inputs'!$B$71/'Proforma Inputs'!$B$72)*'Proforma Inputs'!$B$17,0)</f>
        <v>0</v>
      </c>
      <c r="AB35" s="5">
        <f>IF(AND(AB89=0,AB3&gt;='Proforma Inputs'!$B$44),-('Proforma Inputs'!$B$41+'Proforma Inputs'!$B$40)*('Proforma Inputs'!$B$71/'Proforma Inputs'!$B$72)*'Proforma Inputs'!$B$17,0)</f>
        <v>0</v>
      </c>
      <c r="AC35" s="5">
        <f>IF(AND(AC89=0,AC3&gt;='Proforma Inputs'!$B$44),-('Proforma Inputs'!$B$41+'Proforma Inputs'!$B$40)*('Proforma Inputs'!$B$71/'Proforma Inputs'!$B$72)*'Proforma Inputs'!$B$17,0)</f>
        <v>0</v>
      </c>
      <c r="AD35" s="5">
        <f>IF(AND(AD89=0,AD3&gt;='Proforma Inputs'!$B$44),-('Proforma Inputs'!$B$41+'Proforma Inputs'!$B$40)*('Proforma Inputs'!$B$71/'Proforma Inputs'!$B$72)*'Proforma Inputs'!$B$17,0)</f>
        <v>0</v>
      </c>
      <c r="AE35" s="5">
        <f>IF(AND(AE89=0,AE3&gt;='Proforma Inputs'!$B$44),-('Proforma Inputs'!$B$41+'Proforma Inputs'!$B$40)*('Proforma Inputs'!$B$71/'Proforma Inputs'!$B$72)*'Proforma Inputs'!$B$17,0)</f>
        <v>0</v>
      </c>
      <c r="AF35" s="5">
        <f>IF(AND(AF89=0,AF3&gt;='Proforma Inputs'!$B$44),-('Proforma Inputs'!$B$41+'Proforma Inputs'!$B$40)*('Proforma Inputs'!$B$71/'Proforma Inputs'!$B$72)*'Proforma Inputs'!$B$17,0)</f>
        <v>0</v>
      </c>
      <c r="AG35" s="5">
        <f>IF(AND(AG89=0,AG3&gt;='Proforma Inputs'!$B$44),-('Proforma Inputs'!$B$41+'Proforma Inputs'!$B$40)*('Proforma Inputs'!$B$71/'Proforma Inputs'!$B$72)*'Proforma Inputs'!$B$17,0)</f>
        <v>0</v>
      </c>
      <c r="AH35" s="5">
        <f>IF(AND(AH89=0,AH3&gt;='Proforma Inputs'!$B$44),-('Proforma Inputs'!$B$41+'Proforma Inputs'!$B$40)*('Proforma Inputs'!$B$71/'Proforma Inputs'!$B$72)*'Proforma Inputs'!$B$17,0)</f>
        <v>0</v>
      </c>
      <c r="AI35" s="5">
        <f>IF(AND(AI89=0,AI3&gt;='Proforma Inputs'!$B$44),-('Proforma Inputs'!$B$41+'Proforma Inputs'!$B$40)*('Proforma Inputs'!$B$71/'Proforma Inputs'!$B$72)*'Proforma Inputs'!$B$17,0)</f>
        <v>0</v>
      </c>
      <c r="AJ35" s="5">
        <f>IF(AND(AJ89=0,AJ3&gt;='Proforma Inputs'!$B$44),-('Proforma Inputs'!$B$41+'Proforma Inputs'!$B$40)*('Proforma Inputs'!$B$71/'Proforma Inputs'!$B$72)*'Proforma Inputs'!$B$17,0)</f>
        <v>0</v>
      </c>
      <c r="AK35" s="5">
        <f>IF(AND(AK89=0,AK3&gt;='Proforma Inputs'!$B$44),-('Proforma Inputs'!$B$41+'Proforma Inputs'!$B$40)*('Proforma Inputs'!$B$71/'Proforma Inputs'!$B$72)*'Proforma Inputs'!$B$17,0)</f>
        <v>0</v>
      </c>
      <c r="AL35" s="5">
        <f>IF(AND(AL89=0,AL3&gt;='Proforma Inputs'!$B$44),-('Proforma Inputs'!$B$41+'Proforma Inputs'!$B$40)*('Proforma Inputs'!$B$71/'Proforma Inputs'!$B$72)*'Proforma Inputs'!$B$17,0)</f>
        <v>0</v>
      </c>
      <c r="AM35" s="5">
        <f>IF(AND(AM89=0,AM3&gt;='Proforma Inputs'!$B$44),-('Proforma Inputs'!$B$41+'Proforma Inputs'!$B$40)*('Proforma Inputs'!$B$71/'Proforma Inputs'!$B$72)*'Proforma Inputs'!$B$17,0)</f>
        <v>0</v>
      </c>
      <c r="AN35" s="5">
        <f>IF(AND(AN89=0,AN3&gt;='Proforma Inputs'!$B$44),-('Proforma Inputs'!$B$41+'Proforma Inputs'!$B$40)*('Proforma Inputs'!$B$71/'Proforma Inputs'!$B$72)*'Proforma Inputs'!$B$17,0)</f>
        <v>0</v>
      </c>
      <c r="AO35" s="5">
        <f>IF(AND(AO89=0,AO3&gt;='Proforma Inputs'!$B$44),-('Proforma Inputs'!$B$41+'Proforma Inputs'!$B$40)*('Proforma Inputs'!$B$71/'Proforma Inputs'!$B$72)*'Proforma Inputs'!$B$17,0)</f>
        <v>0</v>
      </c>
      <c r="AP35" s="5">
        <f>IF(AND(AP89=0,AP3&gt;='Proforma Inputs'!$B$44),-('Proforma Inputs'!$B$41+'Proforma Inputs'!$B$40)*('Proforma Inputs'!$B$71/'Proforma Inputs'!$B$72)*'Proforma Inputs'!$B$17,0)</f>
        <v>0</v>
      </c>
      <c r="AQ35" s="5"/>
      <c r="AR35" s="5"/>
      <c r="AS35" s="5"/>
      <c r="AT35" s="5"/>
      <c r="AU35" s="5"/>
      <c r="AV35" s="5"/>
    </row>
    <row r="36" spans="1:48" s="16" customFormat="1">
      <c r="A36" s="18" t="s">
        <v>24</v>
      </c>
      <c r="B36" s="5">
        <v>0</v>
      </c>
      <c r="C36" s="5">
        <f>IF(AND(C89=0,C3&gt;='Proforma Inputs'!$B$44),-'Proforma Inputs'!$B$18*'Proforma Inputs'!$B$71,0)</f>
        <v>0</v>
      </c>
      <c r="D36" s="5">
        <f>IF(AND(D89=0,D3&gt;='Proforma Inputs'!$B$44),-'Proforma Inputs'!$B$18*'Proforma Inputs'!$B$71,0)</f>
        <v>0</v>
      </c>
      <c r="E36" s="5">
        <f>IF(AND(E89=0,E3&gt;='Proforma Inputs'!$B$44),-'Proforma Inputs'!$B$18*'Proforma Inputs'!$B$71,0)</f>
        <v>0</v>
      </c>
      <c r="F36" s="5">
        <f>IF(AND(F89=0,F3&gt;='Proforma Inputs'!$B$44),-'Proforma Inputs'!$B$18*'Proforma Inputs'!$B$71,0)</f>
        <v>0</v>
      </c>
      <c r="G36" s="5">
        <f>IF(AND(G89=0,G3&gt;='Proforma Inputs'!$B$44),-'Proforma Inputs'!$B$18*'Proforma Inputs'!$B$71,0)</f>
        <v>-75000</v>
      </c>
      <c r="H36" s="5">
        <f>IF(AND(H89=0,H3&gt;='Proforma Inputs'!$B$44),-'Proforma Inputs'!$B$18*'Proforma Inputs'!$B$71,0)</f>
        <v>-75000</v>
      </c>
      <c r="I36" s="5">
        <f>IF(AND(I89=0,I3&gt;='Proforma Inputs'!$B$44),-'Proforma Inputs'!$B$18*'Proforma Inputs'!$B$71,0)</f>
        <v>-75000</v>
      </c>
      <c r="J36" s="5">
        <f>IF(AND(J89=0,J3&gt;='Proforma Inputs'!$B$44),-'Proforma Inputs'!$B$18*'Proforma Inputs'!$B$71,0)</f>
        <v>-75000</v>
      </c>
      <c r="K36" s="5">
        <f>IF(AND(K89=0,K3&gt;='Proforma Inputs'!$B$44),-'Proforma Inputs'!$B$18*'Proforma Inputs'!$B$71,0)</f>
        <v>-75000</v>
      </c>
      <c r="L36" s="5">
        <f>IF(AND(L89=0,L3&gt;='Proforma Inputs'!$B$44),-'Proforma Inputs'!$B$18*'Proforma Inputs'!$B$71,0)</f>
        <v>-75000</v>
      </c>
      <c r="M36" s="5">
        <f>IF(AND(M89=0,M3&gt;='Proforma Inputs'!$B$44),-'Proforma Inputs'!$B$18*'Proforma Inputs'!$B$71,0)</f>
        <v>-75000</v>
      </c>
      <c r="N36" s="5">
        <f>IF(AND(N89=0,N3&gt;='Proforma Inputs'!$B$44),-'Proforma Inputs'!$B$18*'Proforma Inputs'!$B$71,0)</f>
        <v>-75000</v>
      </c>
      <c r="O36" s="5">
        <f>IF(AND(O89=0,O3&gt;='Proforma Inputs'!$B$44),-'Proforma Inputs'!$B$18*'Proforma Inputs'!$B$71,0)</f>
        <v>-75000</v>
      </c>
      <c r="P36" s="5">
        <f>IF(AND(P89=0,P3&gt;='Proforma Inputs'!$B$44),-'Proforma Inputs'!$B$18*'Proforma Inputs'!$B$71,0)</f>
        <v>-75000</v>
      </c>
      <c r="Q36" s="5">
        <f>IF(AND(Q89=0,Q3&gt;='Proforma Inputs'!$B$44),-'Proforma Inputs'!$B$18*'Proforma Inputs'!$B$71,0)</f>
        <v>-75000</v>
      </c>
      <c r="R36" s="5">
        <f>IF(AND(R89=0,R3&gt;='Proforma Inputs'!$B$44),-'Proforma Inputs'!$B$18*'Proforma Inputs'!$B$71,0)</f>
        <v>-75000</v>
      </c>
      <c r="S36" s="5">
        <f>IF(AND(S89=0,S3&gt;='Proforma Inputs'!$B$44),-'Proforma Inputs'!$B$18*'Proforma Inputs'!$B$71,0)</f>
        <v>-75000</v>
      </c>
      <c r="T36" s="5">
        <f>IF(AND(T89=0,T3&gt;='Proforma Inputs'!$B$44),-'Proforma Inputs'!$B$18*'Proforma Inputs'!$B$71,0)</f>
        <v>-75000</v>
      </c>
      <c r="U36" s="5">
        <f>IF(AND(U89=0,U3&gt;='Proforma Inputs'!$B$44),-'Proforma Inputs'!$B$18*'Proforma Inputs'!$B$71,0)</f>
        <v>0</v>
      </c>
      <c r="V36" s="5">
        <f>IF(AND(V89=0,V3&gt;='Proforma Inputs'!$B$44),-'Proforma Inputs'!$B$18*'Proforma Inputs'!$B$71,0)</f>
        <v>0</v>
      </c>
      <c r="W36" s="5">
        <f>IF(AND(W89=0,W3&gt;='Proforma Inputs'!$B$44),-'Proforma Inputs'!$B$18*'Proforma Inputs'!$B$71,0)</f>
        <v>0</v>
      </c>
      <c r="X36" s="5">
        <f>IF(AND(X89=0,X3&gt;='Proforma Inputs'!$B$44),-'Proforma Inputs'!$B$18*'Proforma Inputs'!$B$71,0)</f>
        <v>0</v>
      </c>
      <c r="Y36" s="5">
        <f>IF(AND(Y89=0,Y3&gt;='Proforma Inputs'!$B$44),-'Proforma Inputs'!$B$18*'Proforma Inputs'!$B$71,0)</f>
        <v>0</v>
      </c>
      <c r="Z36" s="5">
        <f>IF(AND(Z89=0,Z3&gt;='Proforma Inputs'!$B$44),-'Proforma Inputs'!$B$18*'Proforma Inputs'!$B$71,0)</f>
        <v>0</v>
      </c>
      <c r="AA36" s="5">
        <f>IF(AND(AA89=0,AA3&gt;='Proforma Inputs'!$B$44),-'Proforma Inputs'!$B$18*'Proforma Inputs'!$B$71,0)</f>
        <v>0</v>
      </c>
      <c r="AB36" s="5">
        <f>IF(AND(AB89=0,AB3&gt;='Proforma Inputs'!$B$44),-'Proforma Inputs'!$B$18*'Proforma Inputs'!$B$71,0)</f>
        <v>0</v>
      </c>
      <c r="AC36" s="5">
        <f>IF(AND(AC89=0,AC3&gt;='Proforma Inputs'!$B$44),-'Proforma Inputs'!$B$18*'Proforma Inputs'!$B$71,0)</f>
        <v>0</v>
      </c>
      <c r="AD36" s="5">
        <f>IF(AND(AD89=0,AD3&gt;='Proforma Inputs'!$B$44),-'Proforma Inputs'!$B$18*'Proforma Inputs'!$B$71,0)</f>
        <v>0</v>
      </c>
      <c r="AE36" s="5">
        <f>IF(AND(AE89=0,AE3&gt;='Proforma Inputs'!$B$44),-'Proforma Inputs'!$B$18*'Proforma Inputs'!$B$71,0)</f>
        <v>0</v>
      </c>
      <c r="AF36" s="5">
        <f>IF(AND(AF89=0,AF3&gt;='Proforma Inputs'!$B$44),-'Proforma Inputs'!$B$18*'Proforma Inputs'!$B$71,0)</f>
        <v>0</v>
      </c>
      <c r="AG36" s="5">
        <f>IF(AND(AG89=0,AG3&gt;='Proforma Inputs'!$B$44),-'Proforma Inputs'!$B$18*'Proforma Inputs'!$B$71,0)</f>
        <v>0</v>
      </c>
      <c r="AH36" s="5">
        <f>IF(AND(AH89=0,AH3&gt;='Proforma Inputs'!$B$44),-'Proforma Inputs'!$B$18*'Proforma Inputs'!$B$71,0)</f>
        <v>0</v>
      </c>
      <c r="AI36" s="5">
        <f>IF(AND(AI89=0,AI3&gt;='Proforma Inputs'!$B$44),-'Proforma Inputs'!$B$18*'Proforma Inputs'!$B$71,0)</f>
        <v>0</v>
      </c>
      <c r="AJ36" s="5">
        <f>IF(AND(AJ89=0,AJ3&gt;='Proforma Inputs'!$B$44),-'Proforma Inputs'!$B$18*'Proforma Inputs'!$B$71,0)</f>
        <v>0</v>
      </c>
      <c r="AK36" s="5">
        <f>IF(AND(AK89=0,AK3&gt;='Proforma Inputs'!$B$44),-'Proforma Inputs'!$B$18*'Proforma Inputs'!$B$71,0)</f>
        <v>0</v>
      </c>
      <c r="AL36" s="5">
        <f>IF(AND(AL89=0,AL3&gt;='Proforma Inputs'!$B$44),-'Proforma Inputs'!$B$18*'Proforma Inputs'!$B$71,0)</f>
        <v>0</v>
      </c>
      <c r="AM36" s="5">
        <f>IF(AND(AM89=0,AM3&gt;='Proforma Inputs'!$B$44),-'Proforma Inputs'!$B$18*'Proforma Inputs'!$B$71,0)</f>
        <v>0</v>
      </c>
      <c r="AN36" s="5">
        <f>IF(AND(AN89=0,AN3&gt;='Proforma Inputs'!$B$44),-'Proforma Inputs'!$B$18*'Proforma Inputs'!$B$71,0)</f>
        <v>0</v>
      </c>
      <c r="AO36" s="5">
        <f>IF(AND(AO89=0,AO3&gt;='Proforma Inputs'!$B$44),-'Proforma Inputs'!$B$18*'Proforma Inputs'!$B$71,0)</f>
        <v>0</v>
      </c>
      <c r="AP36" s="5">
        <f>IF(AND(AP89=0,AP3&gt;='Proforma Inputs'!$B$44),-'Proforma Inputs'!$B$18*'Proforma Inputs'!$B$71,0)</f>
        <v>0</v>
      </c>
      <c r="AQ36" s="5"/>
      <c r="AR36" s="5"/>
      <c r="AS36" s="5"/>
      <c r="AT36" s="5"/>
      <c r="AU36" s="5"/>
      <c r="AV36" s="5"/>
    </row>
    <row r="37" spans="1:48" s="16" customFormat="1">
      <c r="A37" s="18" t="s">
        <v>220</v>
      </c>
      <c r="B37" s="5">
        <v>0</v>
      </c>
      <c r="C37" s="5">
        <f>-SUM(C16:C19)*'Proforma Inputs'!$B$19</f>
        <v>0</v>
      </c>
      <c r="D37" s="5">
        <f>-SUM(D16:D19)*'Proforma Inputs'!$B$19</f>
        <v>0</v>
      </c>
      <c r="E37" s="5">
        <f>-SUM(E16:E19)*'Proforma Inputs'!$B$19</f>
        <v>0</v>
      </c>
      <c r="F37" s="5">
        <f>-SUM(F16:F19)*'Proforma Inputs'!$B$19</f>
        <v>0</v>
      </c>
      <c r="G37" s="5">
        <f>-SUM(G16:G19)*'Proforma Inputs'!$B$19</f>
        <v>-37500</v>
      </c>
      <c r="H37" s="5">
        <f>-SUM(H16:H19)*'Proforma Inputs'!$B$19</f>
        <v>-75000</v>
      </c>
      <c r="I37" s="5">
        <f>-SUM(I16:I19)*'Proforma Inputs'!$B$19</f>
        <v>-112500</v>
      </c>
      <c r="J37" s="5">
        <f>-SUM(J16:J19)*'Proforma Inputs'!$B$19</f>
        <v>-150000</v>
      </c>
      <c r="K37" s="5">
        <f>-SUM(K16:K19)*'Proforma Inputs'!$B$19</f>
        <v>-162500</v>
      </c>
      <c r="L37" s="5">
        <f>-SUM(L16:L19)*'Proforma Inputs'!$B$19</f>
        <v>-175000</v>
      </c>
      <c r="M37" s="5">
        <f>-SUM(M16:M19)*'Proforma Inputs'!$B$19</f>
        <v>-187500</v>
      </c>
      <c r="N37" s="5">
        <f>-SUM(N16:N19)*'Proforma Inputs'!$B$19</f>
        <v>-200000</v>
      </c>
      <c r="O37" s="5">
        <f>-SUM(O16:O19)*'Proforma Inputs'!$B$19</f>
        <v>-200000</v>
      </c>
      <c r="P37" s="5">
        <f>-SUM(P16:P19)*'Proforma Inputs'!$B$19</f>
        <v>-200000</v>
      </c>
      <c r="Q37" s="5">
        <f>-SUM(Q16:Q19)*'Proforma Inputs'!$B$19</f>
        <v>-200000</v>
      </c>
      <c r="R37" s="5">
        <f>-SUM(R16:R19)*'Proforma Inputs'!$B$19</f>
        <v>-200000</v>
      </c>
      <c r="S37" s="5">
        <f>-SUM(S16:S19)*'Proforma Inputs'!$B$19</f>
        <v>-200000</v>
      </c>
      <c r="T37" s="5">
        <f>-SUM(T16:T19)*'Proforma Inputs'!$B$19</f>
        <v>-200000</v>
      </c>
      <c r="U37" s="5">
        <f>-SUM(U16:U19)*'Proforma Inputs'!$B$19</f>
        <v>0</v>
      </c>
      <c r="V37" s="5">
        <f>-SUM(V16:V19)*'Proforma Inputs'!$B$19</f>
        <v>0</v>
      </c>
      <c r="W37" s="5">
        <f>-SUM(W16:W19)*'Proforma Inputs'!$B$19</f>
        <v>0</v>
      </c>
      <c r="X37" s="5">
        <f>-SUM(X16:X19)*'Proforma Inputs'!$B$19</f>
        <v>0</v>
      </c>
      <c r="Y37" s="5">
        <f>-SUM(Y16:Y19)*'Proforma Inputs'!$B$19</f>
        <v>0</v>
      </c>
      <c r="Z37" s="5">
        <f>-SUM(Z16:Z19)*'Proforma Inputs'!$B$19</f>
        <v>0</v>
      </c>
      <c r="AA37" s="5">
        <f>-SUM(AA16:AA19)*'Proforma Inputs'!$B$19</f>
        <v>0</v>
      </c>
      <c r="AB37" s="5">
        <f>-SUM(AB16:AB19)*'Proforma Inputs'!$B$19</f>
        <v>0</v>
      </c>
      <c r="AC37" s="5">
        <f>-SUM(AC16:AC19)*'Proforma Inputs'!$B$19</f>
        <v>0</v>
      </c>
      <c r="AD37" s="5">
        <f>-SUM(AD16:AD19)*'Proforma Inputs'!$B$19</f>
        <v>0</v>
      </c>
      <c r="AE37" s="5">
        <f>-SUM(AE16:AE19)*'Proforma Inputs'!$B$19</f>
        <v>0</v>
      </c>
      <c r="AF37" s="5">
        <f>-SUM(AF16:AF19)*'Proforma Inputs'!$B$19</f>
        <v>0</v>
      </c>
      <c r="AG37" s="5">
        <f>-SUM(AG16:AG19)*'Proforma Inputs'!$B$19</f>
        <v>0</v>
      </c>
      <c r="AH37" s="5">
        <f>-SUM(AH16:AH19)*'Proforma Inputs'!$B$19</f>
        <v>0</v>
      </c>
      <c r="AI37" s="5">
        <f>-SUM(AI16:AI19)*'Proforma Inputs'!$B$19</f>
        <v>0</v>
      </c>
      <c r="AJ37" s="5">
        <f>-SUM(AJ16:AJ19)*'Proforma Inputs'!$B$19</f>
        <v>0</v>
      </c>
      <c r="AK37" s="5">
        <f>-SUM(AK16:AK19)*'Proforma Inputs'!$B$19</f>
        <v>0</v>
      </c>
      <c r="AL37" s="5">
        <f>-SUM(AL16:AL19)*'Proforma Inputs'!$B$19</f>
        <v>0</v>
      </c>
      <c r="AM37" s="5">
        <f>-SUM(AM16:AM19)*'Proforma Inputs'!$B$19</f>
        <v>0</v>
      </c>
      <c r="AN37" s="5">
        <f>-SUM(AN16:AN19)*'Proforma Inputs'!$B$19</f>
        <v>0</v>
      </c>
      <c r="AO37" s="5">
        <f>-SUM(AO16:AO19)*'Proforma Inputs'!$B$19</f>
        <v>0</v>
      </c>
      <c r="AP37" s="5">
        <f>-SUM(AP16:AP19)*'Proforma Inputs'!$B$19</f>
        <v>0</v>
      </c>
      <c r="AQ37" s="5"/>
      <c r="AR37" s="5"/>
      <c r="AS37" s="5"/>
      <c r="AT37" s="5"/>
      <c r="AU37" s="5"/>
      <c r="AV37" s="5"/>
    </row>
    <row r="38" spans="1:48" s="16" customFormat="1">
      <c r="A38" s="23" t="s">
        <v>160</v>
      </c>
      <c r="B38" s="5">
        <v>0</v>
      </c>
      <c r="C38" s="5">
        <f>-SUMPRODUCT(C21:C27,'Proforma Inputs'!$B21:$B27)</f>
        <v>0</v>
      </c>
      <c r="D38" s="5">
        <f>-SUMPRODUCT(D21:D27,'Proforma Inputs'!$B21:$B27)</f>
        <v>0</v>
      </c>
      <c r="E38" s="5">
        <f>-SUMPRODUCT(E21:E27,'Proforma Inputs'!$B21:$B27)</f>
        <v>0</v>
      </c>
      <c r="F38" s="5">
        <f>-SUMPRODUCT(F21:F27,'Proforma Inputs'!$B21:$B27)</f>
        <v>0</v>
      </c>
      <c r="G38" s="5">
        <f>-SUMPRODUCT(G21:G27,'Proforma Inputs'!$B21:$B27)</f>
        <v>-50000</v>
      </c>
      <c r="H38" s="5">
        <f>-SUMPRODUCT(H21:H27,'Proforma Inputs'!$B21:$B27)</f>
        <v>-100000</v>
      </c>
      <c r="I38" s="5">
        <f>-SUMPRODUCT(I21:I27,'Proforma Inputs'!$B21:$B27)</f>
        <v>-150000</v>
      </c>
      <c r="J38" s="5">
        <f>-SUMPRODUCT(J21:J27,'Proforma Inputs'!$B21:$B27)</f>
        <v>-200000</v>
      </c>
      <c r="K38" s="5">
        <f>-SUMPRODUCT(K21:K27,'Proforma Inputs'!$B21:$B27)</f>
        <v>-250000</v>
      </c>
      <c r="L38" s="5">
        <f>-SUMPRODUCT(L21:L27,'Proforma Inputs'!$B21:$B27)</f>
        <v>-300000</v>
      </c>
      <c r="M38" s="5">
        <f>-SUMPRODUCT(M21:M27,'Proforma Inputs'!$B21:$B27)</f>
        <v>-350000</v>
      </c>
      <c r="N38" s="5">
        <f>-SUMPRODUCT(N21:N27,'Proforma Inputs'!$B21:$B27)</f>
        <v>-400000</v>
      </c>
      <c r="O38" s="5">
        <f>-SUMPRODUCT(O21:O27,'Proforma Inputs'!$B21:$B27)</f>
        <v>-400000</v>
      </c>
      <c r="P38" s="5">
        <f>-SUMPRODUCT(P21:P27,'Proforma Inputs'!$B21:$B27)</f>
        <v>-400000</v>
      </c>
      <c r="Q38" s="5">
        <f>-SUMPRODUCT(Q21:Q27,'Proforma Inputs'!$B21:$B27)</f>
        <v>-400000</v>
      </c>
      <c r="R38" s="5">
        <f>-SUMPRODUCT(R21:R27,'Proforma Inputs'!$B21:$B27)</f>
        <v>-400000</v>
      </c>
      <c r="S38" s="5">
        <f>-SUMPRODUCT(S21:S27,'Proforma Inputs'!$B21:$B27)</f>
        <v>-400000</v>
      </c>
      <c r="T38" s="5">
        <f>-SUMPRODUCT(T21:T27,'Proforma Inputs'!$B21:$B27)</f>
        <v>-400000</v>
      </c>
      <c r="U38" s="5">
        <f>-SUMPRODUCT(U21:U27,'Proforma Inputs'!$B21:$B27)</f>
        <v>0</v>
      </c>
      <c r="V38" s="5">
        <f>-SUMPRODUCT(V21:V27,'Proforma Inputs'!$B21:$B27)</f>
        <v>0</v>
      </c>
      <c r="W38" s="5">
        <f>-SUMPRODUCT(W21:W27,'Proforma Inputs'!$B21:$B27)</f>
        <v>0</v>
      </c>
      <c r="X38" s="5">
        <f>-SUMPRODUCT(X21:X27,'Proforma Inputs'!$B21:$B27)</f>
        <v>0</v>
      </c>
      <c r="Y38" s="5">
        <f>-SUMPRODUCT(Y21:Y27,'Proforma Inputs'!$B21:$B27)</f>
        <v>0</v>
      </c>
      <c r="Z38" s="5">
        <f>-SUMPRODUCT(Z21:Z27,'Proforma Inputs'!$B21:$B27)</f>
        <v>0</v>
      </c>
      <c r="AA38" s="5">
        <f>-SUMPRODUCT(AA21:AA27,'Proforma Inputs'!$B21:$B27)</f>
        <v>0</v>
      </c>
      <c r="AB38" s="5">
        <f>-SUMPRODUCT(AB21:AB27,'Proforma Inputs'!$B21:$B27)</f>
        <v>0</v>
      </c>
      <c r="AC38" s="5">
        <f>-SUMPRODUCT(AC21:AC27,'Proforma Inputs'!$B21:$B27)</f>
        <v>0</v>
      </c>
      <c r="AD38" s="5">
        <f>-SUMPRODUCT(AD21:AD27,'Proforma Inputs'!$B21:$B27)</f>
        <v>0</v>
      </c>
      <c r="AE38" s="5">
        <f>-SUMPRODUCT(AE21:AE27,'Proforma Inputs'!$B21:$B27)</f>
        <v>0</v>
      </c>
      <c r="AF38" s="5">
        <f>-SUMPRODUCT(AF21:AF27,'Proforma Inputs'!$B21:$B27)</f>
        <v>0</v>
      </c>
      <c r="AG38" s="5">
        <f>-SUMPRODUCT(AG21:AG27,'Proforma Inputs'!$B21:$B27)</f>
        <v>0</v>
      </c>
      <c r="AH38" s="5">
        <f>-SUMPRODUCT(AH21:AH27,'Proforma Inputs'!$B21:$B27)</f>
        <v>0</v>
      </c>
      <c r="AI38" s="5">
        <f>-SUMPRODUCT(AI21:AI27,'Proforma Inputs'!$B21:$B27)</f>
        <v>0</v>
      </c>
      <c r="AJ38" s="5">
        <f>-SUMPRODUCT(AJ21:AJ27,'Proforma Inputs'!$B21:$B27)</f>
        <v>0</v>
      </c>
      <c r="AK38" s="5">
        <f>-SUMPRODUCT(AK21:AK27,'Proforma Inputs'!$B21:$B27)</f>
        <v>0</v>
      </c>
      <c r="AL38" s="5">
        <f>-SUMPRODUCT(AL21:AL27,'Proforma Inputs'!$B21:$B27)</f>
        <v>0</v>
      </c>
      <c r="AM38" s="5">
        <f>-SUMPRODUCT(AM21:AM27,'Proforma Inputs'!$B21:$B27)</f>
        <v>0</v>
      </c>
      <c r="AN38" s="5">
        <f>-SUMPRODUCT(AN21:AN27,'Proforma Inputs'!$B21:$B27)</f>
        <v>0</v>
      </c>
      <c r="AO38" s="5">
        <f>-SUMPRODUCT(AO21:AO27,'Proforma Inputs'!$B21:$B27)</f>
        <v>0</v>
      </c>
      <c r="AP38" s="5">
        <f>-SUMPRODUCT(AP21:AP27,'Proforma Inputs'!$B21:$B27)</f>
        <v>0</v>
      </c>
      <c r="AQ38" s="5"/>
      <c r="AR38" s="5"/>
      <c r="AS38" s="5"/>
      <c r="AT38" s="5"/>
      <c r="AU38" s="5"/>
      <c r="AV38" s="5"/>
    </row>
    <row r="39" spans="1:48" s="16" customFormat="1">
      <c r="A39" t="s">
        <v>171</v>
      </c>
      <c r="B39" s="22">
        <v>0</v>
      </c>
      <c r="C39" s="5">
        <f>-SUMPRODUCT(C16:C19,'Proforma Inputs'!$B84:$B87)</f>
        <v>0</v>
      </c>
      <c r="D39" s="5">
        <f>-SUMPRODUCT(D16:D19,'Proforma Inputs'!$B84:$B87)</f>
        <v>0</v>
      </c>
      <c r="E39" s="5">
        <f>-SUMPRODUCT(E16:E19,'Proforma Inputs'!$B84:$B87)</f>
        <v>0</v>
      </c>
      <c r="F39" s="5">
        <f>-SUMPRODUCT(F16:F19,'Proforma Inputs'!$B84:$B87)</f>
        <v>0</v>
      </c>
      <c r="G39" s="5">
        <f>-SUMPRODUCT(G16:G19,'Proforma Inputs'!$B84:$B87)</f>
        <v>-8854.1666666666661</v>
      </c>
      <c r="H39" s="5">
        <f>-SUMPRODUCT(H16:H19,'Proforma Inputs'!$B84:$B87)</f>
        <v>-17708.333333333332</v>
      </c>
      <c r="I39" s="5">
        <f>-SUMPRODUCT(I16:I19,'Proforma Inputs'!$B84:$B87)</f>
        <v>-26562.5</v>
      </c>
      <c r="J39" s="5">
        <f>-SUMPRODUCT(J16:J19,'Proforma Inputs'!$B84:$B87)</f>
        <v>-35416.666666666664</v>
      </c>
      <c r="K39" s="5">
        <f>-SUMPRODUCT(K16:K19,'Proforma Inputs'!$B84:$B87)</f>
        <v>-40625</v>
      </c>
      <c r="L39" s="5">
        <f>-SUMPRODUCT(L16:L19,'Proforma Inputs'!$B84:$B87)</f>
        <v>-45833.333333333328</v>
      </c>
      <c r="M39" s="5">
        <f>-SUMPRODUCT(M16:M19,'Proforma Inputs'!$B84:$B87)</f>
        <v>-51041.666666666664</v>
      </c>
      <c r="N39" s="5">
        <f>-SUMPRODUCT(N16:N19,'Proforma Inputs'!$B84:$B87)</f>
        <v>-56249.999999999993</v>
      </c>
      <c r="O39" s="5">
        <f>-SUMPRODUCT(O16:O19,'Proforma Inputs'!$B84:$B87)</f>
        <v>-56249.999999999993</v>
      </c>
      <c r="P39" s="5">
        <f>-SUMPRODUCT(P16:P19,'Proforma Inputs'!$B84:$B87)</f>
        <v>-56249.999999999993</v>
      </c>
      <c r="Q39" s="5">
        <f>-SUMPRODUCT(Q16:Q19,'Proforma Inputs'!$B84:$B87)</f>
        <v>-56249.999999999993</v>
      </c>
      <c r="R39" s="5">
        <f>-SUMPRODUCT(R16:R19,'Proforma Inputs'!$B84:$B87)</f>
        <v>-56249.999999999993</v>
      </c>
      <c r="S39" s="5">
        <f>-SUMPRODUCT(S16:S19,'Proforma Inputs'!$B84:$B87)</f>
        <v>-56249.999999999993</v>
      </c>
      <c r="T39" s="5">
        <f>-SUMPRODUCT(T16:T19,'Proforma Inputs'!$B84:$B87)</f>
        <v>-56249.999999999993</v>
      </c>
      <c r="U39" s="5">
        <f>-SUMPRODUCT(U16:U19,'Proforma Inputs'!$B84:$B87)</f>
        <v>0</v>
      </c>
      <c r="V39" s="5">
        <f>-SUMPRODUCT(V16:V19,'Proforma Inputs'!$B84:$B87)</f>
        <v>0</v>
      </c>
      <c r="W39" s="5">
        <f>-SUMPRODUCT(W16:W19,'Proforma Inputs'!$B84:$B87)</f>
        <v>0</v>
      </c>
      <c r="X39" s="5">
        <f>-SUMPRODUCT(X16:X19,'Proforma Inputs'!$B84:$B87)</f>
        <v>0</v>
      </c>
      <c r="Y39" s="5">
        <f>-SUMPRODUCT(Y16:Y19,'Proforma Inputs'!$B84:$B87)</f>
        <v>0</v>
      </c>
      <c r="Z39" s="5">
        <f>-SUMPRODUCT(Z16:Z19,'Proforma Inputs'!$B84:$B87)</f>
        <v>0</v>
      </c>
      <c r="AA39" s="5">
        <f>-SUMPRODUCT(AA16:AA19,'Proforma Inputs'!$B84:$B87)</f>
        <v>0</v>
      </c>
      <c r="AB39" s="5">
        <f>-SUMPRODUCT(AB16:AB19,'Proforma Inputs'!$B84:$B87)</f>
        <v>0</v>
      </c>
      <c r="AC39" s="5">
        <f>-SUMPRODUCT(AC16:AC19,'Proforma Inputs'!$B84:$B87)</f>
        <v>0</v>
      </c>
      <c r="AD39" s="5">
        <f>-SUMPRODUCT(AD16:AD19,'Proforma Inputs'!$B84:$B87)</f>
        <v>0</v>
      </c>
      <c r="AE39" s="5">
        <f>-SUMPRODUCT(AE16:AE19,'Proforma Inputs'!$B84:$B87)</f>
        <v>0</v>
      </c>
      <c r="AF39" s="5">
        <f>-SUMPRODUCT(AF16:AF19,'Proforma Inputs'!$B84:$B87)</f>
        <v>0</v>
      </c>
      <c r="AG39" s="5">
        <f>-SUMPRODUCT(AG16:AG19,'Proforma Inputs'!$B84:$B87)</f>
        <v>0</v>
      </c>
      <c r="AH39" s="5">
        <f>-SUMPRODUCT(AH16:AH19,'Proforma Inputs'!$B84:$B87)</f>
        <v>0</v>
      </c>
      <c r="AI39" s="5">
        <f>-SUMPRODUCT(AI16:AI19,'Proforma Inputs'!$B84:$B87)</f>
        <v>0</v>
      </c>
      <c r="AJ39" s="5">
        <f>-SUMPRODUCT(AJ16:AJ19,'Proforma Inputs'!$B84:$B87)</f>
        <v>0</v>
      </c>
      <c r="AK39" s="5">
        <f>-SUMPRODUCT(AK16:AK19,'Proforma Inputs'!$B84:$B87)</f>
        <v>0</v>
      </c>
      <c r="AL39" s="5">
        <f>-SUMPRODUCT(AL16:AL19,'Proforma Inputs'!$B84:$B87)</f>
        <v>0</v>
      </c>
      <c r="AM39" s="5">
        <f>-SUMPRODUCT(AM16:AM19,'Proforma Inputs'!$B84:$B87)</f>
        <v>0</v>
      </c>
      <c r="AN39" s="5">
        <f>-SUMPRODUCT(AN16:AN19,'Proforma Inputs'!$B84:$B87)</f>
        <v>0</v>
      </c>
      <c r="AO39" s="5">
        <f>-SUMPRODUCT(AO16:AO19,'Proforma Inputs'!$B84:$B87)</f>
        <v>0</v>
      </c>
      <c r="AP39" s="5">
        <f>-SUMPRODUCT(AP16:AP19,'Proforma Inputs'!$B84:$B87)</f>
        <v>0</v>
      </c>
      <c r="AQ39" s="5"/>
      <c r="AR39" s="5"/>
      <c r="AS39" s="5"/>
      <c r="AT39" s="5"/>
      <c r="AU39" s="5"/>
      <c r="AV39" s="5"/>
    </row>
    <row r="40" spans="1:48" s="16" customFormat="1">
      <c r="A40" t="s">
        <v>21</v>
      </c>
      <c r="B40" s="5">
        <v>0</v>
      </c>
      <c r="C40" s="5">
        <f>-SUMPRODUCT(C21:C27,'Proforma Inputs'!$B$108:$B$114)</f>
        <v>0</v>
      </c>
      <c r="D40" s="5">
        <f>-SUMPRODUCT(D21:D27,'Proforma Inputs'!$B$108:$B$114)</f>
        <v>0</v>
      </c>
      <c r="E40" s="5">
        <f>-SUMPRODUCT(E21:E27,'Proforma Inputs'!$B$108:$B$114)</f>
        <v>0</v>
      </c>
      <c r="F40" s="5">
        <f>-SUMPRODUCT(F21:F27,'Proforma Inputs'!$B$108:$B$114)</f>
        <v>0</v>
      </c>
      <c r="G40" s="5">
        <f>-SUMPRODUCT(G21:G27,'Proforma Inputs'!$B$108:$B$114)</f>
        <v>-24999.999999999996</v>
      </c>
      <c r="H40" s="5">
        <f>-SUMPRODUCT(H21:H27,'Proforma Inputs'!$B$108:$B$114)</f>
        <v>-49999.999999999993</v>
      </c>
      <c r="I40" s="5">
        <f>-SUMPRODUCT(I21:I27,'Proforma Inputs'!$B$108:$B$114)</f>
        <v>-75000</v>
      </c>
      <c r="J40" s="5">
        <f>-SUMPRODUCT(J21:J27,'Proforma Inputs'!$B$108:$B$114)</f>
        <v>-99999.999999999985</v>
      </c>
      <c r="K40" s="5">
        <f>-SUMPRODUCT(K21:K27,'Proforma Inputs'!$B$108:$B$114)</f>
        <v>-124999.99999999999</v>
      </c>
      <c r="L40" s="5">
        <f>-SUMPRODUCT(L21:L27,'Proforma Inputs'!$B$108:$B$114)</f>
        <v>-150000</v>
      </c>
      <c r="M40" s="5">
        <f>-SUMPRODUCT(M21:M27,'Proforma Inputs'!$B$108:$B$114)</f>
        <v>-174999.99999999997</v>
      </c>
      <c r="N40" s="5">
        <f>-SUMPRODUCT(N21:N27,'Proforma Inputs'!$B$108:$B$114)</f>
        <v>-199999.99999999997</v>
      </c>
      <c r="O40" s="5">
        <f>-SUMPRODUCT(O21:O27,'Proforma Inputs'!$B$108:$B$114)</f>
        <v>-199999.99999999997</v>
      </c>
      <c r="P40" s="5">
        <f>-SUMPRODUCT(P21:P27,'Proforma Inputs'!$B$108:$B$114)</f>
        <v>-199999.99999999997</v>
      </c>
      <c r="Q40" s="5">
        <f>-SUMPRODUCT(Q21:Q27,'Proforma Inputs'!$B$108:$B$114)</f>
        <v>-199999.99999999997</v>
      </c>
      <c r="R40" s="5">
        <f>-SUMPRODUCT(R21:R27,'Proforma Inputs'!$B$108:$B$114)</f>
        <v>-199999.99999999997</v>
      </c>
      <c r="S40" s="5">
        <f>-SUMPRODUCT(S21:S27,'Proforma Inputs'!$B$108:$B$114)</f>
        <v>-199999.99999999997</v>
      </c>
      <c r="T40" s="5">
        <f>-SUMPRODUCT(T21:T27,'Proforma Inputs'!$B$108:$B$114)</f>
        <v>-199999.99999999997</v>
      </c>
      <c r="U40" s="5">
        <f>-SUMPRODUCT(U21:U27,'Proforma Inputs'!$B$108:$B$114)</f>
        <v>0</v>
      </c>
      <c r="V40" s="5">
        <f>-SUMPRODUCT(V21:V27,'Proforma Inputs'!$B$108:$B$114)</f>
        <v>0</v>
      </c>
      <c r="W40" s="5">
        <f>-SUMPRODUCT(W21:W27,'Proforma Inputs'!$B$108:$B$114)</f>
        <v>0</v>
      </c>
      <c r="X40" s="5">
        <f>-SUMPRODUCT(X21:X27,'Proforma Inputs'!$B$108:$B$114)</f>
        <v>0</v>
      </c>
      <c r="Y40" s="5">
        <f>-SUMPRODUCT(Y21:Y27,'Proforma Inputs'!$B$108:$B$114)</f>
        <v>0</v>
      </c>
      <c r="Z40" s="5">
        <f>-SUMPRODUCT(Z21:Z27,'Proforma Inputs'!$B$108:$B$114)</f>
        <v>0</v>
      </c>
      <c r="AA40" s="5">
        <f>-SUMPRODUCT(AA21:AA27,'Proforma Inputs'!$B$108:$B$114)</f>
        <v>0</v>
      </c>
      <c r="AB40" s="5">
        <f>-SUMPRODUCT(AB21:AB27,'Proforma Inputs'!$B$108:$B$114)</f>
        <v>0</v>
      </c>
      <c r="AC40" s="5">
        <f>-SUMPRODUCT(AC21:AC27,'Proforma Inputs'!$B$108:$B$114)</f>
        <v>0</v>
      </c>
      <c r="AD40" s="5">
        <f>-SUMPRODUCT(AD21:AD27,'Proforma Inputs'!$B$108:$B$114)</f>
        <v>0</v>
      </c>
      <c r="AE40" s="5">
        <f>-SUMPRODUCT(AE21:AE27,'Proforma Inputs'!$B$108:$B$114)</f>
        <v>0</v>
      </c>
      <c r="AF40" s="5">
        <f>-SUMPRODUCT(AF21:AF27,'Proforma Inputs'!$B$108:$B$114)</f>
        <v>0</v>
      </c>
      <c r="AG40" s="5">
        <f>-SUMPRODUCT(AG21:AG27,'Proforma Inputs'!$B$108:$B$114)</f>
        <v>0</v>
      </c>
      <c r="AH40" s="5">
        <f>-SUMPRODUCT(AH21:AH27,'Proforma Inputs'!$B$108:$B$114)</f>
        <v>0</v>
      </c>
      <c r="AI40" s="5">
        <f>-SUMPRODUCT(AI21:AI27,'Proforma Inputs'!$B$108:$B$114)</f>
        <v>0</v>
      </c>
      <c r="AJ40" s="5">
        <f>-SUMPRODUCT(AJ21:AJ27,'Proforma Inputs'!$B$108:$B$114)</f>
        <v>0</v>
      </c>
      <c r="AK40" s="5">
        <f>-SUMPRODUCT(AK21:AK27,'Proforma Inputs'!$B$108:$B$114)</f>
        <v>0</v>
      </c>
      <c r="AL40" s="5">
        <f>-SUMPRODUCT(AL21:AL27,'Proforma Inputs'!$B$108:$B$114)</f>
        <v>0</v>
      </c>
      <c r="AM40" s="5">
        <f>-SUMPRODUCT(AM21:AM27,'Proforma Inputs'!$B$108:$B$114)</f>
        <v>0</v>
      </c>
      <c r="AN40" s="5">
        <f>-SUMPRODUCT(AN21:AN27,'Proforma Inputs'!$B$108:$B$114)</f>
        <v>0</v>
      </c>
      <c r="AO40" s="5">
        <f>-SUMPRODUCT(AO21:AO27,'Proforma Inputs'!$B$108:$B$114)</f>
        <v>0</v>
      </c>
      <c r="AP40" s="5">
        <f>-SUMPRODUCT(AP21:AP27,'Proforma Inputs'!$B$108:$B$114)</f>
        <v>0</v>
      </c>
      <c r="AQ40" s="5"/>
      <c r="AR40" s="5"/>
      <c r="AS40" s="5"/>
      <c r="AT40" s="5"/>
      <c r="AU40" s="5"/>
      <c r="AV40" s="5"/>
    </row>
    <row r="41" spans="1:48" s="16" customFormat="1">
      <c r="A41" t="s">
        <v>124</v>
      </c>
      <c r="B41" s="5">
        <v>0</v>
      </c>
      <c r="C41" s="5">
        <f>IF(AND(C88=0,C3&gt;='Proforma Inputs'!$B$43,C3&lt;'Proforma Inputs'!$B$44),-'Proforma Inputs'!$B$41*'Proforma Inputs'!$B$17,0)</f>
        <v>-50000</v>
      </c>
      <c r="D41" s="5">
        <f>IF(AND(D88=0,D3&gt;='Proforma Inputs'!$B$43,D3&lt;'Proforma Inputs'!$B$44),-'Proforma Inputs'!$B$41*'Proforma Inputs'!$B$17,0)</f>
        <v>-50000</v>
      </c>
      <c r="E41" s="5">
        <f>IF(AND(E88=0,E3&gt;='Proforma Inputs'!$B$43,E3&lt;'Proforma Inputs'!$B$44),-'Proforma Inputs'!$B$41*'Proforma Inputs'!$B$17,0)</f>
        <v>-50000</v>
      </c>
      <c r="F41" s="5">
        <f>IF(AND(F88=0,F3&gt;='Proforma Inputs'!$B$43,F3&lt;'Proforma Inputs'!$B$44),-'Proforma Inputs'!$B$41*'Proforma Inputs'!$B$17,0)</f>
        <v>-50000</v>
      </c>
      <c r="G41" s="5">
        <f>IF(AND(G88=0,G3&gt;='Proforma Inputs'!$B$43,G3&lt;'Proforma Inputs'!$B$44),-'Proforma Inputs'!$B$41*'Proforma Inputs'!$B$17,0)</f>
        <v>0</v>
      </c>
      <c r="H41" s="5">
        <f>IF(AND(H88=0,H3&gt;='Proforma Inputs'!$B$43,H3&lt;'Proforma Inputs'!$B$44),-'Proforma Inputs'!$B$41*'Proforma Inputs'!$B$17,0)</f>
        <v>0</v>
      </c>
      <c r="I41" s="5">
        <f>IF(AND(I88=0,I3&gt;='Proforma Inputs'!$B$43,I3&lt;'Proforma Inputs'!$B$44),-'Proforma Inputs'!$B$41*'Proforma Inputs'!$B$17,0)</f>
        <v>0</v>
      </c>
      <c r="J41" s="5">
        <f>IF(AND(J88=0,J3&gt;='Proforma Inputs'!$B$43,J3&lt;'Proforma Inputs'!$B$44),-'Proforma Inputs'!$B$41*'Proforma Inputs'!$B$17,0)</f>
        <v>0</v>
      </c>
      <c r="K41" s="5">
        <f>IF(AND(K88=0,K3&gt;='Proforma Inputs'!$B$43,K3&lt;'Proforma Inputs'!$B$44),-'Proforma Inputs'!$B$41*'Proforma Inputs'!$B$17,0)</f>
        <v>0</v>
      </c>
      <c r="L41" s="5">
        <f>IF(AND(L88=0,L3&gt;='Proforma Inputs'!$B$43,L3&lt;'Proforma Inputs'!$B$44),-'Proforma Inputs'!$B$41*'Proforma Inputs'!$B$17,0)</f>
        <v>0</v>
      </c>
      <c r="M41" s="5">
        <f>IF(AND(M88=0,M3&gt;='Proforma Inputs'!$B$43,M3&lt;'Proforma Inputs'!$B$44),-'Proforma Inputs'!$B$41*'Proforma Inputs'!$B$17,0)</f>
        <v>0</v>
      </c>
      <c r="N41" s="5">
        <f>IF(AND(N88=0,N3&gt;='Proforma Inputs'!$B$43,N3&lt;'Proforma Inputs'!$B$44),-'Proforma Inputs'!$B$41*'Proforma Inputs'!$B$17,0)</f>
        <v>0</v>
      </c>
      <c r="O41" s="5">
        <f>IF(AND(O88=0,O3&gt;='Proforma Inputs'!$B$43,O3&lt;'Proforma Inputs'!$B$44),-'Proforma Inputs'!$B$41*'Proforma Inputs'!$B$17,0)</f>
        <v>0</v>
      </c>
      <c r="P41" s="5">
        <f>IF(AND(P88=0,P3&gt;='Proforma Inputs'!$B$43,P3&lt;'Proforma Inputs'!$B$44),-'Proforma Inputs'!$B$41*'Proforma Inputs'!$B$17,0)</f>
        <v>0</v>
      </c>
      <c r="Q41" s="5">
        <f>IF(AND(Q88=0,Q3&gt;='Proforma Inputs'!$B$43,Q3&lt;'Proforma Inputs'!$B$44),-'Proforma Inputs'!$B$41*'Proforma Inputs'!$B$17,0)</f>
        <v>0</v>
      </c>
      <c r="R41" s="5">
        <f>IF(AND(R88=0,R3&gt;='Proforma Inputs'!$B$43,R3&lt;'Proforma Inputs'!$B$44),-'Proforma Inputs'!$B$41*'Proforma Inputs'!$B$17,0)</f>
        <v>0</v>
      </c>
      <c r="S41" s="5">
        <f>IF(AND(S88=0,S3&gt;='Proforma Inputs'!$B$43,S3&lt;'Proforma Inputs'!$B$44),-'Proforma Inputs'!$B$41*'Proforma Inputs'!$B$17,0)</f>
        <v>0</v>
      </c>
      <c r="T41" s="5">
        <f>IF(AND(T88=0,T3&gt;='Proforma Inputs'!$B$43,T3&lt;'Proforma Inputs'!$B$44),-'Proforma Inputs'!$B$41*'Proforma Inputs'!$B$17,0)</f>
        <v>0</v>
      </c>
      <c r="U41" s="5">
        <f>IF(AND(U88=0,U3&gt;='Proforma Inputs'!$B$43,U3&lt;'Proforma Inputs'!$B$44),-'Proforma Inputs'!$B$41*'Proforma Inputs'!$B$17,0)</f>
        <v>0</v>
      </c>
      <c r="V41" s="5">
        <f>IF(AND(V88=0,V3&gt;='Proforma Inputs'!$B$43,V3&lt;'Proforma Inputs'!$B$44),-'Proforma Inputs'!$B$41*'Proforma Inputs'!$B$17,0)</f>
        <v>0</v>
      </c>
      <c r="W41" s="5">
        <f>IF(AND(W88=0,W3&gt;='Proforma Inputs'!$B$43,W3&lt;'Proforma Inputs'!$B$44),-'Proforma Inputs'!$B$41*'Proforma Inputs'!$B$17,0)</f>
        <v>0</v>
      </c>
      <c r="X41" s="5">
        <f>IF(AND(X88=0,X3&gt;='Proforma Inputs'!$B$43,X3&lt;'Proforma Inputs'!$B$44),-'Proforma Inputs'!$B$41*'Proforma Inputs'!$B$17,0)</f>
        <v>0</v>
      </c>
      <c r="Y41" s="5">
        <f>IF(AND(Y88=0,Y3&gt;='Proforma Inputs'!$B$43,Y3&lt;'Proforma Inputs'!$B$44),-'Proforma Inputs'!$B$41*'Proforma Inputs'!$B$17,0)</f>
        <v>0</v>
      </c>
      <c r="Z41" s="5">
        <f>IF(AND(Z88=0,Z3&gt;='Proforma Inputs'!$B$43,Z3&lt;'Proforma Inputs'!$B$44),-'Proforma Inputs'!$B$41*'Proforma Inputs'!$B$17,0)</f>
        <v>0</v>
      </c>
      <c r="AA41" s="5">
        <f>IF(AND(AA88=0,AA3&gt;='Proforma Inputs'!$B$43,AA3&lt;'Proforma Inputs'!$B$44),-'Proforma Inputs'!$B$41*'Proforma Inputs'!$B$17,0)</f>
        <v>0</v>
      </c>
      <c r="AB41" s="5">
        <f>IF(AND(AB88=0,AB3&gt;='Proforma Inputs'!$B$43,AB3&lt;'Proforma Inputs'!$B$44),-'Proforma Inputs'!$B$41*'Proforma Inputs'!$B$17,0)</f>
        <v>0</v>
      </c>
      <c r="AC41" s="5">
        <f>IF(AND(AC88=0,AC3&gt;='Proforma Inputs'!$B$43,AC3&lt;'Proforma Inputs'!$B$44),-'Proforma Inputs'!$B$41*'Proforma Inputs'!$B$17,0)</f>
        <v>0</v>
      </c>
      <c r="AD41" s="5">
        <f>IF(AND(AD88=0,AD3&gt;='Proforma Inputs'!$B$43,AD3&lt;'Proforma Inputs'!$B$44),-'Proforma Inputs'!$B$41*'Proforma Inputs'!$B$17,0)</f>
        <v>0</v>
      </c>
      <c r="AE41" s="5">
        <f>IF(AND(AE88=0,AE3&gt;='Proforma Inputs'!$B$43,AE3&lt;'Proforma Inputs'!$B$44),-'Proforma Inputs'!$B$41*'Proforma Inputs'!$B$17,0)</f>
        <v>0</v>
      </c>
      <c r="AF41" s="5">
        <f>IF(AND(AF88=0,AF3&gt;='Proforma Inputs'!$B$43,AF3&lt;'Proforma Inputs'!$B$44),-'Proforma Inputs'!$B$41*'Proforma Inputs'!$B$17,0)</f>
        <v>0</v>
      </c>
      <c r="AG41" s="5">
        <f>IF(AND(AG88=0,AG3&gt;='Proforma Inputs'!$B$43,AG3&lt;'Proforma Inputs'!$B$44),-'Proforma Inputs'!$B$41*'Proforma Inputs'!$B$17,0)</f>
        <v>0</v>
      </c>
      <c r="AH41" s="5">
        <f>IF(AND(AH88=0,AH3&gt;='Proforma Inputs'!$B$43,AH3&lt;'Proforma Inputs'!$B$44),-'Proforma Inputs'!$B$41*'Proforma Inputs'!$B$17,0)</f>
        <v>0</v>
      </c>
      <c r="AI41" s="5">
        <f>IF(AND(AI88=0,AI3&gt;='Proforma Inputs'!$B$43,AI3&lt;'Proforma Inputs'!$B$44),-'Proforma Inputs'!$B$41*'Proforma Inputs'!$B$17,0)</f>
        <v>0</v>
      </c>
      <c r="AJ41" s="5">
        <f>IF(AND(AJ88=0,AJ3&gt;='Proforma Inputs'!$B$43,AJ3&lt;'Proforma Inputs'!$B$44),-'Proforma Inputs'!$B$41*'Proforma Inputs'!$B$17,0)</f>
        <v>0</v>
      </c>
      <c r="AK41" s="5">
        <f>IF(AND(AK88=0,AK3&gt;='Proforma Inputs'!$B$43,AK3&lt;'Proforma Inputs'!$B$44),-'Proforma Inputs'!$B$41*'Proforma Inputs'!$B$17,0)</f>
        <v>0</v>
      </c>
      <c r="AL41" s="5">
        <f>IF(AND(AL88=0,AL3&gt;='Proforma Inputs'!$B$43,AL3&lt;'Proforma Inputs'!$B$44),-'Proforma Inputs'!$B$41*'Proforma Inputs'!$B$17,0)</f>
        <v>0</v>
      </c>
      <c r="AM41" s="5">
        <f>IF(AND(AM88=0,AM3&gt;='Proforma Inputs'!$B$43,AM3&lt;'Proforma Inputs'!$B$44),-'Proforma Inputs'!$B$41*'Proforma Inputs'!$B$17,0)</f>
        <v>0</v>
      </c>
      <c r="AN41" s="5">
        <f>IF(AND(AN88=0,AN3&gt;='Proforma Inputs'!$B$43,AN3&lt;'Proforma Inputs'!$B$44),-'Proforma Inputs'!$B$41*'Proforma Inputs'!$B$17,0)</f>
        <v>0</v>
      </c>
      <c r="AO41" s="5">
        <f>IF(AND(AO88=0,AO3&gt;='Proforma Inputs'!$B$43,AO3&lt;'Proforma Inputs'!$B$44),-'Proforma Inputs'!$B$41*'Proforma Inputs'!$B$17,0)</f>
        <v>0</v>
      </c>
      <c r="AP41" s="5">
        <f>IF(AND(AP88=0,AP3&gt;='Proforma Inputs'!$B$43,AP3&lt;'Proforma Inputs'!$B$44),-'Proforma Inputs'!$B$41*'Proforma Inputs'!$B$17,0)</f>
        <v>0</v>
      </c>
      <c r="AQ41" s="5"/>
      <c r="AR41" s="5"/>
      <c r="AS41" s="5"/>
      <c r="AT41" s="5"/>
      <c r="AU41" s="5"/>
      <c r="AV41" s="5"/>
    </row>
    <row r="42" spans="1:48">
      <c r="A42" t="s">
        <v>77</v>
      </c>
      <c r="B42" s="5">
        <v>0</v>
      </c>
      <c r="C42" s="5">
        <f>IF(C3&lt;'Proforma Inputs'!$B$44,-(1-'Proforma Inputs'!$B$5)*'Proforma Inputs'!$B$40/('Proforma Inputs'!$B$44-1),0)</f>
        <v>-3750000</v>
      </c>
      <c r="D42" s="5">
        <f>IF(D3&lt;'Proforma Inputs'!$B$44,-(1-'Proforma Inputs'!$B$5)*'Proforma Inputs'!$B$40/('Proforma Inputs'!$B$44-1),0)</f>
        <v>-3750000</v>
      </c>
      <c r="E42" s="5">
        <f>IF(E3&lt;'Proforma Inputs'!$B$44,-(1-'Proforma Inputs'!$B$5)*'Proforma Inputs'!$B$40/('Proforma Inputs'!$B$44-1),0)</f>
        <v>-3750000</v>
      </c>
      <c r="F42" s="5">
        <f>IF(F3&lt;'Proforma Inputs'!$B$44,-(1-'Proforma Inputs'!$B$5)*'Proforma Inputs'!$B$40/('Proforma Inputs'!$B$44-1),0)</f>
        <v>-3750000</v>
      </c>
      <c r="G42" s="5">
        <f>IF(G3&lt;'Proforma Inputs'!$B$44,-(1-'Proforma Inputs'!$B$5)*'Proforma Inputs'!$B$40/('Proforma Inputs'!$B$44-1),0)</f>
        <v>0</v>
      </c>
      <c r="H42" s="5">
        <f>IF(H3&lt;'Proforma Inputs'!$B$44,-(1-'Proforma Inputs'!$B$5)*'Proforma Inputs'!$B$40/('Proforma Inputs'!$B$44-1),0)</f>
        <v>0</v>
      </c>
      <c r="I42" s="5">
        <f>IF(I3&lt;'Proforma Inputs'!$B$44,-(1-'Proforma Inputs'!$B$5)*'Proforma Inputs'!$B$40/('Proforma Inputs'!$B$44-1),0)</f>
        <v>0</v>
      </c>
      <c r="J42" s="5">
        <f>IF(J3&lt;'Proforma Inputs'!$B$44,-(1-'Proforma Inputs'!$B$5)*'Proforma Inputs'!$B$40/('Proforma Inputs'!$B$44-1),0)</f>
        <v>0</v>
      </c>
      <c r="K42" s="5">
        <f>IF(K3&lt;'Proforma Inputs'!$B$44,-(1-'Proforma Inputs'!$B$5)*'Proforma Inputs'!$B$40/('Proforma Inputs'!$B$44-1),0)</f>
        <v>0</v>
      </c>
      <c r="L42" s="5">
        <f>IF(L3&lt;'Proforma Inputs'!$B$44,-(1-'Proforma Inputs'!$B$5)*'Proforma Inputs'!$B$40/('Proforma Inputs'!$B$44-1),0)</f>
        <v>0</v>
      </c>
      <c r="M42" s="5">
        <f>IF(M3&lt;'Proforma Inputs'!$B$44,-(1-'Proforma Inputs'!$B$5)*'Proforma Inputs'!$B$40/('Proforma Inputs'!$B$44-1),0)</f>
        <v>0</v>
      </c>
      <c r="N42" s="5">
        <f>IF(N3&lt;'Proforma Inputs'!$B$44,-(1-'Proforma Inputs'!$B$5)*'Proforma Inputs'!$B$40/('Proforma Inputs'!$B$44-1),0)</f>
        <v>0</v>
      </c>
      <c r="O42" s="5">
        <f>IF(O3&lt;'Proforma Inputs'!$B$44,-(1-'Proforma Inputs'!$B$5)*'Proforma Inputs'!$B$40/('Proforma Inputs'!$B$44-1),0)</f>
        <v>0</v>
      </c>
      <c r="P42" s="5">
        <f>IF(P3&lt;'Proforma Inputs'!$B$44,-(1-'Proforma Inputs'!$B$5)*'Proforma Inputs'!$B$40/('Proforma Inputs'!$B$44-1),0)</f>
        <v>0</v>
      </c>
      <c r="Q42" s="5">
        <f>IF(Q3&lt;'Proforma Inputs'!$B$44,-(1-'Proforma Inputs'!$B$5)*'Proforma Inputs'!$B$40/('Proforma Inputs'!$B$44-1),0)</f>
        <v>0</v>
      </c>
      <c r="R42" s="5">
        <f>IF(R3&lt;'Proforma Inputs'!$B$44,-(1-'Proforma Inputs'!$B$5)*'Proforma Inputs'!$B$40/('Proforma Inputs'!$B$44-1),0)</f>
        <v>0</v>
      </c>
      <c r="S42" s="5">
        <f>IF(S3&lt;'Proforma Inputs'!$B$44,-(1-'Proforma Inputs'!$B$5)*'Proforma Inputs'!$B$40/('Proforma Inputs'!$B$44-1),0)</f>
        <v>0</v>
      </c>
      <c r="T42" s="5">
        <f>IF(T3&lt;'Proforma Inputs'!$B$44,-(1-'Proforma Inputs'!$B$5)*'Proforma Inputs'!$B$40/('Proforma Inputs'!$B$44-1),0)</f>
        <v>0</v>
      </c>
      <c r="U42" s="5">
        <f>IF(U3&lt;'Proforma Inputs'!$B$44,-(1-'Proforma Inputs'!$B$5)*'Proforma Inputs'!$B$40/('Proforma Inputs'!$B$44-1),0)</f>
        <v>0</v>
      </c>
      <c r="V42" s="5">
        <f>IF(V3&lt;'Proforma Inputs'!$B$44,-(1-'Proforma Inputs'!$B$5)*'Proforma Inputs'!$B$40/('Proforma Inputs'!$B$44-1),0)</f>
        <v>0</v>
      </c>
      <c r="W42" s="5">
        <f>IF(W3&lt;'Proforma Inputs'!$B$44,-(1-'Proforma Inputs'!$B$5)*'Proforma Inputs'!$B$40/('Proforma Inputs'!$B$44-1),0)</f>
        <v>0</v>
      </c>
      <c r="X42" s="5">
        <f>IF(X3&lt;'Proforma Inputs'!$B$44,-(1-'Proforma Inputs'!$B$5)*'Proforma Inputs'!$B$40/('Proforma Inputs'!$B$44-1),0)</f>
        <v>0</v>
      </c>
      <c r="Y42" s="5">
        <f>IF(Y3&lt;'Proforma Inputs'!$B$44,-(1-'Proforma Inputs'!$B$5)*'Proforma Inputs'!$B$40/('Proforma Inputs'!$B$44-1),0)</f>
        <v>0</v>
      </c>
      <c r="Z42" s="5">
        <f>IF(Z3&lt;'Proforma Inputs'!$B$44,-(1-'Proforma Inputs'!$B$5)*'Proforma Inputs'!$B$40/('Proforma Inputs'!$B$44-1),0)</f>
        <v>0</v>
      </c>
      <c r="AA42" s="5">
        <f>IF(AA3&lt;'Proforma Inputs'!$B$44,-(1-'Proforma Inputs'!$B$5)*'Proforma Inputs'!$B$40/('Proforma Inputs'!$B$44-1),0)</f>
        <v>0</v>
      </c>
      <c r="AB42" s="5">
        <f>IF(AB3&lt;'Proforma Inputs'!$B$44,-(1-'Proforma Inputs'!$B$5)*'Proforma Inputs'!$B$40/('Proforma Inputs'!$B$44-1),0)</f>
        <v>0</v>
      </c>
      <c r="AC42" s="5">
        <f>IF(AC3&lt;'Proforma Inputs'!$B$44,-(1-'Proforma Inputs'!$B$5)*'Proforma Inputs'!$B$40/('Proforma Inputs'!$B$44-1),0)</f>
        <v>0</v>
      </c>
      <c r="AD42" s="5">
        <f>IF(AD3&lt;'Proforma Inputs'!$B$44,-(1-'Proforma Inputs'!$B$5)*'Proforma Inputs'!$B$40/('Proforma Inputs'!$B$44-1),0)</f>
        <v>0</v>
      </c>
      <c r="AE42" s="5">
        <f>IF(AE3&lt;'Proforma Inputs'!$B$44,-(1-'Proforma Inputs'!$B$5)*'Proforma Inputs'!$B$40/('Proforma Inputs'!$B$44-1),0)</f>
        <v>0</v>
      </c>
      <c r="AF42" s="5">
        <f>IF(AF3&lt;'Proforma Inputs'!$B$44,-(1-'Proforma Inputs'!$B$5)*'Proforma Inputs'!$B$40/('Proforma Inputs'!$B$44-1),0)</f>
        <v>0</v>
      </c>
      <c r="AG42" s="5">
        <f>IF(AG3&lt;'Proforma Inputs'!$B$44,-(1-'Proforma Inputs'!$B$5)*'Proforma Inputs'!$B$40/('Proforma Inputs'!$B$44-1),0)</f>
        <v>0</v>
      </c>
      <c r="AH42" s="5">
        <f>IF(AH3&lt;'Proforma Inputs'!$B$44,-(1-'Proforma Inputs'!$B$5)*'Proforma Inputs'!$B$40/('Proforma Inputs'!$B$44-1),0)</f>
        <v>0</v>
      </c>
      <c r="AI42" s="5">
        <f>IF(AI3&lt;'Proforma Inputs'!$B$44,-(1-'Proforma Inputs'!$B$5)*'Proforma Inputs'!$B$40/('Proforma Inputs'!$B$44-1),0)</f>
        <v>0</v>
      </c>
      <c r="AJ42" s="5">
        <f>IF(AJ3&lt;'Proforma Inputs'!$B$44,-(1-'Proforma Inputs'!$B$5)*'Proforma Inputs'!$B$40/('Proforma Inputs'!$B$44-1),0)</f>
        <v>0</v>
      </c>
      <c r="AK42" s="5">
        <f>IF(AK3&lt;'Proforma Inputs'!$B$44,-(1-'Proforma Inputs'!$B$5)*'Proforma Inputs'!$B$40/('Proforma Inputs'!$B$44-1),0)</f>
        <v>0</v>
      </c>
      <c r="AL42" s="5">
        <f>IF(AL3&lt;'Proforma Inputs'!$B$44,-(1-'Proforma Inputs'!$B$5)*'Proforma Inputs'!$B$40/('Proforma Inputs'!$B$44-1),0)</f>
        <v>0</v>
      </c>
      <c r="AM42" s="5">
        <f>IF(AM3&lt;'Proforma Inputs'!$B$44,-(1-'Proforma Inputs'!$B$5)*'Proforma Inputs'!$B$40/('Proforma Inputs'!$B$44-1),0)</f>
        <v>0</v>
      </c>
      <c r="AN42" s="5">
        <f>IF(AN3&lt;'Proforma Inputs'!$B$44,-(1-'Proforma Inputs'!$B$5)*'Proforma Inputs'!$B$40/('Proforma Inputs'!$B$44-1),0)</f>
        <v>0</v>
      </c>
      <c r="AO42" s="5">
        <f>IF(AO3&lt;'Proforma Inputs'!$B$44,-(1-'Proforma Inputs'!$B$5)*'Proforma Inputs'!$B$40/('Proforma Inputs'!$B$44-1),0)</f>
        <v>0</v>
      </c>
      <c r="AP42" s="5">
        <f>IF(AP3&lt;'Proforma Inputs'!$B$44,-(1-'Proforma Inputs'!$B$5)*'Proforma Inputs'!$B$40/('Proforma Inputs'!$B$44-1),0)</f>
        <v>0</v>
      </c>
      <c r="AQ42" s="5"/>
      <c r="AR42" s="5"/>
      <c r="AS42" s="5"/>
      <c r="AT42" s="5"/>
      <c r="AU42" s="5"/>
      <c r="AV42" s="5"/>
    </row>
    <row r="43" spans="1:48">
      <c r="A43" t="s">
        <v>113</v>
      </c>
      <c r="B43" s="5">
        <v>0</v>
      </c>
      <c r="C43" s="5">
        <f>IF(C3=1,-'Proforma Inputs'!$B$41,0)</f>
        <v>-5000000</v>
      </c>
      <c r="D43" s="5">
        <f>IF(D3=1,-'Proforma Inputs'!$B$41,0)</f>
        <v>0</v>
      </c>
      <c r="E43" s="5">
        <f>IF(E3=1,-'Proforma Inputs'!$B$41,0)</f>
        <v>0</v>
      </c>
      <c r="F43" s="5">
        <f>IF(F3=1,-'Proforma Inputs'!$B$41,0)</f>
        <v>0</v>
      </c>
      <c r="G43" s="5">
        <f>IF(G3=1,-'Proforma Inputs'!$B$41,0)</f>
        <v>0</v>
      </c>
      <c r="H43" s="5">
        <f>IF(H3=1,-'Proforma Inputs'!$B$41,0)</f>
        <v>0</v>
      </c>
      <c r="I43" s="5">
        <f>IF(I3=1,-'Proforma Inputs'!$B$41,0)</f>
        <v>0</v>
      </c>
      <c r="J43" s="5">
        <f>IF(J3=1,-'Proforma Inputs'!$B$41,0)</f>
        <v>0</v>
      </c>
      <c r="K43" s="5">
        <f>IF(K3=1,-'Proforma Inputs'!$B$41,0)</f>
        <v>0</v>
      </c>
      <c r="L43" s="5">
        <f>IF(L3=1,-'Proforma Inputs'!$B$41,0)</f>
        <v>0</v>
      </c>
      <c r="M43" s="5">
        <f>IF(M3=1,-'Proforma Inputs'!$B$41,0)</f>
        <v>0</v>
      </c>
      <c r="N43" s="5">
        <f>IF(N3=1,-'Proforma Inputs'!$B$41,0)</f>
        <v>0</v>
      </c>
      <c r="O43" s="5">
        <f>IF(O3=1,-'Proforma Inputs'!$B$41,0)</f>
        <v>0</v>
      </c>
      <c r="P43" s="5">
        <f>IF(P3=1,-'Proforma Inputs'!$B$41,0)</f>
        <v>0</v>
      </c>
      <c r="Q43" s="5">
        <f>IF(Q3=1,-'Proforma Inputs'!$B$41,0)</f>
        <v>0</v>
      </c>
      <c r="R43" s="5">
        <f>IF(R3=1,-'Proforma Inputs'!$B$41,0)</f>
        <v>0</v>
      </c>
      <c r="S43" s="5">
        <f>IF(S3=1,-'Proforma Inputs'!$B$41,0)</f>
        <v>0</v>
      </c>
      <c r="T43" s="5">
        <f>IF(T3=1,-'Proforma Inputs'!$B$41,0)</f>
        <v>0</v>
      </c>
      <c r="U43" s="5">
        <f>IF(U3=1,-'Proforma Inputs'!$B$41,0)</f>
        <v>0</v>
      </c>
      <c r="V43" s="5">
        <f>IF(V3=1,-'Proforma Inputs'!$B$41,0)</f>
        <v>0</v>
      </c>
      <c r="W43" s="5">
        <f>IF(W3=1,-'Proforma Inputs'!$B$41,0)</f>
        <v>0</v>
      </c>
      <c r="X43" s="5">
        <f>IF(X3=1,-'Proforma Inputs'!$B$41,0)</f>
        <v>0</v>
      </c>
      <c r="Y43" s="5">
        <f>IF(Y3=1,-'Proforma Inputs'!$B$41,0)</f>
        <v>0</v>
      </c>
      <c r="Z43" s="5">
        <f>IF(Z3=1,-'Proforma Inputs'!$B$41,0)</f>
        <v>0</v>
      </c>
      <c r="AA43" s="5">
        <f>IF(AA3=1,-'Proforma Inputs'!$B$41,0)</f>
        <v>0</v>
      </c>
      <c r="AB43" s="5">
        <f>IF(AB3=1,-'Proforma Inputs'!$B$41,0)</f>
        <v>0</v>
      </c>
      <c r="AC43" s="5">
        <f>IF(AC3=1,-'Proforma Inputs'!$B$41,0)</f>
        <v>0</v>
      </c>
      <c r="AD43" s="5">
        <f>IF(AD3=1,-'Proforma Inputs'!$B$41,0)</f>
        <v>0</v>
      </c>
      <c r="AE43" s="5">
        <f>IF(AE3=1,-'Proforma Inputs'!$B$41,0)</f>
        <v>0</v>
      </c>
      <c r="AF43" s="5">
        <f>IF(AF3=1,-'Proforma Inputs'!$B$41,0)</f>
        <v>0</v>
      </c>
      <c r="AG43" s="5">
        <f>IF(AG3=1,-'Proforma Inputs'!$B$41,0)</f>
        <v>0</v>
      </c>
      <c r="AH43" s="5">
        <f>IF(AH3=1,-'Proforma Inputs'!$B$41,0)</f>
        <v>0</v>
      </c>
      <c r="AI43" s="5">
        <f>IF(AI3=1,-'Proforma Inputs'!$B$41,0)</f>
        <v>0</v>
      </c>
      <c r="AJ43" s="5">
        <f>IF(AJ3=1,-'Proforma Inputs'!$B$41,0)</f>
        <v>0</v>
      </c>
      <c r="AK43" s="5">
        <f>IF(AK3=1,-'Proforma Inputs'!$B$41,0)</f>
        <v>0</v>
      </c>
      <c r="AL43" s="5">
        <f>IF(AL3=1,-'Proforma Inputs'!$B$41,0)</f>
        <v>0</v>
      </c>
      <c r="AM43" s="5">
        <f>IF(AM3=1,-'Proforma Inputs'!$B$41,0)</f>
        <v>0</v>
      </c>
      <c r="AN43" s="5">
        <f>IF(AN3=1,-'Proforma Inputs'!$B$41,0)</f>
        <v>0</v>
      </c>
      <c r="AO43" s="5">
        <f>IF(AO3=1,-'Proforma Inputs'!$B$41,0)</f>
        <v>0</v>
      </c>
      <c r="AP43" s="5">
        <f>IF(AP3=1,-'Proforma Inputs'!$B$41,0)</f>
        <v>0</v>
      </c>
      <c r="AQ43" s="5"/>
      <c r="AR43" s="5"/>
      <c r="AS43" s="5"/>
      <c r="AT43" s="5"/>
      <c r="AU43" s="5"/>
      <c r="AV43" s="5"/>
    </row>
    <row r="44" spans="1:48">
      <c r="A44" t="s">
        <v>255</v>
      </c>
      <c r="B44" s="5">
        <v>0</v>
      </c>
      <c r="C44" s="5">
        <f>B57*-'Proforma Inputs'!$B$12/'Proforma Inputs'!$B$4</f>
        <v>-318750</v>
      </c>
      <c r="D44" s="5">
        <f>D57*-'Proforma Inputs'!$B$12/'Proforma Inputs'!$B$4</f>
        <v>-318750</v>
      </c>
      <c r="E44" s="5">
        <f>E57*-'Proforma Inputs'!$B$12/'Proforma Inputs'!$B$4</f>
        <v>-318750</v>
      </c>
      <c r="F44" s="5">
        <f>F57*-'Proforma Inputs'!$B$12/'Proforma Inputs'!$B$4</f>
        <v>-318750</v>
      </c>
      <c r="G44" s="5">
        <f>G57*-'Proforma Inputs'!$B$12/'Proforma Inputs'!$B$4</f>
        <v>-318750</v>
      </c>
      <c r="H44" s="5">
        <f>H57*-'Proforma Inputs'!$B$12/'Proforma Inputs'!$B$4</f>
        <v>-244620.82985627573</v>
      </c>
      <c r="I44" s="5">
        <f>I57*-'Proforma Inputs'!$B$12/'Proforma Inputs'!$B$4</f>
        <v>-187777.07985627573</v>
      </c>
      <c r="J44" s="5">
        <f>J57*-'Proforma Inputs'!$B$12/'Proforma Inputs'!$B$4</f>
        <v>-116323.95485627573</v>
      </c>
      <c r="K44" s="5">
        <f>K57*-'Proforma Inputs'!$B$12/'Proforma Inputs'!$B$4</f>
        <v>-30261.454856275719</v>
      </c>
      <c r="L44" s="5">
        <f>L57*-'Proforma Inputs'!$B$12/'Proforma Inputs'!$B$4</f>
        <v>0</v>
      </c>
      <c r="M44" s="5">
        <f>M57*-'Proforma Inputs'!$B$12/'Proforma Inputs'!$B$4</f>
        <v>0</v>
      </c>
      <c r="N44" s="5">
        <f>N57*-'Proforma Inputs'!$B$12/'Proforma Inputs'!$B$4</f>
        <v>0</v>
      </c>
      <c r="O44" s="5">
        <f>O57*-'Proforma Inputs'!$B$12/'Proforma Inputs'!$B$4</f>
        <v>0</v>
      </c>
      <c r="P44" s="5">
        <f>P57*-'Proforma Inputs'!$B$12/'Proforma Inputs'!$B$4</f>
        <v>0</v>
      </c>
      <c r="Q44" s="5">
        <f>Q57*-'Proforma Inputs'!$B$12/'Proforma Inputs'!$B$4</f>
        <v>0</v>
      </c>
      <c r="R44" s="5">
        <f>R57*-'Proforma Inputs'!$B$12/'Proforma Inputs'!$B$4</f>
        <v>0</v>
      </c>
      <c r="S44" s="5">
        <f>S57*-'Proforma Inputs'!$B$12/'Proforma Inputs'!$B$4</f>
        <v>0</v>
      </c>
      <c r="T44" s="5">
        <f>T57*-'Proforma Inputs'!$B$12/'Proforma Inputs'!$B$4</f>
        <v>0</v>
      </c>
      <c r="U44" s="5">
        <f>U57*-'Proforma Inputs'!$B$12/'Proforma Inputs'!$B$4</f>
        <v>0</v>
      </c>
      <c r="V44" s="5">
        <f>V57*-'Proforma Inputs'!$B$12/'Proforma Inputs'!$B$4</f>
        <v>0</v>
      </c>
      <c r="W44" s="5">
        <f>W57*-'Proforma Inputs'!$B$12/'Proforma Inputs'!$B$4</f>
        <v>0</v>
      </c>
      <c r="X44" s="5">
        <f>X57*-'Proforma Inputs'!$B$12/'Proforma Inputs'!$B$4</f>
        <v>0</v>
      </c>
      <c r="Y44" s="5">
        <f>Y57*-'Proforma Inputs'!$B$12/'Proforma Inputs'!$B$4</f>
        <v>0</v>
      </c>
      <c r="Z44" s="5">
        <f>Z57*-'Proforma Inputs'!$B$12/'Proforma Inputs'!$B$4</f>
        <v>0</v>
      </c>
      <c r="AA44" s="5">
        <f>AA57*-'Proforma Inputs'!$B$12/'Proforma Inputs'!$B$4</f>
        <v>0</v>
      </c>
      <c r="AB44" s="5">
        <f>AB57*-'Proforma Inputs'!$B$12/'Proforma Inputs'!$B$4</f>
        <v>0</v>
      </c>
      <c r="AC44" s="5">
        <f>AC57*-'Proforma Inputs'!$B$12/'Proforma Inputs'!$B$4</f>
        <v>0</v>
      </c>
      <c r="AD44" s="5">
        <f>AD57*-'Proforma Inputs'!$B$12/'Proforma Inputs'!$B$4</f>
        <v>0</v>
      </c>
      <c r="AE44" s="5">
        <f>AE57*-'Proforma Inputs'!$B$12/'Proforma Inputs'!$B$4</f>
        <v>0</v>
      </c>
      <c r="AF44" s="5">
        <f>AF57*-'Proforma Inputs'!$B$12/'Proforma Inputs'!$B$4</f>
        <v>0</v>
      </c>
      <c r="AG44" s="5">
        <f>AG57*-'Proforma Inputs'!$B$12/'Proforma Inputs'!$B$4</f>
        <v>0</v>
      </c>
      <c r="AH44" s="5">
        <f>AH57*-'Proforma Inputs'!$B$12/'Proforma Inputs'!$B$4</f>
        <v>0</v>
      </c>
      <c r="AI44" s="5">
        <f>AI57*-'Proforma Inputs'!$B$12/'Proforma Inputs'!$B$4</f>
        <v>0</v>
      </c>
      <c r="AJ44" s="5">
        <f>AJ57*-'Proforma Inputs'!$B$12/'Proforma Inputs'!$B$4</f>
        <v>0</v>
      </c>
      <c r="AK44" s="5">
        <f>AK57*-'Proforma Inputs'!$B$12/'Proforma Inputs'!$B$4</f>
        <v>0</v>
      </c>
      <c r="AL44" s="5">
        <f>AL57*-'Proforma Inputs'!$B$12/'Proforma Inputs'!$B$4</f>
        <v>0</v>
      </c>
      <c r="AM44" s="5">
        <f>AM57*-'Proforma Inputs'!$B$12/'Proforma Inputs'!$B$4</f>
        <v>0</v>
      </c>
      <c r="AN44" s="5">
        <f>AN57*-'Proforma Inputs'!$B$12/'Proforma Inputs'!$B$4</f>
        <v>0</v>
      </c>
      <c r="AO44" s="5">
        <f>AO57*-'Proforma Inputs'!$B$12/'Proforma Inputs'!$B$4</f>
        <v>0</v>
      </c>
      <c r="AP44" s="5">
        <f>AP57*-'Proforma Inputs'!$B$12/'Proforma Inputs'!$B$4</f>
        <v>0</v>
      </c>
      <c r="AQ44" s="5"/>
      <c r="AR44" s="5"/>
      <c r="AS44" s="5"/>
      <c r="AT44" s="5"/>
      <c r="AU44" s="5"/>
      <c r="AV44" s="5"/>
    </row>
    <row r="45" spans="1:48">
      <c r="A45" t="s">
        <v>254</v>
      </c>
      <c r="B45" s="5">
        <v>0</v>
      </c>
      <c r="C45" s="5">
        <f t="shared" ref="C45:AP45" si="3">IF(C57&gt;0,IF(C31&gt;C57,-C57,-C31),0)</f>
        <v>0</v>
      </c>
      <c r="D45" s="5">
        <f t="shared" si="3"/>
        <v>0</v>
      </c>
      <c r="E45" s="5">
        <f t="shared" si="3"/>
        <v>0</v>
      </c>
      <c r="F45" s="5">
        <f t="shared" si="3"/>
        <v>0</v>
      </c>
      <c r="G45" s="5">
        <f t="shared" si="3"/>
        <v>-3488431.5361752608</v>
      </c>
      <c r="H45" s="5">
        <f t="shared" si="3"/>
        <v>-2675000</v>
      </c>
      <c r="I45" s="5">
        <f t="shared" si="3"/>
        <v>-3362500</v>
      </c>
      <c r="J45" s="5">
        <f t="shared" si="3"/>
        <v>-4050000</v>
      </c>
      <c r="K45" s="5">
        <f t="shared" si="3"/>
        <v>-1424068.4638247397</v>
      </c>
      <c r="L45" s="5">
        <f t="shared" si="3"/>
        <v>0</v>
      </c>
      <c r="M45" s="5">
        <f t="shared" si="3"/>
        <v>0</v>
      </c>
      <c r="N45" s="5">
        <f t="shared" si="3"/>
        <v>0</v>
      </c>
      <c r="O45" s="5">
        <f t="shared" si="3"/>
        <v>0</v>
      </c>
      <c r="P45" s="5">
        <f t="shared" si="3"/>
        <v>0</v>
      </c>
      <c r="Q45" s="5">
        <f t="shared" si="3"/>
        <v>0</v>
      </c>
      <c r="R45" s="5">
        <f t="shared" si="3"/>
        <v>0</v>
      </c>
      <c r="S45" s="5">
        <f t="shared" si="3"/>
        <v>0</v>
      </c>
      <c r="T45" s="5">
        <f t="shared" si="3"/>
        <v>0</v>
      </c>
      <c r="U45" s="5">
        <f t="shared" si="3"/>
        <v>0</v>
      </c>
      <c r="V45" s="5">
        <f t="shared" si="3"/>
        <v>0</v>
      </c>
      <c r="W45" s="5">
        <f t="shared" si="3"/>
        <v>0</v>
      </c>
      <c r="X45" s="5">
        <f t="shared" si="3"/>
        <v>0</v>
      </c>
      <c r="Y45" s="5">
        <f t="shared" si="3"/>
        <v>0</v>
      </c>
      <c r="Z45" s="5">
        <f t="shared" si="3"/>
        <v>0</v>
      </c>
      <c r="AA45" s="5">
        <f t="shared" si="3"/>
        <v>0</v>
      </c>
      <c r="AB45" s="5">
        <f t="shared" si="3"/>
        <v>0</v>
      </c>
      <c r="AC45" s="5">
        <f t="shared" si="3"/>
        <v>0</v>
      </c>
      <c r="AD45" s="5">
        <f t="shared" si="3"/>
        <v>0</v>
      </c>
      <c r="AE45" s="5">
        <f t="shared" si="3"/>
        <v>0</v>
      </c>
      <c r="AF45" s="5">
        <f t="shared" si="3"/>
        <v>0</v>
      </c>
      <c r="AG45" s="5">
        <f t="shared" si="3"/>
        <v>0</v>
      </c>
      <c r="AH45" s="5">
        <f t="shared" si="3"/>
        <v>0</v>
      </c>
      <c r="AI45" s="5">
        <f t="shared" si="3"/>
        <v>0</v>
      </c>
      <c r="AJ45" s="5">
        <f t="shared" si="3"/>
        <v>0</v>
      </c>
      <c r="AK45" s="5">
        <f t="shared" si="3"/>
        <v>0</v>
      </c>
      <c r="AL45" s="5">
        <f t="shared" si="3"/>
        <v>0</v>
      </c>
      <c r="AM45" s="5">
        <f t="shared" si="3"/>
        <v>0</v>
      </c>
      <c r="AN45" s="5">
        <f t="shared" si="3"/>
        <v>0</v>
      </c>
      <c r="AO45" s="5">
        <f t="shared" si="3"/>
        <v>0</v>
      </c>
      <c r="AP45" s="5">
        <f t="shared" si="3"/>
        <v>0</v>
      </c>
      <c r="AQ45" s="5"/>
      <c r="AR45" s="5"/>
      <c r="AS45" s="5"/>
      <c r="AT45" s="5"/>
      <c r="AU45" s="5"/>
      <c r="AV45" s="5"/>
    </row>
    <row r="46" spans="1:48">
      <c r="A46" t="s">
        <v>49</v>
      </c>
      <c r="B46" s="17">
        <v>0</v>
      </c>
      <c r="C46" s="17">
        <v>0</v>
      </c>
      <c r="D46" s="17">
        <f t="shared" ref="D46:AP46" si="4">IF(D89&gt;0,0,IF(D68=1,D72,C46))</f>
        <v>0</v>
      </c>
      <c r="E46" s="17">
        <f t="shared" si="4"/>
        <v>0</v>
      </c>
      <c r="F46" s="17">
        <f t="shared" si="4"/>
        <v>0</v>
      </c>
      <c r="G46" s="17">
        <f t="shared" si="4"/>
        <v>-112916.66666666666</v>
      </c>
      <c r="H46" s="17">
        <f t="shared" si="4"/>
        <v>-112916.66666666666</v>
      </c>
      <c r="I46" s="17">
        <f t="shared" si="4"/>
        <v>-112916.66666666666</v>
      </c>
      <c r="J46" s="17">
        <f t="shared" si="4"/>
        <v>-112916.66666666666</v>
      </c>
      <c r="K46" s="17">
        <f t="shared" si="4"/>
        <v>-112916.66666666666</v>
      </c>
      <c r="L46" s="17">
        <f t="shared" si="4"/>
        <v>-112916.66666666666</v>
      </c>
      <c r="M46" s="17">
        <f t="shared" si="4"/>
        <v>-112916.66666666666</v>
      </c>
      <c r="N46" s="17">
        <f t="shared" si="4"/>
        <v>-112916.66666666666</v>
      </c>
      <c r="O46" s="17">
        <f t="shared" si="4"/>
        <v>-112916.66666666666</v>
      </c>
      <c r="P46" s="17">
        <f t="shared" si="4"/>
        <v>-112916.66666666666</v>
      </c>
      <c r="Q46" s="17">
        <f t="shared" si="4"/>
        <v>-112916.66666666666</v>
      </c>
      <c r="R46" s="17">
        <f t="shared" si="4"/>
        <v>-112916.66666666666</v>
      </c>
      <c r="S46" s="17">
        <f t="shared" si="4"/>
        <v>-112916.66666666666</v>
      </c>
      <c r="T46" s="17">
        <f t="shared" si="4"/>
        <v>-112916.66666666666</v>
      </c>
      <c r="U46" s="17">
        <f t="shared" si="4"/>
        <v>0</v>
      </c>
      <c r="V46" s="17">
        <f t="shared" si="4"/>
        <v>0</v>
      </c>
      <c r="W46" s="17">
        <f t="shared" si="4"/>
        <v>0</v>
      </c>
      <c r="X46" s="17">
        <f t="shared" si="4"/>
        <v>0</v>
      </c>
      <c r="Y46" s="17">
        <f t="shared" si="4"/>
        <v>0</v>
      </c>
      <c r="Z46" s="17">
        <f t="shared" si="4"/>
        <v>0</v>
      </c>
      <c r="AA46" s="17">
        <f t="shared" si="4"/>
        <v>0</v>
      </c>
      <c r="AB46" s="17">
        <f t="shared" si="4"/>
        <v>0</v>
      </c>
      <c r="AC46" s="17">
        <f t="shared" si="4"/>
        <v>0</v>
      </c>
      <c r="AD46" s="17">
        <f t="shared" si="4"/>
        <v>0</v>
      </c>
      <c r="AE46" s="17">
        <f t="shared" si="4"/>
        <v>0</v>
      </c>
      <c r="AF46" s="17">
        <f t="shared" si="4"/>
        <v>0</v>
      </c>
      <c r="AG46" s="17">
        <f t="shared" si="4"/>
        <v>0</v>
      </c>
      <c r="AH46" s="17">
        <f t="shared" si="4"/>
        <v>0</v>
      </c>
      <c r="AI46" s="17">
        <f t="shared" si="4"/>
        <v>0</v>
      </c>
      <c r="AJ46" s="17">
        <f t="shared" si="4"/>
        <v>0</v>
      </c>
      <c r="AK46" s="17">
        <f t="shared" si="4"/>
        <v>0</v>
      </c>
      <c r="AL46" s="17">
        <f t="shared" si="4"/>
        <v>0</v>
      </c>
      <c r="AM46" s="17">
        <f t="shared" si="4"/>
        <v>0</v>
      </c>
      <c r="AN46" s="17">
        <f t="shared" si="4"/>
        <v>0</v>
      </c>
      <c r="AO46" s="17">
        <f t="shared" si="4"/>
        <v>0</v>
      </c>
      <c r="AP46" s="17">
        <f t="shared" si="4"/>
        <v>0</v>
      </c>
      <c r="AQ46" s="17"/>
      <c r="AR46" s="17"/>
      <c r="AS46" s="17"/>
      <c r="AT46" s="17"/>
      <c r="AU46" s="17"/>
      <c r="AV46" s="17"/>
    </row>
    <row r="47" spans="1:48">
      <c r="A47" t="s">
        <v>256</v>
      </c>
      <c r="B47" s="17">
        <v>0</v>
      </c>
      <c r="C47" s="17">
        <f t="shared" ref="C47:AP47" si="5">IF(C88=1,-C73,0)</f>
        <v>0</v>
      </c>
      <c r="D47" s="17">
        <f t="shared" si="5"/>
        <v>0</v>
      </c>
      <c r="E47" s="17">
        <f t="shared" si="5"/>
        <v>0</v>
      </c>
      <c r="F47" s="17">
        <f t="shared" si="5"/>
        <v>0</v>
      </c>
      <c r="G47" s="17">
        <f t="shared" si="5"/>
        <v>0</v>
      </c>
      <c r="H47" s="17">
        <f t="shared" si="5"/>
        <v>0</v>
      </c>
      <c r="I47" s="17">
        <f t="shared" si="5"/>
        <v>0</v>
      </c>
      <c r="J47" s="17">
        <f t="shared" si="5"/>
        <v>0</v>
      </c>
      <c r="K47" s="17">
        <f t="shared" si="5"/>
        <v>0</v>
      </c>
      <c r="L47" s="17">
        <f t="shared" si="5"/>
        <v>0</v>
      </c>
      <c r="M47" s="17">
        <f t="shared" si="5"/>
        <v>0</v>
      </c>
      <c r="N47" s="17">
        <f t="shared" si="5"/>
        <v>0</v>
      </c>
      <c r="O47" s="17">
        <f t="shared" si="5"/>
        <v>0</v>
      </c>
      <c r="P47" s="17">
        <f t="shared" si="5"/>
        <v>0</v>
      </c>
      <c r="Q47" s="17">
        <f t="shared" si="5"/>
        <v>0</v>
      </c>
      <c r="R47" s="17">
        <f t="shared" si="5"/>
        <v>0</v>
      </c>
      <c r="S47" s="17">
        <f t="shared" si="5"/>
        <v>0</v>
      </c>
      <c r="T47" s="17">
        <f t="shared" si="5"/>
        <v>-1500931.5361752608</v>
      </c>
      <c r="U47" s="17">
        <f t="shared" si="5"/>
        <v>0</v>
      </c>
      <c r="V47" s="17">
        <f t="shared" si="5"/>
        <v>0</v>
      </c>
      <c r="W47" s="17">
        <f t="shared" si="5"/>
        <v>0</v>
      </c>
      <c r="X47" s="17">
        <f t="shared" si="5"/>
        <v>0</v>
      </c>
      <c r="Y47" s="17">
        <f t="shared" si="5"/>
        <v>0</v>
      </c>
      <c r="Z47" s="17">
        <f t="shared" si="5"/>
        <v>0</v>
      </c>
      <c r="AA47" s="17">
        <f t="shared" si="5"/>
        <v>0</v>
      </c>
      <c r="AB47" s="17">
        <f t="shared" si="5"/>
        <v>0</v>
      </c>
      <c r="AC47" s="17">
        <f t="shared" si="5"/>
        <v>0</v>
      </c>
      <c r="AD47" s="17">
        <f t="shared" si="5"/>
        <v>0</v>
      </c>
      <c r="AE47" s="17">
        <f t="shared" si="5"/>
        <v>0</v>
      </c>
      <c r="AF47" s="17">
        <f t="shared" si="5"/>
        <v>0</v>
      </c>
      <c r="AG47" s="17">
        <f t="shared" si="5"/>
        <v>0</v>
      </c>
      <c r="AH47" s="17">
        <f t="shared" si="5"/>
        <v>0</v>
      </c>
      <c r="AI47" s="17">
        <f t="shared" si="5"/>
        <v>0</v>
      </c>
      <c r="AJ47" s="17">
        <f t="shared" si="5"/>
        <v>0</v>
      </c>
      <c r="AK47" s="17">
        <f t="shared" si="5"/>
        <v>0</v>
      </c>
      <c r="AL47" s="17">
        <f t="shared" si="5"/>
        <v>0</v>
      </c>
      <c r="AM47" s="17">
        <f t="shared" si="5"/>
        <v>0</v>
      </c>
      <c r="AN47" s="17">
        <f t="shared" si="5"/>
        <v>0</v>
      </c>
      <c r="AO47" s="17">
        <f t="shared" si="5"/>
        <v>0</v>
      </c>
      <c r="AP47" s="17">
        <f t="shared" si="5"/>
        <v>0</v>
      </c>
      <c r="AQ47" s="17"/>
      <c r="AR47" s="17"/>
      <c r="AS47" s="17"/>
      <c r="AT47" s="17"/>
      <c r="AU47" s="17"/>
      <c r="AV47" s="17"/>
    </row>
    <row r="48" spans="1:48" s="4" customFormat="1" ht="13.5" thickBot="1">
      <c r="A48" s="4" t="s">
        <v>71</v>
      </c>
      <c r="B48" s="6">
        <v>0</v>
      </c>
      <c r="C48" s="6">
        <f>SUM(C34:C47)</f>
        <v>-9118750</v>
      </c>
      <c r="D48" s="6">
        <f t="shared" ref="D48:AP48" si="6">SUM(D34:D47)</f>
        <v>-4118750</v>
      </c>
      <c r="E48" s="6">
        <f t="shared" si="6"/>
        <v>-4118750</v>
      </c>
      <c r="F48" s="6">
        <f t="shared" si="6"/>
        <v>-4118750</v>
      </c>
      <c r="G48" s="6">
        <f t="shared" si="6"/>
        <v>-4466452.3695085943</v>
      </c>
      <c r="H48" s="6">
        <f t="shared" si="6"/>
        <v>-3700245.8298562756</v>
      </c>
      <c r="I48" s="6">
        <f t="shared" si="6"/>
        <v>-4452256.2465229426</v>
      </c>
      <c r="J48" s="6">
        <f t="shared" si="6"/>
        <v>-5189657.2881896095</v>
      </c>
      <c r="K48" s="6">
        <f t="shared" si="6"/>
        <v>-2570371.5853476818</v>
      </c>
      <c r="L48" s="6">
        <f t="shared" si="6"/>
        <v>-1208750.0000000002</v>
      </c>
      <c r="M48" s="6">
        <f t="shared" si="6"/>
        <v>-1301458.3333333333</v>
      </c>
      <c r="N48" s="6">
        <f t="shared" si="6"/>
        <v>-1394166.6666666667</v>
      </c>
      <c r="O48" s="6">
        <f t="shared" si="6"/>
        <v>-1394166.6666666667</v>
      </c>
      <c r="P48" s="6">
        <f t="shared" si="6"/>
        <v>-1394166.6666666667</v>
      </c>
      <c r="Q48" s="6">
        <f t="shared" si="6"/>
        <v>-1394166.6666666667</v>
      </c>
      <c r="R48" s="6">
        <f t="shared" si="6"/>
        <v>-1394166.6666666667</v>
      </c>
      <c r="S48" s="6">
        <f t="shared" si="6"/>
        <v>-1394166.6666666667</v>
      </c>
      <c r="T48" s="6">
        <f t="shared" si="6"/>
        <v>-2895098.2028419273</v>
      </c>
      <c r="U48" s="6">
        <f t="shared" si="6"/>
        <v>0</v>
      </c>
      <c r="V48" s="6">
        <f t="shared" si="6"/>
        <v>0</v>
      </c>
      <c r="W48" s="6">
        <f t="shared" si="6"/>
        <v>0</v>
      </c>
      <c r="X48" s="6">
        <f t="shared" si="6"/>
        <v>0</v>
      </c>
      <c r="Y48" s="6">
        <f t="shared" si="6"/>
        <v>0</v>
      </c>
      <c r="Z48" s="6">
        <f t="shared" si="6"/>
        <v>0</v>
      </c>
      <c r="AA48" s="6">
        <f t="shared" si="6"/>
        <v>0</v>
      </c>
      <c r="AB48" s="6">
        <f t="shared" si="6"/>
        <v>0</v>
      </c>
      <c r="AC48" s="6">
        <f t="shared" si="6"/>
        <v>0</v>
      </c>
      <c r="AD48" s="6">
        <f t="shared" si="6"/>
        <v>0</v>
      </c>
      <c r="AE48" s="6">
        <f t="shared" si="6"/>
        <v>0</v>
      </c>
      <c r="AF48" s="6">
        <f t="shared" si="6"/>
        <v>0</v>
      </c>
      <c r="AG48" s="6">
        <f t="shared" si="6"/>
        <v>0</v>
      </c>
      <c r="AH48" s="6">
        <f t="shared" si="6"/>
        <v>0</v>
      </c>
      <c r="AI48" s="6">
        <f t="shared" si="6"/>
        <v>0</v>
      </c>
      <c r="AJ48" s="6">
        <f t="shared" si="6"/>
        <v>0</v>
      </c>
      <c r="AK48" s="6">
        <f t="shared" si="6"/>
        <v>0</v>
      </c>
      <c r="AL48" s="6">
        <f t="shared" si="6"/>
        <v>0</v>
      </c>
      <c r="AM48" s="6">
        <f t="shared" si="6"/>
        <v>0</v>
      </c>
      <c r="AN48" s="6">
        <f t="shared" si="6"/>
        <v>0</v>
      </c>
      <c r="AO48" s="6">
        <f t="shared" si="6"/>
        <v>0</v>
      </c>
      <c r="AP48" s="6">
        <f t="shared" si="6"/>
        <v>0</v>
      </c>
      <c r="AQ48" s="6"/>
      <c r="AR48" s="6"/>
      <c r="AS48" s="6"/>
      <c r="AT48" s="6"/>
      <c r="AU48" s="6"/>
      <c r="AV48" s="6"/>
    </row>
    <row r="49" spans="1:48">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row>
    <row r="50" spans="1:48" s="14" customFormat="1" ht="13.5" thickBot="1">
      <c r="A50" s="12" t="s">
        <v>205</v>
      </c>
      <c r="B50" s="13">
        <v>0</v>
      </c>
      <c r="C50" s="13">
        <f t="shared" ref="C50:AP50" si="7">C31+C48</f>
        <v>-9118750</v>
      </c>
      <c r="D50" s="13">
        <f t="shared" si="7"/>
        <v>-4118750</v>
      </c>
      <c r="E50" s="13">
        <f t="shared" si="7"/>
        <v>-4118750</v>
      </c>
      <c r="F50" s="13">
        <f t="shared" si="7"/>
        <v>-4118750</v>
      </c>
      <c r="G50" s="13">
        <f t="shared" si="7"/>
        <v>-978020.83333333349</v>
      </c>
      <c r="H50" s="13">
        <f t="shared" si="7"/>
        <v>-1025245.8298562756</v>
      </c>
      <c r="I50" s="13">
        <f t="shared" si="7"/>
        <v>-1089756.2465229426</v>
      </c>
      <c r="J50" s="13">
        <f t="shared" si="7"/>
        <v>-1139657.2881896095</v>
      </c>
      <c r="K50" s="13">
        <f t="shared" si="7"/>
        <v>2042128.4146523182</v>
      </c>
      <c r="L50" s="13">
        <f t="shared" si="7"/>
        <v>3966250</v>
      </c>
      <c r="M50" s="13">
        <f t="shared" si="7"/>
        <v>4436041.666666667</v>
      </c>
      <c r="N50" s="13">
        <f t="shared" si="7"/>
        <v>4905833.333333333</v>
      </c>
      <c r="O50" s="13">
        <f t="shared" si="7"/>
        <v>4655833.333333333</v>
      </c>
      <c r="P50" s="13">
        <f t="shared" si="7"/>
        <v>4655833.333333333</v>
      </c>
      <c r="Q50" s="13">
        <f t="shared" si="7"/>
        <v>4355833.333333333</v>
      </c>
      <c r="R50" s="13">
        <f t="shared" si="7"/>
        <v>4155833.333333333</v>
      </c>
      <c r="S50" s="13">
        <f t="shared" si="7"/>
        <v>3805833.333333333</v>
      </c>
      <c r="T50" s="13">
        <f t="shared" si="7"/>
        <v>55229901.797158062</v>
      </c>
      <c r="U50" s="13">
        <f t="shared" si="7"/>
        <v>0</v>
      </c>
      <c r="V50" s="13">
        <f t="shared" si="7"/>
        <v>0</v>
      </c>
      <c r="W50" s="13">
        <f t="shared" si="7"/>
        <v>0</v>
      </c>
      <c r="X50" s="13">
        <f t="shared" si="7"/>
        <v>0</v>
      </c>
      <c r="Y50" s="13">
        <f t="shared" si="7"/>
        <v>0</v>
      </c>
      <c r="Z50" s="13">
        <f t="shared" si="7"/>
        <v>0</v>
      </c>
      <c r="AA50" s="13">
        <f t="shared" si="7"/>
        <v>0</v>
      </c>
      <c r="AB50" s="13">
        <f t="shared" si="7"/>
        <v>0</v>
      </c>
      <c r="AC50" s="13">
        <f t="shared" si="7"/>
        <v>0</v>
      </c>
      <c r="AD50" s="13">
        <f t="shared" si="7"/>
        <v>0</v>
      </c>
      <c r="AE50" s="13">
        <f t="shared" si="7"/>
        <v>0</v>
      </c>
      <c r="AF50" s="13">
        <f t="shared" si="7"/>
        <v>0</v>
      </c>
      <c r="AG50" s="13">
        <f t="shared" si="7"/>
        <v>0</v>
      </c>
      <c r="AH50" s="13">
        <f t="shared" si="7"/>
        <v>0</v>
      </c>
      <c r="AI50" s="13">
        <f t="shared" si="7"/>
        <v>0</v>
      </c>
      <c r="AJ50" s="13">
        <f t="shared" si="7"/>
        <v>0</v>
      </c>
      <c r="AK50" s="13">
        <f t="shared" si="7"/>
        <v>0</v>
      </c>
      <c r="AL50" s="13">
        <f t="shared" si="7"/>
        <v>0</v>
      </c>
      <c r="AM50" s="13">
        <f t="shared" si="7"/>
        <v>0</v>
      </c>
      <c r="AN50" s="13">
        <f t="shared" si="7"/>
        <v>0</v>
      </c>
      <c r="AO50" s="13">
        <f t="shared" si="7"/>
        <v>0</v>
      </c>
      <c r="AP50" s="13">
        <f t="shared" si="7"/>
        <v>0</v>
      </c>
      <c r="AQ50" s="13"/>
      <c r="AR50" s="13"/>
      <c r="AS50" s="13"/>
      <c r="AT50" s="13"/>
      <c r="AU50" s="13"/>
      <c r="AV50" s="13"/>
    </row>
    <row r="51" spans="1:48" ht="13.5" thickTop="1">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row>
    <row r="52" spans="1:48">
      <c r="A52" s="10" t="s">
        <v>75</v>
      </c>
      <c r="B52" s="5">
        <f>NPV('Proforma Inputs'!$B$13,C50:AP50)</f>
        <v>-7176521.0644891392</v>
      </c>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row>
    <row r="53" spans="1:48">
      <c r="A53" s="10"/>
      <c r="B53" s="2"/>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row>
    <row r="54" spans="1:48">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row>
    <row r="55" spans="1:48">
      <c r="A55" s="11"/>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row>
    <row r="56" spans="1:48">
      <c r="A56" s="10" t="s">
        <v>181</v>
      </c>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row>
    <row r="57" spans="1:48">
      <c r="A57" t="s">
        <v>114</v>
      </c>
      <c r="B57" s="5">
        <f>'Proforma Inputs'!B5*'Proforma Inputs'!B40</f>
        <v>15000000</v>
      </c>
      <c r="C57" s="5">
        <f>B57+B45</f>
        <v>15000000</v>
      </c>
      <c r="D57" s="5">
        <f>C57+C45</f>
        <v>15000000</v>
      </c>
      <c r="E57" s="5">
        <f t="shared" ref="E57:AP57" si="8">D57+D45</f>
        <v>15000000</v>
      </c>
      <c r="F57" s="5">
        <f t="shared" si="8"/>
        <v>15000000</v>
      </c>
      <c r="G57" s="5">
        <f t="shared" si="8"/>
        <v>15000000</v>
      </c>
      <c r="H57" s="5">
        <f t="shared" si="8"/>
        <v>11511568.46382474</v>
      </c>
      <c r="I57" s="5">
        <f t="shared" si="8"/>
        <v>8836568.4638247397</v>
      </c>
      <c r="J57" s="5">
        <f t="shared" si="8"/>
        <v>5474068.4638247397</v>
      </c>
      <c r="K57" s="5">
        <f t="shared" si="8"/>
        <v>1424068.4638247397</v>
      </c>
      <c r="L57" s="5">
        <f t="shared" si="8"/>
        <v>0</v>
      </c>
      <c r="M57" s="5">
        <f t="shared" si="8"/>
        <v>0</v>
      </c>
      <c r="N57" s="5">
        <f t="shared" si="8"/>
        <v>0</v>
      </c>
      <c r="O57" s="5">
        <f t="shared" si="8"/>
        <v>0</v>
      </c>
      <c r="P57" s="5">
        <f t="shared" si="8"/>
        <v>0</v>
      </c>
      <c r="Q57" s="5">
        <f t="shared" si="8"/>
        <v>0</v>
      </c>
      <c r="R57" s="5">
        <f t="shared" si="8"/>
        <v>0</v>
      </c>
      <c r="S57" s="5">
        <f t="shared" si="8"/>
        <v>0</v>
      </c>
      <c r="T57" s="5">
        <f t="shared" si="8"/>
        <v>0</v>
      </c>
      <c r="U57" s="5">
        <f t="shared" si="8"/>
        <v>0</v>
      </c>
      <c r="V57" s="5">
        <f t="shared" si="8"/>
        <v>0</v>
      </c>
      <c r="W57" s="5">
        <f t="shared" si="8"/>
        <v>0</v>
      </c>
      <c r="X57" s="5">
        <f t="shared" si="8"/>
        <v>0</v>
      </c>
      <c r="Y57" s="5">
        <f t="shared" si="8"/>
        <v>0</v>
      </c>
      <c r="Z57" s="5">
        <f t="shared" si="8"/>
        <v>0</v>
      </c>
      <c r="AA57" s="5">
        <f t="shared" si="8"/>
        <v>0</v>
      </c>
      <c r="AB57" s="5">
        <f t="shared" si="8"/>
        <v>0</v>
      </c>
      <c r="AC57" s="5">
        <f t="shared" si="8"/>
        <v>0</v>
      </c>
      <c r="AD57" s="5">
        <f t="shared" si="8"/>
        <v>0</v>
      </c>
      <c r="AE57" s="5">
        <f t="shared" si="8"/>
        <v>0</v>
      </c>
      <c r="AF57" s="5">
        <f t="shared" si="8"/>
        <v>0</v>
      </c>
      <c r="AG57" s="5">
        <f t="shared" si="8"/>
        <v>0</v>
      </c>
      <c r="AH57" s="5">
        <f t="shared" si="8"/>
        <v>0</v>
      </c>
      <c r="AI57" s="5">
        <f t="shared" si="8"/>
        <v>0</v>
      </c>
      <c r="AJ57" s="5">
        <f t="shared" si="8"/>
        <v>0</v>
      </c>
      <c r="AK57" s="5">
        <f t="shared" si="8"/>
        <v>0</v>
      </c>
      <c r="AL57" s="5">
        <f t="shared" si="8"/>
        <v>0</v>
      </c>
      <c r="AM57" s="5">
        <f t="shared" si="8"/>
        <v>0</v>
      </c>
      <c r="AN57" s="5">
        <f t="shared" si="8"/>
        <v>0</v>
      </c>
      <c r="AO57" s="5">
        <f t="shared" si="8"/>
        <v>0</v>
      </c>
      <c r="AP57" s="5">
        <f t="shared" si="8"/>
        <v>0</v>
      </c>
      <c r="AQ57" s="5"/>
      <c r="AR57" s="5"/>
      <c r="AS57" s="5"/>
      <c r="AT57" s="5"/>
      <c r="AU57" s="5"/>
      <c r="AV57" s="5"/>
    </row>
    <row r="58" spans="1:48">
      <c r="A58" t="s">
        <v>92</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row>
    <row r="59" spans="1:48" s="21" customFormat="1">
      <c r="A59" s="20" t="s">
        <v>219</v>
      </c>
      <c r="B59" s="17">
        <f>'Proforma Inputs'!B48</f>
        <v>2000000</v>
      </c>
      <c r="C59" s="17">
        <f t="shared" ref="C59:AP59" si="9">B59-B6</f>
        <v>2000000</v>
      </c>
      <c r="D59" s="17">
        <f t="shared" si="9"/>
        <v>2000000</v>
      </c>
      <c r="E59" s="17">
        <f t="shared" si="9"/>
        <v>2000000</v>
      </c>
      <c r="F59" s="17">
        <f t="shared" si="9"/>
        <v>2000000</v>
      </c>
      <c r="G59" s="17">
        <f t="shared" si="9"/>
        <v>2000000</v>
      </c>
      <c r="H59" s="17">
        <f t="shared" si="9"/>
        <v>1750000</v>
      </c>
      <c r="I59" s="17">
        <f t="shared" si="9"/>
        <v>1500000</v>
      </c>
      <c r="J59" s="17">
        <f t="shared" si="9"/>
        <v>1250000</v>
      </c>
      <c r="K59" s="17">
        <f t="shared" si="9"/>
        <v>1000000</v>
      </c>
      <c r="L59" s="17">
        <f t="shared" si="9"/>
        <v>750000</v>
      </c>
      <c r="M59" s="17">
        <f t="shared" si="9"/>
        <v>500000</v>
      </c>
      <c r="N59" s="17">
        <f t="shared" si="9"/>
        <v>250000</v>
      </c>
      <c r="O59" s="17">
        <f t="shared" si="9"/>
        <v>0</v>
      </c>
      <c r="P59" s="17">
        <f t="shared" si="9"/>
        <v>0</v>
      </c>
      <c r="Q59" s="17">
        <f t="shared" si="9"/>
        <v>0</v>
      </c>
      <c r="R59" s="17">
        <f t="shared" si="9"/>
        <v>0</v>
      </c>
      <c r="S59" s="17">
        <f t="shared" si="9"/>
        <v>0</v>
      </c>
      <c r="T59" s="17">
        <f t="shared" si="9"/>
        <v>0</v>
      </c>
      <c r="U59" s="17">
        <f t="shared" si="9"/>
        <v>0</v>
      </c>
      <c r="V59" s="17">
        <f t="shared" si="9"/>
        <v>0</v>
      </c>
      <c r="W59" s="17">
        <f t="shared" si="9"/>
        <v>0</v>
      </c>
      <c r="X59" s="17">
        <f t="shared" si="9"/>
        <v>0</v>
      </c>
      <c r="Y59" s="17">
        <f t="shared" si="9"/>
        <v>0</v>
      </c>
      <c r="Z59" s="17">
        <f t="shared" si="9"/>
        <v>0</v>
      </c>
      <c r="AA59" s="17">
        <f t="shared" si="9"/>
        <v>0</v>
      </c>
      <c r="AB59" s="17">
        <f t="shared" si="9"/>
        <v>0</v>
      </c>
      <c r="AC59" s="17">
        <f t="shared" si="9"/>
        <v>0</v>
      </c>
      <c r="AD59" s="17">
        <f t="shared" si="9"/>
        <v>0</v>
      </c>
      <c r="AE59" s="17">
        <f t="shared" si="9"/>
        <v>0</v>
      </c>
      <c r="AF59" s="17">
        <f t="shared" si="9"/>
        <v>0</v>
      </c>
      <c r="AG59" s="17">
        <f t="shared" si="9"/>
        <v>0</v>
      </c>
      <c r="AH59" s="17">
        <f t="shared" si="9"/>
        <v>0</v>
      </c>
      <c r="AI59" s="17">
        <f t="shared" si="9"/>
        <v>0</v>
      </c>
      <c r="AJ59" s="17">
        <f t="shared" si="9"/>
        <v>0</v>
      </c>
      <c r="AK59" s="17">
        <f t="shared" si="9"/>
        <v>0</v>
      </c>
      <c r="AL59" s="17">
        <f t="shared" si="9"/>
        <v>0</v>
      </c>
      <c r="AM59" s="17">
        <f t="shared" si="9"/>
        <v>0</v>
      </c>
      <c r="AN59" s="17">
        <f t="shared" si="9"/>
        <v>0</v>
      </c>
      <c r="AO59" s="17">
        <f t="shared" si="9"/>
        <v>0</v>
      </c>
      <c r="AP59" s="17">
        <f t="shared" si="9"/>
        <v>0</v>
      </c>
      <c r="AQ59" s="17"/>
      <c r="AR59" s="17"/>
      <c r="AS59" s="17"/>
      <c r="AT59" s="17"/>
      <c r="AU59" s="17"/>
      <c r="AV59" s="17"/>
    </row>
    <row r="60" spans="1:48" s="21" customFormat="1">
      <c r="A60" s="20" t="s">
        <v>30</v>
      </c>
      <c r="B60" s="17">
        <f>'Proforma Inputs'!B49</f>
        <v>3000000</v>
      </c>
      <c r="C60" s="17">
        <f t="shared" ref="C60:AP60" si="10">B60-B7</f>
        <v>3000000</v>
      </c>
      <c r="D60" s="17">
        <f t="shared" si="10"/>
        <v>3000000</v>
      </c>
      <c r="E60" s="17">
        <f t="shared" si="10"/>
        <v>3000000</v>
      </c>
      <c r="F60" s="17">
        <f t="shared" si="10"/>
        <v>3000000</v>
      </c>
      <c r="G60" s="17">
        <f t="shared" si="10"/>
        <v>3000000</v>
      </c>
      <c r="H60" s="17">
        <f t="shared" si="10"/>
        <v>2700000</v>
      </c>
      <c r="I60" s="17">
        <f t="shared" si="10"/>
        <v>2400000</v>
      </c>
      <c r="J60" s="17">
        <f t="shared" si="10"/>
        <v>2100000</v>
      </c>
      <c r="K60" s="17">
        <f t="shared" si="10"/>
        <v>1800000</v>
      </c>
      <c r="L60" s="17">
        <f t="shared" si="10"/>
        <v>1500000</v>
      </c>
      <c r="M60" s="17">
        <f t="shared" si="10"/>
        <v>1200000</v>
      </c>
      <c r="N60" s="17">
        <f t="shared" si="10"/>
        <v>900000</v>
      </c>
      <c r="O60" s="17">
        <f t="shared" si="10"/>
        <v>600000</v>
      </c>
      <c r="P60" s="17">
        <f t="shared" si="10"/>
        <v>300000</v>
      </c>
      <c r="Q60" s="17">
        <f t="shared" si="10"/>
        <v>0</v>
      </c>
      <c r="R60" s="17">
        <f t="shared" si="10"/>
        <v>0</v>
      </c>
      <c r="S60" s="17">
        <f t="shared" si="10"/>
        <v>0</v>
      </c>
      <c r="T60" s="17">
        <f t="shared" si="10"/>
        <v>0</v>
      </c>
      <c r="U60" s="17">
        <f t="shared" si="10"/>
        <v>0</v>
      </c>
      <c r="V60" s="17">
        <f t="shared" si="10"/>
        <v>0</v>
      </c>
      <c r="W60" s="17">
        <f t="shared" si="10"/>
        <v>0</v>
      </c>
      <c r="X60" s="17">
        <f t="shared" si="10"/>
        <v>0</v>
      </c>
      <c r="Y60" s="17">
        <f t="shared" si="10"/>
        <v>0</v>
      </c>
      <c r="Z60" s="17">
        <f t="shared" si="10"/>
        <v>0</v>
      </c>
      <c r="AA60" s="17">
        <f t="shared" si="10"/>
        <v>0</v>
      </c>
      <c r="AB60" s="17">
        <f t="shared" si="10"/>
        <v>0</v>
      </c>
      <c r="AC60" s="17">
        <f t="shared" si="10"/>
        <v>0</v>
      </c>
      <c r="AD60" s="17">
        <f t="shared" si="10"/>
        <v>0</v>
      </c>
      <c r="AE60" s="17">
        <f t="shared" si="10"/>
        <v>0</v>
      </c>
      <c r="AF60" s="17">
        <f t="shared" si="10"/>
        <v>0</v>
      </c>
      <c r="AG60" s="17">
        <f t="shared" si="10"/>
        <v>0</v>
      </c>
      <c r="AH60" s="17">
        <f t="shared" si="10"/>
        <v>0</v>
      </c>
      <c r="AI60" s="17">
        <f t="shared" si="10"/>
        <v>0</v>
      </c>
      <c r="AJ60" s="17">
        <f t="shared" si="10"/>
        <v>0</v>
      </c>
      <c r="AK60" s="17">
        <f t="shared" si="10"/>
        <v>0</v>
      </c>
      <c r="AL60" s="17">
        <f t="shared" si="10"/>
        <v>0</v>
      </c>
      <c r="AM60" s="17">
        <f t="shared" si="10"/>
        <v>0</v>
      </c>
      <c r="AN60" s="17">
        <f t="shared" si="10"/>
        <v>0</v>
      </c>
      <c r="AO60" s="17">
        <f t="shared" si="10"/>
        <v>0</v>
      </c>
      <c r="AP60" s="17">
        <f t="shared" si="10"/>
        <v>0</v>
      </c>
      <c r="AQ60" s="17"/>
      <c r="AR60" s="17"/>
      <c r="AS60" s="17"/>
      <c r="AT60" s="17"/>
      <c r="AU60" s="17"/>
      <c r="AV60" s="17"/>
    </row>
    <row r="61" spans="1:48" s="21" customFormat="1">
      <c r="A61" s="20" t="s">
        <v>31</v>
      </c>
      <c r="B61" s="17">
        <f>'Proforma Inputs'!B50</f>
        <v>4000000</v>
      </c>
      <c r="C61" s="17">
        <f t="shared" ref="C61:AP61" si="11">B61-B8</f>
        <v>4000000</v>
      </c>
      <c r="D61" s="17">
        <f t="shared" si="11"/>
        <v>4000000</v>
      </c>
      <c r="E61" s="17">
        <f t="shared" si="11"/>
        <v>4000000</v>
      </c>
      <c r="F61" s="17">
        <f t="shared" si="11"/>
        <v>4000000</v>
      </c>
      <c r="G61" s="17">
        <f t="shared" si="11"/>
        <v>4000000</v>
      </c>
      <c r="H61" s="17">
        <f t="shared" si="11"/>
        <v>3650000</v>
      </c>
      <c r="I61" s="17">
        <f t="shared" si="11"/>
        <v>3300000</v>
      </c>
      <c r="J61" s="17">
        <f t="shared" si="11"/>
        <v>2950000</v>
      </c>
      <c r="K61" s="17">
        <f t="shared" si="11"/>
        <v>2600000</v>
      </c>
      <c r="L61" s="17">
        <f t="shared" si="11"/>
        <v>2250000</v>
      </c>
      <c r="M61" s="17">
        <f t="shared" si="11"/>
        <v>1900000</v>
      </c>
      <c r="N61" s="17">
        <f t="shared" si="11"/>
        <v>1550000</v>
      </c>
      <c r="O61" s="17">
        <f t="shared" si="11"/>
        <v>1200000</v>
      </c>
      <c r="P61" s="17">
        <f t="shared" si="11"/>
        <v>850000</v>
      </c>
      <c r="Q61" s="17">
        <f t="shared" si="11"/>
        <v>500000</v>
      </c>
      <c r="R61" s="17">
        <f t="shared" si="11"/>
        <v>150000</v>
      </c>
      <c r="S61" s="17">
        <f t="shared" si="11"/>
        <v>0</v>
      </c>
      <c r="T61" s="17">
        <f t="shared" si="11"/>
        <v>0</v>
      </c>
      <c r="U61" s="17">
        <f t="shared" si="11"/>
        <v>0</v>
      </c>
      <c r="V61" s="17">
        <f t="shared" si="11"/>
        <v>0</v>
      </c>
      <c r="W61" s="17">
        <f t="shared" si="11"/>
        <v>0</v>
      </c>
      <c r="X61" s="17">
        <f t="shared" si="11"/>
        <v>0</v>
      </c>
      <c r="Y61" s="17">
        <f t="shared" si="11"/>
        <v>0</v>
      </c>
      <c r="Z61" s="17">
        <f t="shared" si="11"/>
        <v>0</v>
      </c>
      <c r="AA61" s="17">
        <f t="shared" si="11"/>
        <v>0</v>
      </c>
      <c r="AB61" s="17">
        <f t="shared" si="11"/>
        <v>0</v>
      </c>
      <c r="AC61" s="17">
        <f t="shared" si="11"/>
        <v>0</v>
      </c>
      <c r="AD61" s="17">
        <f t="shared" si="11"/>
        <v>0</v>
      </c>
      <c r="AE61" s="17">
        <f t="shared" si="11"/>
        <v>0</v>
      </c>
      <c r="AF61" s="17">
        <f t="shared" si="11"/>
        <v>0</v>
      </c>
      <c r="AG61" s="17">
        <f t="shared" si="11"/>
        <v>0</v>
      </c>
      <c r="AH61" s="17">
        <f t="shared" si="11"/>
        <v>0</v>
      </c>
      <c r="AI61" s="17">
        <f t="shared" si="11"/>
        <v>0</v>
      </c>
      <c r="AJ61" s="17">
        <f t="shared" si="11"/>
        <v>0</v>
      </c>
      <c r="AK61" s="17">
        <f t="shared" si="11"/>
        <v>0</v>
      </c>
      <c r="AL61" s="17">
        <f t="shared" si="11"/>
        <v>0</v>
      </c>
      <c r="AM61" s="17">
        <f t="shared" si="11"/>
        <v>0</v>
      </c>
      <c r="AN61" s="17">
        <f t="shared" si="11"/>
        <v>0</v>
      </c>
      <c r="AO61" s="17">
        <f t="shared" si="11"/>
        <v>0</v>
      </c>
      <c r="AP61" s="17">
        <f t="shared" si="11"/>
        <v>0</v>
      </c>
      <c r="AQ61" s="17"/>
      <c r="AR61" s="17"/>
      <c r="AS61" s="17"/>
      <c r="AT61" s="17"/>
      <c r="AU61" s="17"/>
      <c r="AV61" s="17"/>
    </row>
    <row r="62" spans="1:48" s="21" customFormat="1">
      <c r="A62" s="20" t="s">
        <v>32</v>
      </c>
      <c r="B62" s="17">
        <f>'Proforma Inputs'!B51</f>
        <v>5000000</v>
      </c>
      <c r="C62" s="17">
        <f t="shared" ref="C62:AP62" si="12">B62-B9</f>
        <v>5000000</v>
      </c>
      <c r="D62" s="17">
        <f t="shared" si="12"/>
        <v>5000000</v>
      </c>
      <c r="E62" s="17">
        <f t="shared" si="12"/>
        <v>5000000</v>
      </c>
      <c r="F62" s="17">
        <f t="shared" si="12"/>
        <v>5000000</v>
      </c>
      <c r="G62" s="17">
        <f t="shared" si="12"/>
        <v>5000000</v>
      </c>
      <c r="H62" s="17">
        <f t="shared" si="12"/>
        <v>4600000</v>
      </c>
      <c r="I62" s="17">
        <f t="shared" si="12"/>
        <v>4200000</v>
      </c>
      <c r="J62" s="17">
        <f t="shared" si="12"/>
        <v>3800000</v>
      </c>
      <c r="K62" s="17">
        <f t="shared" si="12"/>
        <v>3400000</v>
      </c>
      <c r="L62" s="17">
        <f t="shared" si="12"/>
        <v>3000000</v>
      </c>
      <c r="M62" s="17">
        <f t="shared" si="12"/>
        <v>2600000</v>
      </c>
      <c r="N62" s="17">
        <f t="shared" si="12"/>
        <v>2200000</v>
      </c>
      <c r="O62" s="17">
        <f t="shared" si="12"/>
        <v>1800000</v>
      </c>
      <c r="P62" s="17">
        <f t="shared" si="12"/>
        <v>1400000</v>
      </c>
      <c r="Q62" s="17">
        <f t="shared" si="12"/>
        <v>1000000</v>
      </c>
      <c r="R62" s="17">
        <f t="shared" si="12"/>
        <v>600000</v>
      </c>
      <c r="S62" s="17">
        <f t="shared" si="12"/>
        <v>200000</v>
      </c>
      <c r="T62" s="17">
        <f t="shared" si="12"/>
        <v>0</v>
      </c>
      <c r="U62" s="17">
        <f t="shared" si="12"/>
        <v>0</v>
      </c>
      <c r="V62" s="17">
        <f t="shared" si="12"/>
        <v>0</v>
      </c>
      <c r="W62" s="17">
        <f t="shared" si="12"/>
        <v>0</v>
      </c>
      <c r="X62" s="17">
        <f t="shared" si="12"/>
        <v>0</v>
      </c>
      <c r="Y62" s="17">
        <f t="shared" si="12"/>
        <v>0</v>
      </c>
      <c r="Z62" s="17">
        <f t="shared" si="12"/>
        <v>0</v>
      </c>
      <c r="AA62" s="17">
        <f t="shared" si="12"/>
        <v>0</v>
      </c>
      <c r="AB62" s="17">
        <f t="shared" si="12"/>
        <v>0</v>
      </c>
      <c r="AC62" s="17">
        <f t="shared" si="12"/>
        <v>0</v>
      </c>
      <c r="AD62" s="17">
        <f t="shared" si="12"/>
        <v>0</v>
      </c>
      <c r="AE62" s="17">
        <f t="shared" si="12"/>
        <v>0</v>
      </c>
      <c r="AF62" s="17">
        <f t="shared" si="12"/>
        <v>0</v>
      </c>
      <c r="AG62" s="17">
        <f t="shared" si="12"/>
        <v>0</v>
      </c>
      <c r="AH62" s="17">
        <f t="shared" si="12"/>
        <v>0</v>
      </c>
      <c r="AI62" s="17">
        <f t="shared" si="12"/>
        <v>0</v>
      </c>
      <c r="AJ62" s="17">
        <f t="shared" si="12"/>
        <v>0</v>
      </c>
      <c r="AK62" s="17">
        <f t="shared" si="12"/>
        <v>0</v>
      </c>
      <c r="AL62" s="17">
        <f t="shared" si="12"/>
        <v>0</v>
      </c>
      <c r="AM62" s="17">
        <f t="shared" si="12"/>
        <v>0</v>
      </c>
      <c r="AN62" s="17">
        <f t="shared" si="12"/>
        <v>0</v>
      </c>
      <c r="AO62" s="17">
        <f t="shared" si="12"/>
        <v>0</v>
      </c>
      <c r="AP62" s="17">
        <f t="shared" si="12"/>
        <v>0</v>
      </c>
      <c r="AQ62" s="17"/>
      <c r="AR62" s="17"/>
      <c r="AS62" s="17"/>
      <c r="AT62" s="17"/>
      <c r="AU62" s="17"/>
      <c r="AV62" s="17"/>
    </row>
    <row r="63" spans="1:48">
      <c r="A63" t="s">
        <v>93</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row>
    <row r="64" spans="1:48" s="21" customFormat="1">
      <c r="A64" s="20" t="s">
        <v>219</v>
      </c>
      <c r="B64" s="17">
        <f>'Proforma Inputs'!B60</f>
        <v>0</v>
      </c>
      <c r="C64" s="17">
        <f t="shared" ref="C64:AP64" si="13">B64-B11</f>
        <v>0</v>
      </c>
      <c r="D64" s="17">
        <f t="shared" si="13"/>
        <v>0</v>
      </c>
      <c r="E64" s="17">
        <f t="shared" si="13"/>
        <v>0</v>
      </c>
      <c r="F64" s="17">
        <f t="shared" si="13"/>
        <v>0</v>
      </c>
      <c r="G64" s="17">
        <f t="shared" si="13"/>
        <v>0</v>
      </c>
      <c r="H64" s="17">
        <f t="shared" si="13"/>
        <v>0</v>
      </c>
      <c r="I64" s="17">
        <f t="shared" si="13"/>
        <v>0</v>
      </c>
      <c r="J64" s="17">
        <f t="shared" si="13"/>
        <v>0</v>
      </c>
      <c r="K64" s="17">
        <f t="shared" si="13"/>
        <v>0</v>
      </c>
      <c r="L64" s="17">
        <f t="shared" si="13"/>
        <v>0</v>
      </c>
      <c r="M64" s="17">
        <f t="shared" si="13"/>
        <v>0</v>
      </c>
      <c r="N64" s="17">
        <f t="shared" si="13"/>
        <v>0</v>
      </c>
      <c r="O64" s="17">
        <f t="shared" si="13"/>
        <v>0</v>
      </c>
      <c r="P64" s="17">
        <f t="shared" si="13"/>
        <v>0</v>
      </c>
      <c r="Q64" s="17">
        <f t="shared" si="13"/>
        <v>0</v>
      </c>
      <c r="R64" s="17">
        <f t="shared" si="13"/>
        <v>0</v>
      </c>
      <c r="S64" s="17">
        <f t="shared" si="13"/>
        <v>0</v>
      </c>
      <c r="T64" s="17">
        <f t="shared" si="13"/>
        <v>0</v>
      </c>
      <c r="U64" s="17">
        <f t="shared" si="13"/>
        <v>0</v>
      </c>
      <c r="V64" s="17">
        <f t="shared" si="13"/>
        <v>0</v>
      </c>
      <c r="W64" s="17">
        <f t="shared" si="13"/>
        <v>0</v>
      </c>
      <c r="X64" s="17">
        <f t="shared" si="13"/>
        <v>0</v>
      </c>
      <c r="Y64" s="17">
        <f t="shared" si="13"/>
        <v>0</v>
      </c>
      <c r="Z64" s="17">
        <f t="shared" si="13"/>
        <v>0</v>
      </c>
      <c r="AA64" s="17">
        <f t="shared" si="13"/>
        <v>0</v>
      </c>
      <c r="AB64" s="17">
        <f t="shared" si="13"/>
        <v>0</v>
      </c>
      <c r="AC64" s="17">
        <f t="shared" si="13"/>
        <v>0</v>
      </c>
      <c r="AD64" s="17">
        <f t="shared" si="13"/>
        <v>0</v>
      </c>
      <c r="AE64" s="17">
        <f t="shared" si="13"/>
        <v>0</v>
      </c>
      <c r="AF64" s="17">
        <f t="shared" si="13"/>
        <v>0</v>
      </c>
      <c r="AG64" s="17">
        <f t="shared" si="13"/>
        <v>0</v>
      </c>
      <c r="AH64" s="17">
        <f t="shared" si="13"/>
        <v>0</v>
      </c>
      <c r="AI64" s="17">
        <f t="shared" si="13"/>
        <v>0</v>
      </c>
      <c r="AJ64" s="17">
        <f t="shared" si="13"/>
        <v>0</v>
      </c>
      <c r="AK64" s="17">
        <f t="shared" si="13"/>
        <v>0</v>
      </c>
      <c r="AL64" s="17">
        <f t="shared" si="13"/>
        <v>0</v>
      </c>
      <c r="AM64" s="17">
        <f t="shared" si="13"/>
        <v>0</v>
      </c>
      <c r="AN64" s="17">
        <f t="shared" si="13"/>
        <v>0</v>
      </c>
      <c r="AO64" s="17">
        <f t="shared" si="13"/>
        <v>0</v>
      </c>
      <c r="AP64" s="17">
        <f t="shared" si="13"/>
        <v>0</v>
      </c>
      <c r="AQ64" s="17"/>
      <c r="AR64" s="17"/>
      <c r="AS64" s="17"/>
      <c r="AT64" s="17"/>
      <c r="AU64" s="17"/>
      <c r="AV64" s="17"/>
    </row>
    <row r="65" spans="1:48" s="21" customFormat="1">
      <c r="A65" s="20" t="s">
        <v>30</v>
      </c>
      <c r="B65" s="17">
        <f>'Proforma Inputs'!B61</f>
        <v>0</v>
      </c>
      <c r="C65" s="17">
        <f t="shared" ref="C65:AP65" si="14">B65-B12</f>
        <v>0</v>
      </c>
      <c r="D65" s="17">
        <f t="shared" si="14"/>
        <v>0</v>
      </c>
      <c r="E65" s="17">
        <f t="shared" si="14"/>
        <v>0</v>
      </c>
      <c r="F65" s="17">
        <f t="shared" si="14"/>
        <v>0</v>
      </c>
      <c r="G65" s="17">
        <f t="shared" si="14"/>
        <v>0</v>
      </c>
      <c r="H65" s="17">
        <f t="shared" si="14"/>
        <v>0</v>
      </c>
      <c r="I65" s="17">
        <f t="shared" si="14"/>
        <v>0</v>
      </c>
      <c r="J65" s="17">
        <f t="shared" si="14"/>
        <v>0</v>
      </c>
      <c r="K65" s="17">
        <f t="shared" si="14"/>
        <v>0</v>
      </c>
      <c r="L65" s="17">
        <f t="shared" si="14"/>
        <v>0</v>
      </c>
      <c r="M65" s="17">
        <f t="shared" si="14"/>
        <v>0</v>
      </c>
      <c r="N65" s="17">
        <f t="shared" si="14"/>
        <v>0</v>
      </c>
      <c r="O65" s="17">
        <f t="shared" si="14"/>
        <v>0</v>
      </c>
      <c r="P65" s="17">
        <f t="shared" si="14"/>
        <v>0</v>
      </c>
      <c r="Q65" s="17">
        <f t="shared" si="14"/>
        <v>0</v>
      </c>
      <c r="R65" s="17">
        <f t="shared" si="14"/>
        <v>0</v>
      </c>
      <c r="S65" s="17">
        <f t="shared" si="14"/>
        <v>0</v>
      </c>
      <c r="T65" s="17">
        <f t="shared" si="14"/>
        <v>0</v>
      </c>
      <c r="U65" s="17">
        <f t="shared" si="14"/>
        <v>0</v>
      </c>
      <c r="V65" s="17">
        <f t="shared" si="14"/>
        <v>0</v>
      </c>
      <c r="W65" s="17">
        <f t="shared" si="14"/>
        <v>0</v>
      </c>
      <c r="X65" s="17">
        <f t="shared" si="14"/>
        <v>0</v>
      </c>
      <c r="Y65" s="17">
        <f t="shared" si="14"/>
        <v>0</v>
      </c>
      <c r="Z65" s="17">
        <f t="shared" si="14"/>
        <v>0</v>
      </c>
      <c r="AA65" s="17">
        <f t="shared" si="14"/>
        <v>0</v>
      </c>
      <c r="AB65" s="17">
        <f t="shared" si="14"/>
        <v>0</v>
      </c>
      <c r="AC65" s="17">
        <f t="shared" si="14"/>
        <v>0</v>
      </c>
      <c r="AD65" s="17">
        <f t="shared" si="14"/>
        <v>0</v>
      </c>
      <c r="AE65" s="17">
        <f t="shared" si="14"/>
        <v>0</v>
      </c>
      <c r="AF65" s="17">
        <f t="shared" si="14"/>
        <v>0</v>
      </c>
      <c r="AG65" s="17">
        <f t="shared" si="14"/>
        <v>0</v>
      </c>
      <c r="AH65" s="17">
        <f t="shared" si="14"/>
        <v>0</v>
      </c>
      <c r="AI65" s="17">
        <f t="shared" si="14"/>
        <v>0</v>
      </c>
      <c r="AJ65" s="17">
        <f t="shared" si="14"/>
        <v>0</v>
      </c>
      <c r="AK65" s="17">
        <f t="shared" si="14"/>
        <v>0</v>
      </c>
      <c r="AL65" s="17">
        <f t="shared" si="14"/>
        <v>0</v>
      </c>
      <c r="AM65" s="17">
        <f t="shared" si="14"/>
        <v>0</v>
      </c>
      <c r="AN65" s="17">
        <f t="shared" si="14"/>
        <v>0</v>
      </c>
      <c r="AO65" s="17">
        <f t="shared" si="14"/>
        <v>0</v>
      </c>
      <c r="AP65" s="17">
        <f t="shared" si="14"/>
        <v>0</v>
      </c>
      <c r="AQ65" s="17"/>
      <c r="AR65" s="17"/>
      <c r="AS65" s="17"/>
      <c r="AT65" s="17"/>
      <c r="AU65" s="17"/>
      <c r="AV65" s="17"/>
    </row>
    <row r="66" spans="1:48" s="21" customFormat="1">
      <c r="A66" s="20" t="s">
        <v>31</v>
      </c>
      <c r="B66" s="17">
        <f>'Proforma Inputs'!B62</f>
        <v>0</v>
      </c>
      <c r="C66" s="17">
        <f t="shared" ref="C66:AP66" si="15">B66-B13</f>
        <v>0</v>
      </c>
      <c r="D66" s="17">
        <f t="shared" si="15"/>
        <v>0</v>
      </c>
      <c r="E66" s="17">
        <f t="shared" si="15"/>
        <v>0</v>
      </c>
      <c r="F66" s="17">
        <f t="shared" si="15"/>
        <v>0</v>
      </c>
      <c r="G66" s="17">
        <f t="shared" si="15"/>
        <v>0</v>
      </c>
      <c r="H66" s="17">
        <f t="shared" si="15"/>
        <v>0</v>
      </c>
      <c r="I66" s="17">
        <f t="shared" si="15"/>
        <v>0</v>
      </c>
      <c r="J66" s="17">
        <f t="shared" si="15"/>
        <v>0</v>
      </c>
      <c r="K66" s="17">
        <f t="shared" si="15"/>
        <v>0</v>
      </c>
      <c r="L66" s="17">
        <f t="shared" si="15"/>
        <v>0</v>
      </c>
      <c r="M66" s="17">
        <f t="shared" si="15"/>
        <v>0</v>
      </c>
      <c r="N66" s="17">
        <f t="shared" si="15"/>
        <v>0</v>
      </c>
      <c r="O66" s="17">
        <f t="shared" si="15"/>
        <v>0</v>
      </c>
      <c r="P66" s="17">
        <f t="shared" si="15"/>
        <v>0</v>
      </c>
      <c r="Q66" s="17">
        <f t="shared" si="15"/>
        <v>0</v>
      </c>
      <c r="R66" s="17">
        <f t="shared" si="15"/>
        <v>0</v>
      </c>
      <c r="S66" s="17">
        <f t="shared" si="15"/>
        <v>0</v>
      </c>
      <c r="T66" s="17">
        <f t="shared" si="15"/>
        <v>0</v>
      </c>
      <c r="U66" s="17">
        <f t="shared" si="15"/>
        <v>0</v>
      </c>
      <c r="V66" s="17">
        <f t="shared" si="15"/>
        <v>0</v>
      </c>
      <c r="W66" s="17">
        <f t="shared" si="15"/>
        <v>0</v>
      </c>
      <c r="X66" s="17">
        <f t="shared" si="15"/>
        <v>0</v>
      </c>
      <c r="Y66" s="17">
        <f t="shared" si="15"/>
        <v>0</v>
      </c>
      <c r="Z66" s="17">
        <f t="shared" si="15"/>
        <v>0</v>
      </c>
      <c r="AA66" s="17">
        <f t="shared" si="15"/>
        <v>0</v>
      </c>
      <c r="AB66" s="17">
        <f t="shared" si="15"/>
        <v>0</v>
      </c>
      <c r="AC66" s="17">
        <f t="shared" si="15"/>
        <v>0</v>
      </c>
      <c r="AD66" s="17">
        <f t="shared" si="15"/>
        <v>0</v>
      </c>
      <c r="AE66" s="17">
        <f t="shared" si="15"/>
        <v>0</v>
      </c>
      <c r="AF66" s="17">
        <f t="shared" si="15"/>
        <v>0</v>
      </c>
      <c r="AG66" s="17">
        <f t="shared" si="15"/>
        <v>0</v>
      </c>
      <c r="AH66" s="17">
        <f t="shared" si="15"/>
        <v>0</v>
      </c>
      <c r="AI66" s="17">
        <f t="shared" si="15"/>
        <v>0</v>
      </c>
      <c r="AJ66" s="17">
        <f t="shared" si="15"/>
        <v>0</v>
      </c>
      <c r="AK66" s="17">
        <f t="shared" si="15"/>
        <v>0</v>
      </c>
      <c r="AL66" s="17">
        <f t="shared" si="15"/>
        <v>0</v>
      </c>
      <c r="AM66" s="17">
        <f t="shared" si="15"/>
        <v>0</v>
      </c>
      <c r="AN66" s="17">
        <f t="shared" si="15"/>
        <v>0</v>
      </c>
      <c r="AO66" s="17">
        <f t="shared" si="15"/>
        <v>0</v>
      </c>
      <c r="AP66" s="17">
        <f t="shared" si="15"/>
        <v>0</v>
      </c>
      <c r="AQ66" s="17"/>
      <c r="AR66" s="17"/>
      <c r="AS66" s="17"/>
      <c r="AT66" s="17"/>
      <c r="AU66" s="17"/>
      <c r="AV66" s="17"/>
    </row>
    <row r="67" spans="1:48" s="21" customFormat="1">
      <c r="A67" s="20" t="s">
        <v>32</v>
      </c>
      <c r="B67" s="17">
        <f>'Proforma Inputs'!B63</f>
        <v>0</v>
      </c>
      <c r="C67" s="17">
        <f t="shared" ref="C67:AP67" si="16">B67-B14</f>
        <v>0</v>
      </c>
      <c r="D67" s="17">
        <f t="shared" si="16"/>
        <v>0</v>
      </c>
      <c r="E67" s="17">
        <f t="shared" si="16"/>
        <v>0</v>
      </c>
      <c r="F67" s="17">
        <f t="shared" si="16"/>
        <v>0</v>
      </c>
      <c r="G67" s="17">
        <f t="shared" si="16"/>
        <v>0</v>
      </c>
      <c r="H67" s="17">
        <f t="shared" si="16"/>
        <v>0</v>
      </c>
      <c r="I67" s="17">
        <f t="shared" si="16"/>
        <v>0</v>
      </c>
      <c r="J67" s="17">
        <f t="shared" si="16"/>
        <v>0</v>
      </c>
      <c r="K67" s="17">
        <f t="shared" si="16"/>
        <v>0</v>
      </c>
      <c r="L67" s="17">
        <f t="shared" si="16"/>
        <v>0</v>
      </c>
      <c r="M67" s="17">
        <f t="shared" si="16"/>
        <v>0</v>
      </c>
      <c r="N67" s="17">
        <f t="shared" si="16"/>
        <v>0</v>
      </c>
      <c r="O67" s="17">
        <f t="shared" si="16"/>
        <v>0</v>
      </c>
      <c r="P67" s="17">
        <f t="shared" si="16"/>
        <v>0</v>
      </c>
      <c r="Q67" s="17">
        <f t="shared" si="16"/>
        <v>0</v>
      </c>
      <c r="R67" s="17">
        <f t="shared" si="16"/>
        <v>0</v>
      </c>
      <c r="S67" s="17">
        <f t="shared" si="16"/>
        <v>0</v>
      </c>
      <c r="T67" s="17">
        <f t="shared" si="16"/>
        <v>0</v>
      </c>
      <c r="U67" s="17">
        <f t="shared" si="16"/>
        <v>0</v>
      </c>
      <c r="V67" s="17">
        <f t="shared" si="16"/>
        <v>0</v>
      </c>
      <c r="W67" s="17">
        <f t="shared" si="16"/>
        <v>0</v>
      </c>
      <c r="X67" s="17">
        <f t="shared" si="16"/>
        <v>0</v>
      </c>
      <c r="Y67" s="17">
        <f t="shared" si="16"/>
        <v>0</v>
      </c>
      <c r="Z67" s="17">
        <f t="shared" si="16"/>
        <v>0</v>
      </c>
      <c r="AA67" s="17">
        <f t="shared" si="16"/>
        <v>0</v>
      </c>
      <c r="AB67" s="17">
        <f t="shared" si="16"/>
        <v>0</v>
      </c>
      <c r="AC67" s="17">
        <f t="shared" si="16"/>
        <v>0</v>
      </c>
      <c r="AD67" s="17">
        <f t="shared" si="16"/>
        <v>0</v>
      </c>
      <c r="AE67" s="17">
        <f t="shared" si="16"/>
        <v>0</v>
      </c>
      <c r="AF67" s="17">
        <f t="shared" si="16"/>
        <v>0</v>
      </c>
      <c r="AG67" s="17">
        <f t="shared" si="16"/>
        <v>0</v>
      </c>
      <c r="AH67" s="17">
        <f t="shared" si="16"/>
        <v>0</v>
      </c>
      <c r="AI67" s="17">
        <f t="shared" si="16"/>
        <v>0</v>
      </c>
      <c r="AJ67" s="17">
        <f t="shared" si="16"/>
        <v>0</v>
      </c>
      <c r="AK67" s="17">
        <f t="shared" si="16"/>
        <v>0</v>
      </c>
      <c r="AL67" s="17">
        <f t="shared" si="16"/>
        <v>0</v>
      </c>
      <c r="AM67" s="17">
        <f t="shared" si="16"/>
        <v>0</v>
      </c>
      <c r="AN67" s="17">
        <f t="shared" si="16"/>
        <v>0</v>
      </c>
      <c r="AO67" s="17">
        <f t="shared" si="16"/>
        <v>0</v>
      </c>
      <c r="AP67" s="17">
        <f t="shared" si="16"/>
        <v>0</v>
      </c>
      <c r="AQ67" s="17"/>
      <c r="AR67" s="17"/>
      <c r="AS67" s="17"/>
      <c r="AT67" s="17"/>
      <c r="AU67" s="17"/>
      <c r="AV67" s="17"/>
    </row>
    <row r="68" spans="1:48">
      <c r="A68" t="s">
        <v>50</v>
      </c>
      <c r="B68" s="15">
        <v>0</v>
      </c>
      <c r="C68" s="15">
        <f>IF(SUM(C16:C27,C35:C40)&gt;0,IF(SUM($B$68:B68)=1,0,IF(SUM(C16:C27)&gt;='Proforma Inputs'!$B$7*SUM('Proforma Inputs'!$B$75,$B$85:$B$91),1,0)),0)</f>
        <v>0</v>
      </c>
      <c r="D68" s="15">
        <f>IF(SUM(D16:D27,D35:D40)&gt;0,IF(SUM($B$68:C68)=1,0,IF(SUM(D16:D27)&gt;='Proforma Inputs'!$B$7*SUM('Proforma Inputs'!$B$75,$B$85:$B$91),1,0)),0)</f>
        <v>0</v>
      </c>
      <c r="E68" s="15">
        <f>IF(SUM(E16:E27,E35:E40)&gt;0,IF(SUM($B$68:D68)=1,0,IF(SUM(E16:E27)&gt;='Proforma Inputs'!$B$7*SUM('Proforma Inputs'!$B$75,$B$85:$B$91),1,0)),0)</f>
        <v>0</v>
      </c>
      <c r="F68" s="15">
        <f>IF(SUM(F16:F27,F35:F40)&gt;0,IF(SUM($B$68:E68)=1,0,IF(SUM(F16:F27)&gt;='Proforma Inputs'!$B$7*SUM('Proforma Inputs'!$B$75,$B$85:$B$91),1,0)),0)</f>
        <v>0</v>
      </c>
      <c r="G68" s="15">
        <f>IF(SUM(G16:G27,G35:G40)&gt;0,IF(SUM($B$68:F68)=1,0,IF(SUM(G16:G27)&gt;='Proforma Inputs'!$B$7*SUM('Proforma Inputs'!$B$75,$B$85:$B$91),1,0)),0)</f>
        <v>1</v>
      </c>
      <c r="H68" s="15">
        <f>IF(SUM(H16:H27,H35:H40)&gt;0,IF(SUM($B$68:G68)=1,0,IF(SUM(H16:H27)&gt;='Proforma Inputs'!$B$7*SUM('Proforma Inputs'!$B$75,$B$85:$B$91),1,0)),0)</f>
        <v>0</v>
      </c>
      <c r="I68" s="15">
        <f>IF(SUM(I16:I27,I35:I40)&gt;0,IF(SUM($B$68:H68)=1,0,IF(SUM(I16:I27)&gt;='Proforma Inputs'!$B$7*SUM('Proforma Inputs'!$B$75,$B$85:$B$91),1,0)),0)</f>
        <v>0</v>
      </c>
      <c r="J68" s="15">
        <f>IF(SUM(J16:J27,J35:J40)&gt;0,IF(SUM($B$68:I68)=1,0,IF(SUM(J16:J27)&gt;='Proforma Inputs'!$B$7*SUM('Proforma Inputs'!$B$75,$B$85:$B$91),1,0)),0)</f>
        <v>0</v>
      </c>
      <c r="K68" s="15">
        <f>IF(SUM(K16:K27,K35:K40)&gt;0,IF(SUM($B$68:J68)=1,0,IF(SUM(K16:K27)&gt;='Proforma Inputs'!$B$7*SUM('Proforma Inputs'!$B$75,$B$85:$B$91),1,0)),0)</f>
        <v>0</v>
      </c>
      <c r="L68" s="15">
        <f>IF(SUM(L16:L27,L35:L40)&gt;0,IF(SUM($B$68:K68)=1,0,IF(SUM(L16:L27)&gt;='Proforma Inputs'!$B$7*SUM('Proforma Inputs'!$B$75,$B$85:$B$91),1,0)),0)</f>
        <v>0</v>
      </c>
      <c r="M68" s="15">
        <f>IF(SUM(M16:M27,M35:M40)&gt;0,IF(SUM($B$68:L68)=1,0,IF(SUM(M16:M27)&gt;='Proforma Inputs'!$B$7*SUM('Proforma Inputs'!$B$75,$B$85:$B$91),1,0)),0)</f>
        <v>0</v>
      </c>
      <c r="N68" s="15">
        <f>IF(SUM(N16:N27,N35:N40)&gt;0,IF(SUM($B$68:M68)=1,0,IF(SUM(N16:N27)&gt;='Proforma Inputs'!$B$7*SUM('Proforma Inputs'!$B$75,$B$85:$B$91),1,0)),0)</f>
        <v>0</v>
      </c>
      <c r="O68" s="15">
        <f>IF(SUM(O16:O27,O35:O40)&gt;0,IF(SUM($B$68:N68)=1,0,IF(SUM(O16:O27)&gt;='Proforma Inputs'!$B$7*SUM('Proforma Inputs'!$B$75,$B$85:$B$91),1,0)),0)</f>
        <v>0</v>
      </c>
      <c r="P68" s="15">
        <f>IF(SUM(P16:P27,P35:P40)&gt;0,IF(SUM($B$68:O68)=1,0,IF(SUM(P16:P27)&gt;='Proforma Inputs'!$B$7*SUM('Proforma Inputs'!$B$75,$B$85:$B$91),1,0)),0)</f>
        <v>0</v>
      </c>
      <c r="Q68" s="15">
        <f>IF(SUM(Q16:Q27,Q35:Q40)&gt;0,IF(SUM($B$68:P68)=1,0,IF(SUM(Q16:Q27)&gt;='Proforma Inputs'!$B$7*SUM('Proforma Inputs'!$B$75,$B$85:$B$91),1,0)),0)</f>
        <v>0</v>
      </c>
      <c r="R68" s="15">
        <f>IF(SUM(R16:R27,R35:R40)&gt;0,IF(SUM($B$68:Q68)=1,0,IF(SUM(R16:R27)&gt;='Proforma Inputs'!$B$7*SUM('Proforma Inputs'!$B$75,$B$85:$B$91),1,0)),0)</f>
        <v>0</v>
      </c>
      <c r="S68" s="15">
        <f>IF(SUM(S16:S27,S35:S40)&gt;0,IF(SUM($B$68:R68)=1,0,IF(SUM(S16:S27)&gt;='Proforma Inputs'!$B$7*SUM('Proforma Inputs'!$B$75,$B$85:$B$91),1,0)),0)</f>
        <v>0</v>
      </c>
      <c r="T68" s="15">
        <f>IF(SUM(T16:T27,T35:T40)&gt;0,IF(SUM($B$68:S68)=1,0,IF(SUM(T16:T27)&gt;='Proforma Inputs'!$B$7*SUM('Proforma Inputs'!$B$75,$B$85:$B$91),1,0)),0)</f>
        <v>0</v>
      </c>
      <c r="U68" s="15">
        <f>IF(SUM(U16:U27,U35:U40)&gt;0,IF(SUM($B$68:T68)=1,0,IF(SUM(U16:U27)&gt;='Proforma Inputs'!$B$7*SUM('Proforma Inputs'!$B$75,$B$85:$B$91),1,0)),0)</f>
        <v>0</v>
      </c>
      <c r="V68" s="15">
        <f>IF(SUM(V16:V27,V35:V40)&gt;0,IF(SUM($B$68:U68)=1,0,IF(SUM(V16:V27)&gt;='Proforma Inputs'!$B$7*SUM('Proforma Inputs'!$B$75,$B$85:$B$91),1,0)),0)</f>
        <v>0</v>
      </c>
      <c r="W68" s="15">
        <f>IF(SUM(W16:W27,W35:W40)&gt;0,IF(SUM($B$68:V68)=1,0,IF(SUM(W16:W27)&gt;='Proforma Inputs'!$B$7*SUM('Proforma Inputs'!$B$75,$B$85:$B$91),1,0)),0)</f>
        <v>0</v>
      </c>
      <c r="X68" s="15">
        <f>IF(SUM(X16:X27,X35:X40)&gt;0,IF(SUM($B$68:W68)=1,0,IF(SUM(X16:X27)&gt;='Proforma Inputs'!$B$7*SUM('Proforma Inputs'!$B$75,$B$85:$B$91),1,0)),0)</f>
        <v>0</v>
      </c>
      <c r="Y68" s="15">
        <f>IF(SUM(Y16:Y27,Y35:Y40)&gt;0,IF(SUM($B$68:X68)=1,0,IF(SUM(Y16:Y27)&gt;='Proforma Inputs'!$B$7*SUM('Proforma Inputs'!$B$75,$B$85:$B$91),1,0)),0)</f>
        <v>0</v>
      </c>
      <c r="Z68" s="15">
        <f>IF(SUM(Z16:Z27,Z35:Z40)&gt;0,IF(SUM($B$68:Y68)=1,0,IF(SUM(Z16:Z27)&gt;='Proforma Inputs'!$B$7*SUM('Proforma Inputs'!$B$75,$B$85:$B$91),1,0)),0)</f>
        <v>0</v>
      </c>
      <c r="AA68" s="15">
        <f>IF(SUM(AA16:AA27,AA35:AA40)&gt;0,IF(SUM($B$68:Z68)=1,0,IF(SUM(AA16:AA27)&gt;='Proforma Inputs'!$B$7*SUM('Proforma Inputs'!$B$75,$B$85:$B$91),1,0)),0)</f>
        <v>0</v>
      </c>
      <c r="AB68" s="15">
        <f>IF(SUM(AB16:AB27,AB35:AB40)&gt;0,IF(SUM($B$68:AA68)=1,0,IF(SUM(AB16:AB27)&gt;='Proforma Inputs'!$B$7*SUM('Proforma Inputs'!$B$75,$B$85:$B$91),1,0)),0)</f>
        <v>0</v>
      </c>
      <c r="AC68" s="15">
        <f>IF(SUM(AC16:AC27,AC35:AC40)&gt;0,IF(SUM($B$68:AB68)=1,0,IF(SUM(AC16:AC27)&gt;='Proforma Inputs'!$B$7*SUM('Proforma Inputs'!$B$75,$B$85:$B$91),1,0)),0)</f>
        <v>0</v>
      </c>
      <c r="AD68" s="15">
        <f>IF(SUM(AD16:AD27,AD35:AD40)&gt;0,IF(SUM($B$68:AC68)=1,0,IF(SUM(AD16:AD27)&gt;='Proforma Inputs'!$B$7*SUM('Proforma Inputs'!$B$75,$B$85:$B$91),1,0)),0)</f>
        <v>0</v>
      </c>
      <c r="AE68" s="15">
        <f>IF(SUM(AE16:AE27,AE35:AE40)&gt;0,IF(SUM($B$68:AD68)=1,0,IF(SUM(AE16:AE27)&gt;='Proforma Inputs'!$B$7*SUM('Proforma Inputs'!$B$75,$B$85:$B$91),1,0)),0)</f>
        <v>0</v>
      </c>
      <c r="AF68" s="15">
        <f>IF(SUM(AF16:AF27,AF35:AF40)&gt;0,IF(SUM($B$68:AE68)=1,0,IF(SUM(AF16:AF27)&gt;='Proforma Inputs'!$B$7*SUM('Proforma Inputs'!$B$75,$B$85:$B$91),1,0)),0)</f>
        <v>0</v>
      </c>
      <c r="AG68" s="15">
        <f>IF(SUM(AG16:AG27,AG35:AG40)&gt;0,IF(SUM($B$68:AF68)=1,0,IF(SUM(AG16:AG27)&gt;='Proforma Inputs'!$B$7*SUM('Proforma Inputs'!$B$75,$B$85:$B$91),1,0)),0)</f>
        <v>0</v>
      </c>
      <c r="AH68" s="15">
        <f>IF(SUM(AH16:AH27,AH35:AH40)&gt;0,IF(SUM($B$68:AG68)=1,0,IF(SUM(AH16:AH27)&gt;='Proforma Inputs'!$B$7*SUM('Proforma Inputs'!$B$75,$B$85:$B$91),1,0)),0)</f>
        <v>0</v>
      </c>
      <c r="AI68" s="15">
        <f>IF(SUM(AI16:AI27,AI35:AI40)&gt;0,IF(SUM($B$68:AH68)=1,0,IF(SUM(AI16:AI27)&gt;='Proforma Inputs'!$B$7*SUM('Proforma Inputs'!$B$75,$B$85:$B$91),1,0)),0)</f>
        <v>0</v>
      </c>
      <c r="AJ68" s="15">
        <f>IF(SUM(AJ16:AJ27,AJ35:AJ40)&gt;0,IF(SUM($B$68:AI68)=1,0,IF(SUM(AJ16:AJ27)&gt;='Proforma Inputs'!$B$7*SUM('Proforma Inputs'!$B$75,$B$85:$B$91),1,0)),0)</f>
        <v>0</v>
      </c>
      <c r="AK68" s="15">
        <f>IF(SUM(AK16:AK27,AK35:AK40)&gt;0,IF(SUM($B$68:AJ68)=1,0,IF(SUM(AK16:AK27)&gt;='Proforma Inputs'!$B$7*SUM('Proforma Inputs'!$B$75,$B$85:$B$91),1,0)),0)</f>
        <v>0</v>
      </c>
      <c r="AL68" s="15">
        <f>IF(SUM(AL16:AL27,AL35:AL40)&gt;0,IF(SUM($B$68:AK68)=1,0,IF(SUM(AL16:AL27)&gt;='Proforma Inputs'!$B$7*SUM('Proforma Inputs'!$B$75,$B$85:$B$91),1,0)),0)</f>
        <v>0</v>
      </c>
      <c r="AM68" s="15">
        <f>IF(SUM(AM16:AM27,AM35:AM40)&gt;0,IF(SUM($B$68:AL68)=1,0,IF(SUM(AM16:AM27)&gt;='Proforma Inputs'!$B$7*SUM('Proforma Inputs'!$B$75,$B$85:$B$91),1,0)),0)</f>
        <v>0</v>
      </c>
      <c r="AN68" s="15">
        <f>IF(SUM(AN16:AN27,AN35:AN40)&gt;0,IF(SUM($B$68:AM68)=1,0,IF(SUM(AN16:AN27)&gt;='Proforma Inputs'!$B$7*SUM('Proforma Inputs'!$B$75,$B$85:$B$91),1,0)),0)</f>
        <v>0</v>
      </c>
      <c r="AO68" s="15">
        <f>IF(SUM(AO16:AO27,AO35:AO40)&gt;0,IF(SUM($B$68:AN68)=1,0,IF(SUM(AO16:AO27)&gt;='Proforma Inputs'!$B$7*SUM('Proforma Inputs'!$B$75,$B$85:$B$91),1,0)),0)</f>
        <v>0</v>
      </c>
      <c r="AP68" s="15">
        <f>IF(SUM(AP16:AP27,AP35:AP40)&gt;0,IF(SUM($B$68:AO68)=1,0,IF(SUM(AP16:AP27)&gt;='Proforma Inputs'!$B$7*SUM('Proforma Inputs'!$B$75,$B$85:$B$91),1,0)),0)</f>
        <v>0</v>
      </c>
      <c r="AQ68" s="15"/>
      <c r="AR68" s="15"/>
      <c r="AS68" s="15"/>
      <c r="AT68" s="15"/>
      <c r="AU68" s="15"/>
      <c r="AV68" s="15"/>
    </row>
    <row r="69" spans="1:48">
      <c r="A69" t="s">
        <v>117</v>
      </c>
      <c r="B69" s="5">
        <v>0</v>
      </c>
      <c r="C69" s="5">
        <f>C90/'Proforma Inputs'!$B$14*'Proforma Inputs'!$B$29</f>
        <v>0</v>
      </c>
      <c r="D69" s="5">
        <f>D90/'Proforma Inputs'!$B$14*'Proforma Inputs'!$B$29</f>
        <v>0</v>
      </c>
      <c r="E69" s="5">
        <f>E90/'Proforma Inputs'!$B$14*'Proforma Inputs'!$B$29</f>
        <v>0</v>
      </c>
      <c r="F69" s="5">
        <f>F90/'Proforma Inputs'!$B$14*'Proforma Inputs'!$B$29</f>
        <v>0</v>
      </c>
      <c r="G69" s="5">
        <f>G90/'Proforma Inputs'!$B$14*'Proforma Inputs'!$B$29</f>
        <v>1512276.7857142857</v>
      </c>
      <c r="H69" s="5">
        <f>H90/'Proforma Inputs'!$B$14*'Proforma Inputs'!$B$29</f>
        <v>7578125</v>
      </c>
      <c r="I69" s="5">
        <f>I90/'Proforma Inputs'!$B$14*'Proforma Inputs'!$B$29</f>
        <v>13643973.214285713</v>
      </c>
      <c r="J69" s="5">
        <f>J90/'Proforma Inputs'!$B$14*'Proforma Inputs'!$B$29</f>
        <v>19709821.428571425</v>
      </c>
      <c r="K69" s="5">
        <f>K90/'Proforma Inputs'!$B$14*'Proforma Inputs'!$B$29</f>
        <v>24743303.571428567</v>
      </c>
      <c r="L69" s="5">
        <f>L90/'Proforma Inputs'!$B$14*'Proforma Inputs'!$B$29</f>
        <v>29776785.714285709</v>
      </c>
      <c r="M69" s="5">
        <f>M90/'Proforma Inputs'!$B$14*'Proforma Inputs'!$B$29</f>
        <v>34810267.857142858</v>
      </c>
      <c r="N69" s="5">
        <f>N90/'Proforma Inputs'!$B$14*'Proforma Inputs'!$B$29</f>
        <v>39843749.999999993</v>
      </c>
      <c r="O69" s="5">
        <f>O90/'Proforma Inputs'!$B$14*'Proforma Inputs'!$B$29</f>
        <v>39843749.999999993</v>
      </c>
      <c r="P69" s="5">
        <f>P90/'Proforma Inputs'!$B$14*'Proforma Inputs'!$B$29</f>
        <v>39843749.999999993</v>
      </c>
      <c r="Q69" s="5">
        <f>Q90/'Proforma Inputs'!$B$14*'Proforma Inputs'!$B$29</f>
        <v>39843749.999999993</v>
      </c>
      <c r="R69" s="5">
        <f>R90/'Proforma Inputs'!$B$14*'Proforma Inputs'!$B$29</f>
        <v>39843749.999999993</v>
      </c>
      <c r="S69" s="5">
        <f>S90/'Proforma Inputs'!$B$14*'Proforma Inputs'!$B$29</f>
        <v>39843749.999999993</v>
      </c>
      <c r="T69" s="5">
        <f>T90/'Proforma Inputs'!$B$14*'Proforma Inputs'!$B$29</f>
        <v>39843749.999999993</v>
      </c>
      <c r="U69" s="5">
        <f>U90/'Proforma Inputs'!$B$14*'Proforma Inputs'!$B$29</f>
        <v>0</v>
      </c>
      <c r="V69" s="5">
        <f>V90/'Proforma Inputs'!$B$14*'Proforma Inputs'!$B$29</f>
        <v>0</v>
      </c>
      <c r="W69" s="5">
        <f>W90/'Proforma Inputs'!$B$14*'Proforma Inputs'!$B$29</f>
        <v>0</v>
      </c>
      <c r="X69" s="5">
        <f>X90/'Proforma Inputs'!$B$14*'Proforma Inputs'!$B$29</f>
        <v>0</v>
      </c>
      <c r="Y69" s="5">
        <f>Y90/'Proforma Inputs'!$B$14*'Proforma Inputs'!$B$29</f>
        <v>0</v>
      </c>
      <c r="Z69" s="5">
        <f>Z90/'Proforma Inputs'!$B$14*'Proforma Inputs'!$B$29</f>
        <v>0</v>
      </c>
      <c r="AA69" s="5">
        <f>AA90/'Proforma Inputs'!$B$14*'Proforma Inputs'!$B$29</f>
        <v>0</v>
      </c>
      <c r="AB69" s="5">
        <f>AB90/'Proforma Inputs'!$B$14*'Proforma Inputs'!$B$29</f>
        <v>0</v>
      </c>
      <c r="AC69" s="5">
        <f>AC90/'Proforma Inputs'!$B$14*'Proforma Inputs'!$B$29</f>
        <v>0</v>
      </c>
      <c r="AD69" s="5">
        <f>AD90/'Proforma Inputs'!$B$14*'Proforma Inputs'!$B$29</f>
        <v>0</v>
      </c>
      <c r="AE69" s="5">
        <f>AE90/'Proforma Inputs'!$B$14*'Proforma Inputs'!$B$29</f>
        <v>0</v>
      </c>
      <c r="AF69" s="5">
        <f>AF90/'Proforma Inputs'!$B$14*'Proforma Inputs'!$B$29</f>
        <v>0</v>
      </c>
      <c r="AG69" s="5">
        <f>AG90/'Proforma Inputs'!$B$14*'Proforma Inputs'!$B$29</f>
        <v>0</v>
      </c>
      <c r="AH69" s="5">
        <f>AH90/'Proforma Inputs'!$B$14*'Proforma Inputs'!$B$29</f>
        <v>0</v>
      </c>
      <c r="AI69" s="5">
        <f>AI90/'Proforma Inputs'!$B$14*'Proforma Inputs'!$B$29</f>
        <v>0</v>
      </c>
      <c r="AJ69" s="5">
        <f>AJ90/'Proforma Inputs'!$B$14*'Proforma Inputs'!$B$29</f>
        <v>0</v>
      </c>
      <c r="AK69" s="5">
        <f>AK90/'Proforma Inputs'!$B$14*'Proforma Inputs'!$B$29</f>
        <v>0</v>
      </c>
      <c r="AL69" s="5">
        <f>AL90/'Proforma Inputs'!$B$14*'Proforma Inputs'!$B$29</f>
        <v>0</v>
      </c>
      <c r="AM69" s="5">
        <f>AM90/'Proforma Inputs'!$B$14*'Proforma Inputs'!$B$29</f>
        <v>0</v>
      </c>
      <c r="AN69" s="5">
        <f>AN90/'Proforma Inputs'!$B$14*'Proforma Inputs'!$B$29</f>
        <v>0</v>
      </c>
      <c r="AO69" s="5">
        <f>AO90/'Proforma Inputs'!$B$14*'Proforma Inputs'!$B$29</f>
        <v>0</v>
      </c>
      <c r="AP69" s="5">
        <f>AP90/'Proforma Inputs'!$B$14*'Proforma Inputs'!$B$29</f>
        <v>0</v>
      </c>
      <c r="AQ69" s="5"/>
      <c r="AR69" s="5"/>
      <c r="AS69" s="5"/>
      <c r="AT69" s="5"/>
      <c r="AU69" s="5"/>
      <c r="AV69" s="5"/>
    </row>
    <row r="70" spans="1:48">
      <c r="A70" t="s">
        <v>118</v>
      </c>
      <c r="B70" s="5">
        <v>0</v>
      </c>
      <c r="C70" s="5">
        <f>-PV('Proforma Inputs'!$B$31,'Proforma Inputs'!$B$32*'Proforma Inputs'!$B$4,Proforma!C90/'Proforma Inputs'!$B$30)</f>
        <v>0</v>
      </c>
      <c r="D70" s="5">
        <f>-PV('Proforma Inputs'!$B$31,'Proforma Inputs'!$B$32*'Proforma Inputs'!$B$4,Proforma!D90/'Proforma Inputs'!$B$30)</f>
        <v>0</v>
      </c>
      <c r="E70" s="5">
        <f>-PV('Proforma Inputs'!$B$31,'Proforma Inputs'!$B$32*'Proforma Inputs'!$B$4,Proforma!E90/'Proforma Inputs'!$B$30)</f>
        <v>0</v>
      </c>
      <c r="F70" s="5">
        <f>-PV('Proforma Inputs'!$B$31,'Proforma Inputs'!$B$32*'Proforma Inputs'!$B$4,Proforma!F90/'Proforma Inputs'!$B$30)</f>
        <v>0</v>
      </c>
      <c r="G70" s="5">
        <f>-PV('Proforma Inputs'!$B$31,'Proforma Inputs'!$B$32*'Proforma Inputs'!$B$4,Proforma!G90/'Proforma Inputs'!$B$30)</f>
        <v>1500931.5361752608</v>
      </c>
      <c r="H70" s="5">
        <f>-PV('Proforma Inputs'!$B$31,'Proforma Inputs'!$B$32*'Proforma Inputs'!$B$4,Proforma!H90/'Proforma Inputs'!$B$30)</f>
        <v>7521273.1591365458</v>
      </c>
      <c r="I70" s="5">
        <f>-PV('Proforma Inputs'!$B$31,'Proforma Inputs'!$B$32*'Proforma Inputs'!$B$4,Proforma!I90/'Proforma Inputs'!$B$30)</f>
        <v>13541614.782097833</v>
      </c>
      <c r="J70" s="5">
        <f>-PV('Proforma Inputs'!$B$31,'Proforma Inputs'!$B$32*'Proforma Inputs'!$B$4,Proforma!J90/'Proforma Inputs'!$B$30)</f>
        <v>19561956.405059114</v>
      </c>
      <c r="K70" s="5">
        <f>-PV('Proforma Inputs'!$B$31,'Proforma Inputs'!$B$32*'Proforma Inputs'!$B$4,Proforma!K90/'Proforma Inputs'!$B$30)</f>
        <v>24557676.868638769</v>
      </c>
      <c r="L70" s="5">
        <f>-PV('Proforma Inputs'!$B$31,'Proforma Inputs'!$B$32*'Proforma Inputs'!$B$4,Proforma!L90/'Proforma Inputs'!$B$30)</f>
        <v>29553397.332218412</v>
      </c>
      <c r="M70" s="5">
        <f>-PV('Proforma Inputs'!$B$31,'Proforma Inputs'!$B$32*'Proforma Inputs'!$B$4,Proforma!M90/'Proforma Inputs'!$B$30)</f>
        <v>34549117.795798078</v>
      </c>
      <c r="N70" s="5">
        <f>-PV('Proforma Inputs'!$B$31,'Proforma Inputs'!$B$32*'Proforma Inputs'!$B$4,Proforma!N90/'Proforma Inputs'!$B$30)</f>
        <v>39544838.259377725</v>
      </c>
      <c r="O70" s="5">
        <f>-PV('Proforma Inputs'!$B$31,'Proforma Inputs'!$B$32*'Proforma Inputs'!$B$4,Proforma!O90/'Proforma Inputs'!$B$30)</f>
        <v>39544838.259377725</v>
      </c>
      <c r="P70" s="5">
        <f>-PV('Proforma Inputs'!$B$31,'Proforma Inputs'!$B$32*'Proforma Inputs'!$B$4,Proforma!P90/'Proforma Inputs'!$B$30)</f>
        <v>39544838.259377725</v>
      </c>
      <c r="Q70" s="5">
        <f>-PV('Proforma Inputs'!$B$31,'Proforma Inputs'!$B$32*'Proforma Inputs'!$B$4,Proforma!Q90/'Proforma Inputs'!$B$30)</f>
        <v>39544838.259377725</v>
      </c>
      <c r="R70" s="5">
        <f>-PV('Proforma Inputs'!$B$31,'Proforma Inputs'!$B$32*'Proforma Inputs'!$B$4,Proforma!R90/'Proforma Inputs'!$B$30)</f>
        <v>39544838.259377725</v>
      </c>
      <c r="S70" s="5">
        <f>-PV('Proforma Inputs'!$B$31,'Proforma Inputs'!$B$32*'Proforma Inputs'!$B$4,Proforma!S90/'Proforma Inputs'!$B$30)</f>
        <v>39544838.259377725</v>
      </c>
      <c r="T70" s="5">
        <f>-PV('Proforma Inputs'!$B$31,'Proforma Inputs'!$B$32*'Proforma Inputs'!$B$4,Proforma!T90/'Proforma Inputs'!$B$30)</f>
        <v>39544838.259377725</v>
      </c>
      <c r="U70" s="5">
        <f>-PV('Proforma Inputs'!$B$31,'Proforma Inputs'!$B$32*'Proforma Inputs'!$B$4,Proforma!U90/'Proforma Inputs'!$B$30)</f>
        <v>0</v>
      </c>
      <c r="V70" s="5">
        <f>-PV('Proforma Inputs'!$B$31,'Proforma Inputs'!$B$32*'Proforma Inputs'!$B$4,Proforma!V90/'Proforma Inputs'!$B$30)</f>
        <v>0</v>
      </c>
      <c r="W70" s="5">
        <f>-PV('Proforma Inputs'!$B$31,'Proforma Inputs'!$B$32*'Proforma Inputs'!$B$4,Proforma!W90/'Proforma Inputs'!$B$30)</f>
        <v>0</v>
      </c>
      <c r="X70" s="5">
        <f>-PV('Proforma Inputs'!$B$31,'Proforma Inputs'!$B$32*'Proforma Inputs'!$B$4,Proforma!X90/'Proforma Inputs'!$B$30)</f>
        <v>0</v>
      </c>
      <c r="Y70" s="5">
        <f>-PV('Proforma Inputs'!$B$31,'Proforma Inputs'!$B$32*'Proforma Inputs'!$B$4,Proforma!Y90/'Proforma Inputs'!$B$30)</f>
        <v>0</v>
      </c>
      <c r="Z70" s="5">
        <f>-PV('Proforma Inputs'!$B$31,'Proforma Inputs'!$B$32*'Proforma Inputs'!$B$4,Proforma!Z90/'Proforma Inputs'!$B$30)</f>
        <v>0</v>
      </c>
      <c r="AA70" s="5">
        <f>-PV('Proforma Inputs'!$B$31,'Proforma Inputs'!$B$32*'Proforma Inputs'!$B$4,Proforma!AA90/'Proforma Inputs'!$B$30)</f>
        <v>0</v>
      </c>
      <c r="AB70" s="5">
        <f>-PV('Proforma Inputs'!$B$31,'Proforma Inputs'!$B$32*'Proforma Inputs'!$B$4,Proforma!AB90/'Proforma Inputs'!$B$30)</f>
        <v>0</v>
      </c>
      <c r="AC70" s="5">
        <f>-PV('Proforma Inputs'!$B$31,'Proforma Inputs'!$B$32*'Proforma Inputs'!$B$4,Proforma!AC90/'Proforma Inputs'!$B$30)</f>
        <v>0</v>
      </c>
      <c r="AD70" s="5">
        <f>-PV('Proforma Inputs'!$B$31,'Proforma Inputs'!$B$32*'Proforma Inputs'!$B$4,Proforma!AD90/'Proforma Inputs'!$B$30)</f>
        <v>0</v>
      </c>
      <c r="AE70" s="5">
        <f>-PV('Proforma Inputs'!$B$31,'Proforma Inputs'!$B$32*'Proforma Inputs'!$B$4,Proforma!AE90/'Proforma Inputs'!$B$30)</f>
        <v>0</v>
      </c>
      <c r="AF70" s="5">
        <f>-PV('Proforma Inputs'!$B$31,'Proforma Inputs'!$B$32*'Proforma Inputs'!$B$4,Proforma!AF90/'Proforma Inputs'!$B$30)</f>
        <v>0</v>
      </c>
      <c r="AG70" s="5">
        <f>-PV('Proforma Inputs'!$B$31,'Proforma Inputs'!$B$32*'Proforma Inputs'!$B$4,Proforma!AG90/'Proforma Inputs'!$B$30)</f>
        <v>0</v>
      </c>
      <c r="AH70" s="5">
        <f>-PV('Proforma Inputs'!$B$31,'Proforma Inputs'!$B$32*'Proforma Inputs'!$B$4,Proforma!AH90/'Proforma Inputs'!$B$30)</f>
        <v>0</v>
      </c>
      <c r="AI70" s="5">
        <f>-PV('Proforma Inputs'!$B$31,'Proforma Inputs'!$B$32*'Proforma Inputs'!$B$4,Proforma!AI90/'Proforma Inputs'!$B$30)</f>
        <v>0</v>
      </c>
      <c r="AJ70" s="5">
        <f>-PV('Proforma Inputs'!$B$31,'Proforma Inputs'!$B$32*'Proforma Inputs'!$B$4,Proforma!AJ90/'Proforma Inputs'!$B$30)</f>
        <v>0</v>
      </c>
      <c r="AK70" s="5">
        <f>-PV('Proforma Inputs'!$B$31,'Proforma Inputs'!$B$32*'Proforma Inputs'!$B$4,Proforma!AK90/'Proforma Inputs'!$B$30)</f>
        <v>0</v>
      </c>
      <c r="AL70" s="5">
        <f>-PV('Proforma Inputs'!$B$31,'Proforma Inputs'!$B$32*'Proforma Inputs'!$B$4,Proforma!AL90/'Proforma Inputs'!$B$30)</f>
        <v>0</v>
      </c>
      <c r="AM70" s="5">
        <f>-PV('Proforma Inputs'!$B$31,'Proforma Inputs'!$B$32*'Proforma Inputs'!$B$4,Proforma!AM90/'Proforma Inputs'!$B$30)</f>
        <v>0</v>
      </c>
      <c r="AN70" s="5">
        <f>-PV('Proforma Inputs'!$B$31,'Proforma Inputs'!$B$32*'Proforma Inputs'!$B$4,Proforma!AN90/'Proforma Inputs'!$B$30)</f>
        <v>0</v>
      </c>
      <c r="AO70" s="5">
        <f>-PV('Proforma Inputs'!$B$31,'Proforma Inputs'!$B$32*'Proforma Inputs'!$B$4,Proforma!AO90/'Proforma Inputs'!$B$30)</f>
        <v>0</v>
      </c>
      <c r="AP70" s="5">
        <f>-PV('Proforma Inputs'!$B$31,'Proforma Inputs'!$B$32*'Proforma Inputs'!$B$4,Proforma!AP90/'Proforma Inputs'!$B$30)</f>
        <v>0</v>
      </c>
      <c r="AQ70" s="5"/>
      <c r="AR70" s="5"/>
      <c r="AS70" s="5"/>
      <c r="AT70" s="5"/>
      <c r="AU70" s="5"/>
      <c r="AV70" s="5"/>
    </row>
    <row r="71" spans="1:48">
      <c r="A71" t="s">
        <v>53</v>
      </c>
      <c r="B71" s="5">
        <v>0</v>
      </c>
      <c r="C71" s="5">
        <f t="shared" ref="C71:H71" si="17">MIN(C69:C70)</f>
        <v>0</v>
      </c>
      <c r="D71" s="5">
        <f t="shared" si="17"/>
        <v>0</v>
      </c>
      <c r="E71" s="5">
        <f t="shared" si="17"/>
        <v>0</v>
      </c>
      <c r="F71" s="5">
        <f t="shared" si="17"/>
        <v>0</v>
      </c>
      <c r="G71" s="5">
        <f t="shared" si="17"/>
        <v>1500931.5361752608</v>
      </c>
      <c r="H71" s="5">
        <f t="shared" si="17"/>
        <v>7521273.1591365458</v>
      </c>
      <c r="I71" s="5">
        <f t="shared" ref="I71:AP71" si="18">MIN(I69:I70)</f>
        <v>13541614.782097833</v>
      </c>
      <c r="J71" s="5">
        <f t="shared" si="18"/>
        <v>19561956.405059114</v>
      </c>
      <c r="K71" s="5">
        <f t="shared" si="18"/>
        <v>24557676.868638769</v>
      </c>
      <c r="L71" s="5">
        <f t="shared" si="18"/>
        <v>29553397.332218412</v>
      </c>
      <c r="M71" s="5">
        <f t="shared" si="18"/>
        <v>34549117.795798078</v>
      </c>
      <c r="N71" s="5">
        <f t="shared" si="18"/>
        <v>39544838.259377725</v>
      </c>
      <c r="O71" s="5">
        <f t="shared" si="18"/>
        <v>39544838.259377725</v>
      </c>
      <c r="P71" s="5">
        <f t="shared" si="18"/>
        <v>39544838.259377725</v>
      </c>
      <c r="Q71" s="5">
        <f t="shared" si="18"/>
        <v>39544838.259377725</v>
      </c>
      <c r="R71" s="5">
        <f t="shared" si="18"/>
        <v>39544838.259377725</v>
      </c>
      <c r="S71" s="5">
        <f t="shared" si="18"/>
        <v>39544838.259377725</v>
      </c>
      <c r="T71" s="5">
        <f t="shared" si="18"/>
        <v>39544838.259377725</v>
      </c>
      <c r="U71" s="5">
        <f t="shared" si="18"/>
        <v>0</v>
      </c>
      <c r="V71" s="5">
        <f t="shared" si="18"/>
        <v>0</v>
      </c>
      <c r="W71" s="5">
        <f t="shared" si="18"/>
        <v>0</v>
      </c>
      <c r="X71" s="5">
        <f t="shared" si="18"/>
        <v>0</v>
      </c>
      <c r="Y71" s="5">
        <f t="shared" si="18"/>
        <v>0</v>
      </c>
      <c r="Z71" s="5">
        <f t="shared" si="18"/>
        <v>0</v>
      </c>
      <c r="AA71" s="5">
        <f t="shared" si="18"/>
        <v>0</v>
      </c>
      <c r="AB71" s="5">
        <f t="shared" si="18"/>
        <v>0</v>
      </c>
      <c r="AC71" s="5">
        <f t="shared" si="18"/>
        <v>0</v>
      </c>
      <c r="AD71" s="5">
        <f t="shared" si="18"/>
        <v>0</v>
      </c>
      <c r="AE71" s="5">
        <f t="shared" si="18"/>
        <v>0</v>
      </c>
      <c r="AF71" s="5">
        <f t="shared" si="18"/>
        <v>0</v>
      </c>
      <c r="AG71" s="5">
        <f t="shared" si="18"/>
        <v>0</v>
      </c>
      <c r="AH71" s="5">
        <f t="shared" si="18"/>
        <v>0</v>
      </c>
      <c r="AI71" s="5">
        <f t="shared" si="18"/>
        <v>0</v>
      </c>
      <c r="AJ71" s="5">
        <f t="shared" si="18"/>
        <v>0</v>
      </c>
      <c r="AK71" s="5">
        <f t="shared" si="18"/>
        <v>0</v>
      </c>
      <c r="AL71" s="5">
        <f t="shared" si="18"/>
        <v>0</v>
      </c>
      <c r="AM71" s="5">
        <f t="shared" si="18"/>
        <v>0</v>
      </c>
      <c r="AN71" s="5">
        <f t="shared" si="18"/>
        <v>0</v>
      </c>
      <c r="AO71" s="5">
        <f t="shared" si="18"/>
        <v>0</v>
      </c>
      <c r="AP71" s="5">
        <f t="shared" si="18"/>
        <v>0</v>
      </c>
      <c r="AQ71" s="5"/>
      <c r="AR71" s="5"/>
      <c r="AS71" s="5"/>
      <c r="AT71" s="5"/>
      <c r="AU71" s="5"/>
      <c r="AV71" s="5"/>
    </row>
    <row r="72" spans="1:48">
      <c r="A72" t="s">
        <v>52</v>
      </c>
      <c r="B72" s="5">
        <v>0</v>
      </c>
      <c r="C72" s="5">
        <f>PMT('Proforma Inputs'!$B$31,'Proforma Inputs'!$B$32*'Proforma Inputs'!$B$4,C71)</f>
        <v>0</v>
      </c>
      <c r="D72" s="5">
        <f>PMT('Proforma Inputs'!$B$31,'Proforma Inputs'!$B$32*'Proforma Inputs'!$B$4,D71)</f>
        <v>0</v>
      </c>
      <c r="E72" s="5">
        <f>PMT('Proforma Inputs'!$B$31,'Proforma Inputs'!$B$32*'Proforma Inputs'!$B$4,E71)</f>
        <v>0</v>
      </c>
      <c r="F72" s="5">
        <f>PMT('Proforma Inputs'!$B$31,'Proforma Inputs'!$B$32*'Proforma Inputs'!$B$4,F71)</f>
        <v>0</v>
      </c>
      <c r="G72" s="5">
        <f>PMT('Proforma Inputs'!$B$31,'Proforma Inputs'!$B$32*'Proforma Inputs'!$B$4,G71)</f>
        <v>-112916.66666666666</v>
      </c>
      <c r="H72" s="5">
        <f>PMT('Proforma Inputs'!$B$31,'Proforma Inputs'!$B$32*'Proforma Inputs'!$B$4,H71)</f>
        <v>-565833.33333333326</v>
      </c>
      <c r="I72" s="5">
        <f>PMT('Proforma Inputs'!$B$31,'Proforma Inputs'!$B$32*'Proforma Inputs'!$B$4,I71)</f>
        <v>-1018750</v>
      </c>
      <c r="J72" s="5">
        <f>PMT('Proforma Inputs'!$B$31,'Proforma Inputs'!$B$32*'Proforma Inputs'!$B$4,J71)</f>
        <v>-1471666.6666666665</v>
      </c>
      <c r="K72" s="5">
        <f>PMT('Proforma Inputs'!$B$31,'Proforma Inputs'!$B$32*'Proforma Inputs'!$B$4,K71)</f>
        <v>-1847500.0000000002</v>
      </c>
      <c r="L72" s="5">
        <f>PMT('Proforma Inputs'!$B$31,'Proforma Inputs'!$B$32*'Proforma Inputs'!$B$4,L71)</f>
        <v>-2223333.333333333</v>
      </c>
      <c r="M72" s="5">
        <f>PMT('Proforma Inputs'!$B$31,'Proforma Inputs'!$B$32*'Proforma Inputs'!$B$4,M71)</f>
        <v>-2599166.6666666674</v>
      </c>
      <c r="N72" s="5">
        <f>PMT('Proforma Inputs'!$B$31,'Proforma Inputs'!$B$32*'Proforma Inputs'!$B$4,N71)</f>
        <v>-2975000.0000000005</v>
      </c>
      <c r="O72" s="5">
        <f>PMT('Proforma Inputs'!$B$31,'Proforma Inputs'!$B$32*'Proforma Inputs'!$B$4,O71)</f>
        <v>-2975000.0000000005</v>
      </c>
      <c r="P72" s="5">
        <f>PMT('Proforma Inputs'!$B$31,'Proforma Inputs'!$B$32*'Proforma Inputs'!$B$4,P71)</f>
        <v>-2975000.0000000005</v>
      </c>
      <c r="Q72" s="5">
        <f>PMT('Proforma Inputs'!$B$31,'Proforma Inputs'!$B$32*'Proforma Inputs'!$B$4,Q71)</f>
        <v>-2975000.0000000005</v>
      </c>
      <c r="R72" s="5">
        <f>PMT('Proforma Inputs'!$B$31,'Proforma Inputs'!$B$32*'Proforma Inputs'!$B$4,R71)</f>
        <v>-2975000.0000000005</v>
      </c>
      <c r="S72" s="5">
        <f>PMT('Proforma Inputs'!$B$31,'Proforma Inputs'!$B$32*'Proforma Inputs'!$B$4,S71)</f>
        <v>-2975000.0000000005</v>
      </c>
      <c r="T72" s="5">
        <f>PMT('Proforma Inputs'!$B$31,'Proforma Inputs'!$B$32*'Proforma Inputs'!$B$4,T71)</f>
        <v>-2975000.0000000005</v>
      </c>
      <c r="U72" s="5">
        <f>PMT('Proforma Inputs'!$B$31,'Proforma Inputs'!$B$32*'Proforma Inputs'!$B$4,U71)</f>
        <v>0</v>
      </c>
      <c r="V72" s="5">
        <f>PMT('Proforma Inputs'!$B$31,'Proforma Inputs'!$B$32*'Proforma Inputs'!$B$4,V71)</f>
        <v>0</v>
      </c>
      <c r="W72" s="5">
        <f>PMT('Proforma Inputs'!$B$31,'Proforma Inputs'!$B$32*'Proforma Inputs'!$B$4,W71)</f>
        <v>0</v>
      </c>
      <c r="X72" s="5">
        <f>PMT('Proforma Inputs'!$B$31,'Proforma Inputs'!$B$32*'Proforma Inputs'!$B$4,X71)</f>
        <v>0</v>
      </c>
      <c r="Y72" s="5">
        <f>PMT('Proforma Inputs'!$B$31,'Proforma Inputs'!$B$32*'Proforma Inputs'!$B$4,Y71)</f>
        <v>0</v>
      </c>
      <c r="Z72" s="5">
        <f>PMT('Proforma Inputs'!$B$31,'Proforma Inputs'!$B$32*'Proforma Inputs'!$B$4,Z71)</f>
        <v>0</v>
      </c>
      <c r="AA72" s="5">
        <f>PMT('Proforma Inputs'!$B$31,'Proforma Inputs'!$B$32*'Proforma Inputs'!$B$4,AA71)</f>
        <v>0</v>
      </c>
      <c r="AB72" s="5">
        <f>PMT('Proforma Inputs'!$B$31,'Proforma Inputs'!$B$32*'Proforma Inputs'!$B$4,AB71)</f>
        <v>0</v>
      </c>
      <c r="AC72" s="5">
        <f>PMT('Proforma Inputs'!$B$31,'Proforma Inputs'!$B$32*'Proforma Inputs'!$B$4,AC71)</f>
        <v>0</v>
      </c>
      <c r="AD72" s="5">
        <f>PMT('Proforma Inputs'!$B$31,'Proforma Inputs'!$B$32*'Proforma Inputs'!$B$4,AD71)</f>
        <v>0</v>
      </c>
      <c r="AE72" s="5">
        <f>PMT('Proforma Inputs'!$B$31,'Proforma Inputs'!$B$32*'Proforma Inputs'!$B$4,AE71)</f>
        <v>0</v>
      </c>
      <c r="AF72" s="5">
        <f>PMT('Proforma Inputs'!$B$31,'Proforma Inputs'!$B$32*'Proforma Inputs'!$B$4,AF71)</f>
        <v>0</v>
      </c>
      <c r="AG72" s="5">
        <f>PMT('Proforma Inputs'!$B$31,'Proforma Inputs'!$B$32*'Proforma Inputs'!$B$4,AG71)</f>
        <v>0</v>
      </c>
      <c r="AH72" s="5">
        <f>PMT('Proforma Inputs'!$B$31,'Proforma Inputs'!$B$32*'Proforma Inputs'!$B$4,AH71)</f>
        <v>0</v>
      </c>
      <c r="AI72" s="5">
        <f>PMT('Proforma Inputs'!$B$31,'Proforma Inputs'!$B$32*'Proforma Inputs'!$B$4,AI71)</f>
        <v>0</v>
      </c>
      <c r="AJ72" s="5">
        <f>PMT('Proforma Inputs'!$B$31,'Proforma Inputs'!$B$32*'Proforma Inputs'!$B$4,AJ71)</f>
        <v>0</v>
      </c>
      <c r="AK72" s="5">
        <f>PMT('Proforma Inputs'!$B$31,'Proforma Inputs'!$B$32*'Proforma Inputs'!$B$4,AK71)</f>
        <v>0</v>
      </c>
      <c r="AL72" s="5">
        <f>PMT('Proforma Inputs'!$B$31,'Proforma Inputs'!$B$32*'Proforma Inputs'!$B$4,AL71)</f>
        <v>0</v>
      </c>
      <c r="AM72" s="5">
        <f>PMT('Proforma Inputs'!$B$31,'Proforma Inputs'!$B$32*'Proforma Inputs'!$B$4,AM71)</f>
        <v>0</v>
      </c>
      <c r="AN72" s="5">
        <f>PMT('Proforma Inputs'!$B$31,'Proforma Inputs'!$B$32*'Proforma Inputs'!$B$4,AN71)</f>
        <v>0</v>
      </c>
      <c r="AO72" s="5">
        <f>PMT('Proforma Inputs'!$B$31,'Proforma Inputs'!$B$32*'Proforma Inputs'!$B$4,AO71)</f>
        <v>0</v>
      </c>
      <c r="AP72" s="5">
        <f>PMT('Proforma Inputs'!$B$31,'Proforma Inputs'!$B$32*'Proforma Inputs'!$B$4,AP71)</f>
        <v>0</v>
      </c>
      <c r="AQ72" s="5"/>
      <c r="AR72" s="5"/>
      <c r="AS72" s="5"/>
      <c r="AT72" s="5"/>
      <c r="AU72" s="5"/>
      <c r="AV72" s="5"/>
    </row>
    <row r="73" spans="1:48">
      <c r="A73" t="s">
        <v>198</v>
      </c>
      <c r="B73" s="5">
        <v>0</v>
      </c>
      <c r="C73" s="5">
        <f>IF(C68=1,C71,B73)</f>
        <v>0</v>
      </c>
      <c r="D73" s="5">
        <f>IF(D68=1,D71,C73)</f>
        <v>0</v>
      </c>
      <c r="E73" s="5">
        <f t="shared" ref="E73:AP73" si="19">IF(E68=1,E71,D73)</f>
        <v>0</v>
      </c>
      <c r="F73" s="5">
        <f t="shared" si="19"/>
        <v>0</v>
      </c>
      <c r="G73" s="5">
        <f t="shared" si="19"/>
        <v>1500931.5361752608</v>
      </c>
      <c r="H73" s="5">
        <f t="shared" si="19"/>
        <v>1500931.5361752608</v>
      </c>
      <c r="I73" s="5">
        <f t="shared" si="19"/>
        <v>1500931.5361752608</v>
      </c>
      <c r="J73" s="5">
        <f t="shared" si="19"/>
        <v>1500931.5361752608</v>
      </c>
      <c r="K73" s="5">
        <f t="shared" si="19"/>
        <v>1500931.5361752608</v>
      </c>
      <c r="L73" s="5">
        <f t="shared" si="19"/>
        <v>1500931.5361752608</v>
      </c>
      <c r="M73" s="5">
        <f t="shared" si="19"/>
        <v>1500931.5361752608</v>
      </c>
      <c r="N73" s="5">
        <f t="shared" si="19"/>
        <v>1500931.5361752608</v>
      </c>
      <c r="O73" s="5">
        <f t="shared" si="19"/>
        <v>1500931.5361752608</v>
      </c>
      <c r="P73" s="5">
        <f t="shared" si="19"/>
        <v>1500931.5361752608</v>
      </c>
      <c r="Q73" s="5">
        <f t="shared" si="19"/>
        <v>1500931.5361752608</v>
      </c>
      <c r="R73" s="5">
        <f t="shared" si="19"/>
        <v>1500931.5361752608</v>
      </c>
      <c r="S73" s="5">
        <f t="shared" si="19"/>
        <v>1500931.5361752608</v>
      </c>
      <c r="T73" s="5">
        <f t="shared" si="19"/>
        <v>1500931.5361752608</v>
      </c>
      <c r="U73" s="5">
        <f t="shared" si="19"/>
        <v>1500931.5361752608</v>
      </c>
      <c r="V73" s="5">
        <f t="shared" si="19"/>
        <v>1500931.5361752608</v>
      </c>
      <c r="W73" s="5">
        <f t="shared" si="19"/>
        <v>1500931.5361752608</v>
      </c>
      <c r="X73" s="5">
        <f t="shared" si="19"/>
        <v>1500931.5361752608</v>
      </c>
      <c r="Y73" s="5">
        <f t="shared" si="19"/>
        <v>1500931.5361752608</v>
      </c>
      <c r="Z73" s="5">
        <f t="shared" si="19"/>
        <v>1500931.5361752608</v>
      </c>
      <c r="AA73" s="5">
        <f t="shared" si="19"/>
        <v>1500931.5361752608</v>
      </c>
      <c r="AB73" s="5">
        <f t="shared" si="19"/>
        <v>1500931.5361752608</v>
      </c>
      <c r="AC73" s="5">
        <f t="shared" si="19"/>
        <v>1500931.5361752608</v>
      </c>
      <c r="AD73" s="5">
        <f t="shared" si="19"/>
        <v>1500931.5361752608</v>
      </c>
      <c r="AE73" s="5">
        <f t="shared" si="19"/>
        <v>1500931.5361752608</v>
      </c>
      <c r="AF73" s="5">
        <f t="shared" si="19"/>
        <v>1500931.5361752608</v>
      </c>
      <c r="AG73" s="5">
        <f t="shared" si="19"/>
        <v>1500931.5361752608</v>
      </c>
      <c r="AH73" s="5">
        <f t="shared" si="19"/>
        <v>1500931.5361752608</v>
      </c>
      <c r="AI73" s="5">
        <f t="shared" si="19"/>
        <v>1500931.5361752608</v>
      </c>
      <c r="AJ73" s="5">
        <f t="shared" si="19"/>
        <v>1500931.5361752608</v>
      </c>
      <c r="AK73" s="5">
        <f t="shared" si="19"/>
        <v>1500931.5361752608</v>
      </c>
      <c r="AL73" s="5">
        <f t="shared" si="19"/>
        <v>1500931.5361752608</v>
      </c>
      <c r="AM73" s="5">
        <f t="shared" si="19"/>
        <v>1500931.5361752608</v>
      </c>
      <c r="AN73" s="5">
        <f t="shared" si="19"/>
        <v>1500931.5361752608</v>
      </c>
      <c r="AO73" s="5">
        <f t="shared" si="19"/>
        <v>1500931.5361752608</v>
      </c>
      <c r="AP73" s="5">
        <f t="shared" si="19"/>
        <v>1500931.5361752608</v>
      </c>
      <c r="AQ73" s="5"/>
      <c r="AR73" s="5"/>
      <c r="AS73" s="5"/>
      <c r="AT73" s="5"/>
      <c r="AU73" s="5"/>
      <c r="AV73" s="5"/>
    </row>
    <row r="74" spans="1:48">
      <c r="A74" t="s">
        <v>54</v>
      </c>
      <c r="B74" s="15">
        <v>0</v>
      </c>
      <c r="C74" s="15">
        <f>IF(AND(C76&gt;0,C77&gt;0,C78&gt;0,C79&gt;0,C81&gt;0,C82&gt;0,C83&gt;0,C84&gt;0,C85&gt;0,C86&gt;0,C87&gt;0),B74+1,0)</f>
        <v>0</v>
      </c>
      <c r="D74" s="15">
        <f t="shared" ref="D74:AP74" si="20">IF(AND(D76&gt;0,D77&gt;0,D78&gt;0,D79&gt;0,D81&gt;0,D82&gt;0,D83&gt;0,D84&gt;0,D85&gt;0,D86&gt;0,D87&gt;0),C74+1,0)</f>
        <v>0</v>
      </c>
      <c r="E74" s="15">
        <f t="shared" si="20"/>
        <v>0</v>
      </c>
      <c r="F74" s="15">
        <f t="shared" si="20"/>
        <v>0</v>
      </c>
      <c r="G74" s="15">
        <f t="shared" si="20"/>
        <v>0</v>
      </c>
      <c r="H74" s="15">
        <f t="shared" si="20"/>
        <v>0</v>
      </c>
      <c r="I74" s="15">
        <f t="shared" si="20"/>
        <v>0</v>
      </c>
      <c r="J74" s="15">
        <f t="shared" si="20"/>
        <v>0</v>
      </c>
      <c r="K74" s="15">
        <f t="shared" si="20"/>
        <v>0</v>
      </c>
      <c r="L74" s="15">
        <f t="shared" si="20"/>
        <v>0</v>
      </c>
      <c r="M74" s="15">
        <f t="shared" si="20"/>
        <v>0</v>
      </c>
      <c r="N74" s="15">
        <f t="shared" si="20"/>
        <v>1</v>
      </c>
      <c r="O74" s="15">
        <f t="shared" si="20"/>
        <v>2</v>
      </c>
      <c r="P74" s="15">
        <f t="shared" si="20"/>
        <v>3</v>
      </c>
      <c r="Q74" s="15">
        <f t="shared" si="20"/>
        <v>4</v>
      </c>
      <c r="R74" s="15">
        <f t="shared" si="20"/>
        <v>5</v>
      </c>
      <c r="S74" s="15">
        <f t="shared" si="20"/>
        <v>6</v>
      </c>
      <c r="T74" s="15">
        <f t="shared" si="20"/>
        <v>7</v>
      </c>
      <c r="U74" s="15">
        <f t="shared" si="20"/>
        <v>0</v>
      </c>
      <c r="V74" s="15">
        <f t="shared" si="20"/>
        <v>0</v>
      </c>
      <c r="W74" s="15">
        <f t="shared" si="20"/>
        <v>0</v>
      </c>
      <c r="X74" s="15">
        <f t="shared" si="20"/>
        <v>0</v>
      </c>
      <c r="Y74" s="15">
        <f t="shared" si="20"/>
        <v>0</v>
      </c>
      <c r="Z74" s="15">
        <f t="shared" si="20"/>
        <v>0</v>
      </c>
      <c r="AA74" s="15">
        <f t="shared" si="20"/>
        <v>0</v>
      </c>
      <c r="AB74" s="15">
        <f t="shared" si="20"/>
        <v>0</v>
      </c>
      <c r="AC74" s="15">
        <f t="shared" si="20"/>
        <v>0</v>
      </c>
      <c r="AD74" s="15">
        <f t="shared" si="20"/>
        <v>0</v>
      </c>
      <c r="AE74" s="15">
        <f t="shared" si="20"/>
        <v>0</v>
      </c>
      <c r="AF74" s="15">
        <f t="shared" si="20"/>
        <v>0</v>
      </c>
      <c r="AG74" s="15">
        <f t="shared" si="20"/>
        <v>0</v>
      </c>
      <c r="AH74" s="15">
        <f t="shared" si="20"/>
        <v>0</v>
      </c>
      <c r="AI74" s="15">
        <f t="shared" si="20"/>
        <v>0</v>
      </c>
      <c r="AJ74" s="15">
        <f t="shared" si="20"/>
        <v>0</v>
      </c>
      <c r="AK74" s="15">
        <f t="shared" si="20"/>
        <v>0</v>
      </c>
      <c r="AL74" s="15">
        <f t="shared" si="20"/>
        <v>0</v>
      </c>
      <c r="AM74" s="15">
        <f t="shared" si="20"/>
        <v>0</v>
      </c>
      <c r="AN74" s="15">
        <f t="shared" si="20"/>
        <v>0</v>
      </c>
      <c r="AO74" s="15">
        <f t="shared" si="20"/>
        <v>0</v>
      </c>
      <c r="AP74" s="15">
        <f t="shared" si="20"/>
        <v>0</v>
      </c>
      <c r="AQ74" s="15"/>
      <c r="AR74" s="15"/>
      <c r="AS74" s="15"/>
      <c r="AT74" s="15"/>
      <c r="AU74" s="15"/>
      <c r="AV74" s="15"/>
    </row>
    <row r="75" spans="1:48">
      <c r="A75" s="36" t="s">
        <v>156</v>
      </c>
      <c r="AQ75" s="15"/>
      <c r="AR75" s="15"/>
      <c r="AS75" s="15"/>
      <c r="AT75" s="15"/>
      <c r="AU75" s="15"/>
      <c r="AV75" s="15"/>
    </row>
    <row r="76" spans="1:48">
      <c r="A76" s="42" t="s">
        <v>219</v>
      </c>
      <c r="B76" s="15">
        <v>0</v>
      </c>
      <c r="C76" s="15">
        <f>IF(C16='Proforma Inputs'!$B74,B76+1,0)</f>
        <v>0</v>
      </c>
      <c r="D76" s="15">
        <f>IF(D16='Proforma Inputs'!$B74,C76+1,0)</f>
        <v>0</v>
      </c>
      <c r="E76" s="15">
        <f>IF(E16='Proforma Inputs'!$B74,D76+1,0)</f>
        <v>0</v>
      </c>
      <c r="F76" s="15">
        <f>IF(F16='Proforma Inputs'!$B74,E76+1,0)</f>
        <v>0</v>
      </c>
      <c r="G76" s="15">
        <f>IF(G16='Proforma Inputs'!$B74,F76+1,0)</f>
        <v>0</v>
      </c>
      <c r="H76" s="15">
        <f>IF(H16='Proforma Inputs'!$B74,G76+1,0)</f>
        <v>0</v>
      </c>
      <c r="I76" s="15">
        <f>IF(I16='Proforma Inputs'!$B74,H76+1,0)</f>
        <v>0</v>
      </c>
      <c r="J76" s="15">
        <f>IF(J16='Proforma Inputs'!$B74,I76+1,0)</f>
        <v>0</v>
      </c>
      <c r="K76" s="15">
        <f>IF(K16='Proforma Inputs'!$B74,J76+1,0)</f>
        <v>0</v>
      </c>
      <c r="L76" s="15">
        <f>IF(L16='Proforma Inputs'!$B74,K76+1,0)</f>
        <v>0</v>
      </c>
      <c r="M76" s="15">
        <f>IF(M16='Proforma Inputs'!$B74,L76+1,0)</f>
        <v>0</v>
      </c>
      <c r="N76" s="15">
        <f>IF(N16='Proforma Inputs'!$B74,M76+1,0)</f>
        <v>1</v>
      </c>
      <c r="O76" s="15">
        <f>IF(O16='Proforma Inputs'!$B74,N76+1,0)</f>
        <v>2</v>
      </c>
      <c r="P76" s="15">
        <f>IF(P16='Proforma Inputs'!$B74,O76+1,0)</f>
        <v>3</v>
      </c>
      <c r="Q76" s="15">
        <f>IF(Q16='Proforma Inputs'!$B74,P76+1,0)</f>
        <v>4</v>
      </c>
      <c r="R76" s="15">
        <f>IF(R16='Proforma Inputs'!$B74,Q76+1,0)</f>
        <v>5</v>
      </c>
      <c r="S76" s="15">
        <f>IF(S16='Proforma Inputs'!$B74,R76+1,0)</f>
        <v>6</v>
      </c>
      <c r="T76" s="15">
        <f>IF(T16='Proforma Inputs'!$B74,S76+1,0)</f>
        <v>7</v>
      </c>
      <c r="U76" s="15">
        <f>IF(U16='Proforma Inputs'!$B74,T76+1,0)</f>
        <v>0</v>
      </c>
      <c r="V76" s="15">
        <f>IF(V16='Proforma Inputs'!$B74,U76+1,0)</f>
        <v>0</v>
      </c>
      <c r="W76" s="15">
        <f>IF(W16='Proforma Inputs'!$B74,V76+1,0)</f>
        <v>0</v>
      </c>
      <c r="X76" s="15">
        <f>IF(X16='Proforma Inputs'!$B74,W76+1,0)</f>
        <v>0</v>
      </c>
      <c r="Y76" s="15">
        <f>IF(Y16='Proforma Inputs'!$B74,X76+1,0)</f>
        <v>0</v>
      </c>
      <c r="Z76" s="15">
        <f>IF(Z16='Proforma Inputs'!$B74,Y76+1,0)</f>
        <v>0</v>
      </c>
      <c r="AA76" s="15">
        <f>IF(AA16='Proforma Inputs'!$B74,Z76+1,0)</f>
        <v>0</v>
      </c>
      <c r="AB76" s="15">
        <f>IF(AB16='Proforma Inputs'!$B74,AA76+1,0)</f>
        <v>0</v>
      </c>
      <c r="AC76" s="15">
        <f>IF(AC16='Proforma Inputs'!$B74,AB76+1,0)</f>
        <v>0</v>
      </c>
      <c r="AD76" s="15">
        <f>IF(AD16='Proforma Inputs'!$B74,AC76+1,0)</f>
        <v>0</v>
      </c>
      <c r="AE76" s="15">
        <f>IF(AE16='Proforma Inputs'!$B74,AD76+1,0)</f>
        <v>0</v>
      </c>
      <c r="AF76" s="15">
        <f>IF(AF16='Proforma Inputs'!$B74,AE76+1,0)</f>
        <v>0</v>
      </c>
      <c r="AG76" s="15">
        <f>IF(AG16='Proforma Inputs'!$B74,AF76+1,0)</f>
        <v>0</v>
      </c>
      <c r="AH76" s="15">
        <f>IF(AH16='Proforma Inputs'!$B74,AG76+1,0)</f>
        <v>0</v>
      </c>
      <c r="AI76" s="15">
        <f>IF(AI16='Proforma Inputs'!$B74,AH76+1,0)</f>
        <v>0</v>
      </c>
      <c r="AJ76" s="15">
        <f>IF(AJ16='Proforma Inputs'!$B74,AI76+1,0)</f>
        <v>0</v>
      </c>
      <c r="AK76" s="15">
        <f>IF(AK16='Proforma Inputs'!$B74,AJ76+1,0)</f>
        <v>0</v>
      </c>
      <c r="AL76" s="15">
        <f>IF(AL16='Proforma Inputs'!$B74,AK76+1,0)</f>
        <v>0</v>
      </c>
      <c r="AM76" s="15">
        <f>IF(AM16='Proforma Inputs'!$B74,AL76+1,0)</f>
        <v>0</v>
      </c>
      <c r="AN76" s="15">
        <f>IF(AN16='Proforma Inputs'!$B74,AM76+1,0)</f>
        <v>0</v>
      </c>
      <c r="AO76" s="15">
        <f>IF(AO16='Proforma Inputs'!$B74,AN76+1,0)</f>
        <v>0</v>
      </c>
      <c r="AP76" s="15">
        <f>IF(AP16='Proforma Inputs'!$B74,AO76+1,0)</f>
        <v>0</v>
      </c>
      <c r="AQ76" s="15"/>
      <c r="AR76" s="15"/>
      <c r="AS76" s="15"/>
      <c r="AT76" s="15"/>
      <c r="AU76" s="15"/>
      <c r="AV76" s="15"/>
    </row>
    <row r="77" spans="1:48">
      <c r="A77" s="42" t="s">
        <v>30</v>
      </c>
      <c r="B77" s="15">
        <v>0</v>
      </c>
      <c r="C77" s="15">
        <f>IF(C17='Proforma Inputs'!$B75,B77+1,0)</f>
        <v>0</v>
      </c>
      <c r="D77" s="15">
        <f>IF(D17='Proforma Inputs'!$B75,C77+1,0)</f>
        <v>0</v>
      </c>
      <c r="E77" s="15">
        <f>IF(E17='Proforma Inputs'!$B75,D77+1,0)</f>
        <v>0</v>
      </c>
      <c r="F77" s="15">
        <f>IF(F17='Proforma Inputs'!$B75,E77+1,0)</f>
        <v>0</v>
      </c>
      <c r="G77" s="15">
        <f>IF(G17='Proforma Inputs'!$B75,F77+1,0)</f>
        <v>0</v>
      </c>
      <c r="H77" s="15">
        <f>IF(H17='Proforma Inputs'!$B75,G77+1,0)</f>
        <v>0</v>
      </c>
      <c r="I77" s="15">
        <f>IF(I17='Proforma Inputs'!$B75,H77+1,0)</f>
        <v>0</v>
      </c>
      <c r="J77" s="15">
        <f>IF(J17='Proforma Inputs'!$B75,I77+1,0)</f>
        <v>1</v>
      </c>
      <c r="K77" s="15">
        <f>IF(K17='Proforma Inputs'!$B75,J77+1,0)</f>
        <v>2</v>
      </c>
      <c r="L77" s="15">
        <f>IF(L17='Proforma Inputs'!$B75,K77+1,0)</f>
        <v>3</v>
      </c>
      <c r="M77" s="15">
        <f>IF(M17='Proforma Inputs'!$B75,L77+1,0)</f>
        <v>4</v>
      </c>
      <c r="N77" s="15">
        <f>IF(N17='Proforma Inputs'!$B75,M77+1,0)</f>
        <v>5</v>
      </c>
      <c r="O77" s="15">
        <f>IF(O17='Proforma Inputs'!$B75,N77+1,0)</f>
        <v>6</v>
      </c>
      <c r="P77" s="15">
        <f>IF(P17='Proforma Inputs'!$B75,O77+1,0)</f>
        <v>7</v>
      </c>
      <c r="Q77" s="15">
        <f>IF(Q17='Proforma Inputs'!$B75,P77+1,0)</f>
        <v>8</v>
      </c>
      <c r="R77" s="15">
        <f>IF(R17='Proforma Inputs'!$B75,Q77+1,0)</f>
        <v>9</v>
      </c>
      <c r="S77" s="15">
        <f>IF(S17='Proforma Inputs'!$B75,R77+1,0)</f>
        <v>10</v>
      </c>
      <c r="T77" s="15">
        <f>IF(T17='Proforma Inputs'!$B75,S77+1,0)</f>
        <v>11</v>
      </c>
      <c r="U77" s="15">
        <f>IF(U17='Proforma Inputs'!$B75,T77+1,0)</f>
        <v>0</v>
      </c>
      <c r="V77" s="15">
        <f>IF(V17='Proforma Inputs'!$B75,U77+1,0)</f>
        <v>0</v>
      </c>
      <c r="W77" s="15">
        <f>IF(W17='Proforma Inputs'!$B75,V77+1,0)</f>
        <v>0</v>
      </c>
      <c r="X77" s="15">
        <f>IF(X17='Proforma Inputs'!$B75,W77+1,0)</f>
        <v>0</v>
      </c>
      <c r="Y77" s="15">
        <f>IF(Y17='Proforma Inputs'!$B75,X77+1,0)</f>
        <v>0</v>
      </c>
      <c r="Z77" s="15">
        <f>IF(Z17='Proforma Inputs'!$B75,Y77+1,0)</f>
        <v>0</v>
      </c>
      <c r="AA77" s="15">
        <f>IF(AA17='Proforma Inputs'!$B75,Z77+1,0)</f>
        <v>0</v>
      </c>
      <c r="AB77" s="15">
        <f>IF(AB17='Proforma Inputs'!$B75,AA77+1,0)</f>
        <v>0</v>
      </c>
      <c r="AC77" s="15">
        <f>IF(AC17='Proforma Inputs'!$B75,AB77+1,0)</f>
        <v>0</v>
      </c>
      <c r="AD77" s="15">
        <f>IF(AD17='Proforma Inputs'!$B75,AC77+1,0)</f>
        <v>0</v>
      </c>
      <c r="AE77" s="15">
        <f>IF(AE17='Proforma Inputs'!$B75,AD77+1,0)</f>
        <v>0</v>
      </c>
      <c r="AF77" s="15">
        <f>IF(AF17='Proforma Inputs'!$B75,AE77+1,0)</f>
        <v>0</v>
      </c>
      <c r="AG77" s="15">
        <f>IF(AG17='Proforma Inputs'!$B75,AF77+1,0)</f>
        <v>0</v>
      </c>
      <c r="AH77" s="15">
        <f>IF(AH17='Proforma Inputs'!$B75,AG77+1,0)</f>
        <v>0</v>
      </c>
      <c r="AI77" s="15">
        <f>IF(AI17='Proforma Inputs'!$B75,AH77+1,0)</f>
        <v>0</v>
      </c>
      <c r="AJ77" s="15">
        <f>IF(AJ17='Proforma Inputs'!$B75,AI77+1,0)</f>
        <v>0</v>
      </c>
      <c r="AK77" s="15">
        <f>IF(AK17='Proforma Inputs'!$B75,AJ77+1,0)</f>
        <v>0</v>
      </c>
      <c r="AL77" s="15">
        <f>IF(AL17='Proforma Inputs'!$B75,AK77+1,0)</f>
        <v>0</v>
      </c>
      <c r="AM77" s="15">
        <f>IF(AM17='Proforma Inputs'!$B75,AL77+1,0)</f>
        <v>0</v>
      </c>
      <c r="AN77" s="15">
        <f>IF(AN17='Proforma Inputs'!$B75,AM77+1,0)</f>
        <v>0</v>
      </c>
      <c r="AO77" s="15">
        <f>IF(AO17='Proforma Inputs'!$B75,AN77+1,0)</f>
        <v>0</v>
      </c>
      <c r="AP77" s="15">
        <f>IF(AP17='Proforma Inputs'!$B75,AO77+1,0)</f>
        <v>0</v>
      </c>
      <c r="AQ77" s="15"/>
      <c r="AR77" s="15"/>
      <c r="AS77" s="15"/>
      <c r="AT77" s="15"/>
      <c r="AU77" s="15"/>
      <c r="AV77" s="15"/>
    </row>
    <row r="78" spans="1:48">
      <c r="A78" s="42" t="s">
        <v>31</v>
      </c>
      <c r="B78" s="15">
        <v>0</v>
      </c>
      <c r="C78" s="15">
        <f>IF(C18='Proforma Inputs'!$B76,B78+1,0)</f>
        <v>0</v>
      </c>
      <c r="D78" s="15">
        <f>IF(D18='Proforma Inputs'!$B76,C78+1,0)</f>
        <v>0</v>
      </c>
      <c r="E78" s="15">
        <f>IF(E18='Proforma Inputs'!$B76,D78+1,0)</f>
        <v>0</v>
      </c>
      <c r="F78" s="15">
        <f>IF(F18='Proforma Inputs'!$B76,E78+1,0)</f>
        <v>0</v>
      </c>
      <c r="G78" s="15">
        <f>IF(G18='Proforma Inputs'!$B76,F78+1,0)</f>
        <v>0</v>
      </c>
      <c r="H78" s="15">
        <f>IF(H18='Proforma Inputs'!$B76,G78+1,0)</f>
        <v>0</v>
      </c>
      <c r="I78" s="15">
        <f>IF(I18='Proforma Inputs'!$B76,H78+1,0)</f>
        <v>0</v>
      </c>
      <c r="J78" s="15">
        <f>IF(J18='Proforma Inputs'!$B76,I78+1,0)</f>
        <v>1</v>
      </c>
      <c r="K78" s="15">
        <f>IF(K18='Proforma Inputs'!$B76,J78+1,0)</f>
        <v>2</v>
      </c>
      <c r="L78" s="15">
        <f>IF(L18='Proforma Inputs'!$B76,K78+1,0)</f>
        <v>3</v>
      </c>
      <c r="M78" s="15">
        <f>IF(M18='Proforma Inputs'!$B76,L78+1,0)</f>
        <v>4</v>
      </c>
      <c r="N78" s="15">
        <f>IF(N18='Proforma Inputs'!$B76,M78+1,0)</f>
        <v>5</v>
      </c>
      <c r="O78" s="15">
        <f>IF(O18='Proforma Inputs'!$B76,N78+1,0)</f>
        <v>6</v>
      </c>
      <c r="P78" s="15">
        <f>IF(P18='Proforma Inputs'!$B76,O78+1,0)</f>
        <v>7</v>
      </c>
      <c r="Q78" s="15">
        <f>IF(Q18='Proforma Inputs'!$B76,P78+1,0)</f>
        <v>8</v>
      </c>
      <c r="R78" s="15">
        <f>IF(R18='Proforma Inputs'!$B76,Q78+1,0)</f>
        <v>9</v>
      </c>
      <c r="S78" s="15">
        <f>IF(S18='Proforma Inputs'!$B76,R78+1,0)</f>
        <v>10</v>
      </c>
      <c r="T78" s="15">
        <f>IF(T18='Proforma Inputs'!$B76,S78+1,0)</f>
        <v>11</v>
      </c>
      <c r="U78" s="15">
        <f>IF(U18='Proforma Inputs'!$B76,T78+1,0)</f>
        <v>0</v>
      </c>
      <c r="V78" s="15">
        <f>IF(V18='Proforma Inputs'!$B76,U78+1,0)</f>
        <v>0</v>
      </c>
      <c r="W78" s="15">
        <f>IF(W18='Proforma Inputs'!$B76,V78+1,0)</f>
        <v>0</v>
      </c>
      <c r="X78" s="15">
        <f>IF(X18='Proforma Inputs'!$B76,W78+1,0)</f>
        <v>0</v>
      </c>
      <c r="Y78" s="15">
        <f>IF(Y18='Proforma Inputs'!$B76,X78+1,0)</f>
        <v>0</v>
      </c>
      <c r="Z78" s="15">
        <f>IF(Z18='Proforma Inputs'!$B76,Y78+1,0)</f>
        <v>0</v>
      </c>
      <c r="AA78" s="15">
        <f>IF(AA18='Proforma Inputs'!$B76,Z78+1,0)</f>
        <v>0</v>
      </c>
      <c r="AB78" s="15">
        <f>IF(AB18='Proforma Inputs'!$B76,AA78+1,0)</f>
        <v>0</v>
      </c>
      <c r="AC78" s="15">
        <f>IF(AC18='Proforma Inputs'!$B76,AB78+1,0)</f>
        <v>0</v>
      </c>
      <c r="AD78" s="15">
        <f>IF(AD18='Proforma Inputs'!$B76,AC78+1,0)</f>
        <v>0</v>
      </c>
      <c r="AE78" s="15">
        <f>IF(AE18='Proforma Inputs'!$B76,AD78+1,0)</f>
        <v>0</v>
      </c>
      <c r="AF78" s="15">
        <f>IF(AF18='Proforma Inputs'!$B76,AE78+1,0)</f>
        <v>0</v>
      </c>
      <c r="AG78" s="15">
        <f>IF(AG18='Proforma Inputs'!$B76,AF78+1,0)</f>
        <v>0</v>
      </c>
      <c r="AH78" s="15">
        <f>IF(AH18='Proforma Inputs'!$B76,AG78+1,0)</f>
        <v>0</v>
      </c>
      <c r="AI78" s="15">
        <f>IF(AI18='Proforma Inputs'!$B76,AH78+1,0)</f>
        <v>0</v>
      </c>
      <c r="AJ78" s="15">
        <f>IF(AJ18='Proforma Inputs'!$B76,AI78+1,0)</f>
        <v>0</v>
      </c>
      <c r="AK78" s="15">
        <f>IF(AK18='Proforma Inputs'!$B76,AJ78+1,0)</f>
        <v>0</v>
      </c>
      <c r="AL78" s="15">
        <f>IF(AL18='Proforma Inputs'!$B76,AK78+1,0)</f>
        <v>0</v>
      </c>
      <c r="AM78" s="15">
        <f>IF(AM18='Proforma Inputs'!$B76,AL78+1,0)</f>
        <v>0</v>
      </c>
      <c r="AN78" s="15">
        <f>IF(AN18='Proforma Inputs'!$B76,AM78+1,0)</f>
        <v>0</v>
      </c>
      <c r="AO78" s="15">
        <f>IF(AO18='Proforma Inputs'!$B76,AN78+1,0)</f>
        <v>0</v>
      </c>
      <c r="AP78" s="15">
        <f>IF(AP18='Proforma Inputs'!$B76,AO78+1,0)</f>
        <v>0</v>
      </c>
      <c r="AQ78" s="15"/>
      <c r="AR78" s="15"/>
      <c r="AS78" s="15"/>
      <c r="AT78" s="15"/>
      <c r="AU78" s="15"/>
      <c r="AV78" s="15"/>
    </row>
    <row r="79" spans="1:48">
      <c r="A79" s="43" t="s">
        <v>32</v>
      </c>
      <c r="B79" s="15">
        <v>0</v>
      </c>
      <c r="C79" s="15">
        <f>IF(C19='Proforma Inputs'!$B77,B79+1,0)</f>
        <v>0</v>
      </c>
      <c r="D79" s="15">
        <f>IF(D19='Proforma Inputs'!$B77,C79+1,0)</f>
        <v>0</v>
      </c>
      <c r="E79" s="15">
        <f>IF(E19='Proforma Inputs'!$B77,D79+1,0)</f>
        <v>0</v>
      </c>
      <c r="F79" s="15">
        <f>IF(F19='Proforma Inputs'!$B77,E79+1,0)</f>
        <v>0</v>
      </c>
      <c r="G79" s="15">
        <f>IF(G19='Proforma Inputs'!$B77,F79+1,0)</f>
        <v>0</v>
      </c>
      <c r="H79" s="15">
        <f>IF(H19='Proforma Inputs'!$B77,G79+1,0)</f>
        <v>0</v>
      </c>
      <c r="I79" s="15">
        <f>IF(I19='Proforma Inputs'!$B77,H79+1,0)</f>
        <v>0</v>
      </c>
      <c r="J79" s="15">
        <f>IF(J19='Proforma Inputs'!$B77,I79+1,0)</f>
        <v>0</v>
      </c>
      <c r="K79" s="15">
        <f>IF(K19='Proforma Inputs'!$B77,J79+1,0)</f>
        <v>0</v>
      </c>
      <c r="L79" s="15">
        <f>IF(L19='Proforma Inputs'!$B77,K79+1,0)</f>
        <v>0</v>
      </c>
      <c r="M79" s="15">
        <f>IF(M19='Proforma Inputs'!$B77,L79+1,0)</f>
        <v>0</v>
      </c>
      <c r="N79" s="15">
        <f>IF(N19='Proforma Inputs'!$B77,M79+1,0)</f>
        <v>1</v>
      </c>
      <c r="O79" s="15">
        <f>IF(O19='Proforma Inputs'!$B77,N79+1,0)</f>
        <v>2</v>
      </c>
      <c r="P79" s="15">
        <f>IF(P19='Proforma Inputs'!$B77,O79+1,0)</f>
        <v>3</v>
      </c>
      <c r="Q79" s="15">
        <f>IF(Q19='Proforma Inputs'!$B77,P79+1,0)</f>
        <v>4</v>
      </c>
      <c r="R79" s="15">
        <f>IF(R19='Proforma Inputs'!$B77,Q79+1,0)</f>
        <v>5</v>
      </c>
      <c r="S79" s="15">
        <f>IF(S19='Proforma Inputs'!$B77,R79+1,0)</f>
        <v>6</v>
      </c>
      <c r="T79" s="15">
        <f>IF(T19='Proforma Inputs'!$B77,S79+1,0)</f>
        <v>7</v>
      </c>
      <c r="U79" s="15">
        <f>IF(U19='Proforma Inputs'!$B77,T79+1,0)</f>
        <v>0</v>
      </c>
      <c r="V79" s="15">
        <f>IF(V19='Proforma Inputs'!$B77,U79+1,0)</f>
        <v>0</v>
      </c>
      <c r="W79" s="15">
        <f>IF(W19='Proforma Inputs'!$B77,V79+1,0)</f>
        <v>0</v>
      </c>
      <c r="X79" s="15">
        <f>IF(X19='Proforma Inputs'!$B77,W79+1,0)</f>
        <v>0</v>
      </c>
      <c r="Y79" s="15">
        <f>IF(Y19='Proforma Inputs'!$B77,X79+1,0)</f>
        <v>0</v>
      </c>
      <c r="Z79" s="15">
        <f>IF(Z19='Proforma Inputs'!$B77,Y79+1,0)</f>
        <v>0</v>
      </c>
      <c r="AA79" s="15">
        <f>IF(AA19='Proforma Inputs'!$B77,Z79+1,0)</f>
        <v>0</v>
      </c>
      <c r="AB79" s="15">
        <f>IF(AB19='Proforma Inputs'!$B77,AA79+1,0)</f>
        <v>0</v>
      </c>
      <c r="AC79" s="15">
        <f>IF(AC19='Proforma Inputs'!$B77,AB79+1,0)</f>
        <v>0</v>
      </c>
      <c r="AD79" s="15">
        <f>IF(AD19='Proforma Inputs'!$B77,AC79+1,0)</f>
        <v>0</v>
      </c>
      <c r="AE79" s="15">
        <f>IF(AE19='Proforma Inputs'!$B77,AD79+1,0)</f>
        <v>0</v>
      </c>
      <c r="AF79" s="15">
        <f>IF(AF19='Proforma Inputs'!$B77,AE79+1,0)</f>
        <v>0</v>
      </c>
      <c r="AG79" s="15">
        <f>IF(AG19='Proforma Inputs'!$B77,AF79+1,0)</f>
        <v>0</v>
      </c>
      <c r="AH79" s="15">
        <f>IF(AH19='Proforma Inputs'!$B77,AG79+1,0)</f>
        <v>0</v>
      </c>
      <c r="AI79" s="15">
        <f>IF(AI19='Proforma Inputs'!$B77,AH79+1,0)</f>
        <v>0</v>
      </c>
      <c r="AJ79" s="15">
        <f>IF(AJ19='Proforma Inputs'!$B77,AI79+1,0)</f>
        <v>0</v>
      </c>
      <c r="AK79" s="15">
        <f>IF(AK19='Proforma Inputs'!$B77,AJ79+1,0)</f>
        <v>0</v>
      </c>
      <c r="AL79" s="15">
        <f>IF(AL19='Proforma Inputs'!$B77,AK79+1,0)</f>
        <v>0</v>
      </c>
      <c r="AM79" s="15">
        <f>IF(AM19='Proforma Inputs'!$B77,AL79+1,0)</f>
        <v>0</v>
      </c>
      <c r="AN79" s="15">
        <f>IF(AN19='Proforma Inputs'!$B77,AM79+1,0)</f>
        <v>0</v>
      </c>
      <c r="AO79" s="15">
        <f>IF(AO19='Proforma Inputs'!$B77,AN79+1,0)</f>
        <v>0</v>
      </c>
      <c r="AP79" s="15">
        <f>IF(AP19='Proforma Inputs'!$B77,AO79+1,0)</f>
        <v>0</v>
      </c>
      <c r="AQ79" s="15"/>
      <c r="AR79" s="15"/>
      <c r="AS79" s="15"/>
      <c r="AT79" s="15"/>
      <c r="AU79" s="15"/>
      <c r="AV79" s="15"/>
    </row>
    <row r="80" spans="1:48">
      <c r="A80" s="24" t="s">
        <v>141</v>
      </c>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c r="AF80" s="15"/>
      <c r="AG80" s="15"/>
      <c r="AH80" s="15"/>
      <c r="AI80" s="15"/>
      <c r="AJ80" s="15"/>
      <c r="AK80" s="15"/>
      <c r="AL80" s="15"/>
      <c r="AM80" s="15"/>
      <c r="AN80" s="15"/>
      <c r="AO80" s="15"/>
      <c r="AP80" s="15"/>
      <c r="AQ80" s="15"/>
      <c r="AR80" s="15"/>
      <c r="AS80" s="15"/>
      <c r="AT80" s="15"/>
      <c r="AU80" s="15"/>
      <c r="AV80" s="15"/>
    </row>
    <row r="81" spans="1:48">
      <c r="A81" s="45" t="s">
        <v>1</v>
      </c>
      <c r="B81" s="15">
        <v>0</v>
      </c>
      <c r="C81" s="15">
        <f>IF(C21='Proforma Inputs'!$B92,B81+1,0)</f>
        <v>0</v>
      </c>
      <c r="D81" s="15">
        <f>IF(D21='Proforma Inputs'!$B92,C81+1,0)</f>
        <v>0</v>
      </c>
      <c r="E81" s="15">
        <f>IF(E21='Proforma Inputs'!$B92,D81+1,0)</f>
        <v>0</v>
      </c>
      <c r="F81" s="15">
        <f>IF(F21='Proforma Inputs'!$B92,E81+1,0)</f>
        <v>0</v>
      </c>
      <c r="G81" s="15">
        <f>IF(G21='Proforma Inputs'!$B92,F81+1,0)</f>
        <v>0</v>
      </c>
      <c r="H81" s="15">
        <f>IF(H21='Proforma Inputs'!$B92,G81+1,0)</f>
        <v>0</v>
      </c>
      <c r="I81" s="15">
        <f>IF(I21='Proforma Inputs'!$B92,H81+1,0)</f>
        <v>0</v>
      </c>
      <c r="J81" s="15">
        <f>IF(J21='Proforma Inputs'!$B92,I81+1,0)</f>
        <v>0</v>
      </c>
      <c r="K81" s="15">
        <f>IF(K21='Proforma Inputs'!$B92,J81+1,0)</f>
        <v>0</v>
      </c>
      <c r="L81" s="15">
        <f>IF(L21='Proforma Inputs'!$B92,K81+1,0)</f>
        <v>0</v>
      </c>
      <c r="M81" s="15">
        <f>IF(M21='Proforma Inputs'!$B92,L81+1,0)</f>
        <v>0</v>
      </c>
      <c r="N81" s="15">
        <f>IF(N21='Proforma Inputs'!$B92,M81+1,0)</f>
        <v>1</v>
      </c>
      <c r="O81" s="15">
        <f>IF(O21='Proforma Inputs'!$B92,N81+1,0)</f>
        <v>2</v>
      </c>
      <c r="P81" s="15">
        <f>IF(P21='Proforma Inputs'!$B92,O81+1,0)</f>
        <v>3</v>
      </c>
      <c r="Q81" s="15">
        <f>IF(Q21='Proforma Inputs'!$B92,P81+1,0)</f>
        <v>4</v>
      </c>
      <c r="R81" s="15">
        <f>IF(R21='Proforma Inputs'!$B92,Q81+1,0)</f>
        <v>5</v>
      </c>
      <c r="S81" s="15">
        <f>IF(S21='Proforma Inputs'!$B92,R81+1,0)</f>
        <v>6</v>
      </c>
      <c r="T81" s="15">
        <f>IF(T21='Proforma Inputs'!$B92,S81+1,0)</f>
        <v>7</v>
      </c>
      <c r="U81" s="15">
        <f>IF(U21='Proforma Inputs'!$B92,T81+1,0)</f>
        <v>0</v>
      </c>
      <c r="V81" s="15">
        <f>IF(V21='Proforma Inputs'!$B92,U81+1,0)</f>
        <v>0</v>
      </c>
      <c r="W81" s="15">
        <f>IF(W21='Proforma Inputs'!$B92,V81+1,0)</f>
        <v>0</v>
      </c>
      <c r="X81" s="15">
        <f>IF(X21='Proforma Inputs'!$B92,W81+1,0)</f>
        <v>0</v>
      </c>
      <c r="Y81" s="15">
        <f>IF(Y21='Proforma Inputs'!$B92,X81+1,0)</f>
        <v>0</v>
      </c>
      <c r="Z81" s="15">
        <f>IF(Z21='Proforma Inputs'!$B92,Y81+1,0)</f>
        <v>0</v>
      </c>
      <c r="AA81" s="15">
        <f>IF(AA21='Proforma Inputs'!$B92,Z81+1,0)</f>
        <v>0</v>
      </c>
      <c r="AB81" s="15">
        <f>IF(AB21='Proforma Inputs'!$B92,AA81+1,0)</f>
        <v>0</v>
      </c>
      <c r="AC81" s="15">
        <f>IF(AC21='Proforma Inputs'!$B92,AB81+1,0)</f>
        <v>0</v>
      </c>
      <c r="AD81" s="15">
        <f>IF(AD21='Proforma Inputs'!$B92,AC81+1,0)</f>
        <v>0</v>
      </c>
      <c r="AE81" s="15">
        <f>IF(AE21='Proforma Inputs'!$B92,AD81+1,0)</f>
        <v>0</v>
      </c>
      <c r="AF81" s="15">
        <f>IF(AF21='Proforma Inputs'!$B92,AE81+1,0)</f>
        <v>0</v>
      </c>
      <c r="AG81" s="15">
        <f>IF(AG21='Proforma Inputs'!$B92,AF81+1,0)</f>
        <v>0</v>
      </c>
      <c r="AH81" s="15">
        <f>IF(AH21='Proforma Inputs'!$B92,AG81+1,0)</f>
        <v>0</v>
      </c>
      <c r="AI81" s="15">
        <f>IF(AI21='Proforma Inputs'!$B92,AH81+1,0)</f>
        <v>0</v>
      </c>
      <c r="AJ81" s="15">
        <f>IF(AJ21='Proforma Inputs'!$B92,AI81+1,0)</f>
        <v>0</v>
      </c>
      <c r="AK81" s="15">
        <f>IF(AK21='Proforma Inputs'!$B92,AJ81+1,0)</f>
        <v>0</v>
      </c>
      <c r="AL81" s="15">
        <f>IF(AL21='Proforma Inputs'!$B92,AK81+1,0)</f>
        <v>0</v>
      </c>
      <c r="AM81" s="15">
        <f>IF(AM21='Proforma Inputs'!$B92,AL81+1,0)</f>
        <v>0</v>
      </c>
      <c r="AN81" s="15">
        <f>IF(AN21='Proforma Inputs'!$B92,AM81+1,0)</f>
        <v>0</v>
      </c>
      <c r="AO81" s="15">
        <f>IF(AO21='Proforma Inputs'!$B92,AN81+1,0)</f>
        <v>0</v>
      </c>
      <c r="AP81" s="15">
        <f>IF(AP21='Proforma Inputs'!$B92,AO81+1,0)</f>
        <v>0</v>
      </c>
      <c r="AQ81" s="15"/>
      <c r="AR81" s="15"/>
      <c r="AS81" s="15"/>
      <c r="AT81" s="15"/>
      <c r="AU81" s="15"/>
      <c r="AV81" s="15"/>
    </row>
    <row r="82" spans="1:48">
      <c r="A82" s="45" t="s">
        <v>2</v>
      </c>
      <c r="B82" s="15">
        <v>0</v>
      </c>
      <c r="C82" s="15">
        <f>IF(C22='Proforma Inputs'!$B93,B82+1,0)</f>
        <v>1</v>
      </c>
      <c r="D82" s="15">
        <f>IF(D22='Proforma Inputs'!$B93,C82+1,0)</f>
        <v>2</v>
      </c>
      <c r="E82" s="15">
        <f>IF(E22='Proforma Inputs'!$B93,D82+1,0)</f>
        <v>3</v>
      </c>
      <c r="F82" s="15">
        <f>IF(F22='Proforma Inputs'!$B93,E82+1,0)</f>
        <v>4</v>
      </c>
      <c r="G82" s="15">
        <f>IF(G22='Proforma Inputs'!$B93,F82+1,0)</f>
        <v>5</v>
      </c>
      <c r="H82" s="15">
        <f>IF(H22='Proforma Inputs'!$B93,G82+1,0)</f>
        <v>6</v>
      </c>
      <c r="I82" s="15">
        <f>IF(I22='Proforma Inputs'!$B93,H82+1,0)</f>
        <v>7</v>
      </c>
      <c r="J82" s="15">
        <f>IF(J22='Proforma Inputs'!$B93,I82+1,0)</f>
        <v>8</v>
      </c>
      <c r="K82" s="15">
        <f>IF(K22='Proforma Inputs'!$B93,J82+1,0)</f>
        <v>9</v>
      </c>
      <c r="L82" s="15">
        <f>IF(L22='Proforma Inputs'!$B93,K82+1,0)</f>
        <v>10</v>
      </c>
      <c r="M82" s="15">
        <f>IF(M22='Proforma Inputs'!$B93,L82+1,0)</f>
        <v>11</v>
      </c>
      <c r="N82" s="15">
        <f>IF(N22='Proforma Inputs'!$B93,M82+1,0)</f>
        <v>12</v>
      </c>
      <c r="O82" s="15">
        <f>IF(O22='Proforma Inputs'!$B93,N82+1,0)</f>
        <v>13</v>
      </c>
      <c r="P82" s="15">
        <f>IF(P22='Proforma Inputs'!$B93,O82+1,0)</f>
        <v>14</v>
      </c>
      <c r="Q82" s="15">
        <f>IF(Q22='Proforma Inputs'!$B93,P82+1,0)</f>
        <v>15</v>
      </c>
      <c r="R82" s="15">
        <f>IF(R22='Proforma Inputs'!$B93,Q82+1,0)</f>
        <v>16</v>
      </c>
      <c r="S82" s="15">
        <f>IF(S22='Proforma Inputs'!$B93,R82+1,0)</f>
        <v>17</v>
      </c>
      <c r="T82" s="15">
        <f>IF(T22='Proforma Inputs'!$B93,S82+1,0)</f>
        <v>18</v>
      </c>
      <c r="U82" s="15">
        <f>IF(U22='Proforma Inputs'!$B93,T82+1,0)</f>
        <v>19</v>
      </c>
      <c r="V82" s="15">
        <f>IF(V22='Proforma Inputs'!$B93,U82+1,0)</f>
        <v>20</v>
      </c>
      <c r="W82" s="15">
        <f>IF(W22='Proforma Inputs'!$B93,V82+1,0)</f>
        <v>21</v>
      </c>
      <c r="X82" s="15">
        <f>IF(X22='Proforma Inputs'!$B93,W82+1,0)</f>
        <v>22</v>
      </c>
      <c r="Y82" s="15">
        <f>IF(Y22='Proforma Inputs'!$B93,X82+1,0)</f>
        <v>23</v>
      </c>
      <c r="Z82" s="15">
        <f>IF(Z22='Proforma Inputs'!$B93,Y82+1,0)</f>
        <v>24</v>
      </c>
      <c r="AA82" s="15">
        <f>IF(AA22='Proforma Inputs'!$B93,Z82+1,0)</f>
        <v>25</v>
      </c>
      <c r="AB82" s="15">
        <f>IF(AB22='Proforma Inputs'!$B93,AA82+1,0)</f>
        <v>26</v>
      </c>
      <c r="AC82" s="15">
        <f>IF(AC22='Proforma Inputs'!$B93,AB82+1,0)</f>
        <v>27</v>
      </c>
      <c r="AD82" s="15">
        <f>IF(AD22='Proforma Inputs'!$B93,AC82+1,0)</f>
        <v>28</v>
      </c>
      <c r="AE82" s="15">
        <f>IF(AE22='Proforma Inputs'!$B93,AD82+1,0)</f>
        <v>29</v>
      </c>
      <c r="AF82" s="15">
        <f>IF(AF22='Proforma Inputs'!$B93,AE82+1,0)</f>
        <v>30</v>
      </c>
      <c r="AG82" s="15">
        <f>IF(AG22='Proforma Inputs'!$B93,AF82+1,0)</f>
        <v>31</v>
      </c>
      <c r="AH82" s="15">
        <f>IF(AH22='Proforma Inputs'!$B93,AG82+1,0)</f>
        <v>32</v>
      </c>
      <c r="AI82" s="15">
        <f>IF(AI22='Proforma Inputs'!$B93,AH82+1,0)</f>
        <v>33</v>
      </c>
      <c r="AJ82" s="15">
        <f>IF(AJ22='Proforma Inputs'!$B93,AI82+1,0)</f>
        <v>34</v>
      </c>
      <c r="AK82" s="15">
        <f>IF(AK22='Proforma Inputs'!$B93,AJ82+1,0)</f>
        <v>35</v>
      </c>
      <c r="AL82" s="15">
        <f>IF(AL22='Proforma Inputs'!$B93,AK82+1,0)</f>
        <v>36</v>
      </c>
      <c r="AM82" s="15">
        <f>IF(AM22='Proforma Inputs'!$B93,AL82+1,0)</f>
        <v>37</v>
      </c>
      <c r="AN82" s="15">
        <f>IF(AN22='Proforma Inputs'!$B93,AM82+1,0)</f>
        <v>38</v>
      </c>
      <c r="AO82" s="15">
        <f>IF(AO22='Proforma Inputs'!$B93,AN82+1,0)</f>
        <v>39</v>
      </c>
      <c r="AP82" s="15">
        <f>IF(AP22='Proforma Inputs'!$B93,AO82+1,0)</f>
        <v>40</v>
      </c>
      <c r="AQ82" s="15"/>
      <c r="AR82" s="15"/>
      <c r="AS82" s="15"/>
      <c r="AT82" s="15"/>
      <c r="AU82" s="15"/>
      <c r="AV82" s="15"/>
    </row>
    <row r="83" spans="1:48">
      <c r="A83" s="45" t="s">
        <v>3</v>
      </c>
      <c r="B83" s="15">
        <v>0</v>
      </c>
      <c r="C83" s="15">
        <f>IF(C23='Proforma Inputs'!$B94,B83+1,0)</f>
        <v>1</v>
      </c>
      <c r="D83" s="15">
        <f>IF(D23='Proforma Inputs'!$B94,C83+1,0)</f>
        <v>2</v>
      </c>
      <c r="E83" s="15">
        <f>IF(E23='Proforma Inputs'!$B94,D83+1,0)</f>
        <v>3</v>
      </c>
      <c r="F83" s="15">
        <f>IF(F23='Proforma Inputs'!$B94,E83+1,0)</f>
        <v>4</v>
      </c>
      <c r="G83" s="15">
        <f>IF(G23='Proforma Inputs'!$B94,F83+1,0)</f>
        <v>5</v>
      </c>
      <c r="H83" s="15">
        <f>IF(H23='Proforma Inputs'!$B94,G83+1,0)</f>
        <v>6</v>
      </c>
      <c r="I83" s="15">
        <f>IF(I23='Proforma Inputs'!$B94,H83+1,0)</f>
        <v>7</v>
      </c>
      <c r="J83" s="15">
        <f>IF(J23='Proforma Inputs'!$B94,I83+1,0)</f>
        <v>8</v>
      </c>
      <c r="K83" s="15">
        <f>IF(K23='Proforma Inputs'!$B94,J83+1,0)</f>
        <v>9</v>
      </c>
      <c r="L83" s="15">
        <f>IF(L23='Proforma Inputs'!$B94,K83+1,0)</f>
        <v>10</v>
      </c>
      <c r="M83" s="15">
        <f>IF(M23='Proforma Inputs'!$B94,L83+1,0)</f>
        <v>11</v>
      </c>
      <c r="N83" s="15">
        <f>IF(N23='Proforma Inputs'!$B94,M83+1,0)</f>
        <v>12</v>
      </c>
      <c r="O83" s="15">
        <f>IF(O23='Proforma Inputs'!$B94,N83+1,0)</f>
        <v>13</v>
      </c>
      <c r="P83" s="15">
        <f>IF(P23='Proforma Inputs'!$B94,O83+1,0)</f>
        <v>14</v>
      </c>
      <c r="Q83" s="15">
        <f>IF(Q23='Proforma Inputs'!$B94,P83+1,0)</f>
        <v>15</v>
      </c>
      <c r="R83" s="15">
        <f>IF(R23='Proforma Inputs'!$B94,Q83+1,0)</f>
        <v>16</v>
      </c>
      <c r="S83" s="15">
        <f>IF(S23='Proforma Inputs'!$B94,R83+1,0)</f>
        <v>17</v>
      </c>
      <c r="T83" s="15">
        <f>IF(T23='Proforma Inputs'!$B94,S83+1,0)</f>
        <v>18</v>
      </c>
      <c r="U83" s="15">
        <f>IF(U23='Proforma Inputs'!$B94,T83+1,0)</f>
        <v>19</v>
      </c>
      <c r="V83" s="15">
        <f>IF(V23='Proforma Inputs'!$B94,U83+1,0)</f>
        <v>20</v>
      </c>
      <c r="W83" s="15">
        <f>IF(W23='Proforma Inputs'!$B94,V83+1,0)</f>
        <v>21</v>
      </c>
      <c r="X83" s="15">
        <f>IF(X23='Proforma Inputs'!$B94,W83+1,0)</f>
        <v>22</v>
      </c>
      <c r="Y83" s="15">
        <f>IF(Y23='Proforma Inputs'!$B94,X83+1,0)</f>
        <v>23</v>
      </c>
      <c r="Z83" s="15">
        <f>IF(Z23='Proforma Inputs'!$B94,Y83+1,0)</f>
        <v>24</v>
      </c>
      <c r="AA83" s="15">
        <f>IF(AA23='Proforma Inputs'!$B94,Z83+1,0)</f>
        <v>25</v>
      </c>
      <c r="AB83" s="15">
        <f>IF(AB23='Proforma Inputs'!$B94,AA83+1,0)</f>
        <v>26</v>
      </c>
      <c r="AC83" s="15">
        <f>IF(AC23='Proforma Inputs'!$B94,AB83+1,0)</f>
        <v>27</v>
      </c>
      <c r="AD83" s="15">
        <f>IF(AD23='Proforma Inputs'!$B94,AC83+1,0)</f>
        <v>28</v>
      </c>
      <c r="AE83" s="15">
        <f>IF(AE23='Proforma Inputs'!$B94,AD83+1,0)</f>
        <v>29</v>
      </c>
      <c r="AF83" s="15">
        <f>IF(AF23='Proforma Inputs'!$B94,AE83+1,0)</f>
        <v>30</v>
      </c>
      <c r="AG83" s="15">
        <f>IF(AG23='Proforma Inputs'!$B94,AF83+1,0)</f>
        <v>31</v>
      </c>
      <c r="AH83" s="15">
        <f>IF(AH23='Proforma Inputs'!$B94,AG83+1,0)</f>
        <v>32</v>
      </c>
      <c r="AI83" s="15">
        <f>IF(AI23='Proforma Inputs'!$B94,AH83+1,0)</f>
        <v>33</v>
      </c>
      <c r="AJ83" s="15">
        <f>IF(AJ23='Proforma Inputs'!$B94,AI83+1,0)</f>
        <v>34</v>
      </c>
      <c r="AK83" s="15">
        <f>IF(AK23='Proforma Inputs'!$B94,AJ83+1,0)</f>
        <v>35</v>
      </c>
      <c r="AL83" s="15">
        <f>IF(AL23='Proforma Inputs'!$B94,AK83+1,0)</f>
        <v>36</v>
      </c>
      <c r="AM83" s="15">
        <f>IF(AM23='Proforma Inputs'!$B94,AL83+1,0)</f>
        <v>37</v>
      </c>
      <c r="AN83" s="15">
        <f>IF(AN23='Proforma Inputs'!$B94,AM83+1,0)</f>
        <v>38</v>
      </c>
      <c r="AO83" s="15">
        <f>IF(AO23='Proforma Inputs'!$B94,AN83+1,0)</f>
        <v>39</v>
      </c>
      <c r="AP83" s="15">
        <f>IF(AP23='Proforma Inputs'!$B94,AO83+1,0)</f>
        <v>40</v>
      </c>
      <c r="AQ83" s="15"/>
      <c r="AR83" s="15"/>
      <c r="AS83" s="15"/>
      <c r="AT83" s="15"/>
      <c r="AU83" s="15"/>
      <c r="AV83" s="15"/>
    </row>
    <row r="84" spans="1:48">
      <c r="A84" s="45" t="s">
        <v>4</v>
      </c>
      <c r="B84" s="15">
        <v>0</v>
      </c>
      <c r="C84" s="15">
        <f>IF(C24='Proforma Inputs'!$B95,B84+1,0)</f>
        <v>1</v>
      </c>
      <c r="D84" s="15">
        <f>IF(D24='Proforma Inputs'!$B95,C84+1,0)</f>
        <v>2</v>
      </c>
      <c r="E84" s="15">
        <f>IF(E24='Proforma Inputs'!$B95,D84+1,0)</f>
        <v>3</v>
      </c>
      <c r="F84" s="15">
        <f>IF(F24='Proforma Inputs'!$B95,E84+1,0)</f>
        <v>4</v>
      </c>
      <c r="G84" s="15">
        <f>IF(G24='Proforma Inputs'!$B95,F84+1,0)</f>
        <v>5</v>
      </c>
      <c r="H84" s="15">
        <f>IF(H24='Proforma Inputs'!$B95,G84+1,0)</f>
        <v>6</v>
      </c>
      <c r="I84" s="15">
        <f>IF(I24='Proforma Inputs'!$B95,H84+1,0)</f>
        <v>7</v>
      </c>
      <c r="J84" s="15">
        <f>IF(J24='Proforma Inputs'!$B95,I84+1,0)</f>
        <v>8</v>
      </c>
      <c r="K84" s="15">
        <f>IF(K24='Proforma Inputs'!$B95,J84+1,0)</f>
        <v>9</v>
      </c>
      <c r="L84" s="15">
        <f>IF(L24='Proforma Inputs'!$B95,K84+1,0)</f>
        <v>10</v>
      </c>
      <c r="M84" s="15">
        <f>IF(M24='Proforma Inputs'!$B95,L84+1,0)</f>
        <v>11</v>
      </c>
      <c r="N84" s="15">
        <f>IF(N24='Proforma Inputs'!$B95,M84+1,0)</f>
        <v>12</v>
      </c>
      <c r="O84" s="15">
        <f>IF(O24='Proforma Inputs'!$B95,N84+1,0)</f>
        <v>13</v>
      </c>
      <c r="P84" s="15">
        <f>IF(P24='Proforma Inputs'!$B95,O84+1,0)</f>
        <v>14</v>
      </c>
      <c r="Q84" s="15">
        <f>IF(Q24='Proforma Inputs'!$B95,P84+1,0)</f>
        <v>15</v>
      </c>
      <c r="R84" s="15">
        <f>IF(R24='Proforma Inputs'!$B95,Q84+1,0)</f>
        <v>16</v>
      </c>
      <c r="S84" s="15">
        <f>IF(S24='Proforma Inputs'!$B95,R84+1,0)</f>
        <v>17</v>
      </c>
      <c r="T84" s="15">
        <f>IF(T24='Proforma Inputs'!$B95,S84+1,0)</f>
        <v>18</v>
      </c>
      <c r="U84" s="15">
        <f>IF(U24='Proforma Inputs'!$B95,T84+1,0)</f>
        <v>19</v>
      </c>
      <c r="V84" s="15">
        <f>IF(V24='Proforma Inputs'!$B95,U84+1,0)</f>
        <v>20</v>
      </c>
      <c r="W84" s="15">
        <f>IF(W24='Proforma Inputs'!$B95,V84+1,0)</f>
        <v>21</v>
      </c>
      <c r="X84" s="15">
        <f>IF(X24='Proforma Inputs'!$B95,W84+1,0)</f>
        <v>22</v>
      </c>
      <c r="Y84" s="15">
        <f>IF(Y24='Proforma Inputs'!$B95,X84+1,0)</f>
        <v>23</v>
      </c>
      <c r="Z84" s="15">
        <f>IF(Z24='Proforma Inputs'!$B95,Y84+1,0)</f>
        <v>24</v>
      </c>
      <c r="AA84" s="15">
        <f>IF(AA24='Proforma Inputs'!$B95,Z84+1,0)</f>
        <v>25</v>
      </c>
      <c r="AB84" s="15">
        <f>IF(AB24='Proforma Inputs'!$B95,AA84+1,0)</f>
        <v>26</v>
      </c>
      <c r="AC84" s="15">
        <f>IF(AC24='Proforma Inputs'!$B95,AB84+1,0)</f>
        <v>27</v>
      </c>
      <c r="AD84" s="15">
        <f>IF(AD24='Proforma Inputs'!$B95,AC84+1,0)</f>
        <v>28</v>
      </c>
      <c r="AE84" s="15">
        <f>IF(AE24='Proforma Inputs'!$B95,AD84+1,0)</f>
        <v>29</v>
      </c>
      <c r="AF84" s="15">
        <f>IF(AF24='Proforma Inputs'!$B95,AE84+1,0)</f>
        <v>30</v>
      </c>
      <c r="AG84" s="15">
        <f>IF(AG24='Proforma Inputs'!$B95,AF84+1,0)</f>
        <v>31</v>
      </c>
      <c r="AH84" s="15">
        <f>IF(AH24='Proforma Inputs'!$B95,AG84+1,0)</f>
        <v>32</v>
      </c>
      <c r="AI84" s="15">
        <f>IF(AI24='Proforma Inputs'!$B95,AH84+1,0)</f>
        <v>33</v>
      </c>
      <c r="AJ84" s="15">
        <f>IF(AJ24='Proforma Inputs'!$B95,AI84+1,0)</f>
        <v>34</v>
      </c>
      <c r="AK84" s="15">
        <f>IF(AK24='Proforma Inputs'!$B95,AJ84+1,0)</f>
        <v>35</v>
      </c>
      <c r="AL84" s="15">
        <f>IF(AL24='Proforma Inputs'!$B95,AK84+1,0)</f>
        <v>36</v>
      </c>
      <c r="AM84" s="15">
        <f>IF(AM24='Proforma Inputs'!$B95,AL84+1,0)</f>
        <v>37</v>
      </c>
      <c r="AN84" s="15">
        <f>IF(AN24='Proforma Inputs'!$B95,AM84+1,0)</f>
        <v>38</v>
      </c>
      <c r="AO84" s="15">
        <f>IF(AO24='Proforma Inputs'!$B95,AN84+1,0)</f>
        <v>39</v>
      </c>
      <c r="AP84" s="15">
        <f>IF(AP24='Proforma Inputs'!$B95,AO84+1,0)</f>
        <v>40</v>
      </c>
      <c r="AQ84" s="15"/>
      <c r="AR84" s="15"/>
      <c r="AS84" s="15"/>
      <c r="AT84" s="15"/>
      <c r="AU84" s="15"/>
      <c r="AV84" s="15"/>
    </row>
    <row r="85" spans="1:48">
      <c r="A85" s="45" t="s">
        <v>5</v>
      </c>
      <c r="B85" s="15">
        <v>0</v>
      </c>
      <c r="C85" s="15">
        <f>IF(C25='Proforma Inputs'!$B96,B85+1,0)</f>
        <v>1</v>
      </c>
      <c r="D85" s="15">
        <f>IF(D25='Proforma Inputs'!$B96,C85+1,0)</f>
        <v>2</v>
      </c>
      <c r="E85" s="15">
        <f>IF(E25='Proforma Inputs'!$B96,D85+1,0)</f>
        <v>3</v>
      </c>
      <c r="F85" s="15">
        <f>IF(F25='Proforma Inputs'!$B96,E85+1,0)</f>
        <v>4</v>
      </c>
      <c r="G85" s="15">
        <f>IF(G25='Proforma Inputs'!$B96,F85+1,0)</f>
        <v>5</v>
      </c>
      <c r="H85" s="15">
        <f>IF(H25='Proforma Inputs'!$B96,G85+1,0)</f>
        <v>6</v>
      </c>
      <c r="I85" s="15">
        <f>IF(I25='Proforma Inputs'!$B96,H85+1,0)</f>
        <v>7</v>
      </c>
      <c r="J85" s="15">
        <f>IF(J25='Proforma Inputs'!$B96,I85+1,0)</f>
        <v>8</v>
      </c>
      <c r="K85" s="15">
        <f>IF(K25='Proforma Inputs'!$B96,J85+1,0)</f>
        <v>9</v>
      </c>
      <c r="L85" s="15">
        <f>IF(L25='Proforma Inputs'!$B96,K85+1,0)</f>
        <v>10</v>
      </c>
      <c r="M85" s="15">
        <f>IF(M25='Proforma Inputs'!$B96,L85+1,0)</f>
        <v>11</v>
      </c>
      <c r="N85" s="15">
        <f>IF(N25='Proforma Inputs'!$B96,M85+1,0)</f>
        <v>12</v>
      </c>
      <c r="O85" s="15">
        <f>IF(O25='Proforma Inputs'!$B96,N85+1,0)</f>
        <v>13</v>
      </c>
      <c r="P85" s="15">
        <f>IF(P25='Proforma Inputs'!$B96,O85+1,0)</f>
        <v>14</v>
      </c>
      <c r="Q85" s="15">
        <f>IF(Q25='Proforma Inputs'!$B96,P85+1,0)</f>
        <v>15</v>
      </c>
      <c r="R85" s="15">
        <f>IF(R25='Proforma Inputs'!$B96,Q85+1,0)</f>
        <v>16</v>
      </c>
      <c r="S85" s="15">
        <f>IF(S25='Proforma Inputs'!$B96,R85+1,0)</f>
        <v>17</v>
      </c>
      <c r="T85" s="15">
        <f>IF(T25='Proforma Inputs'!$B96,S85+1,0)</f>
        <v>18</v>
      </c>
      <c r="U85" s="15">
        <f>IF(U25='Proforma Inputs'!$B96,T85+1,0)</f>
        <v>19</v>
      </c>
      <c r="V85" s="15">
        <f>IF(V25='Proforma Inputs'!$B96,U85+1,0)</f>
        <v>20</v>
      </c>
      <c r="W85" s="15">
        <f>IF(W25='Proforma Inputs'!$B96,V85+1,0)</f>
        <v>21</v>
      </c>
      <c r="X85" s="15">
        <f>IF(X25='Proforma Inputs'!$B96,W85+1,0)</f>
        <v>22</v>
      </c>
      <c r="Y85" s="15">
        <f>IF(Y25='Proforma Inputs'!$B96,X85+1,0)</f>
        <v>23</v>
      </c>
      <c r="Z85" s="15">
        <f>IF(Z25='Proforma Inputs'!$B96,Y85+1,0)</f>
        <v>24</v>
      </c>
      <c r="AA85" s="15">
        <f>IF(AA25='Proforma Inputs'!$B96,Z85+1,0)</f>
        <v>25</v>
      </c>
      <c r="AB85" s="15">
        <f>IF(AB25='Proforma Inputs'!$B96,AA85+1,0)</f>
        <v>26</v>
      </c>
      <c r="AC85" s="15">
        <f>IF(AC25='Proforma Inputs'!$B96,AB85+1,0)</f>
        <v>27</v>
      </c>
      <c r="AD85" s="15">
        <f>IF(AD25='Proforma Inputs'!$B96,AC85+1,0)</f>
        <v>28</v>
      </c>
      <c r="AE85" s="15">
        <f>IF(AE25='Proforma Inputs'!$B96,AD85+1,0)</f>
        <v>29</v>
      </c>
      <c r="AF85" s="15">
        <f>IF(AF25='Proforma Inputs'!$B96,AE85+1,0)</f>
        <v>30</v>
      </c>
      <c r="AG85" s="15">
        <f>IF(AG25='Proforma Inputs'!$B96,AF85+1,0)</f>
        <v>31</v>
      </c>
      <c r="AH85" s="15">
        <f>IF(AH25='Proforma Inputs'!$B96,AG85+1,0)</f>
        <v>32</v>
      </c>
      <c r="AI85" s="15">
        <f>IF(AI25='Proforma Inputs'!$B96,AH85+1,0)</f>
        <v>33</v>
      </c>
      <c r="AJ85" s="15">
        <f>IF(AJ25='Proforma Inputs'!$B96,AI85+1,0)</f>
        <v>34</v>
      </c>
      <c r="AK85" s="15">
        <f>IF(AK25='Proforma Inputs'!$B96,AJ85+1,0)</f>
        <v>35</v>
      </c>
      <c r="AL85" s="15">
        <f>IF(AL25='Proforma Inputs'!$B96,AK85+1,0)</f>
        <v>36</v>
      </c>
      <c r="AM85" s="15">
        <f>IF(AM25='Proforma Inputs'!$B96,AL85+1,0)</f>
        <v>37</v>
      </c>
      <c r="AN85" s="15">
        <f>IF(AN25='Proforma Inputs'!$B96,AM85+1,0)</f>
        <v>38</v>
      </c>
      <c r="AO85" s="15">
        <f>IF(AO25='Proforma Inputs'!$B96,AN85+1,0)</f>
        <v>39</v>
      </c>
      <c r="AP85" s="15">
        <f>IF(AP25='Proforma Inputs'!$B96,AO85+1,0)</f>
        <v>40</v>
      </c>
      <c r="AQ85" s="15"/>
      <c r="AR85" s="15"/>
      <c r="AS85" s="15"/>
      <c r="AT85" s="15"/>
      <c r="AU85" s="15"/>
      <c r="AV85" s="15"/>
    </row>
    <row r="86" spans="1:48">
      <c r="A86" s="45" t="s">
        <v>6</v>
      </c>
      <c r="B86" s="15">
        <v>0</v>
      </c>
      <c r="C86" s="15">
        <f>IF(C26='Proforma Inputs'!$B97,B86+1,0)</f>
        <v>1</v>
      </c>
      <c r="D86" s="15">
        <f>IF(D26='Proforma Inputs'!$B97,C86+1,0)</f>
        <v>2</v>
      </c>
      <c r="E86" s="15">
        <f>IF(E26='Proforma Inputs'!$B97,D86+1,0)</f>
        <v>3</v>
      </c>
      <c r="F86" s="15">
        <f>IF(F26='Proforma Inputs'!$B97,E86+1,0)</f>
        <v>4</v>
      </c>
      <c r="G86" s="15">
        <f>IF(G26='Proforma Inputs'!$B97,F86+1,0)</f>
        <v>5</v>
      </c>
      <c r="H86" s="15">
        <f>IF(H26='Proforma Inputs'!$B97,G86+1,0)</f>
        <v>6</v>
      </c>
      <c r="I86" s="15">
        <f>IF(I26='Proforma Inputs'!$B97,H86+1,0)</f>
        <v>7</v>
      </c>
      <c r="J86" s="15">
        <f>IF(J26='Proforma Inputs'!$B97,I86+1,0)</f>
        <v>8</v>
      </c>
      <c r="K86" s="15">
        <f>IF(K26='Proforma Inputs'!$B97,J86+1,0)</f>
        <v>9</v>
      </c>
      <c r="L86" s="15">
        <f>IF(L26='Proforma Inputs'!$B97,K86+1,0)</f>
        <v>10</v>
      </c>
      <c r="M86" s="15">
        <f>IF(M26='Proforma Inputs'!$B97,L86+1,0)</f>
        <v>11</v>
      </c>
      <c r="N86" s="15">
        <f>IF(N26='Proforma Inputs'!$B97,M86+1,0)</f>
        <v>12</v>
      </c>
      <c r="O86" s="15">
        <f>IF(O26='Proforma Inputs'!$B97,N86+1,0)</f>
        <v>13</v>
      </c>
      <c r="P86" s="15">
        <f>IF(P26='Proforma Inputs'!$B97,O86+1,0)</f>
        <v>14</v>
      </c>
      <c r="Q86" s="15">
        <f>IF(Q26='Proforma Inputs'!$B97,P86+1,0)</f>
        <v>15</v>
      </c>
      <c r="R86" s="15">
        <f>IF(R26='Proforma Inputs'!$B97,Q86+1,0)</f>
        <v>16</v>
      </c>
      <c r="S86" s="15">
        <f>IF(S26='Proforma Inputs'!$B97,R86+1,0)</f>
        <v>17</v>
      </c>
      <c r="T86" s="15">
        <f>IF(T26='Proforma Inputs'!$B97,S86+1,0)</f>
        <v>18</v>
      </c>
      <c r="U86" s="15">
        <f>IF(U26='Proforma Inputs'!$B97,T86+1,0)</f>
        <v>19</v>
      </c>
      <c r="V86" s="15">
        <f>IF(V26='Proforma Inputs'!$B97,U86+1,0)</f>
        <v>20</v>
      </c>
      <c r="W86" s="15">
        <f>IF(W26='Proforma Inputs'!$B97,V86+1,0)</f>
        <v>21</v>
      </c>
      <c r="X86" s="15">
        <f>IF(X26='Proforma Inputs'!$B97,W86+1,0)</f>
        <v>22</v>
      </c>
      <c r="Y86" s="15">
        <f>IF(Y26='Proforma Inputs'!$B97,X86+1,0)</f>
        <v>23</v>
      </c>
      <c r="Z86" s="15">
        <f>IF(Z26='Proforma Inputs'!$B97,Y86+1,0)</f>
        <v>24</v>
      </c>
      <c r="AA86" s="15">
        <f>IF(AA26='Proforma Inputs'!$B97,Z86+1,0)</f>
        <v>25</v>
      </c>
      <c r="AB86" s="15">
        <f>IF(AB26='Proforma Inputs'!$B97,AA86+1,0)</f>
        <v>26</v>
      </c>
      <c r="AC86" s="15">
        <f>IF(AC26='Proforma Inputs'!$B97,AB86+1,0)</f>
        <v>27</v>
      </c>
      <c r="AD86" s="15">
        <f>IF(AD26='Proforma Inputs'!$B97,AC86+1,0)</f>
        <v>28</v>
      </c>
      <c r="AE86" s="15">
        <f>IF(AE26='Proforma Inputs'!$B97,AD86+1,0)</f>
        <v>29</v>
      </c>
      <c r="AF86" s="15">
        <f>IF(AF26='Proforma Inputs'!$B97,AE86+1,0)</f>
        <v>30</v>
      </c>
      <c r="AG86" s="15">
        <f>IF(AG26='Proforma Inputs'!$B97,AF86+1,0)</f>
        <v>31</v>
      </c>
      <c r="AH86" s="15">
        <f>IF(AH26='Proforma Inputs'!$B97,AG86+1,0)</f>
        <v>32</v>
      </c>
      <c r="AI86" s="15">
        <f>IF(AI26='Proforma Inputs'!$B97,AH86+1,0)</f>
        <v>33</v>
      </c>
      <c r="AJ86" s="15">
        <f>IF(AJ26='Proforma Inputs'!$B97,AI86+1,0)</f>
        <v>34</v>
      </c>
      <c r="AK86" s="15">
        <f>IF(AK26='Proforma Inputs'!$B97,AJ86+1,0)</f>
        <v>35</v>
      </c>
      <c r="AL86" s="15">
        <f>IF(AL26='Proforma Inputs'!$B97,AK86+1,0)</f>
        <v>36</v>
      </c>
      <c r="AM86" s="15">
        <f>IF(AM26='Proforma Inputs'!$B97,AL86+1,0)</f>
        <v>37</v>
      </c>
      <c r="AN86" s="15">
        <f>IF(AN26='Proforma Inputs'!$B97,AM86+1,0)</f>
        <v>38</v>
      </c>
      <c r="AO86" s="15">
        <f>IF(AO26='Proforma Inputs'!$B97,AN86+1,0)</f>
        <v>39</v>
      </c>
      <c r="AP86" s="15">
        <f>IF(AP26='Proforma Inputs'!$B97,AO86+1,0)</f>
        <v>40</v>
      </c>
      <c r="AQ86" s="15"/>
      <c r="AR86" s="15"/>
      <c r="AS86" s="15"/>
      <c r="AT86" s="15"/>
      <c r="AU86" s="15"/>
      <c r="AV86" s="15"/>
    </row>
    <row r="87" spans="1:48">
      <c r="A87" s="45" t="s">
        <v>7</v>
      </c>
      <c r="B87" s="15">
        <v>0</v>
      </c>
      <c r="C87" s="15">
        <f>IF(C27='Proforma Inputs'!$B98,B87+1,0)</f>
        <v>1</v>
      </c>
      <c r="D87" s="15">
        <f>IF(D27='Proforma Inputs'!$B98,C87+1,0)</f>
        <v>2</v>
      </c>
      <c r="E87" s="15">
        <f>IF(E27='Proforma Inputs'!$B98,D87+1,0)</f>
        <v>3</v>
      </c>
      <c r="F87" s="15">
        <f>IF(F27='Proforma Inputs'!$B98,E87+1,0)</f>
        <v>4</v>
      </c>
      <c r="G87" s="15">
        <f>IF(G27='Proforma Inputs'!$B98,F87+1,0)</f>
        <v>5</v>
      </c>
      <c r="H87" s="15">
        <f>IF(H27='Proforma Inputs'!$B98,G87+1,0)</f>
        <v>6</v>
      </c>
      <c r="I87" s="15">
        <f>IF(I27='Proforma Inputs'!$B98,H87+1,0)</f>
        <v>7</v>
      </c>
      <c r="J87" s="15">
        <f>IF(J27='Proforma Inputs'!$B98,I87+1,0)</f>
        <v>8</v>
      </c>
      <c r="K87" s="15">
        <f>IF(K27='Proforma Inputs'!$B98,J87+1,0)</f>
        <v>9</v>
      </c>
      <c r="L87" s="15">
        <f>IF(L27='Proforma Inputs'!$B98,K87+1,0)</f>
        <v>10</v>
      </c>
      <c r="M87" s="15">
        <f>IF(M27='Proforma Inputs'!$B98,L87+1,0)</f>
        <v>11</v>
      </c>
      <c r="N87" s="15">
        <f>IF(N27='Proforma Inputs'!$B98,M87+1,0)</f>
        <v>12</v>
      </c>
      <c r="O87" s="15">
        <f>IF(O27='Proforma Inputs'!$B98,N87+1,0)</f>
        <v>13</v>
      </c>
      <c r="P87" s="15">
        <f>IF(P27='Proforma Inputs'!$B98,O87+1,0)</f>
        <v>14</v>
      </c>
      <c r="Q87" s="15">
        <f>IF(Q27='Proforma Inputs'!$B98,P87+1,0)</f>
        <v>15</v>
      </c>
      <c r="R87" s="15">
        <f>IF(R27='Proforma Inputs'!$B98,Q87+1,0)</f>
        <v>16</v>
      </c>
      <c r="S87" s="15">
        <f>IF(S27='Proforma Inputs'!$B98,R87+1,0)</f>
        <v>17</v>
      </c>
      <c r="T87" s="15">
        <f>IF(T27='Proforma Inputs'!$B98,S87+1,0)</f>
        <v>18</v>
      </c>
      <c r="U87" s="15">
        <f>IF(U27='Proforma Inputs'!$B98,T87+1,0)</f>
        <v>19</v>
      </c>
      <c r="V87" s="15">
        <f>IF(V27='Proforma Inputs'!$B98,U87+1,0)</f>
        <v>20</v>
      </c>
      <c r="W87" s="15">
        <f>IF(W27='Proforma Inputs'!$B98,V87+1,0)</f>
        <v>21</v>
      </c>
      <c r="X87" s="15">
        <f>IF(X27='Proforma Inputs'!$B98,W87+1,0)</f>
        <v>22</v>
      </c>
      <c r="Y87" s="15">
        <f>IF(Y27='Proforma Inputs'!$B98,X87+1,0)</f>
        <v>23</v>
      </c>
      <c r="Z87" s="15">
        <f>IF(Z27='Proforma Inputs'!$B98,Y87+1,0)</f>
        <v>24</v>
      </c>
      <c r="AA87" s="15">
        <f>IF(AA27='Proforma Inputs'!$B98,Z87+1,0)</f>
        <v>25</v>
      </c>
      <c r="AB87" s="15">
        <f>IF(AB27='Proforma Inputs'!$B98,AA87+1,0)</f>
        <v>26</v>
      </c>
      <c r="AC87" s="15">
        <f>IF(AC27='Proforma Inputs'!$B98,AB87+1,0)</f>
        <v>27</v>
      </c>
      <c r="AD87" s="15">
        <f>IF(AD27='Proforma Inputs'!$B98,AC87+1,0)</f>
        <v>28</v>
      </c>
      <c r="AE87" s="15">
        <f>IF(AE27='Proforma Inputs'!$B98,AD87+1,0)</f>
        <v>29</v>
      </c>
      <c r="AF87" s="15">
        <f>IF(AF27='Proforma Inputs'!$B98,AE87+1,0)</f>
        <v>30</v>
      </c>
      <c r="AG87" s="15">
        <f>IF(AG27='Proforma Inputs'!$B98,AF87+1,0)</f>
        <v>31</v>
      </c>
      <c r="AH87" s="15">
        <f>IF(AH27='Proforma Inputs'!$B98,AG87+1,0)</f>
        <v>32</v>
      </c>
      <c r="AI87" s="15">
        <f>IF(AI27='Proforma Inputs'!$B98,AH87+1,0)</f>
        <v>33</v>
      </c>
      <c r="AJ87" s="15">
        <f>IF(AJ27='Proforma Inputs'!$B98,AI87+1,0)</f>
        <v>34</v>
      </c>
      <c r="AK87" s="15">
        <f>IF(AK27='Proforma Inputs'!$B98,AJ87+1,0)</f>
        <v>35</v>
      </c>
      <c r="AL87" s="15">
        <f>IF(AL27='Proforma Inputs'!$B98,AK87+1,0)</f>
        <v>36</v>
      </c>
      <c r="AM87" s="15">
        <f>IF(AM27='Proforma Inputs'!$B98,AL87+1,0)</f>
        <v>37</v>
      </c>
      <c r="AN87" s="15">
        <f>IF(AN27='Proforma Inputs'!$B98,AM87+1,0)</f>
        <v>38</v>
      </c>
      <c r="AO87" s="15">
        <f>IF(AO27='Proforma Inputs'!$B98,AN87+1,0)</f>
        <v>39</v>
      </c>
      <c r="AP87" s="15">
        <f>IF(AP27='Proforma Inputs'!$B98,AO87+1,0)</f>
        <v>40</v>
      </c>
      <c r="AQ87" s="15"/>
      <c r="AR87" s="15"/>
      <c r="AS87" s="15"/>
      <c r="AT87" s="15"/>
      <c r="AU87" s="15"/>
      <c r="AV87" s="15"/>
    </row>
    <row r="88" spans="1:48">
      <c r="A88" t="s">
        <v>224</v>
      </c>
      <c r="B88" s="15">
        <v>0</v>
      </c>
      <c r="C88" s="15">
        <f>IF(OR(SUM($B$88:B88)=1,SUM(C59:C67)&gt;0),0,IF(OR(C74&gt;'Proforma Inputs'!$B$8,C3&gt;='Proforma Inputs'!$B$6*'Proforma Inputs'!$B$4+('Proforma Inputs'!$B$44-1)),1,0))</f>
        <v>0</v>
      </c>
      <c r="D88" s="15">
        <f>IF(OR(SUM($B$88:C88)=1,SUM(D59:D67)&gt;0),0,IF(OR(D74&gt;'Proforma Inputs'!$B$8,D3&gt;='Proforma Inputs'!$B$6*'Proforma Inputs'!$B$4+('Proforma Inputs'!$B$44-1)),1,0))</f>
        <v>0</v>
      </c>
      <c r="E88" s="15">
        <f>IF(OR(SUM($B$88:D88)=1,SUM(E59:E67)&gt;0),0,IF(OR(E74&gt;'Proforma Inputs'!$B$8,E3&gt;='Proforma Inputs'!$B$6*'Proforma Inputs'!$B$4+('Proforma Inputs'!$B$44-1)),1,0))</f>
        <v>0</v>
      </c>
      <c r="F88" s="15">
        <f>IF(OR(SUM($B$88:E88)=1,SUM(F59:F67)&gt;0),0,IF(OR(F74&gt;'Proforma Inputs'!$B$8,F3&gt;='Proforma Inputs'!$B$6*'Proforma Inputs'!$B$4+('Proforma Inputs'!$B$44-1)),1,0))</f>
        <v>0</v>
      </c>
      <c r="G88" s="15">
        <f>IF(OR(SUM($B$88:F88)=1,SUM(G59:G67)&gt;0),0,IF(OR(G74&gt;'Proforma Inputs'!$B$8,G3&gt;='Proforma Inputs'!$B$6*'Proforma Inputs'!$B$4+('Proforma Inputs'!$B$44-1)),1,0))</f>
        <v>0</v>
      </c>
      <c r="H88" s="15">
        <f>IF(OR(SUM($B$88:G88)=1,SUM(H59:H67)&gt;0),0,IF(OR(H74&gt;'Proforma Inputs'!$B$8,H3&gt;='Proforma Inputs'!$B$6*'Proforma Inputs'!$B$4+('Proforma Inputs'!$B$44-1)),1,0))</f>
        <v>0</v>
      </c>
      <c r="I88" s="15">
        <f>IF(OR(SUM($B$88:H88)=1,SUM(I59:I67)&gt;0),0,IF(OR(I74&gt;'Proforma Inputs'!$B$8,I3&gt;='Proforma Inputs'!$B$6*'Proforma Inputs'!$B$4+('Proforma Inputs'!$B$44-1)),1,0))</f>
        <v>0</v>
      </c>
      <c r="J88" s="15">
        <f>IF(OR(SUM($B$88:I88)=1,SUM(J59:J67)&gt;0),0,IF(OR(J74&gt;'Proforma Inputs'!$B$8,J3&gt;='Proforma Inputs'!$B$6*'Proforma Inputs'!$B$4+('Proforma Inputs'!$B$44-1)),1,0))</f>
        <v>0</v>
      </c>
      <c r="K88" s="15">
        <f>IF(OR(SUM($B$88:J88)=1,SUM(K59:K67)&gt;0),0,IF(OR(K74&gt;'Proforma Inputs'!$B$8,K3&gt;='Proforma Inputs'!$B$6*'Proforma Inputs'!$B$4+('Proforma Inputs'!$B$44-1)),1,0))</f>
        <v>0</v>
      </c>
      <c r="L88" s="15">
        <f>IF(OR(SUM($B$88:K88)=1,SUM(L59:L67)&gt;0),0,IF(OR(L74&gt;'Proforma Inputs'!$B$8,L3&gt;='Proforma Inputs'!$B$6*'Proforma Inputs'!$B$4+('Proforma Inputs'!$B$44-1)),1,0))</f>
        <v>0</v>
      </c>
      <c r="M88" s="15">
        <f>IF(OR(SUM($B$88:L88)=1,SUM(M59:M67)&gt;0),0,IF(OR(M74&gt;'Proforma Inputs'!$B$8,M3&gt;='Proforma Inputs'!$B$6*'Proforma Inputs'!$B$4+('Proforma Inputs'!$B$44-1)),1,0))</f>
        <v>0</v>
      </c>
      <c r="N88" s="15">
        <f>IF(OR(SUM($B$88:M88)=1,SUM(N59:N67)&gt;0),0,IF(OR(N74&gt;'Proforma Inputs'!$B$8,N3&gt;='Proforma Inputs'!$B$6*'Proforma Inputs'!$B$4+('Proforma Inputs'!$B$44-1)),1,0))</f>
        <v>0</v>
      </c>
      <c r="O88" s="15">
        <f>IF(OR(SUM($B$88:N88)=1,SUM(O59:O67)&gt;0),0,IF(OR(O74&gt;'Proforma Inputs'!$B$8,O3&gt;='Proforma Inputs'!$B$6*'Proforma Inputs'!$B$4+('Proforma Inputs'!$B$44-1)),1,0))</f>
        <v>0</v>
      </c>
      <c r="P88" s="15">
        <f>IF(OR(SUM($B$88:O88)=1,SUM(P59:P67)&gt;0),0,IF(OR(P74&gt;'Proforma Inputs'!$B$8,P3&gt;='Proforma Inputs'!$B$6*'Proforma Inputs'!$B$4+('Proforma Inputs'!$B$44-1)),1,0))</f>
        <v>0</v>
      </c>
      <c r="Q88" s="15">
        <f>IF(OR(SUM($B$88:P88)=1,SUM(Q59:Q67)&gt;0),0,IF(OR(Q74&gt;'Proforma Inputs'!$B$8,Q3&gt;='Proforma Inputs'!$B$6*'Proforma Inputs'!$B$4+('Proforma Inputs'!$B$44-1)),1,0))</f>
        <v>0</v>
      </c>
      <c r="R88" s="15">
        <f>IF(OR(SUM($B$88:Q88)=1,SUM(R59:R67)&gt;0),0,IF(OR(R74&gt;'Proforma Inputs'!$B$8,R3&gt;='Proforma Inputs'!$B$6*'Proforma Inputs'!$B$4+('Proforma Inputs'!$B$44-1)),1,0))</f>
        <v>0</v>
      </c>
      <c r="S88" s="15">
        <f>IF(OR(SUM($B$88:R88)=1,SUM(S59:S67)&gt;0),0,IF(OR(S74&gt;'Proforma Inputs'!$B$8,S3&gt;='Proforma Inputs'!$B$6*'Proforma Inputs'!$B$4+('Proforma Inputs'!$B$44-1)),1,0))</f>
        <v>0</v>
      </c>
      <c r="T88" s="15">
        <f>IF(OR(SUM($B$88:S88)=1,SUM(T59:T67)&gt;0),0,IF(OR(T74&gt;'Proforma Inputs'!$B$8,T3&gt;='Proforma Inputs'!$B$6*'Proforma Inputs'!$B$4+('Proforma Inputs'!$B$44-1)),1,0))</f>
        <v>1</v>
      </c>
      <c r="U88" s="15">
        <f>IF(OR(SUM($B$88:T88)=1,SUM(U59:U67)&gt;0),0,IF(OR(U74&gt;'Proforma Inputs'!$B$8,U3&gt;='Proforma Inputs'!$B$6*'Proforma Inputs'!$B$4+('Proforma Inputs'!$B$44-1)),1,0))</f>
        <v>0</v>
      </c>
      <c r="V88" s="15">
        <f>IF(OR(SUM($B$88:U88)=1,SUM(V59:V67)&gt;0),0,IF(OR(V74&gt;'Proforma Inputs'!$B$8,V3&gt;='Proforma Inputs'!$B$6*'Proforma Inputs'!$B$4+('Proforma Inputs'!$B$44-1)),1,0))</f>
        <v>0</v>
      </c>
      <c r="W88" s="15">
        <f>IF(OR(SUM($B$88:V88)=1,SUM(W59:W67)&gt;0),0,IF(OR(W74&gt;'Proforma Inputs'!$B$8,W3&gt;='Proforma Inputs'!$B$6*'Proforma Inputs'!$B$4+('Proforma Inputs'!$B$44-1)),1,0))</f>
        <v>0</v>
      </c>
      <c r="X88" s="15">
        <f>IF(OR(SUM($B$88:W88)=1,SUM(X59:X67)&gt;0),0,IF(OR(X74&gt;'Proforma Inputs'!$B$8,X3&gt;='Proforma Inputs'!$B$6*'Proforma Inputs'!$B$4+('Proforma Inputs'!$B$44-1)),1,0))</f>
        <v>0</v>
      </c>
      <c r="Y88" s="15">
        <f>IF(OR(SUM($B$88:X88)=1,SUM(Y59:Y67)&gt;0),0,IF(OR(Y74&gt;'Proforma Inputs'!$B$8,Y3&gt;='Proforma Inputs'!$B$6*'Proforma Inputs'!$B$4+('Proforma Inputs'!$B$44-1)),1,0))</f>
        <v>0</v>
      </c>
      <c r="Z88" s="15">
        <f>IF(OR(SUM($B$88:Y88)=1,SUM(Z59:Z67)&gt;0),0,IF(OR(Z74&gt;'Proforma Inputs'!$B$8,Z3&gt;='Proforma Inputs'!$B$6*'Proforma Inputs'!$B$4+('Proforma Inputs'!$B$44-1)),1,0))</f>
        <v>0</v>
      </c>
      <c r="AA88" s="15">
        <f>IF(OR(SUM($B$88:Z88)=1,SUM(AA59:AA67)&gt;0),0,IF(OR(AA74&gt;'Proforma Inputs'!$B$8,AA3&gt;='Proforma Inputs'!$B$6*'Proforma Inputs'!$B$4+('Proforma Inputs'!$B$44-1)),1,0))</f>
        <v>0</v>
      </c>
      <c r="AB88" s="15">
        <f>IF(OR(SUM($B$88:AA88)=1,SUM(AB59:AB67)&gt;0),0,IF(OR(AB74&gt;'Proforma Inputs'!$B$8,AB3&gt;='Proforma Inputs'!$B$6*'Proforma Inputs'!$B$4+('Proforma Inputs'!$B$44-1)),1,0))</f>
        <v>0</v>
      </c>
      <c r="AC88" s="15">
        <f>IF(OR(SUM($B$88:AB88)=1,SUM(AC59:AC67)&gt;0),0,IF(OR(AC74&gt;'Proforma Inputs'!$B$8,AC3&gt;='Proforma Inputs'!$B$6*'Proforma Inputs'!$B$4+('Proforma Inputs'!$B$44-1)),1,0))</f>
        <v>0</v>
      </c>
      <c r="AD88" s="15">
        <f>IF(OR(SUM($B$88:AC88)=1,SUM(AD59:AD67)&gt;0),0,IF(OR(AD74&gt;'Proforma Inputs'!$B$8,AD3&gt;='Proforma Inputs'!$B$6*'Proforma Inputs'!$B$4+('Proforma Inputs'!$B$44-1)),1,0))</f>
        <v>0</v>
      </c>
      <c r="AE88" s="15">
        <f>IF(OR(SUM($B$88:AD88)=1,SUM(AE59:AE67)&gt;0),0,IF(OR(AE74&gt;'Proforma Inputs'!$B$8,AE3&gt;='Proforma Inputs'!$B$6*'Proforma Inputs'!$B$4+('Proforma Inputs'!$B$44-1)),1,0))</f>
        <v>0</v>
      </c>
      <c r="AF88" s="15">
        <f>IF(OR(SUM($B$88:AE88)=1,SUM(AF59:AF67)&gt;0),0,IF(OR(AF74&gt;'Proforma Inputs'!$B$8,AF3&gt;='Proforma Inputs'!$B$6*'Proforma Inputs'!$B$4+('Proforma Inputs'!$B$44-1)),1,0))</f>
        <v>0</v>
      </c>
      <c r="AG88" s="15">
        <f>IF(OR(SUM($B$88:AF88)=1,SUM(AG59:AG67)&gt;0),0,IF(OR(AG74&gt;'Proforma Inputs'!$B$8,AG3&gt;='Proforma Inputs'!$B$6*'Proforma Inputs'!$B$4+('Proforma Inputs'!$B$44-1)),1,0))</f>
        <v>0</v>
      </c>
      <c r="AH88" s="15">
        <f>IF(OR(SUM($B$88:AG88)=1,SUM(AH59:AH67)&gt;0),0,IF(OR(AH74&gt;'Proforma Inputs'!$B$8,AH3&gt;='Proforma Inputs'!$B$6*'Proforma Inputs'!$B$4+('Proforma Inputs'!$B$44-1)),1,0))</f>
        <v>0</v>
      </c>
      <c r="AI88" s="15">
        <f>IF(OR(SUM($B$88:AH88)=1,SUM(AI59:AI67)&gt;0),0,IF(OR(AI74&gt;'Proforma Inputs'!$B$8,AI3&gt;='Proforma Inputs'!$B$6*'Proforma Inputs'!$B$4+('Proforma Inputs'!$B$44-1)),1,0))</f>
        <v>0</v>
      </c>
      <c r="AJ88" s="15">
        <f>IF(OR(SUM($B$88:AI88)=1,SUM(AJ59:AJ67)&gt;0),0,IF(OR(AJ74&gt;'Proforma Inputs'!$B$8,AJ3&gt;='Proforma Inputs'!$B$6*'Proforma Inputs'!$B$4+('Proforma Inputs'!$B$44-1)),1,0))</f>
        <v>0</v>
      </c>
      <c r="AK88" s="15">
        <f>IF(OR(SUM($B$88:AJ88)=1,SUM(AK59:AK67)&gt;0),0,IF(OR(AK74&gt;'Proforma Inputs'!$B$8,AK3&gt;='Proforma Inputs'!$B$6*'Proforma Inputs'!$B$4+('Proforma Inputs'!$B$44-1)),1,0))</f>
        <v>0</v>
      </c>
      <c r="AL88" s="15">
        <f>IF(OR(SUM($B$88:AK88)=1,SUM(AL59:AL67)&gt;0),0,IF(OR(AL74&gt;'Proforma Inputs'!$B$8,AL3&gt;='Proforma Inputs'!$B$6*'Proforma Inputs'!$B$4+('Proforma Inputs'!$B$44-1)),1,0))</f>
        <v>0</v>
      </c>
      <c r="AM88" s="15">
        <f>IF(OR(SUM($B$88:AL88)=1,SUM(AM59:AM67)&gt;0),0,IF(OR(AM74&gt;'Proforma Inputs'!$B$8,AM3&gt;='Proforma Inputs'!$B$6*'Proforma Inputs'!$B$4+('Proforma Inputs'!$B$44-1)),1,0))</f>
        <v>0</v>
      </c>
      <c r="AN88" s="15">
        <f>IF(OR(SUM($B$88:AM88)=1,SUM(AN59:AN67)&gt;0),0,IF(OR(AN74&gt;'Proforma Inputs'!$B$8,AN3&gt;='Proforma Inputs'!$B$6*'Proforma Inputs'!$B$4+('Proforma Inputs'!$B$44-1)),1,0))</f>
        <v>0</v>
      </c>
      <c r="AO88" s="15">
        <f>IF(OR(SUM($B$88:AN88)=1,SUM(AO59:AO67)&gt;0),0,IF(OR(AO74&gt;'Proforma Inputs'!$B$8,AO3&gt;='Proforma Inputs'!$B$6*'Proforma Inputs'!$B$4+('Proforma Inputs'!$B$44-1)),1,0))</f>
        <v>0</v>
      </c>
      <c r="AP88" s="15">
        <f>IF(OR(SUM($B$88:AO88)=1,SUM(AP59:AP67)&gt;0),0,IF(OR(AP74&gt;'Proforma Inputs'!$B$8,AP3&gt;='Proforma Inputs'!$B$6*'Proforma Inputs'!$B$4+('Proforma Inputs'!$B$44-1)),1,0))</f>
        <v>0</v>
      </c>
      <c r="AQ88" s="15"/>
      <c r="AR88" s="15"/>
      <c r="AS88" s="15"/>
      <c r="AT88" s="15"/>
      <c r="AU88" s="15"/>
      <c r="AV88" s="15"/>
    </row>
    <row r="89" spans="1:48">
      <c r="A89" t="s">
        <v>51</v>
      </c>
      <c r="B89" s="15">
        <v>0</v>
      </c>
      <c r="C89" s="15">
        <f>IF(OR(B88=1,B89=1),1,0)</f>
        <v>0</v>
      </c>
      <c r="D89" s="15">
        <f>IF(OR(C88=1,C89=1),1,0)</f>
        <v>0</v>
      </c>
      <c r="E89" s="15">
        <f t="shared" ref="E89:AP89" si="21">IF(OR(D88=1,D89=1),1,0)</f>
        <v>0</v>
      </c>
      <c r="F89" s="15">
        <f t="shared" si="21"/>
        <v>0</v>
      </c>
      <c r="G89" s="15">
        <f t="shared" si="21"/>
        <v>0</v>
      </c>
      <c r="H89" s="15">
        <f t="shared" si="21"/>
        <v>0</v>
      </c>
      <c r="I89" s="15">
        <f t="shared" si="21"/>
        <v>0</v>
      </c>
      <c r="J89" s="15">
        <f t="shared" si="21"/>
        <v>0</v>
      </c>
      <c r="K89" s="15">
        <f t="shared" si="21"/>
        <v>0</v>
      </c>
      <c r="L89" s="15">
        <f t="shared" si="21"/>
        <v>0</v>
      </c>
      <c r="M89" s="15">
        <f t="shared" si="21"/>
        <v>0</v>
      </c>
      <c r="N89" s="15">
        <f t="shared" si="21"/>
        <v>0</v>
      </c>
      <c r="O89" s="15">
        <f t="shared" si="21"/>
        <v>0</v>
      </c>
      <c r="P89" s="15">
        <f t="shared" si="21"/>
        <v>0</v>
      </c>
      <c r="Q89" s="15">
        <f t="shared" si="21"/>
        <v>0</v>
      </c>
      <c r="R89" s="15">
        <f t="shared" si="21"/>
        <v>0</v>
      </c>
      <c r="S89" s="15">
        <f t="shared" si="21"/>
        <v>0</v>
      </c>
      <c r="T89" s="15">
        <f t="shared" si="21"/>
        <v>0</v>
      </c>
      <c r="U89" s="15">
        <f t="shared" si="21"/>
        <v>1</v>
      </c>
      <c r="V89" s="15">
        <f t="shared" si="21"/>
        <v>1</v>
      </c>
      <c r="W89" s="15">
        <f t="shared" si="21"/>
        <v>1</v>
      </c>
      <c r="X89" s="15">
        <f t="shared" si="21"/>
        <v>1</v>
      </c>
      <c r="Y89" s="15">
        <f t="shared" si="21"/>
        <v>1</v>
      </c>
      <c r="Z89" s="15">
        <f t="shared" si="21"/>
        <v>1</v>
      </c>
      <c r="AA89" s="15">
        <f t="shared" si="21"/>
        <v>1</v>
      </c>
      <c r="AB89" s="15">
        <f t="shared" si="21"/>
        <v>1</v>
      </c>
      <c r="AC89" s="15">
        <f t="shared" si="21"/>
        <v>1</v>
      </c>
      <c r="AD89" s="15">
        <f t="shared" si="21"/>
        <v>1</v>
      </c>
      <c r="AE89" s="15">
        <f t="shared" si="21"/>
        <v>1</v>
      </c>
      <c r="AF89" s="15">
        <f t="shared" si="21"/>
        <v>1</v>
      </c>
      <c r="AG89" s="15">
        <f t="shared" si="21"/>
        <v>1</v>
      </c>
      <c r="AH89" s="15">
        <f t="shared" si="21"/>
        <v>1</v>
      </c>
      <c r="AI89" s="15">
        <f t="shared" si="21"/>
        <v>1</v>
      </c>
      <c r="AJ89" s="15">
        <f t="shared" si="21"/>
        <v>1</v>
      </c>
      <c r="AK89" s="15">
        <f t="shared" si="21"/>
        <v>1</v>
      </c>
      <c r="AL89" s="15">
        <f t="shared" si="21"/>
        <v>1</v>
      </c>
      <c r="AM89" s="15">
        <f t="shared" si="21"/>
        <v>1</v>
      </c>
      <c r="AN89" s="15">
        <f t="shared" si="21"/>
        <v>1</v>
      </c>
      <c r="AO89" s="15">
        <f t="shared" si="21"/>
        <v>1</v>
      </c>
      <c r="AP89" s="15">
        <f t="shared" si="21"/>
        <v>1</v>
      </c>
      <c r="AQ89" s="15"/>
      <c r="AR89" s="15"/>
      <c r="AS89" s="15"/>
      <c r="AT89" s="15"/>
      <c r="AU89" s="15"/>
      <c r="AV89" s="15"/>
    </row>
    <row r="90" spans="1:48">
      <c r="A90" t="s">
        <v>253</v>
      </c>
      <c r="B90" s="5">
        <v>0</v>
      </c>
      <c r="C90" s="5">
        <f t="shared" ref="C90:AP90" si="22">SUM(C16:C27,C34:C40)</f>
        <v>0</v>
      </c>
      <c r="D90" s="5">
        <f t="shared" si="22"/>
        <v>0</v>
      </c>
      <c r="E90" s="5">
        <f t="shared" si="22"/>
        <v>0</v>
      </c>
      <c r="F90" s="5">
        <f t="shared" si="22"/>
        <v>0</v>
      </c>
      <c r="G90" s="5">
        <f t="shared" si="22"/>
        <v>141145.83333333334</v>
      </c>
      <c r="H90" s="5">
        <f t="shared" si="22"/>
        <v>707291.66666666663</v>
      </c>
      <c r="I90" s="5">
        <f t="shared" si="22"/>
        <v>1273437.5</v>
      </c>
      <c r="J90" s="5">
        <f t="shared" si="22"/>
        <v>1839583.3333333333</v>
      </c>
      <c r="K90" s="5">
        <f t="shared" si="22"/>
        <v>2309375</v>
      </c>
      <c r="L90" s="5">
        <f t="shared" si="22"/>
        <v>2779166.6666666665</v>
      </c>
      <c r="M90" s="5">
        <f t="shared" si="22"/>
        <v>3248958.3333333335</v>
      </c>
      <c r="N90" s="5">
        <f t="shared" si="22"/>
        <v>3718750</v>
      </c>
      <c r="O90" s="5">
        <f t="shared" si="22"/>
        <v>3718750</v>
      </c>
      <c r="P90" s="5">
        <f t="shared" si="22"/>
        <v>3718750</v>
      </c>
      <c r="Q90" s="5">
        <f t="shared" si="22"/>
        <v>3718750</v>
      </c>
      <c r="R90" s="5">
        <f t="shared" si="22"/>
        <v>3718750</v>
      </c>
      <c r="S90" s="5">
        <f t="shared" si="22"/>
        <v>3718750</v>
      </c>
      <c r="T90" s="5">
        <f t="shared" si="22"/>
        <v>3718750</v>
      </c>
      <c r="U90" s="5">
        <f t="shared" si="22"/>
        <v>0</v>
      </c>
      <c r="V90" s="5">
        <f t="shared" si="22"/>
        <v>0</v>
      </c>
      <c r="W90" s="5">
        <f t="shared" si="22"/>
        <v>0</v>
      </c>
      <c r="X90" s="5">
        <f t="shared" si="22"/>
        <v>0</v>
      </c>
      <c r="Y90" s="5">
        <f t="shared" si="22"/>
        <v>0</v>
      </c>
      <c r="Z90" s="5">
        <f t="shared" si="22"/>
        <v>0</v>
      </c>
      <c r="AA90" s="5">
        <f t="shared" si="22"/>
        <v>0</v>
      </c>
      <c r="AB90" s="5">
        <f t="shared" si="22"/>
        <v>0</v>
      </c>
      <c r="AC90" s="5">
        <f t="shared" si="22"/>
        <v>0</v>
      </c>
      <c r="AD90" s="5">
        <f t="shared" si="22"/>
        <v>0</v>
      </c>
      <c r="AE90" s="5">
        <f t="shared" si="22"/>
        <v>0</v>
      </c>
      <c r="AF90" s="5">
        <f t="shared" si="22"/>
        <v>0</v>
      </c>
      <c r="AG90" s="5">
        <f t="shared" si="22"/>
        <v>0</v>
      </c>
      <c r="AH90" s="5">
        <f t="shared" si="22"/>
        <v>0</v>
      </c>
      <c r="AI90" s="5">
        <f t="shared" si="22"/>
        <v>0</v>
      </c>
      <c r="AJ90" s="5">
        <f t="shared" si="22"/>
        <v>0</v>
      </c>
      <c r="AK90" s="5">
        <f t="shared" si="22"/>
        <v>0</v>
      </c>
      <c r="AL90" s="5">
        <f t="shared" si="22"/>
        <v>0</v>
      </c>
      <c r="AM90" s="5">
        <f t="shared" si="22"/>
        <v>0</v>
      </c>
      <c r="AN90" s="5">
        <f t="shared" si="22"/>
        <v>0</v>
      </c>
      <c r="AO90" s="5">
        <f t="shared" si="22"/>
        <v>0</v>
      </c>
      <c r="AP90" s="5">
        <f t="shared" si="22"/>
        <v>0</v>
      </c>
      <c r="AQ90" s="5"/>
      <c r="AR90" s="5"/>
      <c r="AS90" s="5"/>
      <c r="AT90" s="5"/>
      <c r="AU90" s="5"/>
      <c r="AV90" s="5"/>
    </row>
    <row r="91" spans="1:48">
      <c r="A91" t="s">
        <v>225</v>
      </c>
      <c r="B91" s="5">
        <v>0</v>
      </c>
      <c r="C91" s="5">
        <f>C90/'Proforma Inputs'!$B$14</f>
        <v>0</v>
      </c>
      <c r="D91" s="5">
        <f>D90/'Proforma Inputs'!$B$14</f>
        <v>0</v>
      </c>
      <c r="E91" s="5">
        <f>E90/'Proforma Inputs'!$B$14</f>
        <v>0</v>
      </c>
      <c r="F91" s="5">
        <f>F90/'Proforma Inputs'!$B$14</f>
        <v>0</v>
      </c>
      <c r="G91" s="5">
        <f>G90/'Proforma Inputs'!$B$14</f>
        <v>2016369.0476190476</v>
      </c>
      <c r="H91" s="5">
        <f>H90/'Proforma Inputs'!$B$14</f>
        <v>10104166.666666666</v>
      </c>
      <c r="I91" s="5">
        <f>I90/'Proforma Inputs'!$B$14</f>
        <v>18191964.285714284</v>
      </c>
      <c r="J91" s="5">
        <f>J90/'Proforma Inputs'!$B$14</f>
        <v>26279761.904761903</v>
      </c>
      <c r="K91" s="5">
        <f>K90/'Proforma Inputs'!$B$14</f>
        <v>32991071.428571425</v>
      </c>
      <c r="L91" s="5">
        <f>L90/'Proforma Inputs'!$B$14</f>
        <v>39702380.952380948</v>
      </c>
      <c r="M91" s="5">
        <f>M90/'Proforma Inputs'!$B$14</f>
        <v>46413690.476190478</v>
      </c>
      <c r="N91" s="5">
        <f>N90/'Proforma Inputs'!$B$14</f>
        <v>53124999.999999993</v>
      </c>
      <c r="O91" s="5">
        <f>O90/'Proforma Inputs'!$B$14</f>
        <v>53124999.999999993</v>
      </c>
      <c r="P91" s="5">
        <f>P90/'Proforma Inputs'!$B$14</f>
        <v>53124999.999999993</v>
      </c>
      <c r="Q91" s="5">
        <f>Q90/'Proforma Inputs'!$B$14</f>
        <v>53124999.999999993</v>
      </c>
      <c r="R91" s="5">
        <f>R90/'Proforma Inputs'!$B$14</f>
        <v>53124999.999999993</v>
      </c>
      <c r="S91" s="5">
        <f>S90/'Proforma Inputs'!$B$14</f>
        <v>53124999.999999993</v>
      </c>
      <c r="T91" s="5">
        <f>T90/'Proforma Inputs'!$B$14</f>
        <v>53124999.999999993</v>
      </c>
      <c r="U91" s="5">
        <f>U90/'Proforma Inputs'!$B$14</f>
        <v>0</v>
      </c>
      <c r="V91" s="5">
        <f>V90/'Proforma Inputs'!$B$14</f>
        <v>0</v>
      </c>
      <c r="W91" s="5">
        <f>W90/'Proforma Inputs'!$B$14</f>
        <v>0</v>
      </c>
      <c r="X91" s="5">
        <f>X90/'Proforma Inputs'!$B$14</f>
        <v>0</v>
      </c>
      <c r="Y91" s="5">
        <f>Y90/'Proforma Inputs'!$B$14</f>
        <v>0</v>
      </c>
      <c r="Z91" s="5">
        <f>Z90/'Proforma Inputs'!$B$14</f>
        <v>0</v>
      </c>
      <c r="AA91" s="5">
        <f>AA90/'Proforma Inputs'!$B$14</f>
        <v>0</v>
      </c>
      <c r="AB91" s="5">
        <f>AB90/'Proforma Inputs'!$B$14</f>
        <v>0</v>
      </c>
      <c r="AC91" s="5">
        <f>AC90/'Proforma Inputs'!$B$14</f>
        <v>0</v>
      </c>
      <c r="AD91" s="5">
        <f>AD90/'Proforma Inputs'!$B$14</f>
        <v>0</v>
      </c>
      <c r="AE91" s="5">
        <f>AE90/'Proforma Inputs'!$B$14</f>
        <v>0</v>
      </c>
      <c r="AF91" s="5">
        <f>AF90/'Proforma Inputs'!$B$14</f>
        <v>0</v>
      </c>
      <c r="AG91" s="5">
        <f>AG90/'Proforma Inputs'!$B$14</f>
        <v>0</v>
      </c>
      <c r="AH91" s="5">
        <f>AH90/'Proforma Inputs'!$B$14</f>
        <v>0</v>
      </c>
      <c r="AI91" s="5">
        <f>AI90/'Proforma Inputs'!$B$14</f>
        <v>0</v>
      </c>
      <c r="AJ91" s="5">
        <f>AJ90/'Proforma Inputs'!$B$14</f>
        <v>0</v>
      </c>
      <c r="AK91" s="5">
        <f>AK90/'Proforma Inputs'!$B$14</f>
        <v>0</v>
      </c>
      <c r="AL91" s="5">
        <f>AL90/'Proforma Inputs'!$B$14</f>
        <v>0</v>
      </c>
      <c r="AM91" s="5">
        <f>AM90/'Proforma Inputs'!$B$14</f>
        <v>0</v>
      </c>
      <c r="AN91" s="5">
        <f>AN90/'Proforma Inputs'!$B$14</f>
        <v>0</v>
      </c>
      <c r="AO91" s="5">
        <f>AO90/'Proforma Inputs'!$B$14</f>
        <v>0</v>
      </c>
      <c r="AP91" s="5">
        <f>AP90/'Proforma Inputs'!$B$14</f>
        <v>0</v>
      </c>
      <c r="AQ91" s="5"/>
      <c r="AR91" s="5"/>
      <c r="AS91" s="5"/>
      <c r="AT91" s="5"/>
      <c r="AU91" s="5"/>
      <c r="AV91" s="5"/>
    </row>
    <row r="92" spans="1:48">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row>
    <row r="93" spans="1:48">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row>
  </sheetData>
  <pageMargins left="0.75" right="0.75" top="1" bottom="1" header="0.5" footer="0.5"/>
  <pageSetup paperSize="0"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topLeftCell="A22" zoomScaleNormal="100" workbookViewId="0">
      <selection activeCell="B40" sqref="B40"/>
    </sheetView>
  </sheetViews>
  <sheetFormatPr defaultColWidth="11" defaultRowHeight="12.75"/>
  <cols>
    <col min="1" max="1" width="31.375" bestFit="1" customWidth="1"/>
    <col min="2" max="2" width="14.125" bestFit="1" customWidth="1"/>
    <col min="3" max="3" width="22" bestFit="1" customWidth="1"/>
    <col min="4" max="4" width="51.125" bestFit="1" customWidth="1"/>
  </cols>
  <sheetData>
    <row r="1" spans="1:4" ht="15">
      <c r="A1" s="8" t="s">
        <v>200</v>
      </c>
    </row>
    <row r="3" spans="1:4">
      <c r="A3" s="10" t="s">
        <v>9</v>
      </c>
    </row>
    <row r="4" spans="1:4">
      <c r="A4" t="s">
        <v>74</v>
      </c>
      <c r="B4">
        <v>4</v>
      </c>
    </row>
    <row r="5" spans="1:4">
      <c r="A5" t="s">
        <v>78</v>
      </c>
      <c r="B5" s="1">
        <v>0.5</v>
      </c>
      <c r="C5" t="s">
        <v>201</v>
      </c>
    </row>
    <row r="6" spans="1:4">
      <c r="A6" t="s">
        <v>155</v>
      </c>
      <c r="B6">
        <v>5</v>
      </c>
      <c r="D6" t="s">
        <v>8</v>
      </c>
    </row>
    <row r="7" spans="1:4">
      <c r="A7" t="s">
        <v>221</v>
      </c>
      <c r="B7" s="1">
        <v>0.85</v>
      </c>
      <c r="C7" t="s">
        <v>222</v>
      </c>
    </row>
    <row r="8" spans="1:4">
      <c r="A8" t="s">
        <v>197</v>
      </c>
      <c r="B8" s="15">
        <v>4</v>
      </c>
      <c r="C8" t="s">
        <v>151</v>
      </c>
      <c r="D8" t="s">
        <v>8</v>
      </c>
    </row>
    <row r="9" spans="1:4">
      <c r="B9" s="15"/>
    </row>
    <row r="11" spans="1:4">
      <c r="A11" s="10" t="s">
        <v>79</v>
      </c>
      <c r="D11" s="10" t="s">
        <v>153</v>
      </c>
    </row>
    <row r="12" spans="1:4">
      <c r="A12" t="s">
        <v>36</v>
      </c>
      <c r="B12" s="51">
        <f>0.085</f>
        <v>8.5000000000000006E-2</v>
      </c>
      <c r="D12" t="s">
        <v>179</v>
      </c>
    </row>
    <row r="13" spans="1:4">
      <c r="A13" t="s">
        <v>76</v>
      </c>
      <c r="B13" s="31">
        <v>0.15</v>
      </c>
      <c r="D13" t="s">
        <v>73</v>
      </c>
    </row>
    <row r="14" spans="1:4">
      <c r="A14" t="s">
        <v>115</v>
      </c>
      <c r="B14" s="31">
        <v>7.0000000000000007E-2</v>
      </c>
      <c r="D14" t="s">
        <v>116</v>
      </c>
    </row>
    <row r="15" spans="1:4">
      <c r="B15" s="31"/>
    </row>
    <row r="16" spans="1:4">
      <c r="A16" t="s">
        <v>166</v>
      </c>
      <c r="B16" s="21"/>
    </row>
    <row r="17" spans="1:4">
      <c r="A17" s="18" t="s">
        <v>163</v>
      </c>
      <c r="B17" s="31">
        <v>0.01</v>
      </c>
      <c r="C17" t="s">
        <v>26</v>
      </c>
      <c r="D17" t="s">
        <v>25</v>
      </c>
    </row>
    <row r="18" spans="1:4">
      <c r="A18" s="18" t="s">
        <v>164</v>
      </c>
      <c r="B18" s="17">
        <v>1</v>
      </c>
      <c r="C18" t="s">
        <v>165</v>
      </c>
      <c r="D18" t="s">
        <v>25</v>
      </c>
    </row>
    <row r="19" spans="1:4">
      <c r="A19" s="18" t="s">
        <v>168</v>
      </c>
      <c r="B19" s="31">
        <v>0.2</v>
      </c>
      <c r="C19" t="s">
        <v>27</v>
      </c>
      <c r="D19" t="s">
        <v>120</v>
      </c>
    </row>
    <row r="20" spans="1:4">
      <c r="A20" t="s">
        <v>167</v>
      </c>
    </row>
    <row r="21" spans="1:4">
      <c r="A21" s="18" t="s">
        <v>1</v>
      </c>
      <c r="B21" s="31">
        <v>0.1</v>
      </c>
      <c r="C21" t="s">
        <v>27</v>
      </c>
      <c r="D21" t="s">
        <v>120</v>
      </c>
    </row>
    <row r="22" spans="1:4">
      <c r="A22" s="18" t="s">
        <v>2</v>
      </c>
      <c r="B22" s="31">
        <v>0.2</v>
      </c>
      <c r="C22" t="s">
        <v>27</v>
      </c>
      <c r="D22" t="s">
        <v>120</v>
      </c>
    </row>
    <row r="23" spans="1:4">
      <c r="A23" s="18" t="s">
        <v>3</v>
      </c>
      <c r="B23" s="31">
        <v>0.05</v>
      </c>
      <c r="C23" t="s">
        <v>27</v>
      </c>
      <c r="D23" t="s">
        <v>120</v>
      </c>
    </row>
    <row r="24" spans="1:4">
      <c r="A24" s="18" t="s">
        <v>4</v>
      </c>
      <c r="B24" s="31">
        <v>0.15</v>
      </c>
      <c r="C24" t="s">
        <v>27</v>
      </c>
      <c r="D24" t="s">
        <v>120</v>
      </c>
    </row>
    <row r="25" spans="1:4">
      <c r="A25" s="18" t="s">
        <v>5</v>
      </c>
      <c r="B25" s="31">
        <v>0.1</v>
      </c>
      <c r="C25" t="s">
        <v>27</v>
      </c>
      <c r="D25" t="s">
        <v>120</v>
      </c>
    </row>
    <row r="26" spans="1:4">
      <c r="A26" s="18" t="s">
        <v>6</v>
      </c>
      <c r="B26" s="31">
        <v>0.05</v>
      </c>
      <c r="C26" t="s">
        <v>27</v>
      </c>
      <c r="D26" t="s">
        <v>120</v>
      </c>
    </row>
    <row r="27" spans="1:4">
      <c r="A27" s="18" t="s">
        <v>7</v>
      </c>
      <c r="B27" s="31">
        <v>0.3</v>
      </c>
      <c r="C27" t="s">
        <v>27</v>
      </c>
      <c r="D27" t="s">
        <v>120</v>
      </c>
    </row>
    <row r="28" spans="1:4">
      <c r="A28" s="18"/>
      <c r="B28" s="31"/>
    </row>
    <row r="29" spans="1:4">
      <c r="A29" t="s">
        <v>117</v>
      </c>
      <c r="B29" s="31">
        <v>0.75</v>
      </c>
      <c r="D29" t="s">
        <v>122</v>
      </c>
    </row>
    <row r="30" spans="1:4">
      <c r="A30" t="s">
        <v>118</v>
      </c>
      <c r="B30" s="31">
        <v>1.25</v>
      </c>
      <c r="D30" t="s">
        <v>123</v>
      </c>
    </row>
    <row r="31" spans="1:4">
      <c r="A31" t="s">
        <v>177</v>
      </c>
      <c r="B31" s="51">
        <v>7.4999999999999997E-2</v>
      </c>
      <c r="D31" t="s">
        <v>154</v>
      </c>
    </row>
    <row r="32" spans="1:4">
      <c r="A32" t="s">
        <v>37</v>
      </c>
      <c r="B32" s="37">
        <v>20</v>
      </c>
      <c r="C32" t="s">
        <v>178</v>
      </c>
      <c r="D32" t="s">
        <v>180</v>
      </c>
    </row>
    <row r="33" spans="1:4">
      <c r="B33" s="1"/>
    </row>
    <row r="34" spans="1:4">
      <c r="B34" s="1"/>
    </row>
    <row r="35" spans="1:4">
      <c r="A35" s="10" t="s">
        <v>119</v>
      </c>
      <c r="B35" s="1"/>
      <c r="D35" s="10" t="s">
        <v>22</v>
      </c>
    </row>
    <row r="36" spans="1:4">
      <c r="B36" s="1"/>
    </row>
    <row r="37" spans="1:4">
      <c r="A37" s="27" t="s">
        <v>82</v>
      </c>
      <c r="B37" s="54">
        <v>0</v>
      </c>
      <c r="C37" t="s">
        <v>152</v>
      </c>
      <c r="D37" t="s">
        <v>142</v>
      </c>
    </row>
    <row r="38" spans="1:4">
      <c r="B38" s="1"/>
    </row>
    <row r="39" spans="1:4">
      <c r="A39" s="10" t="s">
        <v>80</v>
      </c>
      <c r="D39" s="10" t="s">
        <v>81</v>
      </c>
    </row>
    <row r="40" spans="1:4">
      <c r="A40" t="s">
        <v>216</v>
      </c>
      <c r="B40" s="17">
        <v>30000000</v>
      </c>
      <c r="C40" t="s">
        <v>152</v>
      </c>
      <c r="D40" t="s">
        <v>196</v>
      </c>
    </row>
    <row r="41" spans="1:4">
      <c r="A41" t="s">
        <v>169</v>
      </c>
      <c r="B41" s="48">
        <v>5000000</v>
      </c>
      <c r="C41" t="s">
        <v>152</v>
      </c>
      <c r="D41" t="s">
        <v>149</v>
      </c>
    </row>
    <row r="42" spans="1:4">
      <c r="B42" s="19"/>
    </row>
    <row r="43" spans="1:4">
      <c r="A43" t="s">
        <v>86</v>
      </c>
      <c r="B43" s="49">
        <v>1</v>
      </c>
      <c r="C43" t="s">
        <v>258</v>
      </c>
      <c r="D43" t="s">
        <v>48</v>
      </c>
    </row>
    <row r="44" spans="1:4">
      <c r="A44" t="s">
        <v>47</v>
      </c>
      <c r="B44" s="50">
        <v>5</v>
      </c>
      <c r="C44" t="s">
        <v>258</v>
      </c>
      <c r="D44" t="s">
        <v>48</v>
      </c>
    </row>
    <row r="46" spans="1:4">
      <c r="A46" s="35" t="s">
        <v>104</v>
      </c>
    </row>
    <row r="47" spans="1:4">
      <c r="A47" t="s">
        <v>157</v>
      </c>
      <c r="B47" s="39"/>
    </row>
    <row r="48" spans="1:4">
      <c r="A48" s="20" t="s">
        <v>219</v>
      </c>
      <c r="B48" s="5">
        <v>2000000</v>
      </c>
      <c r="C48" t="s">
        <v>152</v>
      </c>
      <c r="D48" t="s">
        <v>148</v>
      </c>
    </row>
    <row r="49" spans="1:4">
      <c r="A49" s="20" t="s">
        <v>30</v>
      </c>
      <c r="B49" s="5">
        <v>3000000</v>
      </c>
      <c r="C49" t="s">
        <v>152</v>
      </c>
      <c r="D49" t="s">
        <v>148</v>
      </c>
    </row>
    <row r="50" spans="1:4">
      <c r="A50" s="20" t="s">
        <v>31</v>
      </c>
      <c r="B50" s="5">
        <v>4000000</v>
      </c>
      <c r="C50" t="s">
        <v>152</v>
      </c>
      <c r="D50" t="s">
        <v>148</v>
      </c>
    </row>
    <row r="51" spans="1:4">
      <c r="A51" s="20" t="s">
        <v>32</v>
      </c>
      <c r="B51" s="5">
        <v>5000000</v>
      </c>
      <c r="C51" t="s">
        <v>152</v>
      </c>
      <c r="D51" t="s">
        <v>148</v>
      </c>
    </row>
    <row r="52" spans="1:4">
      <c r="A52" t="s">
        <v>158</v>
      </c>
      <c r="B52" s="15"/>
    </row>
    <row r="53" spans="1:4">
      <c r="A53" s="20" t="s">
        <v>219</v>
      </c>
      <c r="B53" s="32">
        <v>250000</v>
      </c>
      <c r="C53" t="s">
        <v>204</v>
      </c>
      <c r="D53" t="s">
        <v>150</v>
      </c>
    </row>
    <row r="54" spans="1:4">
      <c r="A54" s="20" t="s">
        <v>30</v>
      </c>
      <c r="B54" s="17">
        <v>300000</v>
      </c>
      <c r="C54" t="s">
        <v>204</v>
      </c>
      <c r="D54" t="s">
        <v>150</v>
      </c>
    </row>
    <row r="55" spans="1:4">
      <c r="A55" s="20" t="s">
        <v>31</v>
      </c>
      <c r="B55" s="32">
        <v>350000</v>
      </c>
      <c r="C55" t="s">
        <v>204</v>
      </c>
      <c r="D55" t="s">
        <v>150</v>
      </c>
    </row>
    <row r="56" spans="1:4">
      <c r="A56" s="20" t="s">
        <v>32</v>
      </c>
      <c r="B56" s="32">
        <v>400000</v>
      </c>
      <c r="C56" t="s">
        <v>204</v>
      </c>
      <c r="D56" t="s">
        <v>150</v>
      </c>
    </row>
    <row r="57" spans="1:4">
      <c r="A57" s="20"/>
      <c r="B57" s="17"/>
    </row>
    <row r="58" spans="1:4">
      <c r="A58" s="35" t="s">
        <v>105</v>
      </c>
      <c r="B58" s="21"/>
    </row>
    <row r="59" spans="1:4">
      <c r="A59" t="s">
        <v>157</v>
      </c>
      <c r="B59" s="17"/>
    </row>
    <row r="60" spans="1:4">
      <c r="A60" s="20" t="s">
        <v>219</v>
      </c>
      <c r="B60" s="17">
        <f>'Revenue Model'!B43*'Revenue Model'!B146</f>
        <v>0</v>
      </c>
      <c r="C60" t="s">
        <v>152</v>
      </c>
      <c r="D60" t="s">
        <v>148</v>
      </c>
    </row>
    <row r="61" spans="1:4">
      <c r="A61" s="20" t="s">
        <v>30</v>
      </c>
      <c r="B61" s="17">
        <f>'Revenue Model'!B44*'Revenue Model'!B147</f>
        <v>0</v>
      </c>
      <c r="C61" t="s">
        <v>152</v>
      </c>
      <c r="D61" t="s">
        <v>148</v>
      </c>
    </row>
    <row r="62" spans="1:4">
      <c r="A62" s="20" t="s">
        <v>31</v>
      </c>
      <c r="B62" s="17">
        <f>'Revenue Model'!B45*'Revenue Model'!B148</f>
        <v>0</v>
      </c>
      <c r="C62" t="s">
        <v>152</v>
      </c>
      <c r="D62" t="s">
        <v>148</v>
      </c>
    </row>
    <row r="63" spans="1:4">
      <c r="A63" s="20" t="s">
        <v>32</v>
      </c>
      <c r="B63" s="17">
        <f>'Revenue Model'!B46*'Revenue Model'!B149</f>
        <v>0</v>
      </c>
      <c r="C63" t="s">
        <v>152</v>
      </c>
      <c r="D63" t="s">
        <v>148</v>
      </c>
    </row>
    <row r="64" spans="1:4">
      <c r="A64" t="s">
        <v>158</v>
      </c>
      <c r="B64" s="40"/>
    </row>
    <row r="65" spans="1:4">
      <c r="A65" s="20" t="s">
        <v>219</v>
      </c>
      <c r="B65" s="32">
        <f>B60/(('Revenue Model'!B53+'Revenue Model'!B58+'Revenue Model'!B146)/IF('Revenue Model'!B48=0,1,'Revenue Model'!B48))</f>
        <v>0</v>
      </c>
      <c r="C65" t="s">
        <v>204</v>
      </c>
      <c r="D65" t="s">
        <v>150</v>
      </c>
    </row>
    <row r="66" spans="1:4">
      <c r="A66" s="20" t="s">
        <v>30</v>
      </c>
      <c r="B66" s="32">
        <f>B61/(('Revenue Model'!B54+'Revenue Model'!B59+'Revenue Model'!B147)/IF('Revenue Model'!B49=0,1,'Revenue Model'!B49))</f>
        <v>0</v>
      </c>
      <c r="C66" t="s">
        <v>204</v>
      </c>
      <c r="D66" t="s">
        <v>150</v>
      </c>
    </row>
    <row r="67" spans="1:4">
      <c r="A67" s="20" t="s">
        <v>31</v>
      </c>
      <c r="B67" s="32">
        <f>B62/(('Revenue Model'!B55+'Revenue Model'!B60+'Revenue Model'!B148)/IF('Revenue Model'!B50=0,1,'Revenue Model'!B50))</f>
        <v>0</v>
      </c>
      <c r="C67" t="s">
        <v>204</v>
      </c>
      <c r="D67" t="s">
        <v>150</v>
      </c>
    </row>
    <row r="68" spans="1:4">
      <c r="A68" s="20" t="s">
        <v>32</v>
      </c>
      <c r="B68" s="32">
        <f>B63/(('Revenue Model'!B56+'Revenue Model'!B61+'Revenue Model'!B149)/IF('Revenue Model'!B51=0,1,'Revenue Model'!B51))</f>
        <v>0</v>
      </c>
      <c r="C68" t="s">
        <v>204</v>
      </c>
      <c r="D68" t="s">
        <v>150</v>
      </c>
    </row>
    <row r="69" spans="1:4">
      <c r="A69" s="20"/>
      <c r="B69" s="5"/>
    </row>
    <row r="70" spans="1:4">
      <c r="A70" s="34" t="s">
        <v>270</v>
      </c>
      <c r="B70" s="5"/>
    </row>
    <row r="71" spans="1:4">
      <c r="A71" t="s">
        <v>170</v>
      </c>
      <c r="B71" s="19">
        <v>75000</v>
      </c>
      <c r="C71" t="s">
        <v>28</v>
      </c>
      <c r="D71" t="s">
        <v>29</v>
      </c>
    </row>
    <row r="72" spans="1:4">
      <c r="A72" s="20" t="s">
        <v>125</v>
      </c>
      <c r="B72" s="19">
        <v>75000</v>
      </c>
      <c r="C72" t="s">
        <v>28</v>
      </c>
      <c r="D72" t="s">
        <v>29</v>
      </c>
    </row>
    <row r="73" spans="1:4">
      <c r="A73" t="s">
        <v>156</v>
      </c>
      <c r="C73" t="s">
        <v>204</v>
      </c>
      <c r="D73" t="s">
        <v>223</v>
      </c>
    </row>
    <row r="74" spans="1:4">
      <c r="A74" s="20" t="s">
        <v>219</v>
      </c>
      <c r="B74" s="5">
        <v>100000</v>
      </c>
      <c r="C74" t="s">
        <v>204</v>
      </c>
      <c r="D74" t="s">
        <v>150</v>
      </c>
    </row>
    <row r="75" spans="1:4">
      <c r="A75" s="20" t="s">
        <v>30</v>
      </c>
      <c r="B75" s="5">
        <v>200000</v>
      </c>
      <c r="C75" t="s">
        <v>204</v>
      </c>
      <c r="D75" t="s">
        <v>150</v>
      </c>
    </row>
    <row r="76" spans="1:4">
      <c r="A76" s="20" t="s">
        <v>31</v>
      </c>
      <c r="B76" s="5">
        <v>300000</v>
      </c>
      <c r="C76" t="s">
        <v>204</v>
      </c>
      <c r="D76" t="s">
        <v>150</v>
      </c>
    </row>
    <row r="77" spans="1:4">
      <c r="A77" s="20" t="s">
        <v>32</v>
      </c>
      <c r="B77" s="5">
        <v>400000</v>
      </c>
      <c r="C77" t="s">
        <v>204</v>
      </c>
      <c r="D77" t="s">
        <v>150</v>
      </c>
    </row>
    <row r="78" spans="1:4">
      <c r="A78" t="s">
        <v>159</v>
      </c>
    </row>
    <row r="79" spans="1:4">
      <c r="A79" s="20" t="s">
        <v>219</v>
      </c>
      <c r="B79" s="37">
        <v>8</v>
      </c>
      <c r="C79" t="s">
        <v>215</v>
      </c>
      <c r="D79" t="s">
        <v>150</v>
      </c>
    </row>
    <row r="80" spans="1:4">
      <c r="A80" s="20" t="s">
        <v>30</v>
      </c>
      <c r="B80" s="37">
        <v>4</v>
      </c>
      <c r="C80" t="s">
        <v>215</v>
      </c>
      <c r="D80" t="s">
        <v>150</v>
      </c>
    </row>
    <row r="81" spans="1:4">
      <c r="A81" s="20" t="s">
        <v>31</v>
      </c>
      <c r="B81" s="37">
        <v>4</v>
      </c>
      <c r="C81" t="s">
        <v>215</v>
      </c>
      <c r="D81" t="s">
        <v>150</v>
      </c>
    </row>
    <row r="82" spans="1:4">
      <c r="A82" s="20" t="s">
        <v>32</v>
      </c>
      <c r="B82" s="37">
        <v>8</v>
      </c>
      <c r="C82" t="s">
        <v>215</v>
      </c>
      <c r="D82" t="s">
        <v>150</v>
      </c>
    </row>
    <row r="83" spans="1:4">
      <c r="A83" t="s">
        <v>171</v>
      </c>
      <c r="B83" s="1"/>
    </row>
    <row r="84" spans="1:4">
      <c r="A84" s="20" t="s">
        <v>219</v>
      </c>
      <c r="B84" s="41">
        <v>8.3333333333333329E-2</v>
      </c>
      <c r="D84" t="s">
        <v>121</v>
      </c>
    </row>
    <row r="85" spans="1:4">
      <c r="A85" s="20" t="s">
        <v>30</v>
      </c>
      <c r="B85" s="41">
        <f>0.5/12</f>
        <v>4.1666666666666664E-2</v>
      </c>
      <c r="D85" t="s">
        <v>121</v>
      </c>
    </row>
    <row r="86" spans="1:4">
      <c r="A86" s="20" t="s">
        <v>31</v>
      </c>
      <c r="B86" s="41">
        <f>0.25/12</f>
        <v>2.0833333333333332E-2</v>
      </c>
      <c r="D86" t="s">
        <v>121</v>
      </c>
    </row>
    <row r="87" spans="1:4">
      <c r="A87" s="20" t="s">
        <v>32</v>
      </c>
      <c r="B87" s="41">
        <f>1/12</f>
        <v>8.3333333333333329E-2</v>
      </c>
      <c r="D87" t="s">
        <v>121</v>
      </c>
    </row>
    <row r="88" spans="1:4">
      <c r="B88" s="15"/>
    </row>
    <row r="90" spans="1:4">
      <c r="B90" s="15"/>
    </row>
    <row r="91" spans="1:4">
      <c r="A91" t="s">
        <v>182</v>
      </c>
    </row>
    <row r="92" spans="1:4">
      <c r="A92" s="18" t="s">
        <v>1</v>
      </c>
      <c r="B92" s="17">
        <v>4000000</v>
      </c>
      <c r="C92" t="s">
        <v>204</v>
      </c>
      <c r="D92" t="s">
        <v>223</v>
      </c>
    </row>
    <row r="93" spans="1:4">
      <c r="A93" s="18" t="s">
        <v>2</v>
      </c>
      <c r="B93" s="17">
        <f>'Revenue Model'!B98*'Revenue Model'!B157/$B$4</f>
        <v>0</v>
      </c>
      <c r="C93" t="s">
        <v>204</v>
      </c>
      <c r="D93" t="s">
        <v>223</v>
      </c>
    </row>
    <row r="94" spans="1:4">
      <c r="A94" s="18" t="s">
        <v>3</v>
      </c>
      <c r="B94" s="17">
        <f>'Revenue Model'!B99*'Revenue Model'!B158/$B$4</f>
        <v>0</v>
      </c>
      <c r="C94" t="s">
        <v>204</v>
      </c>
      <c r="D94" t="s">
        <v>223</v>
      </c>
    </row>
    <row r="95" spans="1:4">
      <c r="A95" s="18" t="s">
        <v>4</v>
      </c>
      <c r="B95" s="17">
        <f>'Revenue Model'!B100*'Revenue Model'!B159/$B$4</f>
        <v>0</v>
      </c>
      <c r="C95" t="s">
        <v>204</v>
      </c>
      <c r="D95" t="s">
        <v>223</v>
      </c>
    </row>
    <row r="96" spans="1:4">
      <c r="A96" s="18" t="s">
        <v>5</v>
      </c>
      <c r="B96" s="17">
        <f>'Revenue Model'!B101*'Revenue Model'!B160/$B$4</f>
        <v>0</v>
      </c>
      <c r="C96" t="s">
        <v>204</v>
      </c>
      <c r="D96" t="s">
        <v>223</v>
      </c>
    </row>
    <row r="97" spans="1:4">
      <c r="A97" s="18" t="s">
        <v>6</v>
      </c>
      <c r="B97" s="17">
        <f>'Revenue Model'!B102*'Revenue Model'!B161/$B$4</f>
        <v>0</v>
      </c>
      <c r="C97" t="s">
        <v>204</v>
      </c>
      <c r="D97" t="s">
        <v>223</v>
      </c>
    </row>
    <row r="98" spans="1:4">
      <c r="A98" s="18" t="s">
        <v>7</v>
      </c>
      <c r="B98" s="17">
        <f>'Revenue Model'!B103*'Revenue Model'!B162/$B$4</f>
        <v>0</v>
      </c>
      <c r="C98" t="s">
        <v>204</v>
      </c>
      <c r="D98" t="s">
        <v>223</v>
      </c>
    </row>
    <row r="99" spans="1:4">
      <c r="A99" t="s">
        <v>101</v>
      </c>
    </row>
    <row r="100" spans="1:4">
      <c r="A100" s="18" t="s">
        <v>1</v>
      </c>
      <c r="B100" s="37">
        <v>8</v>
      </c>
      <c r="C100" t="s">
        <v>214</v>
      </c>
      <c r="D100" t="s">
        <v>150</v>
      </c>
    </row>
    <row r="101" spans="1:4">
      <c r="A101" s="18" t="s">
        <v>2</v>
      </c>
      <c r="B101" s="37">
        <f>('Revenue Model'!B157+'Revenue Model'!B122+'Revenue Model'!B114)/IF('Revenue Model'!B106=0,1,'Revenue Model'!B106)</f>
        <v>2</v>
      </c>
      <c r="C101" t="s">
        <v>214</v>
      </c>
      <c r="D101" t="s">
        <v>150</v>
      </c>
    </row>
    <row r="102" spans="1:4">
      <c r="A102" s="18" t="s">
        <v>3</v>
      </c>
      <c r="B102" s="37">
        <f>('Revenue Model'!B158+'Revenue Model'!B123+'Revenue Model'!B115)/IF('Revenue Model'!B107=0,1,'Revenue Model'!B107)</f>
        <v>2</v>
      </c>
      <c r="C102" t="s">
        <v>214</v>
      </c>
      <c r="D102" t="s">
        <v>150</v>
      </c>
    </row>
    <row r="103" spans="1:4">
      <c r="A103" s="18" t="s">
        <v>4</v>
      </c>
      <c r="B103" s="37">
        <f>('Revenue Model'!B159+'Revenue Model'!B124+'Revenue Model'!B116)/IF('Revenue Model'!B108=0,1,'Revenue Model'!B108)</f>
        <v>2</v>
      </c>
      <c r="C103" t="s">
        <v>214</v>
      </c>
      <c r="D103" t="s">
        <v>150</v>
      </c>
    </row>
    <row r="104" spans="1:4">
      <c r="A104" s="18" t="s">
        <v>5</v>
      </c>
      <c r="B104" s="37">
        <f>('Revenue Model'!B160+'Revenue Model'!B125+'Revenue Model'!B117)/IF('Revenue Model'!B109=0,1,'Revenue Model'!B109)</f>
        <v>2</v>
      </c>
      <c r="C104" t="s">
        <v>214</v>
      </c>
      <c r="D104" t="s">
        <v>150</v>
      </c>
    </row>
    <row r="105" spans="1:4">
      <c r="A105" s="18" t="s">
        <v>6</v>
      </c>
      <c r="B105" s="37">
        <f>('Revenue Model'!B161+'Revenue Model'!B126+'Revenue Model'!B118)/IF('Revenue Model'!B110=0,1,'Revenue Model'!B110)</f>
        <v>2</v>
      </c>
      <c r="C105" t="s">
        <v>214</v>
      </c>
      <c r="D105" t="s">
        <v>150</v>
      </c>
    </row>
    <row r="106" spans="1:4">
      <c r="A106" s="18" t="s">
        <v>7</v>
      </c>
      <c r="B106" s="46">
        <f>('Revenue Model'!B162+'Revenue Model'!B127+'Revenue Model'!B119)/IF('Revenue Model'!B111=0,1,'Revenue Model'!B111)</f>
        <v>10000</v>
      </c>
      <c r="C106" t="s">
        <v>214</v>
      </c>
      <c r="D106" t="s">
        <v>143</v>
      </c>
    </row>
    <row r="107" spans="1:4">
      <c r="A107" s="23" t="s">
        <v>21</v>
      </c>
    </row>
    <row r="108" spans="1:4">
      <c r="A108" s="18" t="s">
        <v>1</v>
      </c>
      <c r="B108" s="1">
        <f>0.6/12</f>
        <v>4.9999999999999996E-2</v>
      </c>
      <c r="C108" t="s">
        <v>126</v>
      </c>
      <c r="D108" t="s">
        <v>150</v>
      </c>
    </row>
    <row r="109" spans="1:4">
      <c r="A109" s="18" t="s">
        <v>2</v>
      </c>
      <c r="B109" s="1">
        <f>'Revenue Model'!B114/'Revenue Model'!B130</f>
        <v>0.05</v>
      </c>
      <c r="C109" t="s">
        <v>126</v>
      </c>
      <c r="D109" t="s">
        <v>150</v>
      </c>
    </row>
    <row r="110" spans="1:4">
      <c r="A110" s="18" t="s">
        <v>3</v>
      </c>
      <c r="B110" s="1">
        <f>'Revenue Model'!B115/'Revenue Model'!B131</f>
        <v>0.05</v>
      </c>
      <c r="C110" t="s">
        <v>126</v>
      </c>
      <c r="D110" t="s">
        <v>150</v>
      </c>
    </row>
    <row r="111" spans="1:4">
      <c r="A111" s="18" t="s">
        <v>4</v>
      </c>
      <c r="B111" s="1">
        <f>'Revenue Model'!B116/'Revenue Model'!B132</f>
        <v>0.05</v>
      </c>
      <c r="C111" t="s">
        <v>126</v>
      </c>
      <c r="D111" t="s">
        <v>150</v>
      </c>
    </row>
    <row r="112" spans="1:4">
      <c r="A112" s="18" t="s">
        <v>5</v>
      </c>
      <c r="B112" s="1">
        <f>'Revenue Model'!B117/'Revenue Model'!B133</f>
        <v>0.05</v>
      </c>
      <c r="C112" t="s">
        <v>126</v>
      </c>
      <c r="D112" t="s">
        <v>150</v>
      </c>
    </row>
    <row r="113" spans="1:4">
      <c r="A113" s="18" t="s">
        <v>6</v>
      </c>
      <c r="B113" s="1">
        <f>'Revenue Model'!B118/'Revenue Model'!B134</f>
        <v>0.05</v>
      </c>
      <c r="C113" t="s">
        <v>126</v>
      </c>
      <c r="D113" t="s">
        <v>150</v>
      </c>
    </row>
    <row r="114" spans="1:4">
      <c r="A114" s="18" t="s">
        <v>7</v>
      </c>
      <c r="B114" s="47">
        <f>'Revenue Model'!B119/'Revenue Model'!B135</f>
        <v>0.05</v>
      </c>
      <c r="C114" t="s">
        <v>126</v>
      </c>
      <c r="D114" t="s">
        <v>143</v>
      </c>
    </row>
  </sheetData>
  <pageMargins left="0.75" right="0.75" top="1" bottom="1" header="0.5" footer="0.5"/>
  <pageSetup paperSize="0"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62"/>
  <sheetViews>
    <sheetView topLeftCell="A13" zoomScaleNormal="100" workbookViewId="0">
      <selection activeCell="B28" sqref="B28"/>
    </sheetView>
  </sheetViews>
  <sheetFormatPr defaultColWidth="11" defaultRowHeight="12.75"/>
  <cols>
    <col min="1" max="1" width="38.25" bestFit="1" customWidth="1"/>
    <col min="2" max="2" width="12.625" style="21" bestFit="1" customWidth="1"/>
    <col min="3" max="3" width="57.125" bestFit="1" customWidth="1"/>
  </cols>
  <sheetData>
    <row r="1" spans="1:3" ht="15">
      <c r="A1" s="8" t="s">
        <v>132</v>
      </c>
    </row>
    <row r="3" spans="1:3">
      <c r="A3" s="10" t="s">
        <v>9</v>
      </c>
    </row>
    <row r="6" spans="1:3">
      <c r="A6" s="10" t="s">
        <v>79</v>
      </c>
    </row>
    <row r="7" spans="1:3">
      <c r="A7" s="10"/>
    </row>
    <row r="8" spans="1:3">
      <c r="A8" s="27" t="s">
        <v>290</v>
      </c>
    </row>
    <row r="9" spans="1:3">
      <c r="A9" s="18" t="s">
        <v>1</v>
      </c>
      <c r="B9" s="107">
        <v>0.75</v>
      </c>
      <c r="C9" t="s">
        <v>291</v>
      </c>
    </row>
    <row r="10" spans="1:3">
      <c r="A10" s="18" t="s">
        <v>2</v>
      </c>
      <c r="B10" s="107">
        <v>0.85</v>
      </c>
      <c r="C10" t="s">
        <v>291</v>
      </c>
    </row>
    <row r="11" spans="1:3">
      <c r="A11" s="18" t="s">
        <v>3</v>
      </c>
      <c r="B11" s="107">
        <v>0.85</v>
      </c>
      <c r="C11" t="s">
        <v>291</v>
      </c>
    </row>
    <row r="12" spans="1:3">
      <c r="A12" s="18" t="s">
        <v>4</v>
      </c>
      <c r="B12" s="107">
        <v>0.85</v>
      </c>
      <c r="C12" t="s">
        <v>291</v>
      </c>
    </row>
    <row r="13" spans="1:3">
      <c r="A13" s="18" t="s">
        <v>5</v>
      </c>
      <c r="B13" s="107">
        <v>1</v>
      </c>
      <c r="C13" t="s">
        <v>291</v>
      </c>
    </row>
    <row r="14" spans="1:3">
      <c r="A14" s="18" t="s">
        <v>6</v>
      </c>
      <c r="B14" s="107">
        <v>1</v>
      </c>
      <c r="C14" t="s">
        <v>291</v>
      </c>
    </row>
    <row r="15" spans="1:3">
      <c r="A15" s="18" t="s">
        <v>7</v>
      </c>
      <c r="B15" s="107">
        <v>1</v>
      </c>
      <c r="C15" t="s">
        <v>291</v>
      </c>
    </row>
    <row r="17" spans="1:4">
      <c r="A17" s="10" t="s">
        <v>119</v>
      </c>
      <c r="C17" s="10" t="s">
        <v>102</v>
      </c>
      <c r="D17" s="10"/>
    </row>
    <row r="19" spans="1:4">
      <c r="A19" s="53" t="s">
        <v>104</v>
      </c>
    </row>
    <row r="20" spans="1:4" ht="13.5" thickBot="1">
      <c r="A20" t="s">
        <v>96</v>
      </c>
    </row>
    <row r="21" spans="1:4" ht="16.5" thickTop="1" thickBot="1">
      <c r="A21" s="20" t="s">
        <v>219</v>
      </c>
      <c r="B21" s="128">
        <v>300000</v>
      </c>
      <c r="C21" t="s">
        <v>106</v>
      </c>
    </row>
    <row r="22" spans="1:4" ht="16.5" thickTop="1" thickBot="1">
      <c r="A22" s="20" t="s">
        <v>30</v>
      </c>
      <c r="B22" s="128">
        <v>400000</v>
      </c>
      <c r="C22" t="s">
        <v>106</v>
      </c>
    </row>
    <row r="23" spans="1:4" ht="16.5" thickTop="1" thickBot="1">
      <c r="A23" s="20" t="s">
        <v>31</v>
      </c>
      <c r="B23" s="128">
        <v>450000</v>
      </c>
      <c r="C23" t="s">
        <v>106</v>
      </c>
    </row>
    <row r="24" spans="1:4" ht="16.5" thickTop="1" thickBot="1">
      <c r="A24" s="20" t="s">
        <v>32</v>
      </c>
      <c r="B24" s="128">
        <v>475000</v>
      </c>
      <c r="C24" t="s">
        <v>106</v>
      </c>
    </row>
    <row r="25" spans="1:4" ht="13.5" thickTop="1">
      <c r="A25" t="s">
        <v>95</v>
      </c>
    </row>
    <row r="26" spans="1:4">
      <c r="A26" s="20" t="s">
        <v>219</v>
      </c>
      <c r="B26" s="33">
        <v>65</v>
      </c>
    </row>
    <row r="27" spans="1:4">
      <c r="A27" s="20" t="s">
        <v>30</v>
      </c>
      <c r="B27" s="33">
        <v>65</v>
      </c>
    </row>
    <row r="28" spans="1:4">
      <c r="A28" s="20" t="s">
        <v>31</v>
      </c>
      <c r="B28" s="33">
        <v>65</v>
      </c>
    </row>
    <row r="29" spans="1:4">
      <c r="A29" s="20" t="s">
        <v>32</v>
      </c>
      <c r="B29" s="33">
        <v>65</v>
      </c>
    </row>
    <row r="30" spans="1:4">
      <c r="A30" t="s">
        <v>183</v>
      </c>
    </row>
    <row r="31" spans="1:4">
      <c r="A31" s="20" t="s">
        <v>219</v>
      </c>
      <c r="B31" s="33">
        <v>10</v>
      </c>
    </row>
    <row r="32" spans="1:4">
      <c r="A32" s="20" t="s">
        <v>30</v>
      </c>
      <c r="B32" s="33">
        <v>10</v>
      </c>
    </row>
    <row r="33" spans="1:3">
      <c r="A33" s="20" t="s">
        <v>31</v>
      </c>
      <c r="B33" s="33">
        <v>10</v>
      </c>
    </row>
    <row r="34" spans="1:3">
      <c r="A34" s="20" t="s">
        <v>32</v>
      </c>
      <c r="B34" s="33">
        <v>10</v>
      </c>
    </row>
    <row r="35" spans="1:3">
      <c r="A35" t="s">
        <v>184</v>
      </c>
    </row>
    <row r="36" spans="1:3">
      <c r="A36" s="20" t="s">
        <v>219</v>
      </c>
      <c r="B36" s="33">
        <v>10</v>
      </c>
    </row>
    <row r="37" spans="1:3">
      <c r="A37" s="20" t="s">
        <v>30</v>
      </c>
      <c r="B37" s="33">
        <v>10</v>
      </c>
    </row>
    <row r="38" spans="1:3">
      <c r="A38" s="20" t="s">
        <v>31</v>
      </c>
      <c r="B38" s="33">
        <v>10</v>
      </c>
    </row>
    <row r="39" spans="1:3">
      <c r="A39" s="20" t="s">
        <v>32</v>
      </c>
      <c r="B39" s="33">
        <v>10</v>
      </c>
    </row>
    <row r="40" spans="1:3">
      <c r="A40" s="20"/>
    </row>
    <row r="41" spans="1:3">
      <c r="A41" s="52" t="s">
        <v>105</v>
      </c>
    </row>
    <row r="42" spans="1:3" ht="13.5" thickBot="1">
      <c r="A42" t="s">
        <v>96</v>
      </c>
    </row>
    <row r="43" spans="1:3" ht="16.5" thickTop="1" thickBot="1">
      <c r="A43" s="20" t="s">
        <v>219</v>
      </c>
      <c r="B43" s="129">
        <v>333000</v>
      </c>
      <c r="C43" t="s">
        <v>106</v>
      </c>
    </row>
    <row r="44" spans="1:3" ht="16.5" thickTop="1" thickBot="1">
      <c r="A44" s="20" t="s">
        <v>30</v>
      </c>
      <c r="B44" s="129">
        <v>425000</v>
      </c>
      <c r="C44" t="s">
        <v>106</v>
      </c>
    </row>
    <row r="45" spans="1:3" ht="16.5" thickTop="1" thickBot="1">
      <c r="A45" s="20" t="s">
        <v>31</v>
      </c>
      <c r="B45" s="129">
        <v>515000</v>
      </c>
      <c r="C45" t="s">
        <v>106</v>
      </c>
    </row>
    <row r="46" spans="1:3" ht="16.5" thickTop="1" thickBot="1">
      <c r="A46" s="20" t="s">
        <v>32</v>
      </c>
      <c r="B46" s="129">
        <v>545000</v>
      </c>
      <c r="C46" t="s">
        <v>106</v>
      </c>
    </row>
    <row r="47" spans="1:3" ht="13.5" thickTop="1">
      <c r="A47" t="s">
        <v>95</v>
      </c>
    </row>
    <row r="48" spans="1:3">
      <c r="A48" s="20" t="s">
        <v>219</v>
      </c>
      <c r="B48" s="33">
        <v>50</v>
      </c>
    </row>
    <row r="49" spans="1:2">
      <c r="A49" s="20" t="s">
        <v>30</v>
      </c>
      <c r="B49" s="33">
        <v>50</v>
      </c>
    </row>
    <row r="50" spans="1:2">
      <c r="A50" s="20" t="s">
        <v>31</v>
      </c>
      <c r="B50" s="33">
        <v>50</v>
      </c>
    </row>
    <row r="51" spans="1:2">
      <c r="A51" s="20" t="s">
        <v>32</v>
      </c>
      <c r="B51" s="33">
        <v>50</v>
      </c>
    </row>
    <row r="52" spans="1:2">
      <c r="A52" t="s">
        <v>46</v>
      </c>
    </row>
    <row r="53" spans="1:2">
      <c r="A53" s="20" t="s">
        <v>219</v>
      </c>
      <c r="B53" s="33">
        <v>10</v>
      </c>
    </row>
    <row r="54" spans="1:2">
      <c r="A54" s="20" t="s">
        <v>30</v>
      </c>
      <c r="B54" s="33">
        <v>10</v>
      </c>
    </row>
    <row r="55" spans="1:2">
      <c r="A55" s="20" t="s">
        <v>31</v>
      </c>
      <c r="B55" s="33">
        <v>10</v>
      </c>
    </row>
    <row r="56" spans="1:2">
      <c r="A56" s="20" t="s">
        <v>32</v>
      </c>
      <c r="B56" s="33">
        <v>10</v>
      </c>
    </row>
    <row r="57" spans="1:2">
      <c r="A57" t="s">
        <v>184</v>
      </c>
    </row>
    <row r="58" spans="1:2">
      <c r="A58" s="20" t="s">
        <v>219</v>
      </c>
      <c r="B58" s="33">
        <v>10</v>
      </c>
    </row>
    <row r="59" spans="1:2">
      <c r="A59" s="20" t="s">
        <v>30</v>
      </c>
      <c r="B59" s="33">
        <v>10</v>
      </c>
    </row>
    <row r="60" spans="1:2">
      <c r="A60" s="20" t="s">
        <v>31</v>
      </c>
      <c r="B60" s="33">
        <v>10</v>
      </c>
    </row>
    <row r="61" spans="1:2">
      <c r="A61" s="20" t="s">
        <v>32</v>
      </c>
      <c r="B61" s="33">
        <v>10</v>
      </c>
    </row>
    <row r="62" spans="1:2">
      <c r="A62" t="s">
        <v>271</v>
      </c>
    </row>
    <row r="63" spans="1:2">
      <c r="A63" s="20" t="s">
        <v>219</v>
      </c>
      <c r="B63" s="33">
        <v>10</v>
      </c>
    </row>
    <row r="64" spans="1:2">
      <c r="A64" s="20" t="s">
        <v>30</v>
      </c>
      <c r="B64" s="33">
        <v>10</v>
      </c>
    </row>
    <row r="65" spans="1:3">
      <c r="A65" s="20" t="s">
        <v>31</v>
      </c>
      <c r="B65" s="33">
        <v>10</v>
      </c>
    </row>
    <row r="66" spans="1:3">
      <c r="A66" s="20" t="s">
        <v>32</v>
      </c>
      <c r="B66" s="33">
        <v>10</v>
      </c>
    </row>
    <row r="68" spans="1:3">
      <c r="A68" s="52" t="s">
        <v>270</v>
      </c>
    </row>
    <row r="69" spans="1:3" ht="13.5" thickBot="1">
      <c r="A69" t="s">
        <v>146</v>
      </c>
    </row>
    <row r="70" spans="1:3" ht="16.5" thickTop="1" thickBot="1">
      <c r="A70" s="20" t="s">
        <v>219</v>
      </c>
      <c r="B70" s="130">
        <v>10000</v>
      </c>
      <c r="C70" t="s">
        <v>0</v>
      </c>
    </row>
    <row r="71" spans="1:3" ht="16.5" thickTop="1" thickBot="1">
      <c r="A71" s="20" t="s">
        <v>30</v>
      </c>
      <c r="B71" s="130">
        <v>15000</v>
      </c>
      <c r="C71" t="s">
        <v>0</v>
      </c>
    </row>
    <row r="72" spans="1:3" ht="16.5" thickTop="1" thickBot="1">
      <c r="A72" s="20" t="s">
        <v>31</v>
      </c>
      <c r="B72" s="130">
        <v>17000</v>
      </c>
      <c r="C72" t="s">
        <v>0</v>
      </c>
    </row>
    <row r="73" spans="1:3" ht="16.5" thickTop="1" thickBot="1">
      <c r="A73" s="20" t="s">
        <v>32</v>
      </c>
      <c r="B73" s="130">
        <v>18000</v>
      </c>
      <c r="C73" t="s">
        <v>0</v>
      </c>
    </row>
    <row r="74" spans="1:3" ht="13.5" thickTop="1">
      <c r="A74" t="s">
        <v>147</v>
      </c>
    </row>
    <row r="75" spans="1:3">
      <c r="A75" s="20" t="s">
        <v>219</v>
      </c>
      <c r="B75" s="44">
        <v>100</v>
      </c>
      <c r="C75" t="s">
        <v>103</v>
      </c>
    </row>
    <row r="76" spans="1:3">
      <c r="A76" s="20" t="s">
        <v>30</v>
      </c>
      <c r="B76" s="40">
        <f>433/4</f>
        <v>108.25</v>
      </c>
      <c r="C76" t="s">
        <v>103</v>
      </c>
    </row>
    <row r="77" spans="1:3">
      <c r="A77" s="20" t="s">
        <v>31</v>
      </c>
      <c r="B77" s="44">
        <v>100</v>
      </c>
      <c r="C77" t="s">
        <v>103</v>
      </c>
    </row>
    <row r="78" spans="1:3">
      <c r="A78" s="20" t="s">
        <v>32</v>
      </c>
      <c r="B78" s="44">
        <v>100</v>
      </c>
      <c r="C78" t="s">
        <v>103</v>
      </c>
    </row>
    <row r="79" spans="1:3">
      <c r="A79" t="s">
        <v>89</v>
      </c>
    </row>
    <row r="80" spans="1:3">
      <c r="A80" s="20" t="s">
        <v>219</v>
      </c>
      <c r="B80" s="44">
        <v>50</v>
      </c>
      <c r="C80" t="s">
        <v>103</v>
      </c>
    </row>
    <row r="81" spans="1:3">
      <c r="A81" s="20" t="s">
        <v>30</v>
      </c>
      <c r="B81" s="40">
        <v>50</v>
      </c>
      <c r="C81" t="s">
        <v>103</v>
      </c>
    </row>
    <row r="82" spans="1:3">
      <c r="A82" s="20" t="s">
        <v>31</v>
      </c>
      <c r="B82" s="44">
        <v>50</v>
      </c>
      <c r="C82" t="s">
        <v>103</v>
      </c>
    </row>
    <row r="83" spans="1:3">
      <c r="A83" s="20" t="s">
        <v>32</v>
      </c>
      <c r="B83" s="44">
        <v>50</v>
      </c>
      <c r="C83" t="s">
        <v>103</v>
      </c>
    </row>
    <row r="84" spans="1:3">
      <c r="A84" t="s">
        <v>90</v>
      </c>
    </row>
    <row r="85" spans="1:3">
      <c r="A85" s="20" t="s">
        <v>219</v>
      </c>
      <c r="B85" s="44">
        <v>75</v>
      </c>
      <c r="C85" t="s">
        <v>128</v>
      </c>
    </row>
    <row r="86" spans="1:3">
      <c r="A86" s="20" t="s">
        <v>30</v>
      </c>
      <c r="B86" s="40">
        <v>70</v>
      </c>
      <c r="C86" t="s">
        <v>128</v>
      </c>
    </row>
    <row r="87" spans="1:3">
      <c r="A87" s="20" t="s">
        <v>31</v>
      </c>
      <c r="B87" s="44">
        <v>57</v>
      </c>
      <c r="C87" t="s">
        <v>128</v>
      </c>
    </row>
    <row r="88" spans="1:3">
      <c r="A88" s="20" t="s">
        <v>32</v>
      </c>
      <c r="B88" s="44">
        <v>75</v>
      </c>
      <c r="C88" t="s">
        <v>128</v>
      </c>
    </row>
    <row r="89" spans="1:3">
      <c r="A89" t="s">
        <v>140</v>
      </c>
    </row>
    <row r="90" spans="1:3">
      <c r="A90" s="20" t="s">
        <v>219</v>
      </c>
      <c r="B90" s="44">
        <f>B80*12</f>
        <v>600</v>
      </c>
      <c r="C90" t="s">
        <v>139</v>
      </c>
    </row>
    <row r="91" spans="1:3">
      <c r="A91" s="20" t="s">
        <v>30</v>
      </c>
      <c r="B91" s="44">
        <f>B81*24</f>
        <v>1200</v>
      </c>
      <c r="C91" t="s">
        <v>139</v>
      </c>
    </row>
    <row r="92" spans="1:3">
      <c r="A92" s="20" t="s">
        <v>31</v>
      </c>
      <c r="B92" s="44">
        <f>B82*48</f>
        <v>2400</v>
      </c>
      <c r="C92" t="s">
        <v>139</v>
      </c>
    </row>
    <row r="93" spans="1:3">
      <c r="A93" s="20" t="s">
        <v>32</v>
      </c>
      <c r="B93" s="44">
        <f>B83*12</f>
        <v>600</v>
      </c>
      <c r="C93" t="s">
        <v>139</v>
      </c>
    </row>
    <row r="95" spans="1:3">
      <c r="A95" s="52" t="s">
        <v>144</v>
      </c>
    </row>
    <row r="96" spans="1:3" ht="13.5" thickBot="1">
      <c r="A96" t="s">
        <v>145</v>
      </c>
    </row>
    <row r="97" spans="1:3" ht="16.5" thickTop="1" thickBot="1">
      <c r="A97" s="18" t="s">
        <v>1</v>
      </c>
      <c r="B97" s="130">
        <f>21</f>
        <v>21</v>
      </c>
      <c r="C97" t="s">
        <v>269</v>
      </c>
    </row>
    <row r="98" spans="1:3" ht="16.5" thickTop="1" thickBot="1">
      <c r="A98" s="18" t="s">
        <v>2</v>
      </c>
      <c r="B98" s="130">
        <v>12</v>
      </c>
      <c r="C98" t="s">
        <v>269</v>
      </c>
    </row>
    <row r="99" spans="1:3" ht="16.5" thickTop="1" thickBot="1">
      <c r="A99" s="18" t="s">
        <v>3</v>
      </c>
      <c r="B99" s="130">
        <v>12</v>
      </c>
      <c r="C99" t="s">
        <v>269</v>
      </c>
    </row>
    <row r="100" spans="1:3" ht="16.5" thickTop="1" thickBot="1">
      <c r="A100" s="18" t="s">
        <v>4</v>
      </c>
      <c r="B100" s="130">
        <v>22</v>
      </c>
      <c r="C100" t="s">
        <v>269</v>
      </c>
    </row>
    <row r="101" spans="1:3" ht="16.5" thickTop="1" thickBot="1">
      <c r="A101" s="18" t="s">
        <v>5</v>
      </c>
      <c r="B101" s="130">
        <v>8</v>
      </c>
      <c r="C101" t="s">
        <v>269</v>
      </c>
    </row>
    <row r="102" spans="1:3" ht="16.5" thickTop="1" thickBot="1">
      <c r="A102" s="18" t="s">
        <v>6</v>
      </c>
      <c r="B102" s="130">
        <v>5</v>
      </c>
      <c r="C102" t="s">
        <v>269</v>
      </c>
    </row>
    <row r="103" spans="1:3" ht="16.5" thickTop="1" thickBot="1">
      <c r="A103" s="18" t="s">
        <v>7</v>
      </c>
      <c r="B103" s="130">
        <v>20</v>
      </c>
      <c r="C103" t="s">
        <v>269</v>
      </c>
    </row>
    <row r="104" spans="1:3" ht="13.5" thickTop="1">
      <c r="A104" t="s">
        <v>101</v>
      </c>
    </row>
    <row r="105" spans="1:3">
      <c r="A105" s="18" t="s">
        <v>1</v>
      </c>
      <c r="B105" s="33">
        <v>17500</v>
      </c>
      <c r="C105" t="s">
        <v>268</v>
      </c>
    </row>
    <row r="106" spans="1:3">
      <c r="A106" s="18" t="s">
        <v>2</v>
      </c>
      <c r="B106" s="33">
        <v>5000</v>
      </c>
      <c r="C106" t="s">
        <v>268</v>
      </c>
    </row>
    <row r="107" spans="1:3">
      <c r="A107" s="18" t="s">
        <v>3</v>
      </c>
      <c r="B107" s="33">
        <v>5000</v>
      </c>
      <c r="C107" t="s">
        <v>268</v>
      </c>
    </row>
    <row r="108" spans="1:3">
      <c r="A108" s="18" t="s">
        <v>4</v>
      </c>
      <c r="B108" s="33">
        <v>5000</v>
      </c>
      <c r="C108" t="s">
        <v>268</v>
      </c>
    </row>
    <row r="109" spans="1:3">
      <c r="A109" s="18" t="s">
        <v>5</v>
      </c>
      <c r="B109" s="33">
        <v>5000</v>
      </c>
      <c r="C109" t="s">
        <v>268</v>
      </c>
    </row>
    <row r="110" spans="1:3">
      <c r="A110" s="18" t="s">
        <v>6</v>
      </c>
      <c r="B110" s="33">
        <v>5000</v>
      </c>
      <c r="C110" t="s">
        <v>268</v>
      </c>
    </row>
    <row r="111" spans="1:3">
      <c r="A111" s="18" t="s">
        <v>7</v>
      </c>
      <c r="B111" s="38">
        <v>0</v>
      </c>
      <c r="C111" t="s">
        <v>268</v>
      </c>
    </row>
    <row r="112" spans="1:3">
      <c r="A112" t="s">
        <v>87</v>
      </c>
    </row>
    <row r="113" spans="1:3">
      <c r="A113" s="18" t="s">
        <v>1</v>
      </c>
      <c r="B113" s="33">
        <v>52500</v>
      </c>
      <c r="C113" t="s">
        <v>129</v>
      </c>
    </row>
    <row r="114" spans="1:3">
      <c r="A114" s="18" t="s">
        <v>2</v>
      </c>
      <c r="B114" s="33">
        <v>10000</v>
      </c>
      <c r="C114" t="s">
        <v>129</v>
      </c>
    </row>
    <row r="115" spans="1:3">
      <c r="A115" s="18" t="s">
        <v>3</v>
      </c>
      <c r="B115" s="33">
        <v>10000</v>
      </c>
      <c r="C115" t="s">
        <v>129</v>
      </c>
    </row>
    <row r="116" spans="1:3">
      <c r="A116" s="18" t="s">
        <v>4</v>
      </c>
      <c r="B116" s="33">
        <v>10000</v>
      </c>
      <c r="C116" t="s">
        <v>129</v>
      </c>
    </row>
    <row r="117" spans="1:3">
      <c r="A117" s="18" t="s">
        <v>5</v>
      </c>
      <c r="B117" s="33">
        <v>10000</v>
      </c>
      <c r="C117" t="s">
        <v>129</v>
      </c>
    </row>
    <row r="118" spans="1:3">
      <c r="A118" s="18" t="s">
        <v>6</v>
      </c>
      <c r="B118" s="33">
        <v>10000</v>
      </c>
      <c r="C118" t="s">
        <v>129</v>
      </c>
    </row>
    <row r="119" spans="1:3">
      <c r="A119" s="18" t="s">
        <v>7</v>
      </c>
      <c r="B119" s="38">
        <v>10000</v>
      </c>
      <c r="C119" t="s">
        <v>129</v>
      </c>
    </row>
    <row r="120" spans="1:3">
      <c r="A120" t="s">
        <v>88</v>
      </c>
    </row>
    <row r="121" spans="1:3">
      <c r="A121" s="18" t="s">
        <v>1</v>
      </c>
      <c r="B121" s="33">
        <v>52500</v>
      </c>
      <c r="C121" t="s">
        <v>128</v>
      </c>
    </row>
    <row r="122" spans="1:3">
      <c r="A122" s="18" t="s">
        <v>2</v>
      </c>
      <c r="B122" s="33">
        <v>0</v>
      </c>
      <c r="C122" t="s">
        <v>128</v>
      </c>
    </row>
    <row r="123" spans="1:3">
      <c r="A123" s="18" t="s">
        <v>3</v>
      </c>
      <c r="B123" s="33">
        <v>0</v>
      </c>
      <c r="C123" t="s">
        <v>128</v>
      </c>
    </row>
    <row r="124" spans="1:3">
      <c r="A124" s="18" t="s">
        <v>4</v>
      </c>
      <c r="B124" s="33">
        <v>0</v>
      </c>
      <c r="C124" t="s">
        <v>128</v>
      </c>
    </row>
    <row r="125" spans="1:3">
      <c r="A125" s="18" t="s">
        <v>5</v>
      </c>
      <c r="B125" s="33">
        <v>0</v>
      </c>
      <c r="C125" t="s">
        <v>128</v>
      </c>
    </row>
    <row r="126" spans="1:3">
      <c r="A126" s="18" t="s">
        <v>6</v>
      </c>
      <c r="B126" s="33">
        <v>0</v>
      </c>
      <c r="C126" t="s">
        <v>128</v>
      </c>
    </row>
    <row r="127" spans="1:3">
      <c r="A127" s="18" t="s">
        <v>7</v>
      </c>
      <c r="B127" s="38">
        <v>0</v>
      </c>
      <c r="C127" t="s">
        <v>128</v>
      </c>
    </row>
    <row r="128" spans="1:3">
      <c r="A128" t="s">
        <v>127</v>
      </c>
    </row>
    <row r="129" spans="1:3">
      <c r="A129" s="18" t="s">
        <v>1</v>
      </c>
      <c r="B129" s="33">
        <f>B113*20</f>
        <v>1050000</v>
      </c>
      <c r="C129" t="s">
        <v>129</v>
      </c>
    </row>
    <row r="130" spans="1:3">
      <c r="A130" s="18" t="s">
        <v>2</v>
      </c>
      <c r="B130" s="33">
        <f t="shared" ref="B130:B135" si="0">B114*20</f>
        <v>200000</v>
      </c>
      <c r="C130" t="s">
        <v>129</v>
      </c>
    </row>
    <row r="131" spans="1:3">
      <c r="A131" s="18" t="s">
        <v>3</v>
      </c>
      <c r="B131" s="33">
        <f t="shared" si="0"/>
        <v>200000</v>
      </c>
      <c r="C131" t="s">
        <v>129</v>
      </c>
    </row>
    <row r="132" spans="1:3">
      <c r="A132" s="18" t="s">
        <v>4</v>
      </c>
      <c r="B132" s="33">
        <f t="shared" si="0"/>
        <v>200000</v>
      </c>
      <c r="C132" t="s">
        <v>129</v>
      </c>
    </row>
    <row r="133" spans="1:3">
      <c r="A133" s="18" t="s">
        <v>5</v>
      </c>
      <c r="B133" s="33">
        <f t="shared" si="0"/>
        <v>200000</v>
      </c>
      <c r="C133" t="s">
        <v>129</v>
      </c>
    </row>
    <row r="134" spans="1:3">
      <c r="A134" s="18" t="s">
        <v>6</v>
      </c>
      <c r="B134" s="33">
        <f t="shared" si="0"/>
        <v>200000</v>
      </c>
      <c r="C134" t="s">
        <v>129</v>
      </c>
    </row>
    <row r="135" spans="1:3">
      <c r="A135" s="18" t="s">
        <v>7</v>
      </c>
      <c r="B135" s="38">
        <f t="shared" si="0"/>
        <v>200000</v>
      </c>
      <c r="C135" t="s">
        <v>129</v>
      </c>
    </row>
    <row r="138" spans="1:3">
      <c r="A138" s="10" t="s">
        <v>80</v>
      </c>
    </row>
    <row r="140" spans="1:3">
      <c r="A140" t="s">
        <v>97</v>
      </c>
      <c r="B140" s="33"/>
    </row>
    <row r="141" spans="1:3">
      <c r="A141" s="20" t="s">
        <v>219</v>
      </c>
      <c r="B141" s="33">
        <f>'Bldg Form'!K73</f>
        <v>0</v>
      </c>
      <c r="C141" t="s">
        <v>213</v>
      </c>
    </row>
    <row r="142" spans="1:3">
      <c r="A142" s="20" t="s">
        <v>30</v>
      </c>
      <c r="B142" s="33">
        <f>'Bldg Form'!K74</f>
        <v>0</v>
      </c>
      <c r="C142" t="s">
        <v>213</v>
      </c>
    </row>
    <row r="143" spans="1:3">
      <c r="A143" s="20" t="s">
        <v>31</v>
      </c>
      <c r="B143" s="33">
        <f>'Bldg Form'!K75</f>
        <v>0</v>
      </c>
      <c r="C143" t="s">
        <v>213</v>
      </c>
    </row>
    <row r="144" spans="1:3">
      <c r="A144" s="20" t="s">
        <v>32</v>
      </c>
      <c r="B144" s="33">
        <f>'Bldg Form'!K76</f>
        <v>0</v>
      </c>
      <c r="C144" t="s">
        <v>213</v>
      </c>
    </row>
    <row r="145" spans="1:3">
      <c r="A145" t="s">
        <v>98</v>
      </c>
    </row>
    <row r="146" spans="1:3">
      <c r="A146" s="20" t="s">
        <v>219</v>
      </c>
      <c r="B146" s="33">
        <f>'Bldg Form'!K58+'Bldg Form'!K63</f>
        <v>0</v>
      </c>
      <c r="C146" t="s">
        <v>213</v>
      </c>
    </row>
    <row r="147" spans="1:3">
      <c r="A147" s="20" t="s">
        <v>30</v>
      </c>
      <c r="B147" s="33">
        <f>'Bldg Form'!K59+'Bldg Form'!K64</f>
        <v>0</v>
      </c>
      <c r="C147" t="s">
        <v>213</v>
      </c>
    </row>
    <row r="148" spans="1:3">
      <c r="A148" s="20" t="s">
        <v>31</v>
      </c>
      <c r="B148" s="33">
        <f>'Bldg Form'!K60+'Bldg Form'!K65</f>
        <v>0</v>
      </c>
      <c r="C148" t="s">
        <v>213</v>
      </c>
    </row>
    <row r="149" spans="1:3">
      <c r="A149" s="20" t="s">
        <v>32</v>
      </c>
      <c r="B149" s="33">
        <f>'Bldg Form'!K61+'Bldg Form'!K66</f>
        <v>0</v>
      </c>
      <c r="C149" t="s">
        <v>213</v>
      </c>
    </row>
    <row r="150" spans="1:3">
      <c r="A150" t="s">
        <v>99</v>
      </c>
    </row>
    <row r="151" spans="1:3">
      <c r="A151" s="20" t="s">
        <v>219</v>
      </c>
      <c r="B151" s="33">
        <f>'Bldg Form'!K68</f>
        <v>0</v>
      </c>
      <c r="C151" t="s">
        <v>213</v>
      </c>
    </row>
    <row r="152" spans="1:3">
      <c r="A152" s="20" t="s">
        <v>30</v>
      </c>
      <c r="B152" s="33">
        <f>'Bldg Form'!K69</f>
        <v>0</v>
      </c>
      <c r="C152" t="s">
        <v>213</v>
      </c>
    </row>
    <row r="153" spans="1:3">
      <c r="A153" s="20" t="s">
        <v>31</v>
      </c>
      <c r="B153" s="33">
        <f>'Bldg Form'!K70</f>
        <v>0</v>
      </c>
      <c r="C153" t="s">
        <v>213</v>
      </c>
    </row>
    <row r="154" spans="1:3">
      <c r="A154" s="20" t="s">
        <v>32</v>
      </c>
      <c r="B154" s="33">
        <f>'Bldg Form'!K71</f>
        <v>0</v>
      </c>
      <c r="C154" t="s">
        <v>213</v>
      </c>
    </row>
    <row r="155" spans="1:3">
      <c r="A155" s="27" t="s">
        <v>100</v>
      </c>
    </row>
    <row r="156" spans="1:3">
      <c r="A156" s="18" t="s">
        <v>1</v>
      </c>
      <c r="B156" s="33">
        <f>B9*('Bldg Form'!K78+'Bldg Form'!K79)</f>
        <v>0</v>
      </c>
      <c r="C156" t="s">
        <v>213</v>
      </c>
    </row>
    <row r="157" spans="1:3">
      <c r="A157" s="18" t="s">
        <v>2</v>
      </c>
      <c r="B157" s="33">
        <f>B10*'Bldg Form'!K80</f>
        <v>0</v>
      </c>
      <c r="C157" t="s">
        <v>213</v>
      </c>
    </row>
    <row r="158" spans="1:3">
      <c r="A158" s="18" t="s">
        <v>3</v>
      </c>
      <c r="B158" s="33">
        <f>B11*'Bldg Form'!K81</f>
        <v>0</v>
      </c>
      <c r="C158" t="s">
        <v>213</v>
      </c>
    </row>
    <row r="159" spans="1:3">
      <c r="A159" s="18" t="s">
        <v>4</v>
      </c>
      <c r="B159" s="33">
        <f>B12*'Bldg Form'!K82</f>
        <v>0</v>
      </c>
      <c r="C159" t="s">
        <v>213</v>
      </c>
    </row>
    <row r="160" spans="1:3">
      <c r="A160" s="18" t="s">
        <v>5</v>
      </c>
      <c r="B160" s="33">
        <f>B13*'Bldg Form'!K83</f>
        <v>0</v>
      </c>
      <c r="C160" t="s">
        <v>213</v>
      </c>
    </row>
    <row r="161" spans="1:3">
      <c r="A161" s="18" t="s">
        <v>6</v>
      </c>
      <c r="B161" s="33">
        <f>B14*'Bldg Form'!K84</f>
        <v>0</v>
      </c>
      <c r="C161" t="s">
        <v>213</v>
      </c>
    </row>
    <row r="162" spans="1:3">
      <c r="A162" s="18" t="s">
        <v>7</v>
      </c>
      <c r="B162" s="33">
        <f>B15*'Bldg Form'!K85</f>
        <v>0</v>
      </c>
      <c r="C162" t="s">
        <v>213</v>
      </c>
    </row>
  </sheetData>
  <pageMargins left="0.75" right="0.75" top="1" bottom="1" header="0.5" footer="0.5"/>
  <pageSetup paperSize="0" orientation="portrait" horizontalDpi="4294967292" verticalDpi="4294967292"/>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107"/>
  <sheetViews>
    <sheetView topLeftCell="A43" zoomScaleNormal="100" workbookViewId="0">
      <selection activeCell="C68" sqref="C68"/>
    </sheetView>
  </sheetViews>
  <sheetFormatPr defaultColWidth="11" defaultRowHeight="12.75"/>
  <cols>
    <col min="1" max="1" width="27.375" bestFit="1" customWidth="1"/>
    <col min="2" max="2" width="11.625" bestFit="1" customWidth="1"/>
    <col min="3" max="3" width="11.625" style="59" bestFit="1" customWidth="1"/>
    <col min="4" max="4" width="17.75" bestFit="1" customWidth="1"/>
    <col min="5" max="5" width="50.125" bestFit="1" customWidth="1"/>
  </cols>
  <sheetData>
    <row r="1" spans="1:5" ht="15">
      <c r="A1" s="8" t="s">
        <v>133</v>
      </c>
      <c r="B1" s="8"/>
      <c r="C1" s="8"/>
      <c r="D1" s="8"/>
      <c r="E1" s="8"/>
    </row>
    <row r="2" spans="1:5">
      <c r="C2"/>
    </row>
    <row r="3" spans="1:5">
      <c r="A3" s="10" t="s">
        <v>9</v>
      </c>
      <c r="B3" s="10"/>
      <c r="C3" s="10"/>
      <c r="D3" s="10"/>
      <c r="E3" s="10"/>
    </row>
    <row r="4" spans="1:5">
      <c r="C4"/>
    </row>
    <row r="5" spans="1:5">
      <c r="C5"/>
    </row>
    <row r="6" spans="1:5">
      <c r="A6" s="10" t="s">
        <v>79</v>
      </c>
      <c r="B6" s="10"/>
      <c r="C6" s="10"/>
      <c r="D6" s="10"/>
      <c r="E6" s="10"/>
    </row>
    <row r="7" spans="1:5">
      <c r="A7" s="10"/>
      <c r="B7" s="10"/>
      <c r="C7" s="10"/>
      <c r="D7" s="10"/>
      <c r="E7" s="10"/>
    </row>
    <row r="8" spans="1:5">
      <c r="A8" s="59" t="s">
        <v>234</v>
      </c>
      <c r="B8" s="69">
        <v>0.5</v>
      </c>
      <c r="C8"/>
      <c r="D8" s="35" t="s">
        <v>232</v>
      </c>
    </row>
    <row r="9" spans="1:5">
      <c r="C9"/>
    </row>
    <row r="10" spans="1:5">
      <c r="A10" s="29"/>
      <c r="B10" s="29"/>
      <c r="C10" s="29"/>
      <c r="D10" s="29"/>
    </row>
    <row r="11" spans="1:5" ht="25.5">
      <c r="B11" s="100" t="s">
        <v>279</v>
      </c>
      <c r="C11" s="101" t="s">
        <v>281</v>
      </c>
    </row>
    <row r="12" spans="1:5" ht="53.25">
      <c r="B12" s="121" t="s">
        <v>294</v>
      </c>
      <c r="C12" s="122" t="s">
        <v>295</v>
      </c>
    </row>
    <row r="13" spans="1:5">
      <c r="A13" s="53" t="s">
        <v>83</v>
      </c>
      <c r="B13" s="35"/>
      <c r="C13"/>
      <c r="D13" s="35"/>
    </row>
    <row r="14" spans="1:5">
      <c r="A14" s="18" t="s">
        <v>33</v>
      </c>
      <c r="C14"/>
    </row>
    <row r="15" spans="1:5">
      <c r="A15" s="42" t="s">
        <v>219</v>
      </c>
      <c r="B15" s="105">
        <v>140</v>
      </c>
      <c r="C15" s="32">
        <f>B15*$B$8</f>
        <v>70</v>
      </c>
      <c r="D15" s="35" t="s">
        <v>231</v>
      </c>
    </row>
    <row r="16" spans="1:5">
      <c r="A16" s="42" t="s">
        <v>30</v>
      </c>
      <c r="B16" s="105">
        <v>140</v>
      </c>
      <c r="C16" s="32">
        <f>B16*$B$8</f>
        <v>70</v>
      </c>
      <c r="D16" s="35" t="s">
        <v>231</v>
      </c>
    </row>
    <row r="17" spans="1:4">
      <c r="A17" s="42" t="s">
        <v>31</v>
      </c>
      <c r="B17" s="105">
        <v>140</v>
      </c>
      <c r="C17" s="32">
        <f>B17*$B$8</f>
        <v>70</v>
      </c>
      <c r="D17" s="35" t="s">
        <v>231</v>
      </c>
    </row>
    <row r="18" spans="1:4">
      <c r="A18" s="42" t="s">
        <v>32</v>
      </c>
      <c r="B18" s="105">
        <v>140</v>
      </c>
      <c r="C18" s="32">
        <f>B18*$B$8</f>
        <v>70</v>
      </c>
      <c r="D18" s="35" t="s">
        <v>231</v>
      </c>
    </row>
    <row r="19" spans="1:4">
      <c r="A19" s="18" t="s">
        <v>131</v>
      </c>
      <c r="B19" s="105"/>
      <c r="C19" s="32"/>
      <c r="D19" s="35"/>
    </row>
    <row r="20" spans="1:4">
      <c r="A20" s="42" t="s">
        <v>38</v>
      </c>
      <c r="B20" s="105">
        <v>140</v>
      </c>
      <c r="C20" s="32">
        <f>B20*$B$8</f>
        <v>70</v>
      </c>
      <c r="D20" s="35" t="s">
        <v>231</v>
      </c>
    </row>
    <row r="21" spans="1:4">
      <c r="A21" s="45" t="s">
        <v>138</v>
      </c>
      <c r="B21" s="105">
        <v>140</v>
      </c>
      <c r="C21" s="32">
        <f>B21*$B$8</f>
        <v>70</v>
      </c>
      <c r="D21" s="35" t="s">
        <v>231</v>
      </c>
    </row>
    <row r="22" spans="1:4">
      <c r="A22" s="45" t="s">
        <v>55</v>
      </c>
      <c r="B22" s="105">
        <v>168</v>
      </c>
      <c r="C22" s="32">
        <f>B22*$B$8</f>
        <v>84</v>
      </c>
      <c r="D22" s="35" t="s">
        <v>231</v>
      </c>
    </row>
    <row r="23" spans="1:4">
      <c r="A23" s="45" t="s">
        <v>56</v>
      </c>
      <c r="B23" s="105">
        <v>168</v>
      </c>
      <c r="C23" s="32">
        <f>B23*$B$8</f>
        <v>84</v>
      </c>
      <c r="D23" s="35" t="s">
        <v>231</v>
      </c>
    </row>
    <row r="24" spans="1:4">
      <c r="A24" s="45" t="s">
        <v>41</v>
      </c>
      <c r="B24" s="105">
        <v>200</v>
      </c>
      <c r="C24" s="32">
        <f>B24*$B$8</f>
        <v>100</v>
      </c>
      <c r="D24" s="35" t="s">
        <v>231</v>
      </c>
    </row>
    <row r="25" spans="1:4">
      <c r="A25" s="53" t="s">
        <v>35</v>
      </c>
      <c r="B25" s="105"/>
      <c r="C25" s="32"/>
      <c r="D25" s="35"/>
    </row>
    <row r="26" spans="1:4">
      <c r="A26" s="24" t="s">
        <v>218</v>
      </c>
      <c r="B26" s="105">
        <v>120</v>
      </c>
      <c r="C26" s="32">
        <f>B26*$B$8</f>
        <v>60</v>
      </c>
      <c r="D26" s="35" t="s">
        <v>231</v>
      </c>
    </row>
    <row r="27" spans="1:4">
      <c r="A27" s="24" t="s">
        <v>1</v>
      </c>
      <c r="B27" s="105">
        <v>100</v>
      </c>
      <c r="C27" s="32">
        <f>B27*$B$8</f>
        <v>50</v>
      </c>
      <c r="D27" s="35" t="s">
        <v>231</v>
      </c>
    </row>
    <row r="28" spans="1:4">
      <c r="A28" s="24" t="s">
        <v>2</v>
      </c>
      <c r="B28" s="105">
        <v>100</v>
      </c>
      <c r="C28" s="32">
        <f>B28*$B$8</f>
        <v>50</v>
      </c>
      <c r="D28" s="35" t="s">
        <v>231</v>
      </c>
    </row>
    <row r="29" spans="1:4">
      <c r="A29" s="24" t="s">
        <v>3</v>
      </c>
      <c r="B29" s="105">
        <v>100</v>
      </c>
      <c r="C29" s="32">
        <f>B29*$B$8</f>
        <v>50</v>
      </c>
      <c r="D29" s="35" t="s">
        <v>231</v>
      </c>
    </row>
    <row r="30" spans="1:4">
      <c r="A30" s="24" t="s">
        <v>4</v>
      </c>
      <c r="B30" s="105"/>
      <c r="C30" s="32"/>
      <c r="D30" s="35"/>
    </row>
    <row r="31" spans="1:4">
      <c r="A31" s="67" t="s">
        <v>38</v>
      </c>
      <c r="B31" s="105">
        <v>100</v>
      </c>
      <c r="C31" s="32">
        <f t="shared" ref="C31:C38" si="0">B31*$B$8</f>
        <v>50</v>
      </c>
      <c r="D31" s="35" t="s">
        <v>231</v>
      </c>
    </row>
    <row r="32" spans="1:4">
      <c r="A32" s="68" t="s">
        <v>138</v>
      </c>
      <c r="B32" s="105">
        <v>110</v>
      </c>
      <c r="C32" s="32">
        <f t="shared" si="0"/>
        <v>55</v>
      </c>
      <c r="D32" s="35" t="s">
        <v>231</v>
      </c>
    </row>
    <row r="33" spans="1:4">
      <c r="A33" s="68" t="s">
        <v>55</v>
      </c>
      <c r="B33" s="105">
        <v>120</v>
      </c>
      <c r="C33" s="32">
        <f t="shared" si="0"/>
        <v>60</v>
      </c>
      <c r="D33" s="35" t="s">
        <v>231</v>
      </c>
    </row>
    <row r="34" spans="1:4">
      <c r="A34" s="68" t="s">
        <v>56</v>
      </c>
      <c r="B34" s="105">
        <v>130</v>
      </c>
      <c r="C34" s="32">
        <f t="shared" si="0"/>
        <v>65</v>
      </c>
      <c r="D34" s="35" t="s">
        <v>231</v>
      </c>
    </row>
    <row r="35" spans="1:4">
      <c r="A35" s="68" t="s">
        <v>41</v>
      </c>
      <c r="B35" s="105">
        <v>140</v>
      </c>
      <c r="C35" s="32">
        <f t="shared" si="0"/>
        <v>70</v>
      </c>
      <c r="D35" s="35" t="s">
        <v>231</v>
      </c>
    </row>
    <row r="36" spans="1:4">
      <c r="A36" s="24" t="s">
        <v>5</v>
      </c>
      <c r="B36" s="105">
        <v>50</v>
      </c>
      <c r="C36" s="32">
        <f t="shared" si="0"/>
        <v>25</v>
      </c>
      <c r="D36" s="35" t="s">
        <v>231</v>
      </c>
    </row>
    <row r="37" spans="1:4">
      <c r="A37" s="24" t="s">
        <v>6</v>
      </c>
      <c r="B37" s="105">
        <v>50</v>
      </c>
      <c r="C37" s="32">
        <f t="shared" si="0"/>
        <v>25</v>
      </c>
      <c r="D37" s="35" t="s">
        <v>231</v>
      </c>
    </row>
    <row r="38" spans="1:4">
      <c r="A38" s="24" t="s">
        <v>7</v>
      </c>
      <c r="B38" s="105">
        <v>200</v>
      </c>
      <c r="C38" s="32">
        <f t="shared" si="0"/>
        <v>100</v>
      </c>
      <c r="D38" s="35" t="s">
        <v>231</v>
      </c>
    </row>
    <row r="39" spans="1:4">
      <c r="A39" s="53" t="s">
        <v>85</v>
      </c>
      <c r="B39" s="105"/>
      <c r="C39" s="32"/>
      <c r="D39" s="35"/>
    </row>
    <row r="40" spans="1:4">
      <c r="A40" s="97" t="s">
        <v>275</v>
      </c>
      <c r="B40" s="105"/>
      <c r="C40" s="32"/>
      <c r="D40" s="35"/>
    </row>
    <row r="41" spans="1:4">
      <c r="A41" s="42" t="s">
        <v>219</v>
      </c>
      <c r="B41" s="105">
        <v>18000</v>
      </c>
      <c r="C41" s="32">
        <f t="shared" ref="C41:C48" si="1">B41*$B$8</f>
        <v>9000</v>
      </c>
      <c r="D41" s="35" t="s">
        <v>231</v>
      </c>
    </row>
    <row r="42" spans="1:4">
      <c r="A42" s="42" t="s">
        <v>30</v>
      </c>
      <c r="B42" s="105">
        <v>30000</v>
      </c>
      <c r="C42" s="32">
        <f t="shared" si="1"/>
        <v>15000</v>
      </c>
      <c r="D42" s="35" t="s">
        <v>231</v>
      </c>
    </row>
    <row r="43" spans="1:4">
      <c r="A43" s="42" t="s">
        <v>31</v>
      </c>
      <c r="B43" s="105">
        <v>30000</v>
      </c>
      <c r="C43" s="32">
        <f t="shared" si="1"/>
        <v>15000</v>
      </c>
      <c r="D43" s="35" t="s">
        <v>231</v>
      </c>
    </row>
    <row r="44" spans="1:4">
      <c r="A44" s="42" t="s">
        <v>32</v>
      </c>
      <c r="B44" s="105">
        <v>36000</v>
      </c>
      <c r="C44" s="32">
        <f t="shared" si="1"/>
        <v>18000</v>
      </c>
      <c r="D44" s="35" t="s">
        <v>231</v>
      </c>
    </row>
    <row r="45" spans="1:4">
      <c r="A45" s="20" t="s">
        <v>267</v>
      </c>
      <c r="B45" s="105">
        <f>B26</f>
        <v>120</v>
      </c>
      <c r="C45" s="32">
        <f t="shared" si="1"/>
        <v>60</v>
      </c>
      <c r="D45" s="35" t="s">
        <v>231</v>
      </c>
    </row>
    <row r="46" spans="1:4">
      <c r="A46" s="18" t="s">
        <v>57</v>
      </c>
      <c r="B46" s="105">
        <f>3000/'Bldg Form'!C4</f>
        <v>8.5714285714285712</v>
      </c>
      <c r="C46" s="32">
        <f t="shared" si="1"/>
        <v>4.2857142857142856</v>
      </c>
      <c r="D46" s="35" t="s">
        <v>231</v>
      </c>
    </row>
    <row r="47" spans="1:4">
      <c r="A47" s="18" t="s">
        <v>58</v>
      </c>
      <c r="B47" s="105">
        <f>25000/'Bldg Form'!C4</f>
        <v>71.428571428571431</v>
      </c>
      <c r="C47" s="32">
        <f t="shared" si="1"/>
        <v>35.714285714285715</v>
      </c>
      <c r="D47" s="35" t="s">
        <v>231</v>
      </c>
    </row>
    <row r="48" spans="1:4">
      <c r="A48" s="18" t="s">
        <v>59</v>
      </c>
      <c r="B48" s="105">
        <v>35000</v>
      </c>
      <c r="C48" s="32">
        <f t="shared" si="1"/>
        <v>17500</v>
      </c>
      <c r="D48" s="35" t="s">
        <v>231</v>
      </c>
    </row>
    <row r="49" spans="1:4">
      <c r="A49" s="53" t="s">
        <v>233</v>
      </c>
      <c r="B49" s="105"/>
      <c r="C49" s="32"/>
    </row>
    <row r="50" spans="1:4">
      <c r="A50" s="18" t="s">
        <v>240</v>
      </c>
      <c r="B50" s="105">
        <f>2000/40</f>
        <v>50</v>
      </c>
      <c r="C50" s="32">
        <f>B50</f>
        <v>50</v>
      </c>
      <c r="D50" s="35" t="s">
        <v>231</v>
      </c>
    </row>
    <row r="51" spans="1:4">
      <c r="A51" s="18" t="s">
        <v>239</v>
      </c>
      <c r="B51" s="105">
        <v>20</v>
      </c>
      <c r="C51" s="32">
        <f>B51</f>
        <v>20</v>
      </c>
      <c r="D51" t="s">
        <v>60</v>
      </c>
    </row>
    <row r="52" spans="1:4">
      <c r="A52" s="18" t="s">
        <v>238</v>
      </c>
      <c r="B52" s="105">
        <f>200000*0.2</f>
        <v>40000</v>
      </c>
      <c r="C52" s="32">
        <f>B52</f>
        <v>40000</v>
      </c>
      <c r="D52" t="s">
        <v>237</v>
      </c>
    </row>
    <row r="53" spans="1:4">
      <c r="A53" s="18" t="s">
        <v>235</v>
      </c>
      <c r="B53" s="105">
        <v>8000</v>
      </c>
      <c r="C53" s="32">
        <f>B53</f>
        <v>8000</v>
      </c>
      <c r="D53" s="35" t="s">
        <v>236</v>
      </c>
    </row>
    <row r="54" spans="1:4">
      <c r="C54"/>
    </row>
    <row r="55" spans="1:4">
      <c r="C55"/>
    </row>
    <row r="56" spans="1:4">
      <c r="A56" s="10" t="s">
        <v>80</v>
      </c>
      <c r="B56" s="10"/>
      <c r="C56"/>
    </row>
    <row r="57" spans="1:4">
      <c r="C57"/>
    </row>
    <row r="58" spans="1:4">
      <c r="A58" t="s">
        <v>276</v>
      </c>
      <c r="C58">
        <f>IF('Bldg Form'!C39,'Bldg Form'!C5+('Bldg Form'!C41*('Bldg Form'!K93-1)),'Bldg Form'!K93*'Bldg Form'!C41)</f>
        <v>0</v>
      </c>
    </row>
    <row r="59" spans="1:4">
      <c r="C59"/>
    </row>
    <row r="60" spans="1:4" ht="25.5">
      <c r="A60" s="59"/>
      <c r="B60" s="100" t="s">
        <v>278</v>
      </c>
      <c r="C60" s="100" t="s">
        <v>280</v>
      </c>
      <c r="D60" s="100" t="s">
        <v>277</v>
      </c>
    </row>
    <row r="61" spans="1:4">
      <c r="A61" s="53" t="s">
        <v>83</v>
      </c>
      <c r="B61" s="53"/>
      <c r="C61" s="35"/>
    </row>
    <row r="62" spans="1:4">
      <c r="A62" s="18" t="s">
        <v>33</v>
      </c>
      <c r="B62" s="18"/>
      <c r="C62"/>
    </row>
    <row r="63" spans="1:4">
      <c r="A63" s="42" t="s">
        <v>219</v>
      </c>
      <c r="B63" s="42"/>
      <c r="C63" s="102">
        <f>SUM('Bldg Form'!K58*'Bldg Form'!E58,'Bldg Form'!K63*'Bldg Form'!E63)</f>
        <v>0</v>
      </c>
      <c r="D63" s="104">
        <f>C63*C15</f>
        <v>0</v>
      </c>
    </row>
    <row r="64" spans="1:4">
      <c r="A64" s="42" t="s">
        <v>30</v>
      </c>
      <c r="B64" s="42"/>
      <c r="C64" s="102">
        <f>SUM('Bldg Form'!K59*'Bldg Form'!E59,'Bldg Form'!K64*'Bldg Form'!E64)</f>
        <v>0</v>
      </c>
      <c r="D64" s="104">
        <f t="shared" ref="D64:D99" si="2">C64*C16</f>
        <v>0</v>
      </c>
    </row>
    <row r="65" spans="1:4">
      <c r="A65" s="42" t="s">
        <v>31</v>
      </c>
      <c r="B65" s="42"/>
      <c r="C65" s="102">
        <f>SUM('Bldg Form'!K60*'Bldg Form'!E60,'Bldg Form'!K65*'Bldg Form'!E65)</f>
        <v>0</v>
      </c>
      <c r="D65" s="104">
        <f t="shared" si="2"/>
        <v>0</v>
      </c>
    </row>
    <row r="66" spans="1:4">
      <c r="A66" s="42" t="s">
        <v>32</v>
      </c>
      <c r="B66" s="42"/>
      <c r="C66" s="102">
        <f>SUM('Bldg Form'!K61*'Bldg Form'!E61,'Bldg Form'!K66*'Bldg Form'!E66)</f>
        <v>0</v>
      </c>
      <c r="D66" s="104">
        <f t="shared" si="2"/>
        <v>0</v>
      </c>
    </row>
    <row r="67" spans="1:4">
      <c r="A67" s="18" t="s">
        <v>131</v>
      </c>
      <c r="B67" s="30">
        <v>0</v>
      </c>
      <c r="D67" s="104"/>
    </row>
    <row r="68" spans="1:4">
      <c r="A68" s="42" t="s">
        <v>38</v>
      </c>
      <c r="B68" s="103">
        <v>25</v>
      </c>
      <c r="C68" s="59">
        <f>IF(AND($C$58&lt;=B68,$C$58&gt;B67),SUMPRODUCT('Bldg Form'!$E$68:$E$76,'Bldg Form'!$K$68:$K$76),0)</f>
        <v>0</v>
      </c>
      <c r="D68" s="104">
        <f t="shared" si="2"/>
        <v>0</v>
      </c>
    </row>
    <row r="69" spans="1:4">
      <c r="A69" s="45" t="s">
        <v>138</v>
      </c>
      <c r="B69" s="30">
        <v>45</v>
      </c>
      <c r="C69" s="59">
        <f>IF(AND($C$58&lt;=B69,$C$58&gt;B68),SUMPRODUCT('Bldg Form'!$E$68:$E$76,'Bldg Form'!$K$68:$K$76),0)</f>
        <v>0</v>
      </c>
      <c r="D69" s="104">
        <f t="shared" si="2"/>
        <v>0</v>
      </c>
    </row>
    <row r="70" spans="1:4">
      <c r="A70" s="45" t="s">
        <v>55</v>
      </c>
      <c r="B70" s="30">
        <v>85</v>
      </c>
      <c r="C70" s="59">
        <f>IF(AND($C$58&lt;=B70,$C$58&gt;B69),SUMPRODUCT('Bldg Form'!$E$68:$E$76,'Bldg Form'!$K$68:$K$76),0)</f>
        <v>0</v>
      </c>
      <c r="D70" s="104">
        <f t="shared" si="2"/>
        <v>0</v>
      </c>
    </row>
    <row r="71" spans="1:4">
      <c r="A71" s="45" t="s">
        <v>56</v>
      </c>
      <c r="B71" s="30">
        <v>120</v>
      </c>
      <c r="C71" s="59">
        <f>IF(AND($C$58&lt;=B71,$C$58&gt;B70),SUMPRODUCT('Bldg Form'!$E$68:$E$76,'Bldg Form'!$K$68:$K$76),0)</f>
        <v>0</v>
      </c>
      <c r="D71" s="104">
        <f t="shared" si="2"/>
        <v>0</v>
      </c>
    </row>
    <row r="72" spans="1:4">
      <c r="A72" s="45" t="s">
        <v>41</v>
      </c>
      <c r="B72" s="30">
        <v>5000</v>
      </c>
      <c r="C72" s="59">
        <f>IF(AND($C$58&lt;=B72,$C$58&gt;B71),SUMPRODUCT('Bldg Form'!$E$68:$E$76,'Bldg Form'!$K$68:$K$76),0)</f>
        <v>0</v>
      </c>
      <c r="D72" s="104">
        <f t="shared" si="2"/>
        <v>0</v>
      </c>
    </row>
    <row r="73" spans="1:4">
      <c r="A73" s="53" t="s">
        <v>35</v>
      </c>
      <c r="B73" s="53"/>
      <c r="D73" s="104"/>
    </row>
    <row r="74" spans="1:4">
      <c r="A74" s="24" t="s">
        <v>218</v>
      </c>
      <c r="B74" s="24"/>
      <c r="C74" s="102">
        <f>'Bldg Form'!K78</f>
        <v>0</v>
      </c>
      <c r="D74" s="104">
        <f t="shared" si="2"/>
        <v>0</v>
      </c>
    </row>
    <row r="75" spans="1:4">
      <c r="A75" s="24" t="s">
        <v>1</v>
      </c>
      <c r="B75" s="24"/>
      <c r="C75" s="102">
        <f>'Bldg Form'!K79</f>
        <v>0</v>
      </c>
      <c r="D75" s="104">
        <f t="shared" si="2"/>
        <v>0</v>
      </c>
    </row>
    <row r="76" spans="1:4">
      <c r="A76" s="24" t="s">
        <v>2</v>
      </c>
      <c r="B76" s="24"/>
      <c r="C76" s="102">
        <f>'Bldg Form'!K80</f>
        <v>0</v>
      </c>
      <c r="D76" s="104">
        <f t="shared" si="2"/>
        <v>0</v>
      </c>
    </row>
    <row r="77" spans="1:4">
      <c r="A77" s="24" t="s">
        <v>3</v>
      </c>
      <c r="B77" s="24"/>
      <c r="C77" s="102">
        <f>'Bldg Form'!K81</f>
        <v>0</v>
      </c>
      <c r="D77" s="104">
        <f t="shared" si="2"/>
        <v>0</v>
      </c>
    </row>
    <row r="78" spans="1:4">
      <c r="A78" s="24" t="s">
        <v>4</v>
      </c>
      <c r="B78" s="30">
        <v>0</v>
      </c>
      <c r="D78" s="104"/>
    </row>
    <row r="79" spans="1:4">
      <c r="A79" s="67" t="s">
        <v>38</v>
      </c>
      <c r="B79" s="103">
        <v>25</v>
      </c>
      <c r="C79" s="59">
        <f>IF(AND($C$58&lt;=B79,$C$58&gt;B78),'Bldg Form'!$K$82,0)</f>
        <v>0</v>
      </c>
      <c r="D79" s="104">
        <f t="shared" si="2"/>
        <v>0</v>
      </c>
    </row>
    <row r="80" spans="1:4">
      <c r="A80" s="68" t="s">
        <v>138</v>
      </c>
      <c r="B80" s="30">
        <v>45</v>
      </c>
      <c r="C80" s="59">
        <f>IF(AND($C$58&lt;=B80,$C$58&gt;B79),'Bldg Form'!$K$82,0)</f>
        <v>0</v>
      </c>
      <c r="D80" s="104">
        <f t="shared" si="2"/>
        <v>0</v>
      </c>
    </row>
    <row r="81" spans="1:4">
      <c r="A81" s="68" t="s">
        <v>55</v>
      </c>
      <c r="B81" s="30">
        <v>85</v>
      </c>
      <c r="C81" s="59">
        <f>IF(AND($C$58&lt;=B81,$C$58&gt;B80),'Bldg Form'!$K$82,0)</f>
        <v>0</v>
      </c>
      <c r="D81" s="104">
        <f t="shared" si="2"/>
        <v>0</v>
      </c>
    </row>
    <row r="82" spans="1:4">
      <c r="A82" s="68" t="s">
        <v>56</v>
      </c>
      <c r="B82" s="30">
        <v>120</v>
      </c>
      <c r="C82" s="59">
        <f>IF(AND($C$58&lt;=B82,$C$58&gt;B81),'Bldg Form'!$K$82,0)</f>
        <v>0</v>
      </c>
      <c r="D82" s="104">
        <f t="shared" si="2"/>
        <v>0</v>
      </c>
    </row>
    <row r="83" spans="1:4">
      <c r="A83" s="68" t="s">
        <v>41</v>
      </c>
      <c r="B83" s="30">
        <v>5000</v>
      </c>
      <c r="C83" s="59">
        <f>IF(AND($C$58&lt;=B83,$C$58&gt;B82),'Bldg Form'!$K$82,0)</f>
        <v>0</v>
      </c>
      <c r="D83" s="104">
        <f t="shared" si="2"/>
        <v>0</v>
      </c>
    </row>
    <row r="84" spans="1:4">
      <c r="A84" s="24" t="s">
        <v>5</v>
      </c>
      <c r="B84" s="24"/>
      <c r="C84" s="102">
        <f>'Bldg Form'!K83</f>
        <v>0</v>
      </c>
      <c r="D84" s="104">
        <f t="shared" si="2"/>
        <v>0</v>
      </c>
    </row>
    <row r="85" spans="1:4">
      <c r="A85" s="24" t="s">
        <v>6</v>
      </c>
      <c r="B85" s="24"/>
      <c r="C85" s="102">
        <f>'Bldg Form'!K84</f>
        <v>0</v>
      </c>
      <c r="D85" s="104">
        <f t="shared" si="2"/>
        <v>0</v>
      </c>
    </row>
    <row r="86" spans="1:4">
      <c r="A86" s="24" t="s">
        <v>7</v>
      </c>
      <c r="B86" s="24"/>
      <c r="C86" s="102">
        <f>'Bldg Form'!K85</f>
        <v>0</v>
      </c>
      <c r="D86" s="104">
        <f t="shared" si="2"/>
        <v>0</v>
      </c>
    </row>
    <row r="87" spans="1:4">
      <c r="A87" s="53" t="s">
        <v>85</v>
      </c>
      <c r="B87" s="53"/>
      <c r="D87" s="104"/>
    </row>
    <row r="88" spans="1:4">
      <c r="A88" s="97" t="s">
        <v>275</v>
      </c>
      <c r="B88" s="97"/>
      <c r="D88" s="104"/>
    </row>
    <row r="89" spans="1:4">
      <c r="A89" s="42" t="s">
        <v>219</v>
      </c>
      <c r="B89" s="42"/>
      <c r="C89" s="126">
        <f>SUM('Bldg Form'!K58,'Bldg Form'!K63)</f>
        <v>0</v>
      </c>
      <c r="D89" s="104">
        <f t="shared" si="2"/>
        <v>0</v>
      </c>
    </row>
    <row r="90" spans="1:4">
      <c r="A90" s="42" t="s">
        <v>30</v>
      </c>
      <c r="B90" s="42"/>
      <c r="C90" s="126">
        <f>SUM('Bldg Form'!K59,'Bldg Form'!K64)</f>
        <v>0</v>
      </c>
      <c r="D90" s="104">
        <f t="shared" si="2"/>
        <v>0</v>
      </c>
    </row>
    <row r="91" spans="1:4">
      <c r="A91" s="42" t="s">
        <v>31</v>
      </c>
      <c r="B91" s="42"/>
      <c r="C91" s="126">
        <f>SUM('Bldg Form'!K60,'Bldg Form'!K65)</f>
        <v>0</v>
      </c>
      <c r="D91" s="104">
        <f t="shared" si="2"/>
        <v>0</v>
      </c>
    </row>
    <row r="92" spans="1:4">
      <c r="A92" s="42" t="s">
        <v>32</v>
      </c>
      <c r="B92" s="42"/>
      <c r="C92" s="126">
        <f>SUM('Bldg Form'!K61,'Bldg Form'!K66)</f>
        <v>0</v>
      </c>
      <c r="D92" s="104">
        <f t="shared" si="2"/>
        <v>0</v>
      </c>
    </row>
    <row r="93" spans="1:4">
      <c r="A93" s="18" t="s">
        <v>206</v>
      </c>
      <c r="B93" s="20"/>
      <c r="C93" s="102">
        <f>'Bldg Form'!K89</f>
        <v>0</v>
      </c>
      <c r="D93" s="104">
        <f t="shared" si="2"/>
        <v>0</v>
      </c>
    </row>
    <row r="94" spans="1:4">
      <c r="A94" s="18" t="s">
        <v>207</v>
      </c>
      <c r="B94" s="18"/>
      <c r="C94" s="102">
        <f>'Bldg Form'!K90</f>
        <v>0</v>
      </c>
      <c r="D94" s="104">
        <f t="shared" si="2"/>
        <v>0</v>
      </c>
    </row>
    <row r="95" spans="1:4">
      <c r="A95" s="18" t="s">
        <v>208</v>
      </c>
      <c r="B95" s="18"/>
      <c r="C95" s="102">
        <f>'Bldg Form'!K91</f>
        <v>0</v>
      </c>
      <c r="D95" s="104">
        <f t="shared" si="2"/>
        <v>0</v>
      </c>
    </row>
    <row r="96" spans="1:4">
      <c r="A96" s="18" t="s">
        <v>209</v>
      </c>
      <c r="B96" s="18"/>
      <c r="C96" s="102">
        <f>'Bldg Form'!K92</f>
        <v>0</v>
      </c>
      <c r="D96" s="104">
        <f t="shared" si="2"/>
        <v>0</v>
      </c>
    </row>
    <row r="97" spans="1:4">
      <c r="A97" s="53" t="s">
        <v>233</v>
      </c>
      <c r="B97" s="53"/>
      <c r="D97" s="104"/>
    </row>
    <row r="98" spans="1:4">
      <c r="A98" s="18" t="s">
        <v>240</v>
      </c>
      <c r="B98" s="18"/>
      <c r="C98" s="59">
        <f>SUMPRODUCT('Bldg Form'!D58:D61,'Bldg Form'!F58:F61,'Bldg Form'!K58:K61)-SUMPRODUCT('Bldg Form'!D58:D61,'Bldg Form'!K58:K61)</f>
        <v>0</v>
      </c>
      <c r="D98" s="104">
        <f t="shared" si="2"/>
        <v>0</v>
      </c>
    </row>
    <row r="99" spans="1:4">
      <c r="A99" s="18" t="s">
        <v>239</v>
      </c>
      <c r="B99" s="18"/>
      <c r="C99" s="59">
        <f>IF('Bldg Form'!$C$40,'Bldg Form'!C28*'Bldg Form'!C10,0)</f>
        <v>0</v>
      </c>
      <c r="D99" s="104">
        <f t="shared" si="2"/>
        <v>0</v>
      </c>
    </row>
    <row r="100" spans="1:4">
      <c r="A100" s="18" t="s">
        <v>10</v>
      </c>
      <c r="B100" s="18"/>
      <c r="C100" s="59" t="s">
        <v>11</v>
      </c>
      <c r="D100" s="104">
        <v>0</v>
      </c>
    </row>
    <row r="101" spans="1:4">
      <c r="A101" s="18" t="s">
        <v>238</v>
      </c>
      <c r="B101" s="18"/>
      <c r="C101" s="106">
        <v>0</v>
      </c>
      <c r="D101" s="104">
        <f>C101*C52</f>
        <v>0</v>
      </c>
    </row>
    <row r="102" spans="1:4">
      <c r="A102" s="18" t="s">
        <v>235</v>
      </c>
      <c r="B102" s="18"/>
      <c r="C102" s="102">
        <f>SUM('Bldg Form'!K58:K76)</f>
        <v>0</v>
      </c>
      <c r="D102" s="104">
        <f>C102*C53</f>
        <v>0</v>
      </c>
    </row>
    <row r="103" spans="1:4">
      <c r="A103" s="18"/>
      <c r="B103" s="18"/>
    </row>
    <row r="104" spans="1:4">
      <c r="A104" s="18"/>
      <c r="B104" s="18"/>
    </row>
    <row r="105" spans="1:4">
      <c r="A105" s="18"/>
      <c r="B105" s="18"/>
    </row>
    <row r="107" spans="1:4">
      <c r="C107" s="102"/>
    </row>
  </sheetData>
  <phoneticPr fontId="8"/>
  <pageMargins left="0.75" right="0.75" top="1" bottom="1" header="0.5" footer="0.5"/>
  <pageSetup paperSize="0" orientation="portrait" horizontalDpi="4294967292" verticalDpi="4294967292"/>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3"/>
  <sheetViews>
    <sheetView topLeftCell="A47" zoomScale="112" workbookViewId="0">
      <selection activeCell="C49" sqref="C49"/>
    </sheetView>
  </sheetViews>
  <sheetFormatPr defaultColWidth="11" defaultRowHeight="12.75"/>
  <cols>
    <col min="1" max="1" width="3" bestFit="1" customWidth="1"/>
    <col min="2" max="2" width="44.125" bestFit="1" customWidth="1"/>
    <col min="3" max="3" width="12.25" customWidth="1"/>
    <col min="4" max="5" width="13.25" customWidth="1"/>
    <col min="6" max="6" width="9" customWidth="1"/>
    <col min="7" max="7" width="10.625" customWidth="1"/>
    <col min="8" max="8" width="12.75" style="15" customWidth="1"/>
    <col min="9" max="10" width="13.25" customWidth="1"/>
    <col min="11" max="11" width="11.875" style="21" customWidth="1"/>
    <col min="12" max="12" width="3.375" style="21" customWidth="1"/>
  </cols>
  <sheetData>
    <row r="1" spans="1:21" ht="15">
      <c r="B1" s="8" t="s">
        <v>137</v>
      </c>
      <c r="H1"/>
    </row>
    <row r="2" spans="1:21" ht="15">
      <c r="B2" s="8"/>
      <c r="H2"/>
    </row>
    <row r="3" spans="1:21">
      <c r="B3" s="73" t="s">
        <v>9</v>
      </c>
      <c r="C3" s="21"/>
      <c r="H3"/>
    </row>
    <row r="4" spans="1:21">
      <c r="B4" t="s">
        <v>69</v>
      </c>
      <c r="C4" s="21">
        <v>350</v>
      </c>
      <c r="D4" t="s">
        <v>259</v>
      </c>
      <c r="H4"/>
    </row>
    <row r="5" spans="1:21">
      <c r="B5" t="s">
        <v>273</v>
      </c>
      <c r="C5" s="21">
        <v>15</v>
      </c>
      <c r="D5" t="s">
        <v>274</v>
      </c>
      <c r="H5"/>
    </row>
    <row r="6" spans="1:21">
      <c r="B6" t="s">
        <v>12</v>
      </c>
      <c r="C6" s="21">
        <v>1000</v>
      </c>
      <c r="D6" t="s">
        <v>259</v>
      </c>
      <c r="H6"/>
    </row>
    <row r="7" spans="1:21">
      <c r="B7" t="s">
        <v>13</v>
      </c>
      <c r="C7" s="21">
        <v>5</v>
      </c>
      <c r="D7" t="s">
        <v>14</v>
      </c>
      <c r="H7"/>
    </row>
    <row r="8" spans="1:21">
      <c r="C8" s="21"/>
      <c r="H8"/>
    </row>
    <row r="9" spans="1:21">
      <c r="B9" s="73" t="s">
        <v>79</v>
      </c>
      <c r="C9" s="21"/>
      <c r="H9"/>
    </row>
    <row r="10" spans="1:21">
      <c r="B10" t="s">
        <v>282</v>
      </c>
      <c r="C10" s="65">
        <v>0.1</v>
      </c>
      <c r="D10" t="s">
        <v>283</v>
      </c>
      <c r="H10"/>
    </row>
    <row r="11" spans="1:21">
      <c r="H11"/>
      <c r="M11" s="29" t="s">
        <v>246</v>
      </c>
    </row>
    <row r="12" spans="1:21">
      <c r="A12">
        <v>1</v>
      </c>
      <c r="B12" s="73" t="s">
        <v>245</v>
      </c>
      <c r="C12" s="76" t="s">
        <v>111</v>
      </c>
      <c r="H12"/>
      <c r="M12" t="s">
        <v>191</v>
      </c>
      <c r="N12" t="s">
        <v>192</v>
      </c>
      <c r="O12" t="s">
        <v>62</v>
      </c>
      <c r="P12" t="s">
        <v>226</v>
      </c>
      <c r="Q12" t="s">
        <v>64</v>
      </c>
      <c r="R12" t="s">
        <v>65</v>
      </c>
      <c r="S12" t="s">
        <v>66</v>
      </c>
      <c r="T12" t="s">
        <v>67</v>
      </c>
      <c r="U12" t="s">
        <v>68</v>
      </c>
    </row>
    <row r="13" spans="1:21">
      <c r="A13">
        <v>2</v>
      </c>
      <c r="B13" s="71" t="s">
        <v>284</v>
      </c>
      <c r="H13"/>
      <c r="K13" s="26"/>
      <c r="L13" s="26"/>
      <c r="M13" s="21">
        <v>0</v>
      </c>
      <c r="N13" s="21">
        <v>0</v>
      </c>
      <c r="O13" s="21">
        <v>20</v>
      </c>
      <c r="P13" s="21">
        <v>10</v>
      </c>
      <c r="Q13" s="21">
        <v>20</v>
      </c>
      <c r="R13" s="21">
        <v>10</v>
      </c>
      <c r="S13" s="21">
        <v>10</v>
      </c>
      <c r="T13" s="21">
        <v>50</v>
      </c>
      <c r="U13" s="21">
        <v>5</v>
      </c>
    </row>
    <row r="14" spans="1:21">
      <c r="A14">
        <v>3</v>
      </c>
      <c r="B14" s="71" t="s">
        <v>285</v>
      </c>
      <c r="H14"/>
      <c r="M14" s="21">
        <v>0</v>
      </c>
      <c r="N14" s="21">
        <v>0</v>
      </c>
      <c r="O14" s="21">
        <v>5</v>
      </c>
      <c r="P14" s="21">
        <v>0</v>
      </c>
      <c r="Q14" s="21">
        <v>5</v>
      </c>
      <c r="R14" s="21">
        <v>0</v>
      </c>
      <c r="S14" s="21">
        <v>0</v>
      </c>
      <c r="T14" s="21">
        <v>50</v>
      </c>
      <c r="U14" s="21">
        <v>0</v>
      </c>
    </row>
    <row r="15" spans="1:21">
      <c r="A15">
        <v>4</v>
      </c>
      <c r="B15" s="71" t="s">
        <v>286</v>
      </c>
      <c r="H15"/>
      <c r="M15" s="21">
        <v>0</v>
      </c>
      <c r="N15" s="21">
        <v>0</v>
      </c>
      <c r="O15" s="21">
        <v>15</v>
      </c>
      <c r="P15" s="21">
        <v>5</v>
      </c>
      <c r="Q15" s="21">
        <v>20</v>
      </c>
      <c r="R15" s="21">
        <v>10</v>
      </c>
      <c r="S15" s="21">
        <v>10</v>
      </c>
      <c r="T15" s="21">
        <v>50</v>
      </c>
      <c r="U15" s="21">
        <v>5</v>
      </c>
    </row>
    <row r="16" spans="1:21">
      <c r="A16">
        <v>5</v>
      </c>
      <c r="B16" s="71" t="s">
        <v>287</v>
      </c>
      <c r="H16"/>
      <c r="M16" s="21">
        <v>25</v>
      </c>
      <c r="N16" s="21">
        <v>35</v>
      </c>
      <c r="O16" s="21">
        <v>25</v>
      </c>
      <c r="P16" s="21">
        <v>35</v>
      </c>
      <c r="Q16" s="21">
        <v>75</v>
      </c>
      <c r="R16" s="21">
        <v>55</v>
      </c>
      <c r="S16" s="21">
        <v>85</v>
      </c>
      <c r="T16" s="21">
        <v>50</v>
      </c>
      <c r="U16" s="21">
        <v>45</v>
      </c>
    </row>
    <row r="17" spans="1:22">
      <c r="A17">
        <v>6</v>
      </c>
      <c r="B17" s="71" t="s">
        <v>188</v>
      </c>
      <c r="H17"/>
      <c r="M17" s="21">
        <v>0.5</v>
      </c>
      <c r="N17" s="21">
        <v>2</v>
      </c>
      <c r="O17" s="21">
        <v>0.5</v>
      </c>
      <c r="P17" s="21">
        <v>2</v>
      </c>
      <c r="Q17" s="21">
        <v>3</v>
      </c>
      <c r="R17" s="21">
        <v>4</v>
      </c>
      <c r="S17" s="21">
        <v>7.5</v>
      </c>
      <c r="T17" s="21">
        <v>0.7</v>
      </c>
      <c r="U17" s="21">
        <v>1</v>
      </c>
    </row>
    <row r="18" spans="1:22">
      <c r="A18">
        <v>7</v>
      </c>
      <c r="B18" s="71" t="s">
        <v>187</v>
      </c>
      <c r="H18"/>
      <c r="M18" s="70">
        <v>0</v>
      </c>
      <c r="N18" s="70">
        <v>0</v>
      </c>
      <c r="O18" s="70">
        <v>0</v>
      </c>
      <c r="P18" s="70">
        <v>0</v>
      </c>
      <c r="Q18" s="70">
        <v>0</v>
      </c>
      <c r="R18" s="21">
        <v>3</v>
      </c>
      <c r="S18" s="21">
        <v>3</v>
      </c>
      <c r="T18" s="70">
        <v>0</v>
      </c>
      <c r="U18" s="70">
        <v>0</v>
      </c>
    </row>
    <row r="19" spans="1:22">
      <c r="A19">
        <v>8</v>
      </c>
      <c r="B19" s="71" t="s">
        <v>186</v>
      </c>
      <c r="H19"/>
      <c r="M19" s="70">
        <v>0</v>
      </c>
      <c r="N19" s="70">
        <v>0</v>
      </c>
      <c r="O19" s="70">
        <v>0</v>
      </c>
      <c r="P19" s="70">
        <v>0</v>
      </c>
      <c r="Q19" s="21">
        <v>1.25</v>
      </c>
      <c r="R19" s="21">
        <v>1.25</v>
      </c>
      <c r="S19" s="21">
        <v>4</v>
      </c>
      <c r="T19" s="21">
        <v>5</v>
      </c>
      <c r="U19" s="21">
        <v>0.5</v>
      </c>
    </row>
    <row r="20" spans="1:22">
      <c r="A20">
        <v>9</v>
      </c>
      <c r="B20" s="72" t="s">
        <v>288</v>
      </c>
      <c r="H20"/>
      <c r="M20" s="65">
        <v>0</v>
      </c>
      <c r="N20" s="65">
        <v>0</v>
      </c>
      <c r="O20" s="65">
        <v>0</v>
      </c>
      <c r="P20" s="65">
        <v>0</v>
      </c>
      <c r="Q20" s="56">
        <v>0.9</v>
      </c>
      <c r="R20" s="56">
        <v>0.9</v>
      </c>
      <c r="S20" s="56">
        <v>0.9</v>
      </c>
      <c r="T20" s="56">
        <v>0.9</v>
      </c>
      <c r="U20" s="56">
        <v>0.9</v>
      </c>
    </row>
    <row r="21" spans="1:22">
      <c r="A21">
        <v>10</v>
      </c>
      <c r="B21" s="72" t="s">
        <v>249</v>
      </c>
      <c r="H21"/>
      <c r="M21" s="55">
        <v>1</v>
      </c>
      <c r="N21" s="63">
        <v>1</v>
      </c>
      <c r="O21" s="55">
        <v>1</v>
      </c>
      <c r="P21" s="63">
        <v>1</v>
      </c>
      <c r="Q21" s="55">
        <v>1</v>
      </c>
      <c r="R21" s="55">
        <v>1</v>
      </c>
      <c r="S21" s="55">
        <v>1</v>
      </c>
      <c r="T21" s="55">
        <v>0</v>
      </c>
      <c r="U21" s="55">
        <v>0</v>
      </c>
    </row>
    <row r="22" spans="1:22">
      <c r="A22">
        <v>11</v>
      </c>
      <c r="B22" s="72" t="s">
        <v>172</v>
      </c>
      <c r="H22"/>
      <c r="M22" s="55">
        <v>0</v>
      </c>
      <c r="N22" s="63">
        <v>0</v>
      </c>
      <c r="O22" s="55">
        <v>0</v>
      </c>
      <c r="P22" s="63">
        <v>0</v>
      </c>
      <c r="Q22" s="55">
        <v>0</v>
      </c>
      <c r="R22" s="55">
        <v>1</v>
      </c>
      <c r="S22" s="55">
        <v>1</v>
      </c>
      <c r="T22" s="55">
        <v>0</v>
      </c>
      <c r="U22" s="55">
        <v>0</v>
      </c>
    </row>
    <row r="23" spans="1:22">
      <c r="A23">
        <v>12</v>
      </c>
      <c r="B23" s="72" t="s">
        <v>260</v>
      </c>
      <c r="H23"/>
      <c r="M23" s="55">
        <v>1</v>
      </c>
      <c r="N23" s="63">
        <v>1</v>
      </c>
      <c r="O23" s="55">
        <v>0</v>
      </c>
      <c r="P23" s="63">
        <v>0</v>
      </c>
      <c r="Q23" s="63">
        <v>0</v>
      </c>
      <c r="R23" s="63">
        <v>0</v>
      </c>
      <c r="S23" s="63">
        <v>0</v>
      </c>
      <c r="T23" s="63">
        <v>0</v>
      </c>
      <c r="U23" s="63">
        <v>0</v>
      </c>
      <c r="V23" s="63"/>
    </row>
    <row r="24" spans="1:22">
      <c r="A24">
        <v>13</v>
      </c>
      <c r="B24" s="60" t="s">
        <v>289</v>
      </c>
      <c r="H24"/>
      <c r="M24" s="21">
        <v>10</v>
      </c>
      <c r="N24" s="63">
        <v>10</v>
      </c>
      <c r="O24" s="21">
        <v>10</v>
      </c>
      <c r="P24" s="63">
        <v>10</v>
      </c>
      <c r="Q24" s="21">
        <v>10</v>
      </c>
      <c r="R24" s="63">
        <v>10</v>
      </c>
      <c r="S24" s="63">
        <v>12</v>
      </c>
      <c r="T24" s="21"/>
      <c r="U24" s="21"/>
    </row>
    <row r="25" spans="1:22">
      <c r="B25" s="71"/>
      <c r="H25"/>
    </row>
    <row r="26" spans="1:22">
      <c r="H26"/>
    </row>
    <row r="27" spans="1:22" ht="13.5" thickBot="1">
      <c r="B27" s="73" t="s">
        <v>112</v>
      </c>
      <c r="H27"/>
    </row>
    <row r="28" spans="1:22" ht="16.5" thickTop="1" thickBot="1">
      <c r="B28" t="s">
        <v>250</v>
      </c>
      <c r="C28" s="131">
        <v>6000</v>
      </c>
      <c r="D28" t="s">
        <v>134</v>
      </c>
      <c r="H28"/>
    </row>
    <row r="29" spans="1:22" ht="14.25" thickTop="1" thickBot="1">
      <c r="B29" t="s">
        <v>61</v>
      </c>
      <c r="C29" t="s">
        <v>62</v>
      </c>
      <c r="D29" t="s">
        <v>298</v>
      </c>
      <c r="H29"/>
    </row>
    <row r="30" spans="1:22" ht="16.5" thickTop="1" thickBot="1">
      <c r="B30" s="71" t="str">
        <f>B13</f>
        <v>Front Setback (ft)</v>
      </c>
      <c r="C30" s="127">
        <f t="shared" ref="C30:C41" si="0">HLOOKUP($C$29,$M$12:$U$24,A13,FALSE)</f>
        <v>20</v>
      </c>
      <c r="D30" t="s">
        <v>173</v>
      </c>
      <c r="H30"/>
    </row>
    <row r="31" spans="1:22" ht="16.5" thickTop="1" thickBot="1">
      <c r="B31" s="71" t="str">
        <f t="shared" ref="B31:B41" si="1">B14</f>
        <v>Side Setbacks (ft)</v>
      </c>
      <c r="C31" s="127">
        <f t="shared" si="0"/>
        <v>5</v>
      </c>
      <c r="D31" t="s">
        <v>173</v>
      </c>
      <c r="H31"/>
    </row>
    <row r="32" spans="1:22" ht="16.5" thickTop="1" thickBot="1">
      <c r="B32" s="71" t="str">
        <f t="shared" si="1"/>
        <v>Rear Setback (ft)</v>
      </c>
      <c r="C32" s="127">
        <f t="shared" si="0"/>
        <v>15</v>
      </c>
      <c r="D32" t="s">
        <v>173</v>
      </c>
      <c r="H32"/>
    </row>
    <row r="33" spans="2:8" ht="16.5" thickTop="1" thickBot="1">
      <c r="B33" s="71" t="str">
        <f t="shared" si="1"/>
        <v>Building Height (ft)</v>
      </c>
      <c r="C33" s="132">
        <f t="shared" si="0"/>
        <v>25</v>
      </c>
      <c r="D33" t="s">
        <v>173</v>
      </c>
      <c r="H33"/>
    </row>
    <row r="34" spans="2:8" ht="16.5" thickTop="1" thickBot="1">
      <c r="B34" s="71" t="str">
        <f t="shared" si="1"/>
        <v>Floor Area Ratio</v>
      </c>
      <c r="C34" s="132">
        <v>0.75</v>
      </c>
      <c r="D34" t="s">
        <v>173</v>
      </c>
      <c r="H34"/>
    </row>
    <row r="35" spans="2:8" ht="16.5" thickTop="1" thickBot="1">
      <c r="B35" s="71" t="str">
        <f t="shared" si="1"/>
        <v>Ground floor retail parking per 1000 sq ft</v>
      </c>
      <c r="C35" s="127">
        <f t="shared" si="0"/>
        <v>0</v>
      </c>
      <c r="D35" t="s">
        <v>173</v>
      </c>
      <c r="H35"/>
    </row>
    <row r="36" spans="2:8" ht="16.5" thickTop="1" thickBot="1">
      <c r="B36" s="71" t="str">
        <f t="shared" si="1"/>
        <v>Parking per unit or 1000 sq ft</v>
      </c>
      <c r="C36" s="127">
        <f t="shared" si="0"/>
        <v>0</v>
      </c>
      <c r="D36" t="s">
        <v>173</v>
      </c>
      <c r="H36"/>
    </row>
    <row r="37" spans="2:8" ht="16.5" thickTop="1" thickBot="1">
      <c r="B37" s="71" t="str">
        <f t="shared" si="1"/>
        <v>Non-footprint available for surface parking (%)</v>
      </c>
      <c r="C37" s="127">
        <f t="shared" si="0"/>
        <v>0</v>
      </c>
      <c r="D37" t="s">
        <v>244</v>
      </c>
      <c r="H37"/>
    </row>
    <row r="38" spans="2:8" ht="16.5" thickTop="1" thickBot="1">
      <c r="B38" s="71" t="str">
        <f t="shared" si="1"/>
        <v>Multi-story (If yes, =1)</v>
      </c>
      <c r="C38" s="132">
        <f t="shared" si="0"/>
        <v>1</v>
      </c>
      <c r="D38" t="s">
        <v>175</v>
      </c>
      <c r="H38"/>
    </row>
    <row r="39" spans="2:8" ht="16.5" thickTop="1" thickBot="1">
      <c r="B39" s="71" t="str">
        <f t="shared" si="1"/>
        <v>Ground Floor Retail (if yes, =1)</v>
      </c>
      <c r="C39" s="132">
        <f t="shared" si="0"/>
        <v>0</v>
      </c>
      <c r="D39" t="s">
        <v>176</v>
      </c>
      <c r="H39"/>
    </row>
    <row r="40" spans="2:8" ht="16.5" thickTop="1" thickBot="1">
      <c r="B40" s="71" t="str">
        <f t="shared" si="1"/>
        <v>Single Family Builder (if yes, =1)</v>
      </c>
      <c r="C40" s="127">
        <f t="shared" si="0"/>
        <v>0</v>
      </c>
      <c r="D40" t="s">
        <v>248</v>
      </c>
      <c r="H40"/>
    </row>
    <row r="41" spans="2:8" ht="16.5" thickTop="1" thickBot="1">
      <c r="B41" s="71" t="str">
        <f t="shared" si="1"/>
        <v>Floor-to-floor Height (above GF uses) (ft)</v>
      </c>
      <c r="C41" s="127">
        <f t="shared" si="0"/>
        <v>10</v>
      </c>
      <c r="D41" t="s">
        <v>174</v>
      </c>
      <c r="H41"/>
    </row>
    <row r="42" spans="2:8" ht="13.5" thickTop="1">
      <c r="B42" s="60"/>
      <c r="C42" s="77"/>
      <c r="H42"/>
    </row>
    <row r="43" spans="2:8">
      <c r="B43" s="79" t="s">
        <v>296</v>
      </c>
      <c r="C43" s="77"/>
      <c r="H43"/>
    </row>
    <row r="44" spans="2:8">
      <c r="B44" t="s">
        <v>15</v>
      </c>
      <c r="C44" s="61">
        <f>0.8*C28</f>
        <v>4800</v>
      </c>
      <c r="D44" t="s">
        <v>297</v>
      </c>
      <c r="H44"/>
    </row>
    <row r="45" spans="2:8">
      <c r="B45" s="60"/>
      <c r="C45" s="77"/>
      <c r="H45"/>
    </row>
    <row r="46" spans="2:8">
      <c r="B46" s="60"/>
      <c r="C46" s="77"/>
      <c r="H46"/>
    </row>
    <row r="47" spans="2:8">
      <c r="B47" s="79" t="s">
        <v>247</v>
      </c>
      <c r="C47" s="77"/>
      <c r="H47"/>
    </row>
    <row r="48" spans="2:8">
      <c r="B48" s="60" t="s">
        <v>252</v>
      </c>
      <c r="C48" s="78">
        <f>ROUNDDOWN(C33/C41,0)</f>
        <v>2</v>
      </c>
      <c r="H48"/>
    </row>
    <row r="49" spans="1:21">
      <c r="B49" t="s">
        <v>230</v>
      </c>
      <c r="C49" s="61">
        <f>MIN(C50:C51)</f>
        <v>4500</v>
      </c>
      <c r="H49"/>
    </row>
    <row r="50" spans="1:21">
      <c r="B50" s="18" t="s">
        <v>136</v>
      </c>
      <c r="C50" s="58">
        <f>C28*C34</f>
        <v>4500</v>
      </c>
      <c r="D50" t="s">
        <v>70</v>
      </c>
      <c r="H50"/>
    </row>
    <row r="51" spans="1:21">
      <c r="B51" s="18" t="s">
        <v>135</v>
      </c>
      <c r="C51" s="61">
        <f>C44*C48</f>
        <v>9600</v>
      </c>
      <c r="H51"/>
    </row>
    <row r="52" spans="1:21">
      <c r="H52"/>
    </row>
    <row r="53" spans="1:21" ht="13.5" thickBot="1">
      <c r="H53"/>
    </row>
    <row r="54" spans="1:21">
      <c r="H54"/>
      <c r="I54" s="84" t="s">
        <v>262</v>
      </c>
      <c r="J54" s="85"/>
      <c r="K54" s="86"/>
      <c r="L54" s="26"/>
    </row>
    <row r="55" spans="1:21" ht="24" customHeight="1">
      <c r="B55" s="73" t="s">
        <v>242</v>
      </c>
      <c r="C55" s="66" t="s">
        <v>241</v>
      </c>
      <c r="D55" s="66" t="s">
        <v>227</v>
      </c>
      <c r="E55" s="66" t="s">
        <v>228</v>
      </c>
      <c r="F55" s="66" t="s">
        <v>229</v>
      </c>
      <c r="G55" s="66" t="s">
        <v>84</v>
      </c>
      <c r="H55" s="66" t="s">
        <v>211</v>
      </c>
      <c r="I55" s="87" t="s">
        <v>185</v>
      </c>
      <c r="J55" s="81" t="s">
        <v>261</v>
      </c>
      <c r="K55" s="88" t="s">
        <v>189</v>
      </c>
      <c r="L55" s="123"/>
      <c r="M55" s="29" t="s">
        <v>109</v>
      </c>
    </row>
    <row r="56" spans="1:21" ht="95.1" customHeight="1">
      <c r="B56" s="125" t="s">
        <v>34</v>
      </c>
      <c r="C56" s="74" t="s">
        <v>110</v>
      </c>
      <c r="D56" s="64" t="s">
        <v>293</v>
      </c>
      <c r="E56" s="64" t="s">
        <v>293</v>
      </c>
      <c r="F56" s="64" t="s">
        <v>243</v>
      </c>
      <c r="G56" s="64" t="s">
        <v>107</v>
      </c>
      <c r="H56" s="64" t="s">
        <v>212</v>
      </c>
      <c r="I56" s="89" t="s">
        <v>108</v>
      </c>
      <c r="J56" s="82"/>
      <c r="K56" s="90"/>
      <c r="L56" s="124"/>
      <c r="M56" t="s">
        <v>191</v>
      </c>
      <c r="N56" t="s">
        <v>192</v>
      </c>
      <c r="O56" t="s">
        <v>62</v>
      </c>
      <c r="P56" t="s">
        <v>226</v>
      </c>
      <c r="Q56" s="75" t="s">
        <v>64</v>
      </c>
      <c r="R56" s="75" t="s">
        <v>65</v>
      </c>
      <c r="S56" s="75" t="s">
        <v>66</v>
      </c>
      <c r="T56" s="75" t="s">
        <v>67</v>
      </c>
      <c r="U56" s="75" t="s">
        <v>68</v>
      </c>
    </row>
    <row r="57" spans="1:21" ht="15">
      <c r="B57" s="16" t="s">
        <v>217</v>
      </c>
      <c r="C57" s="16"/>
      <c r="D57" s="133">
        <v>10000</v>
      </c>
      <c r="E57" s="133">
        <v>2000</v>
      </c>
      <c r="F57" s="16"/>
      <c r="G57" s="16"/>
      <c r="H57" s="16"/>
      <c r="I57" s="91"/>
      <c r="J57" s="62"/>
      <c r="K57" s="92"/>
      <c r="L57" s="26"/>
    </row>
    <row r="58" spans="1:21">
      <c r="A58">
        <v>1</v>
      </c>
      <c r="B58" s="43" t="s">
        <v>219</v>
      </c>
      <c r="C58" s="16">
        <f>HLOOKUP($C$29,$M$56:$U$85,A58+2,FALSE)</f>
        <v>0</v>
      </c>
      <c r="D58" s="16">
        <f>$D$57*D63*F58</f>
        <v>8520</v>
      </c>
      <c r="E58" s="16">
        <f>$E$57*D63</f>
        <v>1420</v>
      </c>
      <c r="F58" s="65">
        <v>1.2</v>
      </c>
      <c r="G58" s="1">
        <f>$C$10</f>
        <v>0.1</v>
      </c>
      <c r="H58" s="94">
        <v>0</v>
      </c>
      <c r="I58" s="91">
        <v>0</v>
      </c>
      <c r="J58" s="62">
        <f>ROUNDDOWN($C$28*(1-G58)/(D58*F58),0)*C58</f>
        <v>0</v>
      </c>
      <c r="K58" s="134">
        <f>J58</f>
        <v>0</v>
      </c>
      <c r="L58" s="80"/>
      <c r="M58">
        <v>1</v>
      </c>
      <c r="N58">
        <v>1</v>
      </c>
      <c r="O58">
        <v>0</v>
      </c>
      <c r="P58">
        <v>0</v>
      </c>
      <c r="Q58">
        <v>0</v>
      </c>
      <c r="R58">
        <v>0</v>
      </c>
      <c r="S58">
        <v>0</v>
      </c>
      <c r="T58">
        <v>0</v>
      </c>
      <c r="U58">
        <v>0</v>
      </c>
    </row>
    <row r="59" spans="1:21">
      <c r="A59">
        <f t="shared" ref="A59:A85" si="2">A58+1</f>
        <v>2</v>
      </c>
      <c r="B59" s="43" t="s">
        <v>30</v>
      </c>
      <c r="C59" s="16">
        <f>HLOOKUP($C$29,$M$56:$U$85,A59+2,FALSE)</f>
        <v>0</v>
      </c>
      <c r="D59" s="16">
        <f t="shared" ref="D59:D61" si="3">$D$57*D64*F59</f>
        <v>9480</v>
      </c>
      <c r="E59" s="16">
        <f>$E$57*D64</f>
        <v>1580</v>
      </c>
      <c r="F59" s="65">
        <v>1.2</v>
      </c>
      <c r="G59" s="1">
        <f>$C$10</f>
        <v>0.1</v>
      </c>
      <c r="H59" s="94">
        <v>0</v>
      </c>
      <c r="I59" s="91">
        <v>0</v>
      </c>
      <c r="J59" s="62">
        <f>ROUNDDOWN($C$28*(1-G59)/(D59*F59),0)*C59</f>
        <v>0</v>
      </c>
      <c r="K59" s="134">
        <f t="shared" ref="K59:K85" si="4">J59</f>
        <v>0</v>
      </c>
      <c r="L59" s="80"/>
      <c r="M59">
        <v>1</v>
      </c>
      <c r="N59">
        <v>1</v>
      </c>
      <c r="O59">
        <v>0</v>
      </c>
      <c r="P59">
        <v>0</v>
      </c>
      <c r="Q59">
        <v>0</v>
      </c>
      <c r="R59">
        <v>0</v>
      </c>
      <c r="S59">
        <v>0</v>
      </c>
      <c r="T59">
        <v>0</v>
      </c>
      <c r="U59">
        <v>0</v>
      </c>
    </row>
    <row r="60" spans="1:21">
      <c r="A60">
        <f t="shared" si="2"/>
        <v>3</v>
      </c>
      <c r="B60" s="43" t="s">
        <v>31</v>
      </c>
      <c r="C60" s="16">
        <f>HLOOKUP($C$29,$M$56:$U$85,A60+2,FALSE)</f>
        <v>0</v>
      </c>
      <c r="D60" s="16">
        <f t="shared" si="3"/>
        <v>11160</v>
      </c>
      <c r="E60" s="16">
        <f t="shared" ref="E60:E61" si="5">$E$57*D65</f>
        <v>1860</v>
      </c>
      <c r="F60" s="65">
        <v>1.2</v>
      </c>
      <c r="G60" s="1">
        <f>$C$10</f>
        <v>0.1</v>
      </c>
      <c r="H60" s="94">
        <v>0</v>
      </c>
      <c r="I60" s="91">
        <v>0</v>
      </c>
      <c r="J60" s="62">
        <f>ROUNDDOWN($C$28*(1-G60)/(D60*F60),0)*C60</f>
        <v>0</v>
      </c>
      <c r="K60" s="134">
        <f t="shared" si="4"/>
        <v>0</v>
      </c>
      <c r="L60" s="80"/>
      <c r="M60">
        <v>1</v>
      </c>
      <c r="N60">
        <v>1</v>
      </c>
      <c r="O60">
        <v>0</v>
      </c>
      <c r="P60">
        <v>0</v>
      </c>
      <c r="Q60">
        <v>0</v>
      </c>
      <c r="R60">
        <v>0</v>
      </c>
      <c r="S60">
        <v>0</v>
      </c>
      <c r="T60">
        <v>0</v>
      </c>
      <c r="U60">
        <v>0</v>
      </c>
    </row>
    <row r="61" spans="1:21">
      <c r="A61">
        <f t="shared" si="2"/>
        <v>4</v>
      </c>
      <c r="B61" s="43" t="s">
        <v>32</v>
      </c>
      <c r="C61" s="16">
        <f>HLOOKUP($C$29,$M$56:$U$85,A61+2,FALSE)</f>
        <v>0</v>
      </c>
      <c r="D61" s="16">
        <f t="shared" si="3"/>
        <v>13920</v>
      </c>
      <c r="E61" s="16">
        <f t="shared" si="5"/>
        <v>2320</v>
      </c>
      <c r="F61" s="65">
        <v>1.2</v>
      </c>
      <c r="G61" s="1">
        <f>$C$10</f>
        <v>0.1</v>
      </c>
      <c r="H61" s="94">
        <v>0</v>
      </c>
      <c r="I61" s="91">
        <v>0</v>
      </c>
      <c r="J61" s="62">
        <f>ROUNDDOWN($C$28*(1-G61)/(D61*F61),0)*C61</f>
        <v>0</v>
      </c>
      <c r="K61" s="134">
        <f t="shared" si="4"/>
        <v>0</v>
      </c>
      <c r="L61" s="80"/>
      <c r="M61">
        <v>1</v>
      </c>
      <c r="N61">
        <v>1</v>
      </c>
      <c r="O61">
        <v>0</v>
      </c>
      <c r="P61">
        <v>0</v>
      </c>
      <c r="Q61">
        <v>0</v>
      </c>
      <c r="R61">
        <v>0</v>
      </c>
      <c r="S61">
        <v>0</v>
      </c>
      <c r="T61">
        <v>0</v>
      </c>
      <c r="U61">
        <v>0</v>
      </c>
    </row>
    <row r="62" spans="1:21">
      <c r="A62">
        <f t="shared" si="2"/>
        <v>5</v>
      </c>
      <c r="B62" s="16" t="s">
        <v>190</v>
      </c>
      <c r="C62" s="16"/>
      <c r="D62" s="16"/>
      <c r="E62" s="16"/>
      <c r="F62" s="65"/>
      <c r="G62" s="65"/>
      <c r="H62" s="94"/>
      <c r="I62" s="91"/>
      <c r="J62" s="62"/>
      <c r="K62" s="134"/>
      <c r="L62" s="80"/>
    </row>
    <row r="63" spans="1:21">
      <c r="A63">
        <f t="shared" si="2"/>
        <v>6</v>
      </c>
      <c r="B63" s="43" t="s">
        <v>219</v>
      </c>
      <c r="C63" s="16">
        <f>HLOOKUP($C$29,$M$56:$U$85,A63+2,FALSE)</f>
        <v>0</v>
      </c>
      <c r="D63" s="16">
        <v>0.71</v>
      </c>
      <c r="E63" s="16">
        <f>$E$57*D63</f>
        <v>1420</v>
      </c>
      <c r="F63" s="65">
        <v>1</v>
      </c>
      <c r="G63" s="65">
        <v>0</v>
      </c>
      <c r="H63" s="94">
        <v>0</v>
      </c>
      <c r="I63" s="91">
        <v>0</v>
      </c>
      <c r="J63" s="62">
        <f>C63*IF($C$49&gt;=E63,1,0)</f>
        <v>0</v>
      </c>
      <c r="K63" s="134">
        <f t="shared" si="4"/>
        <v>0</v>
      </c>
      <c r="L63" s="80"/>
      <c r="M63">
        <v>0</v>
      </c>
      <c r="N63">
        <v>0</v>
      </c>
      <c r="O63">
        <v>0</v>
      </c>
      <c r="P63">
        <v>1</v>
      </c>
      <c r="Q63">
        <v>0</v>
      </c>
      <c r="R63">
        <v>0</v>
      </c>
      <c r="S63">
        <v>0</v>
      </c>
      <c r="T63">
        <v>0</v>
      </c>
      <c r="U63">
        <v>0</v>
      </c>
    </row>
    <row r="64" spans="1:21">
      <c r="A64">
        <f t="shared" si="2"/>
        <v>7</v>
      </c>
      <c r="B64" s="43" t="s">
        <v>30</v>
      </c>
      <c r="C64" s="16">
        <f>HLOOKUP($C$29,$M$56:$U$85,A64+2,FALSE)</f>
        <v>0</v>
      </c>
      <c r="D64" s="16">
        <v>0.79</v>
      </c>
      <c r="E64" s="16">
        <f t="shared" ref="E64:E66" si="6">$E$57*D64</f>
        <v>1580</v>
      </c>
      <c r="F64" s="65">
        <v>1</v>
      </c>
      <c r="G64" s="65">
        <v>0</v>
      </c>
      <c r="H64" s="94">
        <v>0</v>
      </c>
      <c r="I64" s="91">
        <v>0</v>
      </c>
      <c r="J64" s="62">
        <f>C64*IF($C$49&gt;=E64,1,0)</f>
        <v>0</v>
      </c>
      <c r="K64" s="134">
        <f t="shared" si="4"/>
        <v>0</v>
      </c>
      <c r="L64" s="80"/>
      <c r="M64">
        <v>0</v>
      </c>
      <c r="N64">
        <v>0</v>
      </c>
      <c r="O64">
        <v>0</v>
      </c>
      <c r="P64">
        <v>1</v>
      </c>
      <c r="Q64">
        <v>0</v>
      </c>
      <c r="R64">
        <v>0</v>
      </c>
      <c r="S64">
        <v>0</v>
      </c>
      <c r="T64">
        <v>0</v>
      </c>
      <c r="U64">
        <v>0</v>
      </c>
    </row>
    <row r="65" spans="1:21">
      <c r="A65">
        <f t="shared" si="2"/>
        <v>8</v>
      </c>
      <c r="B65" s="43" t="s">
        <v>31</v>
      </c>
      <c r="C65" s="16">
        <f>HLOOKUP($C$29,$M$56:$U$85,A65+2,FALSE)</f>
        <v>0</v>
      </c>
      <c r="D65" s="16">
        <v>0.93</v>
      </c>
      <c r="E65" s="16">
        <f t="shared" si="6"/>
        <v>1860</v>
      </c>
      <c r="F65" s="65">
        <v>1</v>
      </c>
      <c r="G65" s="65">
        <v>0</v>
      </c>
      <c r="H65" s="94">
        <v>0</v>
      </c>
      <c r="I65" s="91">
        <v>0</v>
      </c>
      <c r="J65" s="62">
        <f>C65*IF($C$49&gt;=E65,1,0)</f>
        <v>0</v>
      </c>
      <c r="K65" s="134">
        <f t="shared" si="4"/>
        <v>0</v>
      </c>
      <c r="L65" s="80"/>
      <c r="M65">
        <v>0</v>
      </c>
      <c r="N65">
        <v>0</v>
      </c>
      <c r="O65">
        <v>0</v>
      </c>
      <c r="P65">
        <v>1</v>
      </c>
      <c r="Q65">
        <v>0</v>
      </c>
      <c r="R65">
        <v>0</v>
      </c>
      <c r="S65">
        <v>0</v>
      </c>
      <c r="T65">
        <v>0</v>
      </c>
      <c r="U65">
        <v>0</v>
      </c>
    </row>
    <row r="66" spans="1:21">
      <c r="A66">
        <f t="shared" si="2"/>
        <v>9</v>
      </c>
      <c r="B66" s="43" t="s">
        <v>32</v>
      </c>
      <c r="C66" s="16">
        <f>HLOOKUP($C$29,$M$56:$U$85,A66+2,FALSE)</f>
        <v>0</v>
      </c>
      <c r="D66" s="16">
        <v>1.1599999999999999</v>
      </c>
      <c r="E66" s="16">
        <f t="shared" si="6"/>
        <v>2320</v>
      </c>
      <c r="F66" s="65">
        <v>1</v>
      </c>
      <c r="G66" s="65">
        <v>0</v>
      </c>
      <c r="H66" s="94">
        <v>0</v>
      </c>
      <c r="I66" s="91">
        <v>0</v>
      </c>
      <c r="J66" s="62">
        <f>C66*IF($C$49&gt;=E66,1,0)</f>
        <v>0</v>
      </c>
      <c r="K66" s="134">
        <f t="shared" si="4"/>
        <v>0</v>
      </c>
      <c r="L66" s="80"/>
      <c r="M66">
        <v>0</v>
      </c>
      <c r="N66">
        <v>0</v>
      </c>
      <c r="O66">
        <v>0</v>
      </c>
      <c r="P66">
        <v>1</v>
      </c>
      <c r="Q66">
        <v>0</v>
      </c>
      <c r="R66">
        <v>0</v>
      </c>
      <c r="S66">
        <v>0</v>
      </c>
      <c r="T66">
        <v>0</v>
      </c>
      <c r="U66">
        <v>0</v>
      </c>
    </row>
    <row r="67" spans="1:21" s="21" customFormat="1" ht="15">
      <c r="A67">
        <f>A66+1</f>
        <v>10</v>
      </c>
      <c r="B67" s="26" t="s">
        <v>63</v>
      </c>
      <c r="C67" s="16"/>
      <c r="D67" s="133">
        <v>838</v>
      </c>
      <c r="F67" s="65"/>
      <c r="G67" s="65"/>
      <c r="H67" s="94"/>
      <c r="I67" s="91"/>
      <c r="J67" s="62"/>
      <c r="K67" s="134"/>
      <c r="L67" s="80"/>
      <c r="M67"/>
      <c r="N67"/>
      <c r="O67"/>
      <c r="P67"/>
      <c r="Q67"/>
      <c r="R67"/>
      <c r="S67"/>
      <c r="T67"/>
      <c r="U67"/>
    </row>
    <row r="68" spans="1:21" s="21" customFormat="1">
      <c r="A68">
        <f t="shared" si="2"/>
        <v>11</v>
      </c>
      <c r="B68" s="43" t="s">
        <v>219</v>
      </c>
      <c r="C68" s="16">
        <f>HLOOKUP($C$29,$M$56:$U$85,A68+2,FALSE)</f>
        <v>0</v>
      </c>
      <c r="D68" s="16">
        <v>0.83499999999999996</v>
      </c>
      <c r="E68" s="16">
        <f>$D$67*D68*$D$73</f>
        <v>629.75700000000006</v>
      </c>
      <c r="F68" s="65">
        <v>1</v>
      </c>
      <c r="G68" s="65">
        <v>0</v>
      </c>
      <c r="H68" s="94">
        <v>1.25</v>
      </c>
      <c r="I68" s="91">
        <v>0</v>
      </c>
      <c r="J68" s="62">
        <f>ROUNDDOWN($C$49*(1-G68)/(E68*F68),0)*C68</f>
        <v>0</v>
      </c>
      <c r="K68" s="134">
        <f t="shared" si="4"/>
        <v>0</v>
      </c>
      <c r="L68" s="80"/>
      <c r="M68">
        <v>0</v>
      </c>
      <c r="N68">
        <v>0</v>
      </c>
      <c r="O68">
        <v>0</v>
      </c>
      <c r="P68">
        <v>0</v>
      </c>
      <c r="Q68">
        <v>1</v>
      </c>
      <c r="R68">
        <v>1</v>
      </c>
      <c r="S68">
        <v>0</v>
      </c>
      <c r="T68">
        <v>0</v>
      </c>
      <c r="U68">
        <v>0</v>
      </c>
    </row>
    <row r="69" spans="1:21" s="21" customFormat="1">
      <c r="A69">
        <f t="shared" si="2"/>
        <v>12</v>
      </c>
      <c r="B69" s="43" t="s">
        <v>30</v>
      </c>
      <c r="C69" s="16">
        <f>HLOOKUP($C$29,$M$56:$U$85,A69+2,FALSE)</f>
        <v>0</v>
      </c>
      <c r="D69" s="16">
        <v>1.1499999999999999</v>
      </c>
      <c r="E69" s="16">
        <f t="shared" ref="E69:E71" si="7">$D$67*D69*$D$73</f>
        <v>867.32999999999993</v>
      </c>
      <c r="F69" s="65">
        <v>1</v>
      </c>
      <c r="G69" s="65">
        <v>0</v>
      </c>
      <c r="H69" s="94">
        <v>1.25</v>
      </c>
      <c r="I69" s="91">
        <v>0</v>
      </c>
      <c r="J69" s="62">
        <f>ROUNDDOWN($C$49*(1-G69)/(E69*F69),0)*C69</f>
        <v>0</v>
      </c>
      <c r="K69" s="134">
        <f t="shared" si="4"/>
        <v>0</v>
      </c>
      <c r="L69" s="80"/>
      <c r="M69">
        <v>0</v>
      </c>
      <c r="N69">
        <v>0</v>
      </c>
      <c r="O69">
        <v>0</v>
      </c>
      <c r="P69">
        <v>0</v>
      </c>
      <c r="Q69">
        <v>1</v>
      </c>
      <c r="R69">
        <v>1</v>
      </c>
      <c r="S69">
        <v>0</v>
      </c>
      <c r="T69">
        <v>0</v>
      </c>
      <c r="U69">
        <v>0</v>
      </c>
    </row>
    <row r="70" spans="1:21" s="21" customFormat="1">
      <c r="A70">
        <f t="shared" si="2"/>
        <v>13</v>
      </c>
      <c r="B70" s="43" t="s">
        <v>31</v>
      </c>
      <c r="C70" s="16">
        <f>HLOOKUP($C$29,$M$56:$U$85,A70+2,FALSE)</f>
        <v>0</v>
      </c>
      <c r="D70" s="16">
        <v>1.5</v>
      </c>
      <c r="E70" s="16">
        <f t="shared" si="7"/>
        <v>1131.3</v>
      </c>
      <c r="F70" s="65">
        <v>1</v>
      </c>
      <c r="G70" s="65">
        <v>0</v>
      </c>
      <c r="H70" s="94">
        <v>1.25</v>
      </c>
      <c r="I70" s="91">
        <v>0</v>
      </c>
      <c r="J70" s="62">
        <f>ROUNDDOWN($C$49*(1-G70)/(E70*F70),0)*C70</f>
        <v>0</v>
      </c>
      <c r="K70" s="134">
        <f t="shared" si="4"/>
        <v>0</v>
      </c>
      <c r="L70" s="80"/>
      <c r="M70">
        <v>0</v>
      </c>
      <c r="N70">
        <v>0</v>
      </c>
      <c r="O70">
        <v>0</v>
      </c>
      <c r="P70">
        <v>0</v>
      </c>
      <c r="Q70">
        <v>1</v>
      </c>
      <c r="R70">
        <v>1</v>
      </c>
      <c r="S70">
        <v>0</v>
      </c>
      <c r="T70">
        <v>0</v>
      </c>
      <c r="U70">
        <v>0</v>
      </c>
    </row>
    <row r="71" spans="1:21" s="21" customFormat="1">
      <c r="A71">
        <f t="shared" si="2"/>
        <v>14</v>
      </c>
      <c r="B71" s="43" t="s">
        <v>32</v>
      </c>
      <c r="C71" s="16">
        <f>HLOOKUP($C$29,$M$56:$U$85,A71+2,FALSE)</f>
        <v>0</v>
      </c>
      <c r="D71" s="26">
        <v>1.72</v>
      </c>
      <c r="E71" s="16">
        <f t="shared" si="7"/>
        <v>1297.2239999999999</v>
      </c>
      <c r="F71" s="65">
        <v>1</v>
      </c>
      <c r="G71" s="65">
        <v>0</v>
      </c>
      <c r="H71" s="94">
        <v>1.25</v>
      </c>
      <c r="I71" s="91">
        <v>0</v>
      </c>
      <c r="J71" s="62">
        <f>ROUNDDOWN($C$49*(1-G71)/(E71*F71),0)*C71</f>
        <v>0</v>
      </c>
      <c r="K71" s="134">
        <f t="shared" si="4"/>
        <v>0</v>
      </c>
      <c r="L71" s="80"/>
      <c r="M71">
        <v>0</v>
      </c>
      <c r="N71">
        <v>0</v>
      </c>
      <c r="O71">
        <v>0</v>
      </c>
      <c r="P71">
        <v>0</v>
      </c>
      <c r="Q71">
        <v>1</v>
      </c>
      <c r="R71">
        <v>1</v>
      </c>
      <c r="S71">
        <v>0</v>
      </c>
      <c r="T71">
        <v>0</v>
      </c>
      <c r="U71">
        <v>0</v>
      </c>
    </row>
    <row r="72" spans="1:21" s="21" customFormat="1">
      <c r="A72">
        <f t="shared" si="2"/>
        <v>15</v>
      </c>
      <c r="B72" s="57" t="s">
        <v>104</v>
      </c>
      <c r="C72" s="16"/>
      <c r="D72" s="26"/>
      <c r="F72" s="65"/>
      <c r="G72" s="65"/>
      <c r="H72" s="94"/>
      <c r="I72" s="91"/>
      <c r="J72" s="62"/>
      <c r="K72" s="134"/>
      <c r="L72" s="80"/>
      <c r="M72"/>
      <c r="N72"/>
      <c r="O72"/>
      <c r="P72"/>
      <c r="Q72"/>
      <c r="R72"/>
      <c r="S72"/>
      <c r="T72"/>
      <c r="U72"/>
    </row>
    <row r="73" spans="1:21" s="21" customFormat="1">
      <c r="A73">
        <f t="shared" si="2"/>
        <v>16</v>
      </c>
      <c r="B73" s="43" t="s">
        <v>219</v>
      </c>
      <c r="C73" s="16">
        <f>HLOOKUP($C$29,$M$56:$U$85,A73+2,FALSE)</f>
        <v>0</v>
      </c>
      <c r="D73" s="26">
        <v>0.9</v>
      </c>
      <c r="E73" s="16">
        <f>$D$67*D68*$D$74</f>
        <v>769.70300000000009</v>
      </c>
      <c r="F73" s="65">
        <v>1</v>
      </c>
      <c r="G73" s="65">
        <v>0</v>
      </c>
      <c r="H73" s="94">
        <v>1.25</v>
      </c>
      <c r="I73" s="91">
        <v>0</v>
      </c>
      <c r="J73" s="62">
        <f>ROUNDDOWN($C$49*(1-G73)/(E73*F73),0)*C73</f>
        <v>0</v>
      </c>
      <c r="K73" s="134">
        <f t="shared" si="4"/>
        <v>0</v>
      </c>
      <c r="L73" s="80"/>
      <c r="M73">
        <v>0</v>
      </c>
      <c r="N73">
        <v>0</v>
      </c>
      <c r="O73">
        <v>0</v>
      </c>
      <c r="P73">
        <v>0</v>
      </c>
      <c r="Q73">
        <v>1</v>
      </c>
      <c r="R73">
        <v>1</v>
      </c>
      <c r="S73">
        <v>0</v>
      </c>
      <c r="T73">
        <v>0</v>
      </c>
      <c r="U73">
        <v>0</v>
      </c>
    </row>
    <row r="74" spans="1:21" s="21" customFormat="1">
      <c r="A74">
        <f t="shared" si="2"/>
        <v>17</v>
      </c>
      <c r="B74" s="43" t="s">
        <v>30</v>
      </c>
      <c r="C74" s="16">
        <f>HLOOKUP($C$29,$M$56:$U$85,A74+2,FALSE)</f>
        <v>0</v>
      </c>
      <c r="D74" s="26">
        <v>1.1000000000000001</v>
      </c>
      <c r="E74" s="16">
        <f t="shared" ref="E74:E76" si="8">$D$67*D69*$D$74</f>
        <v>1060.07</v>
      </c>
      <c r="F74" s="65">
        <v>1</v>
      </c>
      <c r="G74" s="65">
        <v>0</v>
      </c>
      <c r="H74" s="94">
        <v>1.25</v>
      </c>
      <c r="I74" s="91">
        <v>0</v>
      </c>
      <c r="J74" s="62">
        <f>ROUNDDOWN($C$49*(1-G74)/(E74*F74),0)*C74</f>
        <v>0</v>
      </c>
      <c r="K74" s="134">
        <f t="shared" si="4"/>
        <v>0</v>
      </c>
      <c r="L74" s="80"/>
      <c r="M74">
        <v>0</v>
      </c>
      <c r="N74">
        <v>0</v>
      </c>
      <c r="O74">
        <v>0</v>
      </c>
      <c r="P74">
        <v>0</v>
      </c>
      <c r="Q74">
        <v>1</v>
      </c>
      <c r="R74">
        <v>1</v>
      </c>
      <c r="S74">
        <v>0</v>
      </c>
      <c r="T74">
        <v>0</v>
      </c>
      <c r="U74">
        <v>0</v>
      </c>
    </row>
    <row r="75" spans="1:21" s="21" customFormat="1">
      <c r="A75">
        <f t="shared" si="2"/>
        <v>18</v>
      </c>
      <c r="B75" s="43" t="s">
        <v>31</v>
      </c>
      <c r="C75" s="16">
        <f>HLOOKUP($C$29,$M$56:$U$85,A75+2,FALSE)</f>
        <v>0</v>
      </c>
      <c r="D75" s="16"/>
      <c r="E75" s="16">
        <f t="shared" si="8"/>
        <v>1382.7</v>
      </c>
      <c r="F75" s="65">
        <v>1</v>
      </c>
      <c r="G75" s="65">
        <v>0</v>
      </c>
      <c r="H75" s="94">
        <v>1.25</v>
      </c>
      <c r="I75" s="91">
        <v>0</v>
      </c>
      <c r="J75" s="62">
        <f>ROUNDDOWN($C$49*(1-G75)/(E75*F75),0)*C75</f>
        <v>0</v>
      </c>
      <c r="K75" s="134">
        <f t="shared" si="4"/>
        <v>0</v>
      </c>
      <c r="L75" s="80"/>
      <c r="M75">
        <v>0</v>
      </c>
      <c r="N75">
        <v>0</v>
      </c>
      <c r="O75">
        <v>0</v>
      </c>
      <c r="P75">
        <v>0</v>
      </c>
      <c r="Q75">
        <v>1</v>
      </c>
      <c r="R75">
        <v>1</v>
      </c>
      <c r="S75">
        <v>0</v>
      </c>
      <c r="T75">
        <v>0</v>
      </c>
      <c r="U75">
        <v>0</v>
      </c>
    </row>
    <row r="76" spans="1:21" s="21" customFormat="1">
      <c r="A76">
        <f t="shared" si="2"/>
        <v>19</v>
      </c>
      <c r="B76" s="43" t="s">
        <v>32</v>
      </c>
      <c r="C76" s="16">
        <f>HLOOKUP($C$29,$M$56:$U$85,A76+2,FALSE)</f>
        <v>0</v>
      </c>
      <c r="D76" s="26"/>
      <c r="E76" s="16">
        <f t="shared" si="8"/>
        <v>1585.4960000000001</v>
      </c>
      <c r="F76" s="65">
        <v>1</v>
      </c>
      <c r="G76" s="65">
        <v>0</v>
      </c>
      <c r="H76" s="94">
        <v>1.25</v>
      </c>
      <c r="I76" s="91">
        <v>0</v>
      </c>
      <c r="J76" s="62">
        <f>ROUNDDOWN($C$49*(1-G76)/(E76*F76),0)*C76</f>
        <v>0</v>
      </c>
      <c r="K76" s="134">
        <f t="shared" si="4"/>
        <v>0</v>
      </c>
      <c r="L76" s="80"/>
      <c r="M76">
        <v>0</v>
      </c>
      <c r="N76">
        <v>0</v>
      </c>
      <c r="O76">
        <v>0</v>
      </c>
      <c r="P76">
        <v>0</v>
      </c>
      <c r="Q76">
        <v>1</v>
      </c>
      <c r="R76">
        <v>1</v>
      </c>
      <c r="S76">
        <v>0</v>
      </c>
      <c r="T76">
        <v>0</v>
      </c>
      <c r="U76">
        <v>0</v>
      </c>
    </row>
    <row r="77" spans="1:21" s="21" customFormat="1">
      <c r="A77">
        <f t="shared" si="2"/>
        <v>20</v>
      </c>
      <c r="B77" s="28" t="s">
        <v>35</v>
      </c>
      <c r="C77" s="16"/>
      <c r="D77" s="16"/>
      <c r="E77" s="26"/>
      <c r="F77" s="65"/>
      <c r="G77" s="65"/>
      <c r="H77" s="94"/>
      <c r="I77" s="91"/>
      <c r="J77" s="62"/>
      <c r="K77" s="134"/>
      <c r="L77" s="80"/>
      <c r="M77"/>
      <c r="N77"/>
      <c r="O77"/>
      <c r="P77"/>
      <c r="Q77"/>
      <c r="R77"/>
      <c r="S77"/>
      <c r="T77"/>
      <c r="U77"/>
    </row>
    <row r="78" spans="1:21" s="21" customFormat="1">
      <c r="A78">
        <f t="shared" si="2"/>
        <v>21</v>
      </c>
      <c r="B78" s="24" t="s">
        <v>218</v>
      </c>
      <c r="C78" s="16">
        <f t="shared" ref="C78:C85" si="9">HLOOKUP($C$29,$M$56:$U$85,A78+2,FALSE)</f>
        <v>0</v>
      </c>
      <c r="D78" s="16"/>
      <c r="E78" s="16"/>
      <c r="F78" s="65">
        <v>1</v>
      </c>
      <c r="G78" s="65">
        <v>0</v>
      </c>
      <c r="H78" s="94">
        <v>3</v>
      </c>
      <c r="I78" s="91">
        <f>0</f>
        <v>0</v>
      </c>
      <c r="J78" s="83">
        <f>C78*(J88-C6)</f>
        <v>0</v>
      </c>
      <c r="K78" s="134">
        <f t="shared" si="4"/>
        <v>0</v>
      </c>
      <c r="L78" s="80"/>
      <c r="M78">
        <v>0</v>
      </c>
      <c r="N78">
        <v>0</v>
      </c>
      <c r="O78">
        <v>0</v>
      </c>
      <c r="P78">
        <v>0</v>
      </c>
      <c r="Q78">
        <v>0</v>
      </c>
      <c r="R78">
        <v>1</v>
      </c>
      <c r="S78">
        <v>1</v>
      </c>
      <c r="T78">
        <v>0</v>
      </c>
      <c r="U78">
        <v>0</v>
      </c>
    </row>
    <row r="79" spans="1:21" s="21" customFormat="1">
      <c r="A79">
        <f t="shared" si="2"/>
        <v>22</v>
      </c>
      <c r="B79" s="24" t="s">
        <v>1</v>
      </c>
      <c r="C79" s="16">
        <f t="shared" si="9"/>
        <v>0</v>
      </c>
      <c r="D79" s="16"/>
      <c r="E79" s="16"/>
      <c r="F79" s="56">
        <v>1</v>
      </c>
      <c r="G79" s="65">
        <v>0</v>
      </c>
      <c r="H79" s="94">
        <v>5</v>
      </c>
      <c r="I79" s="91">
        <f>C80*1000</f>
        <v>0</v>
      </c>
      <c r="J79" s="83">
        <f>C79*$C$49</f>
        <v>0</v>
      </c>
      <c r="K79" s="134">
        <f t="shared" si="4"/>
        <v>0</v>
      </c>
      <c r="L79" s="80"/>
      <c r="M79">
        <v>0</v>
      </c>
      <c r="N79">
        <v>0</v>
      </c>
      <c r="O79">
        <v>0</v>
      </c>
      <c r="P79">
        <v>0</v>
      </c>
      <c r="Q79">
        <v>0</v>
      </c>
      <c r="R79">
        <v>0</v>
      </c>
      <c r="S79">
        <v>0</v>
      </c>
      <c r="T79">
        <v>1</v>
      </c>
      <c r="U79">
        <v>0</v>
      </c>
    </row>
    <row r="80" spans="1:21" s="21" customFormat="1">
      <c r="A80">
        <f t="shared" si="2"/>
        <v>23</v>
      </c>
      <c r="B80" s="24" t="s">
        <v>2</v>
      </c>
      <c r="C80" s="26">
        <f t="shared" si="9"/>
        <v>0</v>
      </c>
      <c r="D80" s="26"/>
      <c r="E80" s="26"/>
      <c r="F80" s="56">
        <v>1</v>
      </c>
      <c r="G80" s="65">
        <v>0</v>
      </c>
      <c r="H80" s="94">
        <v>5</v>
      </c>
      <c r="I80" s="91">
        <f>C80*2000</f>
        <v>0</v>
      </c>
      <c r="J80" s="83">
        <f t="shared" ref="J80:J85" si="10">C80*$C$49</f>
        <v>0</v>
      </c>
      <c r="K80" s="134">
        <f t="shared" si="4"/>
        <v>0</v>
      </c>
      <c r="L80" s="80"/>
      <c r="M80" s="21">
        <v>0</v>
      </c>
      <c r="N80" s="21">
        <v>0</v>
      </c>
      <c r="O80" s="21">
        <v>0</v>
      </c>
      <c r="P80" s="21">
        <v>0</v>
      </c>
      <c r="Q80" s="21">
        <v>0</v>
      </c>
      <c r="R80" s="21">
        <v>0</v>
      </c>
      <c r="S80" s="21">
        <v>0</v>
      </c>
      <c r="T80" s="21">
        <v>1</v>
      </c>
      <c r="U80" s="21">
        <v>1</v>
      </c>
    </row>
    <row r="81" spans="1:21">
      <c r="A81">
        <f t="shared" si="2"/>
        <v>24</v>
      </c>
      <c r="B81" s="24" t="s">
        <v>3</v>
      </c>
      <c r="C81" s="16">
        <f t="shared" si="9"/>
        <v>0</v>
      </c>
      <c r="D81" s="16"/>
      <c r="E81" s="16"/>
      <c r="F81" s="56">
        <v>1</v>
      </c>
      <c r="G81" s="65">
        <v>0</v>
      </c>
      <c r="H81" s="94">
        <v>5</v>
      </c>
      <c r="I81" s="91">
        <f>C81*15000</f>
        <v>0</v>
      </c>
      <c r="J81" s="83">
        <f t="shared" si="10"/>
        <v>0</v>
      </c>
      <c r="K81" s="134">
        <f t="shared" si="4"/>
        <v>0</v>
      </c>
      <c r="L81" s="80"/>
      <c r="M81">
        <v>0</v>
      </c>
      <c r="N81">
        <v>0</v>
      </c>
      <c r="O81">
        <v>0</v>
      </c>
      <c r="P81">
        <v>0</v>
      </c>
      <c r="Q81">
        <v>0</v>
      </c>
      <c r="R81">
        <v>0</v>
      </c>
      <c r="S81">
        <v>0</v>
      </c>
      <c r="T81">
        <v>1</v>
      </c>
      <c r="U81">
        <v>1</v>
      </c>
    </row>
    <row r="82" spans="1:21">
      <c r="A82">
        <f t="shared" si="2"/>
        <v>25</v>
      </c>
      <c r="B82" s="24" t="s">
        <v>4</v>
      </c>
      <c r="C82" s="16">
        <f t="shared" si="9"/>
        <v>0</v>
      </c>
      <c r="D82" s="16"/>
      <c r="E82" s="16"/>
      <c r="F82" s="56">
        <v>1</v>
      </c>
      <c r="G82" s="65">
        <v>0</v>
      </c>
      <c r="H82" s="94">
        <v>4</v>
      </c>
      <c r="I82" s="91">
        <v>0</v>
      </c>
      <c r="J82" s="83">
        <f t="shared" si="10"/>
        <v>0</v>
      </c>
      <c r="K82" s="134">
        <f t="shared" si="4"/>
        <v>0</v>
      </c>
      <c r="L82" s="80"/>
      <c r="M82">
        <v>0</v>
      </c>
      <c r="N82">
        <v>0</v>
      </c>
      <c r="O82">
        <v>0</v>
      </c>
      <c r="P82">
        <v>0</v>
      </c>
      <c r="Q82">
        <v>0</v>
      </c>
      <c r="R82">
        <v>0</v>
      </c>
      <c r="S82">
        <v>1</v>
      </c>
      <c r="T82">
        <v>1</v>
      </c>
      <c r="U82">
        <v>1</v>
      </c>
    </row>
    <row r="83" spans="1:21">
      <c r="A83">
        <f t="shared" si="2"/>
        <v>26</v>
      </c>
      <c r="B83" s="24" t="s">
        <v>5</v>
      </c>
      <c r="C83" s="16">
        <f t="shared" si="9"/>
        <v>0</v>
      </c>
      <c r="D83" s="16"/>
      <c r="E83" s="16"/>
      <c r="F83" s="56">
        <v>1</v>
      </c>
      <c r="G83" s="65">
        <v>0</v>
      </c>
      <c r="H83" s="94">
        <v>1</v>
      </c>
      <c r="I83" s="91">
        <f>C83*2500</f>
        <v>0</v>
      </c>
      <c r="J83" s="83">
        <f t="shared" si="10"/>
        <v>0</v>
      </c>
      <c r="K83" s="134">
        <f t="shared" si="4"/>
        <v>0</v>
      </c>
      <c r="L83" s="80"/>
      <c r="M83">
        <v>0</v>
      </c>
      <c r="N83">
        <v>0</v>
      </c>
      <c r="O83">
        <v>0</v>
      </c>
      <c r="P83">
        <v>0</v>
      </c>
      <c r="Q83">
        <v>0</v>
      </c>
      <c r="R83">
        <v>0</v>
      </c>
      <c r="S83">
        <v>0</v>
      </c>
      <c r="T83">
        <v>0</v>
      </c>
      <c r="U83">
        <v>1</v>
      </c>
    </row>
    <row r="84" spans="1:21">
      <c r="A84">
        <f t="shared" si="2"/>
        <v>27</v>
      </c>
      <c r="B84" s="24" t="s">
        <v>6</v>
      </c>
      <c r="C84" s="16">
        <f t="shared" si="9"/>
        <v>0</v>
      </c>
      <c r="D84" s="16"/>
      <c r="E84" s="16"/>
      <c r="F84" s="56">
        <v>1</v>
      </c>
      <c r="G84" s="65">
        <v>0</v>
      </c>
      <c r="H84" s="94">
        <v>1</v>
      </c>
      <c r="I84" s="91">
        <f>C84*4000</f>
        <v>0</v>
      </c>
      <c r="J84" s="83">
        <f t="shared" si="10"/>
        <v>0</v>
      </c>
      <c r="K84" s="134">
        <f t="shared" si="4"/>
        <v>0</v>
      </c>
      <c r="L84" s="80"/>
      <c r="M84">
        <v>0</v>
      </c>
      <c r="N84">
        <v>0</v>
      </c>
      <c r="O84">
        <v>0</v>
      </c>
      <c r="P84">
        <v>0</v>
      </c>
      <c r="Q84">
        <v>0</v>
      </c>
      <c r="R84">
        <v>0</v>
      </c>
      <c r="S84">
        <v>0</v>
      </c>
      <c r="T84">
        <v>0</v>
      </c>
      <c r="U84">
        <v>1</v>
      </c>
    </row>
    <row r="85" spans="1:21">
      <c r="A85">
        <f t="shared" si="2"/>
        <v>28</v>
      </c>
      <c r="B85" s="24" t="s">
        <v>7</v>
      </c>
      <c r="C85" s="16">
        <f t="shared" si="9"/>
        <v>0</v>
      </c>
      <c r="D85" s="16"/>
      <c r="E85" s="16"/>
      <c r="F85" s="56">
        <v>1</v>
      </c>
      <c r="G85" s="65">
        <v>0</v>
      </c>
      <c r="H85" s="94">
        <v>1</v>
      </c>
      <c r="I85" s="95">
        <v>0</v>
      </c>
      <c r="J85" s="83">
        <f t="shared" si="10"/>
        <v>0</v>
      </c>
      <c r="K85" s="134">
        <f t="shared" si="4"/>
        <v>0</v>
      </c>
      <c r="L85" s="80"/>
      <c r="M85">
        <v>0</v>
      </c>
      <c r="N85">
        <v>0</v>
      </c>
      <c r="O85">
        <v>0</v>
      </c>
      <c r="P85">
        <v>0</v>
      </c>
      <c r="Q85">
        <v>0</v>
      </c>
      <c r="R85">
        <v>0</v>
      </c>
      <c r="S85">
        <v>0</v>
      </c>
      <c r="T85">
        <v>0</v>
      </c>
      <c r="U85">
        <v>0</v>
      </c>
    </row>
    <row r="86" spans="1:21">
      <c r="I86" s="91"/>
      <c r="J86" s="62"/>
      <c r="K86" s="134"/>
      <c r="L86" s="26"/>
    </row>
    <row r="87" spans="1:21">
      <c r="B87" s="93" t="s">
        <v>266</v>
      </c>
      <c r="I87" s="91"/>
      <c r="J87" s="62"/>
      <c r="K87" s="134"/>
      <c r="L87" s="26"/>
    </row>
    <row r="88" spans="1:21">
      <c r="B88" s="28" t="s">
        <v>251</v>
      </c>
      <c r="C88">
        <f t="shared" ref="C88:C93" si="11">IF(SUM($C$58:$C$66)&gt;0,0,1)</f>
        <v>1</v>
      </c>
      <c r="I88" s="91">
        <f>0</f>
        <v>0</v>
      </c>
      <c r="J88" s="98">
        <f>MIN(C28*C34,C44)</f>
        <v>4500</v>
      </c>
      <c r="K88" s="134">
        <v>0</v>
      </c>
      <c r="L88" s="80"/>
    </row>
    <row r="89" spans="1:21">
      <c r="B89" t="s">
        <v>206</v>
      </c>
      <c r="C89">
        <f t="shared" si="11"/>
        <v>1</v>
      </c>
      <c r="I89" s="91">
        <v>0</v>
      </c>
      <c r="J89" s="98">
        <f>C89*J88</f>
        <v>4500</v>
      </c>
      <c r="K89" s="134">
        <v>0</v>
      </c>
      <c r="L89" s="80"/>
    </row>
    <row r="90" spans="1:21">
      <c r="B90" t="s">
        <v>207</v>
      </c>
      <c r="C90">
        <f t="shared" si="11"/>
        <v>1</v>
      </c>
      <c r="I90" s="91">
        <v>0</v>
      </c>
      <c r="J90" s="98">
        <f>C90*J88</f>
        <v>4500</v>
      </c>
      <c r="K90" s="134">
        <v>0</v>
      </c>
      <c r="L90" s="80"/>
    </row>
    <row r="91" spans="1:21">
      <c r="B91" t="s">
        <v>208</v>
      </c>
      <c r="C91">
        <f t="shared" si="11"/>
        <v>1</v>
      </c>
      <c r="I91" s="91">
        <v>0</v>
      </c>
      <c r="J91" s="98">
        <f>IF($C$39,$C$48-1,$C$48)*$K$88</f>
        <v>0</v>
      </c>
      <c r="K91" s="134">
        <v>0</v>
      </c>
      <c r="L91" s="80"/>
    </row>
    <row r="92" spans="1:21">
      <c r="B92" t="s">
        <v>209</v>
      </c>
      <c r="C92">
        <f t="shared" si="11"/>
        <v>1</v>
      </c>
      <c r="I92" s="91">
        <v>0</v>
      </c>
      <c r="J92" s="98">
        <f>C92*C28/C4*C7</f>
        <v>85.714285714285708</v>
      </c>
      <c r="K92" s="134">
        <v>0</v>
      </c>
      <c r="L92" s="80"/>
    </row>
    <row r="93" spans="1:21" ht="13.5" thickBot="1">
      <c r="B93" t="s">
        <v>210</v>
      </c>
      <c r="C93">
        <f t="shared" si="11"/>
        <v>1</v>
      </c>
      <c r="I93" s="96">
        <v>0</v>
      </c>
      <c r="J93" s="99">
        <f>C48</f>
        <v>2</v>
      </c>
      <c r="K93" s="134">
        <f>ROUNDUP((SUM(K78:K85)+SUMPRODUCT(K73:K76,E73:E76)+SUMPRODUCT(K68:K71,E68:E71))/J88,0)</f>
        <v>0</v>
      </c>
      <c r="L93" s="80"/>
    </row>
    <row r="94" spans="1:21" ht="13.5" thickBot="1"/>
    <row r="95" spans="1:21">
      <c r="B95" s="108" t="s">
        <v>292</v>
      </c>
      <c r="C95" s="109"/>
    </row>
    <row r="96" spans="1:21">
      <c r="B96" s="110" t="s">
        <v>263</v>
      </c>
      <c r="C96" s="111" t="str">
        <f>IF(C40=1,"YES","NO")</f>
        <v>NO</v>
      </c>
      <c r="F96" s="135" t="s">
        <v>299</v>
      </c>
      <c r="G96" s="136"/>
      <c r="H96" s="58">
        <f>SUMPRODUCT(K58:K61,D58:D61)+SUMPRODUCT(K63:K66,E63:E66)</f>
        <v>0</v>
      </c>
    </row>
    <row r="97" spans="2:8">
      <c r="B97" s="112" t="s">
        <v>39</v>
      </c>
      <c r="C97" s="113">
        <f>SUMPRODUCT(D58:D61,F58:F61,K58:K61)</f>
        <v>0</v>
      </c>
      <c r="F97" s="135" t="s">
        <v>300</v>
      </c>
      <c r="G97" s="136"/>
      <c r="H97" s="58">
        <f>SUMPRODUCT(K68:K76,E68:E76)+K78</f>
        <v>0</v>
      </c>
    </row>
    <row r="98" spans="2:8">
      <c r="B98" s="114" t="s">
        <v>264</v>
      </c>
      <c r="C98" s="115"/>
    </row>
    <row r="99" spans="2:8">
      <c r="B99" s="112" t="s">
        <v>40</v>
      </c>
      <c r="C99" s="115">
        <f>C28*(1-C10)</f>
        <v>5400</v>
      </c>
    </row>
    <row r="100" spans="2:8">
      <c r="B100" s="116"/>
      <c r="C100" s="115"/>
    </row>
    <row r="101" spans="2:8">
      <c r="B101" s="117"/>
      <c r="C101" s="118"/>
    </row>
    <row r="102" spans="2:8">
      <c r="B102" s="117" t="s">
        <v>265</v>
      </c>
      <c r="C102" s="118" t="str">
        <f>IF(C40=1,"NO","YES")</f>
        <v>YES</v>
      </c>
    </row>
    <row r="103" spans="2:8">
      <c r="B103" s="112" t="s">
        <v>39</v>
      </c>
      <c r="C103" s="118">
        <f>SUMPRODUCT(E63:E76,K63:K76)+SUM(K78:K85)+K89+K91</f>
        <v>0</v>
      </c>
    </row>
    <row r="104" spans="2:8">
      <c r="B104" s="114" t="s">
        <v>45</v>
      </c>
      <c r="C104" s="115"/>
    </row>
    <row r="105" spans="2:8">
      <c r="B105" s="112" t="s">
        <v>42</v>
      </c>
      <c r="C105" s="115">
        <f>C49</f>
        <v>4500</v>
      </c>
    </row>
    <row r="106" spans="2:8">
      <c r="B106" s="112"/>
      <c r="C106" s="115"/>
    </row>
    <row r="107" spans="2:8">
      <c r="B107" s="112" t="s">
        <v>16</v>
      </c>
      <c r="C107" s="115">
        <f>SUM(K63:K66)</f>
        <v>0</v>
      </c>
    </row>
    <row r="108" spans="2:8">
      <c r="B108" s="112"/>
      <c r="C108" s="115"/>
    </row>
    <row r="109" spans="2:8">
      <c r="B109" s="112" t="s">
        <v>272</v>
      </c>
      <c r="C109" s="118" t="str">
        <f>IF(C39=1,K89+K78+C6,"N/A")</f>
        <v>N/A</v>
      </c>
    </row>
    <row r="110" spans="2:8">
      <c r="B110" s="116"/>
      <c r="C110" s="115"/>
    </row>
    <row r="111" spans="2:8">
      <c r="B111" s="112" t="s">
        <v>43</v>
      </c>
      <c r="C111" s="118">
        <f>ROUNDDOWN(K89/C4,0)+ROUNDDOWN(K90/C4,0)+ROUNDDOWN(K91/C4,0)+K92</f>
        <v>0</v>
      </c>
    </row>
    <row r="112" spans="2:8">
      <c r="B112" s="114" t="s">
        <v>130</v>
      </c>
      <c r="C112" s="115"/>
    </row>
    <row r="113" spans="2:3" ht="13.5" thickBot="1">
      <c r="B113" s="119" t="s">
        <v>44</v>
      </c>
      <c r="C113" s="120">
        <f>SUMPRODUCT(H58:H76,K58:K76)+SUMPRODUCT(H78:H85,K78:K85)/1000</f>
        <v>0</v>
      </c>
    </row>
  </sheetData>
  <mergeCells count="2">
    <mergeCell ref="F96:G96"/>
    <mergeCell ref="F97:G97"/>
  </mergeCells>
  <phoneticPr fontId="8"/>
  <pageMargins left="0.75" right="0.75" top="1" bottom="1" header="0.5" footer="0.5"/>
  <pageSetup orientation="portrait" horizontalDpi="4294967292" verticalDpi="4294967292"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To Do</vt:lpstr>
      <vt:lpstr>Proforma</vt:lpstr>
      <vt:lpstr>Proforma Inputs</vt:lpstr>
      <vt:lpstr>Revenue Model</vt:lpstr>
      <vt:lpstr>Cost Model</vt:lpstr>
      <vt:lpstr>Bldg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Carlton</dc:creator>
  <cp:lastModifiedBy>demo</cp:lastModifiedBy>
  <dcterms:created xsi:type="dcterms:W3CDTF">2011-04-14T23:20:36Z</dcterms:created>
  <dcterms:modified xsi:type="dcterms:W3CDTF">2012-04-02T22:06:15Z</dcterms:modified>
</cp:coreProperties>
</file>