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6_tentativo\"/>
    </mc:Choice>
  </mc:AlternateContent>
  <xr:revisionPtr revIDLastSave="0" documentId="13_ncr:1_{A07C0CB0-5E8E-4440-955F-ACF69C6FB53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ocosts" sheetId="16" r:id="rId1"/>
    <sheet name="unit_prices" sheetId="14" r:id="rId2"/>
    <sheet name="summary" sheetId="15" r:id="rId3"/>
    <sheet name="balance" sheetId="17" r:id="rId4"/>
    <sheet name="u_budget" sheetId="5" r:id="rId5"/>
    <sheet name="l_budget" sheetId="18" r:id="rId6"/>
  </sheets>
  <definedNames>
    <definedName name="_xlnm._FilterDatabase" localSheetId="0" hidden="1">iocosts!$A$1:$D$267</definedName>
    <definedName name="_xlnm._FilterDatabase" localSheetId="5" hidden="1">l_budget!$A$4:$F$233</definedName>
    <definedName name="_xlnm._FilterDatabase" localSheetId="4" hidden="1">u_budget!$A$4:$F$386</definedName>
    <definedName name="_xlnm.Print_Area" localSheetId="5">l_budget!$A$1:$F$233</definedName>
    <definedName name="_xlnm.Print_Area" localSheetId="4">u_budget!$A$1:$F$386</definedName>
    <definedName name="_xlnm.Print_Titles" localSheetId="5">l_budget!$1:$6</definedName>
    <definedName name="_xlnm.Print_Titles" localSheetId="4">u_budget!$1:$6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5" l="1"/>
  <c r="F7" i="18"/>
  <c r="D90" i="5" l="1"/>
  <c r="D87" i="5"/>
  <c r="D86" i="5"/>
  <c r="D91" i="5" l="1"/>
  <c r="E164" i="5"/>
  <c r="F136" i="18"/>
  <c r="E136" i="18"/>
  <c r="D136" i="18"/>
  <c r="D164" i="5"/>
  <c r="F164" i="5" l="1"/>
  <c r="D89" i="5"/>
  <c r="D231" i="5"/>
  <c r="D228" i="5"/>
  <c r="D227" i="5"/>
  <c r="D226" i="5"/>
  <c r="D286" i="5"/>
  <c r="D289" i="5"/>
  <c r="D285" i="5"/>
  <c r="D321" i="5" l="1"/>
  <c r="D320" i="5" s="1"/>
  <c r="D81" i="5"/>
  <c r="D80" i="5" s="1"/>
  <c r="D207" i="18"/>
  <c r="D205" i="18"/>
  <c r="E197" i="18"/>
  <c r="E196" i="18"/>
  <c r="D169" i="18"/>
  <c r="D176" i="18"/>
  <c r="D175" i="18"/>
  <c r="D173" i="18"/>
  <c r="D166" i="18"/>
  <c r="D165" i="18"/>
  <c r="D164" i="18"/>
  <c r="D158" i="18"/>
  <c r="D155" i="18"/>
  <c r="D154" i="18"/>
  <c r="D153" i="18"/>
  <c r="D149" i="18"/>
  <c r="D145" i="18"/>
  <c r="D142" i="18"/>
  <c r="D141" i="18"/>
  <c r="D140" i="18"/>
  <c r="D135" i="18"/>
  <c r="E53" i="15" s="1"/>
  <c r="D134" i="18"/>
  <c r="E52" i="15" s="1"/>
  <c r="D131" i="18"/>
  <c r="D128" i="18"/>
  <c r="E51" i="15" s="1"/>
  <c r="D127" i="18"/>
  <c r="E50" i="15" s="1"/>
  <c r="E8" i="17" s="1"/>
  <c r="D126" i="18"/>
  <c r="E49" i="15" s="1"/>
  <c r="D125" i="18"/>
  <c r="E48" i="15" s="1"/>
  <c r="D124" i="18"/>
  <c r="D120" i="18"/>
  <c r="D114" i="18"/>
  <c r="D113" i="18"/>
  <c r="D112" i="18"/>
  <c r="D96" i="18"/>
  <c r="D95" i="18"/>
  <c r="D110" i="18"/>
  <c r="D106" i="18"/>
  <c r="D103" i="18"/>
  <c r="D102" i="18"/>
  <c r="D101" i="18"/>
  <c r="D93" i="18"/>
  <c r="D89" i="18"/>
  <c r="E57" i="15" s="1"/>
  <c r="D85" i="18"/>
  <c r="D82" i="18"/>
  <c r="D81" i="18"/>
  <c r="D80" i="18"/>
  <c r="D79" i="18"/>
  <c r="D72" i="18"/>
  <c r="E47" i="15" s="1"/>
  <c r="D71" i="18"/>
  <c r="E46" i="15" s="1"/>
  <c r="D44" i="18"/>
  <c r="D36" i="18"/>
  <c r="D34" i="18"/>
  <c r="D29" i="18"/>
  <c r="D30" i="18"/>
  <c r="D31" i="18"/>
  <c r="D28" i="18"/>
  <c r="D19" i="18"/>
  <c r="D17" i="18"/>
  <c r="D10" i="18"/>
  <c r="E43" i="15" l="1"/>
  <c r="D322" i="5"/>
  <c r="E38" i="15"/>
  <c r="E14" i="17" s="1"/>
  <c r="E56" i="15"/>
  <c r="D82" i="5"/>
  <c r="E55" i="15"/>
  <c r="E44" i="15"/>
  <c r="E39" i="15"/>
  <c r="E18" i="17"/>
  <c r="E17" i="17"/>
  <c r="E9" i="17"/>
  <c r="E10" i="17"/>
  <c r="E7" i="17"/>
  <c r="K30" i="15"/>
  <c r="D232" i="18"/>
  <c r="D229" i="18"/>
  <c r="D225" i="18"/>
  <c r="D223" i="18"/>
  <c r="D222" i="18"/>
  <c r="D221" i="18"/>
  <c r="D220" i="18"/>
  <c r="D217" i="18"/>
  <c r="D216" i="18"/>
  <c r="D210" i="18"/>
  <c r="F208" i="18"/>
  <c r="F206" i="18"/>
  <c r="D202" i="18"/>
  <c r="D201" i="18"/>
  <c r="F197" i="18"/>
  <c r="F196" i="18"/>
  <c r="D194" i="18"/>
  <c r="F193" i="18"/>
  <c r="F192" i="18"/>
  <c r="F191" i="18"/>
  <c r="F190" i="18"/>
  <c r="D188" i="18"/>
  <c r="D186" i="18"/>
  <c r="D179" i="18"/>
  <c r="D170" i="18"/>
  <c r="D160" i="18"/>
  <c r="D159" i="18"/>
  <c r="D150" i="18"/>
  <c r="D148" i="18"/>
  <c r="D146" i="18"/>
  <c r="D137" i="18"/>
  <c r="D116" i="18"/>
  <c r="D107" i="18"/>
  <c r="D98" i="18"/>
  <c r="D90" i="18"/>
  <c r="F76" i="18"/>
  <c r="F73" i="18"/>
  <c r="F70" i="18"/>
  <c r="D65" i="18"/>
  <c r="D63" i="18"/>
  <c r="F62" i="18"/>
  <c r="F61" i="18"/>
  <c r="F60" i="18"/>
  <c r="F59" i="18"/>
  <c r="F57" i="18"/>
  <c r="F56" i="18"/>
  <c r="F55" i="18"/>
  <c r="F54" i="18"/>
  <c r="F53" i="18"/>
  <c r="F52" i="18"/>
  <c r="F50" i="18"/>
  <c r="F49" i="18"/>
  <c r="F48" i="18"/>
  <c r="F47" i="18"/>
  <c r="F46" i="18"/>
  <c r="F45" i="18"/>
  <c r="F42" i="18"/>
  <c r="F40" i="18"/>
  <c r="F39" i="18"/>
  <c r="F38" i="18"/>
  <c r="F37" i="18"/>
  <c r="F35" i="18"/>
  <c r="F32" i="18"/>
  <c r="F26" i="18"/>
  <c r="F24" i="18"/>
  <c r="F23" i="18"/>
  <c r="F22" i="18"/>
  <c r="F21" i="18"/>
  <c r="F20" i="18"/>
  <c r="F18" i="18"/>
  <c r="F15" i="18"/>
  <c r="F14" i="18"/>
  <c r="F13" i="18"/>
  <c r="F12" i="18"/>
  <c r="F11" i="18"/>
  <c r="E15" i="17" l="1"/>
  <c r="E20" i="17" s="1"/>
  <c r="D121" i="18" s="1"/>
  <c r="D144" i="18"/>
  <c r="D168" i="18"/>
  <c r="F51" i="18"/>
  <c r="D84" i="18"/>
  <c r="D88" i="18"/>
  <c r="D92" i="18"/>
  <c r="D109" i="18"/>
  <c r="F189" i="18"/>
  <c r="D86" i="18"/>
  <c r="D105" i="18"/>
  <c r="F58" i="18"/>
  <c r="D74" i="18"/>
  <c r="E45" i="15" s="1"/>
  <c r="D172" i="18"/>
  <c r="F195" i="18"/>
  <c r="K13" i="15" s="1"/>
  <c r="D130" i="18"/>
  <c r="D132" i="18"/>
  <c r="D157" i="18"/>
  <c r="E54" i="15" l="1"/>
  <c r="E58" i="15"/>
  <c r="L6" i="14"/>
  <c r="L7" i="14"/>
  <c r="E175" i="18" s="1"/>
  <c r="L8" i="14"/>
  <c r="E237" i="5" s="1"/>
  <c r="L9" i="14"/>
  <c r="E261" i="5" s="1"/>
  <c r="L10" i="14"/>
  <c r="E241" i="5" s="1"/>
  <c r="L11" i="14"/>
  <c r="L12" i="14"/>
  <c r="E263" i="5" s="1"/>
  <c r="L13" i="14"/>
  <c r="L14" i="14"/>
  <c r="L15" i="14"/>
  <c r="L16" i="14"/>
  <c r="L5" i="14"/>
  <c r="E177" i="18" l="1"/>
  <c r="F177" i="18" s="1"/>
  <c r="E240" i="5"/>
  <c r="E178" i="18"/>
  <c r="F178" i="18" s="1"/>
  <c r="E97" i="18"/>
  <c r="F97" i="18" s="1"/>
  <c r="E115" i="18"/>
  <c r="F115" i="18" s="1"/>
  <c r="E114" i="18"/>
  <c r="F114" i="18" s="1"/>
  <c r="E176" i="18"/>
  <c r="F176" i="18" s="1"/>
  <c r="E113" i="18"/>
  <c r="F113" i="18" s="1"/>
  <c r="E96" i="18"/>
  <c r="F96" i="18" s="1"/>
  <c r="E95" i="18"/>
  <c r="F95" i="18" s="1"/>
  <c r="E112" i="18"/>
  <c r="F112" i="18" s="1"/>
  <c r="E264" i="5"/>
  <c r="E260" i="5"/>
  <c r="E123" i="5"/>
  <c r="E140" i="5"/>
  <c r="E305" i="5"/>
  <c r="E340" i="5"/>
  <c r="E339" i="5"/>
  <c r="E341" i="5"/>
  <c r="E206" i="5"/>
  <c r="E262" i="5"/>
  <c r="E143" i="5"/>
  <c r="E125" i="5"/>
  <c r="E239" i="5"/>
  <c r="E238" i="5"/>
  <c r="E204" i="5"/>
  <c r="E142" i="5"/>
  <c r="E124" i="5"/>
  <c r="E141" i="5"/>
  <c r="E337" i="5"/>
  <c r="E307" i="5"/>
  <c r="E352" i="5"/>
  <c r="E205" i="5"/>
  <c r="E306" i="5"/>
  <c r="E351" i="5"/>
  <c r="F175" i="18"/>
  <c r="E203" i="5"/>
  <c r="E292" i="5"/>
  <c r="F174" i="18" l="1"/>
  <c r="F94" i="18"/>
  <c r="F111" i="18"/>
  <c r="D353" i="5"/>
  <c r="D346" i="5"/>
  <c r="K26" i="16"/>
  <c r="F200" i="18" l="1"/>
  <c r="E202" i="18" s="1"/>
  <c r="F202" i="18" s="1"/>
  <c r="K26" i="15" s="1"/>
  <c r="D265" i="5"/>
  <c r="D363" i="5"/>
  <c r="D382" i="5" l="1"/>
  <c r="D376" i="5"/>
  <c r="D375" i="5"/>
  <c r="D374" i="5"/>
  <c r="D373" i="5"/>
  <c r="D370" i="5"/>
  <c r="D369" i="5"/>
  <c r="D326" i="5"/>
  <c r="D308" i="5"/>
  <c r="D293" i="5"/>
  <c r="D280" i="5"/>
  <c r="D242" i="5"/>
  <c r="D222" i="5"/>
  <c r="D207" i="5"/>
  <c r="D188" i="5"/>
  <c r="D178" i="5"/>
  <c r="D165" i="5"/>
  <c r="D144" i="5"/>
  <c r="D126" i="5"/>
  <c r="D378" i="5"/>
  <c r="D355" i="5"/>
  <c r="D348" i="5"/>
  <c r="D343" i="5"/>
  <c r="D334" i="5"/>
  <c r="D333" i="5"/>
  <c r="D93" i="5"/>
  <c r="D65" i="5"/>
  <c r="D63" i="5"/>
  <c r="H6" i="14"/>
  <c r="E10" i="18" s="1"/>
  <c r="F10" i="18" s="1"/>
  <c r="F9" i="18" s="1"/>
  <c r="H7" i="14"/>
  <c r="E19" i="18" s="1"/>
  <c r="F19" i="18" s="1"/>
  <c r="H8" i="14"/>
  <c r="E28" i="18" s="1"/>
  <c r="F28" i="18" s="1"/>
  <c r="H9" i="14"/>
  <c r="E29" i="18" s="1"/>
  <c r="F29" i="18" s="1"/>
  <c r="H10" i="14"/>
  <c r="E30" i="18" s="1"/>
  <c r="F30" i="18" s="1"/>
  <c r="H11" i="14"/>
  <c r="E31" i="18" s="1"/>
  <c r="F31" i="18" s="1"/>
  <c r="H12" i="14"/>
  <c r="E34" i="18" s="1"/>
  <c r="F34" i="18" s="1"/>
  <c r="H13" i="14"/>
  <c r="E36" i="18" s="1"/>
  <c r="F36" i="18" s="1"/>
  <c r="H14" i="14"/>
  <c r="E44" i="18" s="1"/>
  <c r="F44" i="18" s="1"/>
  <c r="F43" i="18" s="1"/>
  <c r="D6" i="14"/>
  <c r="D7" i="14"/>
  <c r="E86" i="5" s="1"/>
  <c r="F86" i="5" s="1"/>
  <c r="F85" i="5" s="1"/>
  <c r="F84" i="5" s="1"/>
  <c r="D8" i="14"/>
  <c r="E121" i="18" s="1"/>
  <c r="D9" i="14"/>
  <c r="E123" i="18" s="1"/>
  <c r="D10" i="14"/>
  <c r="D11" i="14"/>
  <c r="E87" i="5" s="1"/>
  <c r="F87" i="5" s="1"/>
  <c r="D12" i="14"/>
  <c r="E74" i="18" s="1"/>
  <c r="F74" i="18" s="1"/>
  <c r="E13" i="15" s="1"/>
  <c r="D13" i="14"/>
  <c r="E71" i="18" s="1"/>
  <c r="F71" i="18" s="1"/>
  <c r="D14" i="14"/>
  <c r="E72" i="18" s="1"/>
  <c r="F72" i="18" s="1"/>
  <c r="E15" i="15" s="1"/>
  <c r="D15" i="14"/>
  <c r="E125" i="18" s="1"/>
  <c r="F125" i="18" s="1"/>
  <c r="E16" i="15" s="1"/>
  <c r="D16" i="14"/>
  <c r="E127" i="18" s="1"/>
  <c r="F127" i="18" s="1"/>
  <c r="E17" i="15" s="1"/>
  <c r="D17" i="14"/>
  <c r="E126" i="18" s="1"/>
  <c r="F126" i="18" s="1"/>
  <c r="E18" i="15" s="1"/>
  <c r="D18" i="14"/>
  <c r="E128" i="18" s="1"/>
  <c r="F128" i="18" s="1"/>
  <c r="E19" i="15" s="1"/>
  <c r="D19" i="14"/>
  <c r="E134" i="18" s="1"/>
  <c r="F134" i="18" s="1"/>
  <c r="D20" i="14"/>
  <c r="E135" i="18" s="1"/>
  <c r="F135" i="18" s="1"/>
  <c r="E21" i="15" s="1"/>
  <c r="D21" i="14"/>
  <c r="E89" i="5" s="1"/>
  <c r="F89" i="5" s="1"/>
  <c r="F88" i="5" s="1"/>
  <c r="D22" i="14"/>
  <c r="D23" i="14"/>
  <c r="D24" i="14"/>
  <c r="E90" i="5" s="1"/>
  <c r="F90" i="5" s="1"/>
  <c r="D25" i="14"/>
  <c r="E91" i="5" s="1"/>
  <c r="F91" i="5" s="1"/>
  <c r="D26" i="14"/>
  <c r="E205" i="18" s="1"/>
  <c r="F205" i="18" s="1"/>
  <c r="D27" i="14"/>
  <c r="E207" i="18" s="1"/>
  <c r="F207" i="18" s="1"/>
  <c r="B56" i="15"/>
  <c r="B52" i="15"/>
  <c r="B48" i="15"/>
  <c r="B44" i="15"/>
  <c r="B40" i="15"/>
  <c r="B59" i="15"/>
  <c r="B58" i="15"/>
  <c r="B57" i="15"/>
  <c r="B55" i="15"/>
  <c r="B54" i="15"/>
  <c r="B53" i="15"/>
  <c r="B51" i="15"/>
  <c r="B50" i="15"/>
  <c r="B49" i="15"/>
  <c r="B47" i="15"/>
  <c r="B46" i="15"/>
  <c r="B45" i="15"/>
  <c r="B43" i="15"/>
  <c r="B42" i="15"/>
  <c r="B41" i="15"/>
  <c r="B39" i="15"/>
  <c r="B38" i="15"/>
  <c r="H5" i="14"/>
  <c r="E17" i="18" s="1"/>
  <c r="F17" i="18" s="1"/>
  <c r="D5" i="14"/>
  <c r="E81" i="5" l="1"/>
  <c r="F81" i="5" s="1"/>
  <c r="E321" i="5"/>
  <c r="F321" i="5" s="1"/>
  <c r="E82" i="5"/>
  <c r="F82" i="5" s="1"/>
  <c r="E322" i="5"/>
  <c r="F322" i="5" s="1"/>
  <c r="E80" i="5"/>
  <c r="F80" i="5" s="1"/>
  <c r="E320" i="5"/>
  <c r="F320" i="5" s="1"/>
  <c r="F209" i="18"/>
  <c r="E210" i="18" s="1"/>
  <c r="F210" i="18" s="1"/>
  <c r="F204" i="18" s="1"/>
  <c r="K17" i="15" s="1"/>
  <c r="F16" i="18"/>
  <c r="E25" i="18" s="1"/>
  <c r="F25" i="18" s="1"/>
  <c r="F8" i="18" s="1"/>
  <c r="E20" i="15"/>
  <c r="F133" i="18"/>
  <c r="E142" i="18"/>
  <c r="F142" i="18" s="1"/>
  <c r="E103" i="18"/>
  <c r="F103" i="18" s="1"/>
  <c r="E184" i="18"/>
  <c r="F184" i="18" s="1"/>
  <c r="E155" i="18"/>
  <c r="F155" i="18" s="1"/>
  <c r="E166" i="18"/>
  <c r="F166" i="18" s="1"/>
  <c r="E81" i="18"/>
  <c r="F81" i="18" s="1"/>
  <c r="E8" i="15" s="1"/>
  <c r="E173" i="18"/>
  <c r="F173" i="18" s="1"/>
  <c r="E149" i="18"/>
  <c r="F149" i="18" s="1"/>
  <c r="E93" i="18"/>
  <c r="F93" i="18" s="1"/>
  <c r="E110" i="18"/>
  <c r="F110" i="18" s="1"/>
  <c r="E82" i="18"/>
  <c r="F82" i="18" s="1"/>
  <c r="E124" i="18"/>
  <c r="F124" i="18" s="1"/>
  <c r="E154" i="18"/>
  <c r="F154" i="18" s="1"/>
  <c r="E80" i="18"/>
  <c r="F80" i="18" s="1"/>
  <c r="E165" i="18"/>
  <c r="F165" i="18" s="1"/>
  <c r="E141" i="18"/>
  <c r="F141" i="18" s="1"/>
  <c r="E122" i="18"/>
  <c r="F122" i="18" s="1"/>
  <c r="E183" i="18"/>
  <c r="F183" i="18" s="1"/>
  <c r="E102" i="18"/>
  <c r="F102" i="18" s="1"/>
  <c r="E182" i="18"/>
  <c r="F182" i="18" s="1"/>
  <c r="E140" i="18"/>
  <c r="F140" i="18" s="1"/>
  <c r="E120" i="18"/>
  <c r="F120" i="18" s="1"/>
  <c r="E79" i="18"/>
  <c r="F79" i="18" s="1"/>
  <c r="E101" i="18"/>
  <c r="F101" i="18" s="1"/>
  <c r="E164" i="18"/>
  <c r="F164" i="18" s="1"/>
  <c r="E153" i="18"/>
  <c r="F153" i="18" s="1"/>
  <c r="E146" i="18"/>
  <c r="F146" i="18" s="1"/>
  <c r="E90" i="18"/>
  <c r="F90" i="18" s="1"/>
  <c r="E86" i="18"/>
  <c r="F86" i="18" s="1"/>
  <c r="E188" i="18"/>
  <c r="F188" i="18" s="1"/>
  <c r="E107" i="18"/>
  <c r="F107" i="18" s="1"/>
  <c r="E170" i="18"/>
  <c r="F170" i="18" s="1"/>
  <c r="E159" i="18"/>
  <c r="F159" i="18" s="1"/>
  <c r="E132" i="18"/>
  <c r="F132" i="18" s="1"/>
  <c r="E186" i="18"/>
  <c r="F186" i="18" s="1"/>
  <c r="E109" i="18"/>
  <c r="F109" i="18" s="1"/>
  <c r="E105" i="18"/>
  <c r="F105" i="18" s="1"/>
  <c r="E157" i="18"/>
  <c r="F157" i="18" s="1"/>
  <c r="E144" i="18"/>
  <c r="F144" i="18" s="1"/>
  <c r="E172" i="18"/>
  <c r="F172" i="18" s="1"/>
  <c r="E168" i="18"/>
  <c r="F168" i="18" s="1"/>
  <c r="E130" i="18"/>
  <c r="F130" i="18" s="1"/>
  <c r="E148" i="18"/>
  <c r="F148" i="18" s="1"/>
  <c r="E92" i="18"/>
  <c r="F92" i="18" s="1"/>
  <c r="E88" i="18"/>
  <c r="F88" i="18" s="1"/>
  <c r="E84" i="18"/>
  <c r="F84" i="18" s="1"/>
  <c r="E14" i="15"/>
  <c r="E75" i="18"/>
  <c r="F75" i="18" s="1"/>
  <c r="F69" i="18" s="1"/>
  <c r="E169" i="18"/>
  <c r="F169" i="18" s="1"/>
  <c r="E131" i="18"/>
  <c r="F131" i="18" s="1"/>
  <c r="E145" i="18"/>
  <c r="F145" i="18" s="1"/>
  <c r="E85" i="18"/>
  <c r="F85" i="18" s="1"/>
  <c r="E106" i="18"/>
  <c r="F106" i="18" s="1"/>
  <c r="E187" i="18"/>
  <c r="F187" i="18" s="1"/>
  <c r="E158" i="18"/>
  <c r="F158" i="18" s="1"/>
  <c r="E89" i="18"/>
  <c r="F89" i="18" s="1"/>
  <c r="E25" i="15" s="1"/>
  <c r="F33" i="18"/>
  <c r="F27" i="18" s="1"/>
  <c r="D36" i="5"/>
  <c r="D34" i="5"/>
  <c r="F319" i="5" l="1"/>
  <c r="F79" i="5"/>
  <c r="F91" i="18"/>
  <c r="E23" i="15"/>
  <c r="E12" i="15"/>
  <c r="E6" i="15"/>
  <c r="E11" i="15"/>
  <c r="E22" i="15"/>
  <c r="E7" i="15"/>
  <c r="E26" i="15"/>
  <c r="E24" i="15"/>
  <c r="F139" i="18"/>
  <c r="F181" i="18"/>
  <c r="F108" i="18"/>
  <c r="F152" i="18"/>
  <c r="F171" i="18"/>
  <c r="E63" i="18"/>
  <c r="F63" i="18" s="1"/>
  <c r="F41" i="18" s="1"/>
  <c r="F64" i="18" s="1"/>
  <c r="E65" i="18" s="1"/>
  <c r="F65" i="18" s="1"/>
  <c r="K6" i="15" s="1"/>
  <c r="F185" i="18"/>
  <c r="F83" i="18"/>
  <c r="F129" i="18"/>
  <c r="F163" i="18"/>
  <c r="F156" i="18"/>
  <c r="F78" i="18"/>
  <c r="F147" i="18"/>
  <c r="F87" i="18"/>
  <c r="F167" i="18"/>
  <c r="F104" i="18"/>
  <c r="F143" i="18"/>
  <c r="F100" i="18"/>
  <c r="E271" i="5"/>
  <c r="E110" i="5"/>
  <c r="H275" i="5"/>
  <c r="H273" i="5"/>
  <c r="H303" i="5"/>
  <c r="H301" i="5"/>
  <c r="E299" i="5"/>
  <c r="E247" i="5"/>
  <c r="E318" i="5"/>
  <c r="E194" i="18" l="1"/>
  <c r="F194" i="18" s="1"/>
  <c r="F180" i="18" s="1"/>
  <c r="K24" i="15"/>
  <c r="E160" i="18"/>
  <c r="E150" i="18"/>
  <c r="F150" i="18" s="1"/>
  <c r="F138" i="18" s="1"/>
  <c r="E98" i="18"/>
  <c r="E116" i="18"/>
  <c r="F116" i="18" s="1"/>
  <c r="F99" i="18" s="1"/>
  <c r="E179" i="18"/>
  <c r="F179" i="18" s="1"/>
  <c r="F162" i="18" s="1"/>
  <c r="D258" i="5"/>
  <c r="F161" i="18" l="1"/>
  <c r="K11" i="15" s="1"/>
  <c r="F160" i="18"/>
  <c r="F151" i="18" s="1"/>
  <c r="F98" i="18"/>
  <c r="F77" i="18" s="1"/>
  <c r="F68" i="18" s="1"/>
  <c r="F45" i="5"/>
  <c r="F26" i="5"/>
  <c r="D19" i="5"/>
  <c r="K9" i="15" l="1"/>
  <c r="E257" i="5"/>
  <c r="E258" i="5"/>
  <c r="E44" i="5" l="1"/>
  <c r="D44" i="5"/>
  <c r="F258" i="5" l="1"/>
  <c r="D257" i="5" l="1"/>
  <c r="F257" i="5" s="1"/>
  <c r="F256" i="5" s="1"/>
  <c r="E121" i="5"/>
  <c r="E120" i="5"/>
  <c r="E138" i="5"/>
  <c r="E137" i="5"/>
  <c r="E201" i="5"/>
  <c r="E200" i="5"/>
  <c r="E235" i="5"/>
  <c r="E234" i="5"/>
  <c r="E325" i="5"/>
  <c r="E324" i="5"/>
  <c r="D325" i="5"/>
  <c r="D235" i="5"/>
  <c r="D234" i="5" s="1"/>
  <c r="D201" i="5"/>
  <c r="D200" i="5" s="1"/>
  <c r="D138" i="5"/>
  <c r="D121" i="5"/>
  <c r="F264" i="5"/>
  <c r="F263" i="5"/>
  <c r="F262" i="5"/>
  <c r="D261" i="5"/>
  <c r="D260" i="5"/>
  <c r="F121" i="5" l="1"/>
  <c r="F200" i="5"/>
  <c r="F234" i="5"/>
  <c r="F325" i="5"/>
  <c r="D324" i="5"/>
  <c r="F324" i="5" s="1"/>
  <c r="F235" i="5"/>
  <c r="F138" i="5"/>
  <c r="F201" i="5"/>
  <c r="D137" i="5"/>
  <c r="F137" i="5" s="1"/>
  <c r="D120" i="5"/>
  <c r="F120" i="5" s="1"/>
  <c r="F261" i="5"/>
  <c r="F260" i="5"/>
  <c r="D130" i="5"/>
  <c r="D129" i="5"/>
  <c r="F323" i="5" l="1"/>
  <c r="F119" i="5"/>
  <c r="F136" i="5"/>
  <c r="F199" i="5"/>
  <c r="F233" i="5"/>
  <c r="F259" i="5"/>
  <c r="E36" i="5"/>
  <c r="E34" i="5"/>
  <c r="E29" i="5"/>
  <c r="E30" i="5"/>
  <c r="E31" i="5"/>
  <c r="E28" i="5"/>
  <c r="E19" i="5"/>
  <c r="E17" i="5"/>
  <c r="E10" i="5"/>
  <c r="D29" i="5"/>
  <c r="D30" i="5"/>
  <c r="D31" i="5"/>
  <c r="D28" i="5"/>
  <c r="D17" i="5"/>
  <c r="D10" i="5"/>
  <c r="B30" i="17" l="1"/>
  <c r="B20" i="17"/>
  <c r="B19" i="17"/>
  <c r="B36" i="17" s="1"/>
  <c r="B18" i="17"/>
  <c r="B35" i="17" s="1"/>
  <c r="B12" i="17"/>
  <c r="B10" i="17"/>
  <c r="B29" i="17" s="1"/>
  <c r="B9" i="17"/>
  <c r="B28" i="17" s="1"/>
  <c r="B8" i="17"/>
  <c r="B27" i="17" s="1"/>
  <c r="B7" i="17"/>
  <c r="B17" i="17" s="1"/>
  <c r="B34" i="17" s="1"/>
  <c r="B6" i="17"/>
  <c r="B25" i="17" s="1"/>
  <c r="E176" i="5"/>
  <c r="B26" i="17" l="1"/>
  <c r="B16" i="17"/>
  <c r="B33" i="17" s="1"/>
  <c r="C53" i="17"/>
  <c r="C52" i="17"/>
  <c r="C47" i="17"/>
  <c r="C45" i="17"/>
  <c r="C44" i="17"/>
  <c r="D43" i="17"/>
  <c r="D193" i="5" l="1"/>
  <c r="D192" i="5"/>
  <c r="D156" i="5"/>
  <c r="D51" i="15" s="1"/>
  <c r="D152" i="5"/>
  <c r="D148" i="5"/>
  <c r="D109" i="5"/>
  <c r="D134" i="5"/>
  <c r="D131" i="5"/>
  <c r="D110" i="5"/>
  <c r="D108" i="5"/>
  <c r="D107" i="5"/>
  <c r="D9" i="17" l="1"/>
  <c r="F51" i="15"/>
  <c r="D214" i="5"/>
  <c r="E317" i="5" l="1"/>
  <c r="E316" i="5"/>
  <c r="E314" i="5" l="1"/>
  <c r="E329" i="5" l="1"/>
  <c r="E328" i="5"/>
  <c r="E360" i="5" l="1"/>
  <c r="E358" i="5"/>
  <c r="D360" i="5"/>
  <c r="D358" i="5"/>
  <c r="D124" i="5"/>
  <c r="D123" i="5"/>
  <c r="D142" i="5"/>
  <c r="D141" i="5"/>
  <c r="D140" i="5"/>
  <c r="D292" i="5" l="1"/>
  <c r="D305" i="5" l="1"/>
  <c r="D59" i="15" s="1"/>
  <c r="F59" i="15" s="1"/>
  <c r="D307" i="5" l="1"/>
  <c r="D306" i="5"/>
  <c r="D204" i="5" l="1"/>
  <c r="D203" i="5"/>
  <c r="D238" i="5" l="1"/>
  <c r="D237" i="5"/>
  <c r="D337" i="5"/>
  <c r="D340" i="5"/>
  <c r="D339" i="5"/>
  <c r="E83" i="5"/>
  <c r="E68" i="5"/>
  <c r="D317" i="5" l="1"/>
  <c r="D312" i="5"/>
  <c r="D313" i="5"/>
  <c r="D314" i="5"/>
  <c r="D43" i="15" s="1"/>
  <c r="F43" i="15" s="1"/>
  <c r="D311" i="5"/>
  <c r="F329" i="5"/>
  <c r="F328" i="5"/>
  <c r="D385" i="5"/>
  <c r="J30" i="15" s="1"/>
  <c r="L30" i="15" s="1"/>
  <c r="F327" i="5" l="1"/>
  <c r="J13" i="15" s="1"/>
  <c r="L13" i="15" s="1"/>
  <c r="I9" i="16" s="1"/>
  <c r="D250" i="5"/>
  <c r="D249" i="5" s="1"/>
  <c r="D247" i="5"/>
  <c r="D246" i="5"/>
  <c r="D245" i="5"/>
  <c r="D274" i="5"/>
  <c r="D271" i="5"/>
  <c r="D302" i="5"/>
  <c r="D299" i="5"/>
  <c r="D297" i="5"/>
  <c r="D298" i="5"/>
  <c r="D296" i="5"/>
  <c r="D284" i="5"/>
  <c r="D283" i="5"/>
  <c r="E286" i="5"/>
  <c r="D318" i="5"/>
  <c r="F317" i="5"/>
  <c r="D316" i="5"/>
  <c r="D278" i="5"/>
  <c r="D269" i="5"/>
  <c r="D270" i="5"/>
  <c r="D268" i="5"/>
  <c r="D254" i="5"/>
  <c r="D253" i="5" s="1"/>
  <c r="E255" i="5"/>
  <c r="E254" i="5"/>
  <c r="E253" i="5"/>
  <c r="E251" i="5"/>
  <c r="E250" i="5"/>
  <c r="E249" i="5"/>
  <c r="E228" i="5"/>
  <c r="F316" i="5" l="1"/>
  <c r="F318" i="5"/>
  <c r="D255" i="5"/>
  <c r="F255" i="5" s="1"/>
  <c r="F254" i="5"/>
  <c r="F253" i="5"/>
  <c r="D251" i="5"/>
  <c r="D197" i="5"/>
  <c r="D194" i="5"/>
  <c r="D186" i="5"/>
  <c r="D182" i="5"/>
  <c r="D183" i="5"/>
  <c r="D181" i="5"/>
  <c r="D177" i="5"/>
  <c r="D56" i="15" s="1"/>
  <c r="D173" i="5"/>
  <c r="D169" i="5"/>
  <c r="D170" i="5"/>
  <c r="D168" i="5"/>
  <c r="D163" i="5"/>
  <c r="D53" i="15" s="1"/>
  <c r="F53" i="15" s="1"/>
  <c r="D162" i="5"/>
  <c r="D52" i="15" s="1"/>
  <c r="D159" i="5"/>
  <c r="D154" i="5"/>
  <c r="D50" i="15" s="1"/>
  <c r="D155" i="5"/>
  <c r="D49" i="15" s="1"/>
  <c r="F49" i="15" s="1"/>
  <c r="D153" i="5"/>
  <c r="D48" i="15" s="1"/>
  <c r="E150" i="5"/>
  <c r="D10" i="17" l="1"/>
  <c r="F52" i="15"/>
  <c r="D18" i="17"/>
  <c r="F48" i="15"/>
  <c r="D8" i="17"/>
  <c r="F50" i="15"/>
  <c r="F252" i="5"/>
  <c r="D117" i="5"/>
  <c r="D113" i="5"/>
  <c r="D100" i="5"/>
  <c r="D47" i="15" s="1"/>
  <c r="D99" i="5"/>
  <c r="D46" i="15" s="1"/>
  <c r="D77" i="5"/>
  <c r="E11" i="17" s="1"/>
  <c r="D74" i="5"/>
  <c r="D44" i="15" s="1"/>
  <c r="D73" i="5"/>
  <c r="D40" i="15" s="1"/>
  <c r="D72" i="5"/>
  <c r="D39" i="15" s="1"/>
  <c r="D71" i="5"/>
  <c r="D38" i="15" s="1"/>
  <c r="D57" i="15" l="1"/>
  <c r="F57" i="15" s="1"/>
  <c r="D4" i="17"/>
  <c r="F39" i="15"/>
  <c r="F46" i="15"/>
  <c r="D7" i="17"/>
  <c r="D17" i="17"/>
  <c r="D15" i="17" s="1"/>
  <c r="D20" i="17" s="1"/>
  <c r="F47" i="15"/>
  <c r="F40" i="15"/>
  <c r="E4" i="17"/>
  <c r="D14" i="17"/>
  <c r="D55" i="15"/>
  <c r="D102" i="5"/>
  <c r="D45" i="15" s="1"/>
  <c r="F45" i="15" s="1"/>
  <c r="D11" i="17" l="1"/>
  <c r="D5" i="17" s="1"/>
  <c r="D12" i="17" s="1"/>
  <c r="F55" i="15"/>
  <c r="E177" i="5"/>
  <c r="E313" i="5"/>
  <c r="E73" i="5"/>
  <c r="F306" i="5"/>
  <c r="F307" i="5"/>
  <c r="E303" i="5"/>
  <c r="E302" i="5"/>
  <c r="F302" i="5" s="1"/>
  <c r="E301" i="5"/>
  <c r="E297" i="5"/>
  <c r="F297" i="5" s="1"/>
  <c r="E298" i="5"/>
  <c r="F298" i="5" s="1"/>
  <c r="E296" i="5"/>
  <c r="F296" i="5" s="1"/>
  <c r="F305" i="5"/>
  <c r="D303" i="5"/>
  <c r="D301" i="5"/>
  <c r="F299" i="5"/>
  <c r="F292" i="5"/>
  <c r="E290" i="5"/>
  <c r="E289" i="5"/>
  <c r="F289" i="5" s="1"/>
  <c r="E288" i="5"/>
  <c r="E284" i="5"/>
  <c r="F284" i="5" s="1"/>
  <c r="E285" i="5"/>
  <c r="F285" i="5" s="1"/>
  <c r="E283" i="5"/>
  <c r="F283" i="5" s="1"/>
  <c r="D290" i="5"/>
  <c r="D288" i="5"/>
  <c r="F286" i="5"/>
  <c r="E275" i="5"/>
  <c r="E274" i="5"/>
  <c r="F274" i="5" s="1"/>
  <c r="E273" i="5"/>
  <c r="D275" i="5"/>
  <c r="D273" i="5"/>
  <c r="E279" i="5"/>
  <c r="E278" i="5"/>
  <c r="F278" i="5" s="1"/>
  <c r="E277" i="5"/>
  <c r="D279" i="5"/>
  <c r="D277" i="5"/>
  <c r="E270" i="5"/>
  <c r="F270" i="5" s="1"/>
  <c r="E269" i="5"/>
  <c r="F269" i="5" s="1"/>
  <c r="E268" i="5"/>
  <c r="F268" i="5" s="1"/>
  <c r="F271" i="5"/>
  <c r="E216" i="5"/>
  <c r="E215" i="5"/>
  <c r="F215" i="5" s="1"/>
  <c r="E214" i="5"/>
  <c r="E212" i="5"/>
  <c r="F212" i="5" s="1"/>
  <c r="E211" i="5"/>
  <c r="F211" i="5" s="1"/>
  <c r="E210" i="5"/>
  <c r="F210" i="5" s="1"/>
  <c r="E151" i="5"/>
  <c r="E149" i="5"/>
  <c r="E131" i="5"/>
  <c r="F131" i="5" s="1"/>
  <c r="E130" i="5"/>
  <c r="F130" i="5" s="1"/>
  <c r="E129" i="5"/>
  <c r="F129" i="5" s="1"/>
  <c r="F221" i="5"/>
  <c r="F220" i="5"/>
  <c r="F219" i="5"/>
  <c r="F218" i="5"/>
  <c r="D216" i="5"/>
  <c r="D160" i="5"/>
  <c r="D172" i="5"/>
  <c r="D174" i="5"/>
  <c r="D176" i="5"/>
  <c r="D187" i="5"/>
  <c r="D185" i="5"/>
  <c r="D232" i="5"/>
  <c r="D230" i="5"/>
  <c r="D135" i="5"/>
  <c r="E135" i="5"/>
  <c r="E134" i="5"/>
  <c r="F134" i="5" s="1"/>
  <c r="E133" i="5"/>
  <c r="F142" i="5"/>
  <c r="F143" i="5"/>
  <c r="F141" i="5"/>
  <c r="E118" i="5"/>
  <c r="E117" i="5"/>
  <c r="E116" i="5"/>
  <c r="F140" i="5"/>
  <c r="D133" i="5"/>
  <c r="D114" i="5"/>
  <c r="D112" i="5"/>
  <c r="D118" i="5"/>
  <c r="D116" i="5"/>
  <c r="D198" i="5"/>
  <c r="D196" i="5"/>
  <c r="E114" i="5"/>
  <c r="E113" i="5"/>
  <c r="F113" i="5" s="1"/>
  <c r="E112" i="5"/>
  <c r="F110" i="5"/>
  <c r="E108" i="5"/>
  <c r="F108" i="5" s="1"/>
  <c r="E109" i="5"/>
  <c r="F109" i="5" s="1"/>
  <c r="E107" i="5"/>
  <c r="F107" i="5" s="1"/>
  <c r="F125" i="5"/>
  <c r="F124" i="5"/>
  <c r="F123" i="5"/>
  <c r="F117" i="5" l="1"/>
  <c r="D25" i="15" s="1"/>
  <c r="F25" i="15" s="1"/>
  <c r="F121" i="18"/>
  <c r="E9" i="15" s="1"/>
  <c r="D27" i="15"/>
  <c r="F27" i="15" s="1"/>
  <c r="F291" i="5"/>
  <c r="F209" i="5"/>
  <c r="F304" i="5"/>
  <c r="F290" i="5"/>
  <c r="F303" i="5"/>
  <c r="F301" i="5"/>
  <c r="F295" i="5"/>
  <c r="F288" i="5"/>
  <c r="F282" i="5"/>
  <c r="F106" i="5"/>
  <c r="F275" i="5"/>
  <c r="F273" i="5"/>
  <c r="F279" i="5"/>
  <c r="F277" i="5"/>
  <c r="F267" i="5"/>
  <c r="F214" i="5"/>
  <c r="F216" i="5"/>
  <c r="F217" i="5"/>
  <c r="F128" i="5"/>
  <c r="F139" i="5"/>
  <c r="F133" i="5"/>
  <c r="F135" i="5"/>
  <c r="F122" i="5"/>
  <c r="F116" i="5"/>
  <c r="F118" i="5"/>
  <c r="F114" i="5"/>
  <c r="F112" i="5"/>
  <c r="F98" i="5"/>
  <c r="F177" i="5"/>
  <c r="D24" i="15" s="1"/>
  <c r="F24" i="15" s="1"/>
  <c r="E159" i="5"/>
  <c r="F159" i="5" s="1"/>
  <c r="E160" i="5"/>
  <c r="E158" i="5"/>
  <c r="D158" i="5"/>
  <c r="E231" i="5"/>
  <c r="F231" i="5" s="1"/>
  <c r="E232" i="5"/>
  <c r="E230" i="5"/>
  <c r="E227" i="5"/>
  <c r="E226" i="5"/>
  <c r="E312" i="5"/>
  <c r="E311" i="5"/>
  <c r="E246" i="5"/>
  <c r="E245" i="5"/>
  <c r="E173" i="5"/>
  <c r="F173" i="5" s="1"/>
  <c r="E174" i="5"/>
  <c r="E172" i="5"/>
  <c r="E170" i="5"/>
  <c r="F170" i="5" s="1"/>
  <c r="E169" i="5"/>
  <c r="F169" i="5" s="1"/>
  <c r="E168" i="5"/>
  <c r="F168" i="5" s="1"/>
  <c r="E197" i="5"/>
  <c r="E198" i="5"/>
  <c r="E196" i="5"/>
  <c r="E194" i="5"/>
  <c r="E193" i="5"/>
  <c r="E192" i="5"/>
  <c r="E186" i="5"/>
  <c r="E187" i="5"/>
  <c r="E185" i="5"/>
  <c r="E183" i="5"/>
  <c r="E182" i="5"/>
  <c r="E181" i="5"/>
  <c r="E148" i="5"/>
  <c r="E156" i="5"/>
  <c r="E155" i="5"/>
  <c r="E154" i="5"/>
  <c r="E153" i="5"/>
  <c r="E152" i="5"/>
  <c r="E163" i="5"/>
  <c r="E162" i="5"/>
  <c r="E100" i="5"/>
  <c r="E99" i="5"/>
  <c r="E102" i="5"/>
  <c r="E77" i="5"/>
  <c r="E78" i="5"/>
  <c r="E76" i="5"/>
  <c r="E74" i="5"/>
  <c r="F99" i="5" l="1"/>
  <c r="D14" i="15" s="1"/>
  <c r="F14" i="15" s="1"/>
  <c r="F100" i="5"/>
  <c r="D15" i="15" s="1"/>
  <c r="F15" i="15" s="1"/>
  <c r="D151" i="5"/>
  <c r="D42" i="15" s="1"/>
  <c r="F42" i="15" s="1"/>
  <c r="D149" i="5"/>
  <c r="D41" i="15" s="1"/>
  <c r="F41" i="15" s="1"/>
  <c r="F287" i="5"/>
  <c r="F300" i="5"/>
  <c r="E308" i="5" s="1"/>
  <c r="F308" i="5" s="1"/>
  <c r="F294" i="5" s="1"/>
  <c r="F213" i="5"/>
  <c r="E222" i="5" s="1"/>
  <c r="F272" i="5"/>
  <c r="F276" i="5"/>
  <c r="F111" i="5"/>
  <c r="F115" i="5"/>
  <c r="F132" i="5"/>
  <c r="E144" i="5" s="1"/>
  <c r="F232" i="5"/>
  <c r="F230" i="5"/>
  <c r="F160" i="5"/>
  <c r="F176" i="5"/>
  <c r="F175" i="5" s="1"/>
  <c r="F158" i="5"/>
  <c r="F174" i="5"/>
  <c r="F167" i="5"/>
  <c r="F172" i="5"/>
  <c r="E72" i="5"/>
  <c r="E71" i="5"/>
  <c r="F38" i="15" l="1"/>
  <c r="E126" i="5"/>
  <c r="F126" i="5" s="1"/>
  <c r="F105" i="5" s="1"/>
  <c r="F157" i="5"/>
  <c r="F144" i="5"/>
  <c r="F127" i="5" s="1"/>
  <c r="E280" i="5"/>
  <c r="F280" i="5" s="1"/>
  <c r="F266" i="5" s="1"/>
  <c r="E293" i="5"/>
  <c r="F293" i="5" s="1"/>
  <c r="F281" i="5" s="1"/>
  <c r="F171" i="5"/>
  <c r="E178" i="5" s="1"/>
  <c r="F178" i="5" l="1"/>
  <c r="F166" i="5" s="1"/>
  <c r="E103" i="5" l="1"/>
  <c r="F314" i="5" l="1"/>
  <c r="F313" i="5"/>
  <c r="F247" i="5"/>
  <c r="F151" i="5"/>
  <c r="D10" i="15" s="1"/>
  <c r="F73" i="5"/>
  <c r="F62" i="5"/>
  <c r="F61" i="5"/>
  <c r="F60" i="5"/>
  <c r="F59" i="5"/>
  <c r="F57" i="5"/>
  <c r="F56" i="5"/>
  <c r="F55" i="5"/>
  <c r="F54" i="5"/>
  <c r="F53" i="5"/>
  <c r="F52" i="5"/>
  <c r="F50" i="5"/>
  <c r="F49" i="5"/>
  <c r="F48" i="5"/>
  <c r="F47" i="5"/>
  <c r="F46" i="5"/>
  <c r="F44" i="5"/>
  <c r="F42" i="5"/>
  <c r="F40" i="5"/>
  <c r="F39" i="5"/>
  <c r="F38" i="5"/>
  <c r="F37" i="5"/>
  <c r="F36" i="5"/>
  <c r="F35" i="5"/>
  <c r="F34" i="5"/>
  <c r="F32" i="5"/>
  <c r="F31" i="5"/>
  <c r="F30" i="5"/>
  <c r="F29" i="5"/>
  <c r="F28" i="5"/>
  <c r="F24" i="5"/>
  <c r="F23" i="5"/>
  <c r="F22" i="5"/>
  <c r="F21" i="5"/>
  <c r="F20" i="5"/>
  <c r="F19" i="5"/>
  <c r="F18" i="5"/>
  <c r="F17" i="5"/>
  <c r="F15" i="5"/>
  <c r="F14" i="5"/>
  <c r="F13" i="5"/>
  <c r="F12" i="5"/>
  <c r="F11" i="5"/>
  <c r="F10" i="5"/>
  <c r="F44" i="15" l="1"/>
  <c r="F9" i="5"/>
  <c r="D8" i="15"/>
  <c r="F8" i="15" s="1"/>
  <c r="F58" i="5"/>
  <c r="F33" i="5"/>
  <c r="F27" i="5" s="1"/>
  <c r="F16" i="5"/>
  <c r="F43" i="5"/>
  <c r="F51" i="5"/>
  <c r="F56" i="15" l="1"/>
  <c r="E5" i="17"/>
  <c r="E12" i="17" s="1"/>
  <c r="D123" i="18" s="1"/>
  <c r="F123" i="18" s="1"/>
  <c r="E25" i="5"/>
  <c r="F25" i="5" s="1"/>
  <c r="E10" i="15" l="1"/>
  <c r="F10" i="15" s="1"/>
  <c r="F119" i="18"/>
  <c r="E137" i="18" s="1"/>
  <c r="F137" i="18" s="1"/>
  <c r="F118" i="18" s="1"/>
  <c r="F117" i="18" s="1"/>
  <c r="D76" i="5"/>
  <c r="D54" i="15" s="1"/>
  <c r="F54" i="15" s="1"/>
  <c r="K10" i="15" l="1"/>
  <c r="F199" i="18"/>
  <c r="F183" i="5"/>
  <c r="F204" i="5"/>
  <c r="F205" i="5"/>
  <c r="F206" i="5"/>
  <c r="F203" i="5"/>
  <c r="E201" i="18" l="1"/>
  <c r="F201" i="18" s="1"/>
  <c r="F67" i="18" s="1"/>
  <c r="F68" i="5"/>
  <c r="F152" i="5"/>
  <c r="D11" i="15" s="1"/>
  <c r="F11" i="15" s="1"/>
  <c r="F202" i="5"/>
  <c r="F228" i="5"/>
  <c r="F74" i="5"/>
  <c r="F194" i="5"/>
  <c r="F361" i="5"/>
  <c r="F360" i="5"/>
  <c r="F359" i="5"/>
  <c r="F352" i="5"/>
  <c r="F351" i="5"/>
  <c r="F341" i="5"/>
  <c r="F340" i="5"/>
  <c r="F339" i="5"/>
  <c r="F338" i="5"/>
  <c r="F337" i="5"/>
  <c r="F241" i="5"/>
  <c r="F240" i="5"/>
  <c r="F239" i="5"/>
  <c r="F238" i="5"/>
  <c r="F237" i="5"/>
  <c r="F155" i="5"/>
  <c r="D17" i="15" s="1"/>
  <c r="F17" i="15" s="1"/>
  <c r="F154" i="5"/>
  <c r="D18" i="15" s="1"/>
  <c r="F18" i="15" s="1"/>
  <c r="F104" i="5"/>
  <c r="F101" i="5"/>
  <c r="K25" i="15" l="1"/>
  <c r="F212" i="18"/>
  <c r="K8" i="15"/>
  <c r="D12" i="15"/>
  <c r="F12" i="15" s="1"/>
  <c r="F236" i="5"/>
  <c r="F332" i="5" s="1"/>
  <c r="F342" i="5"/>
  <c r="E343" i="5" s="1"/>
  <c r="F343" i="5" s="1"/>
  <c r="E223" i="18" l="1"/>
  <c r="F223" i="18" s="1"/>
  <c r="E216" i="18"/>
  <c r="F216" i="18" s="1"/>
  <c r="K18" i="15"/>
  <c r="E222" i="18"/>
  <c r="F222" i="18" s="1"/>
  <c r="E220" i="18"/>
  <c r="F220" i="18" s="1"/>
  <c r="E217" i="18"/>
  <c r="F217" i="18" s="1"/>
  <c r="E221" i="18"/>
  <c r="F221" i="18" s="1"/>
  <c r="E334" i="5"/>
  <c r="F334" i="5" s="1"/>
  <c r="F336" i="5"/>
  <c r="J14" i="15" s="1"/>
  <c r="L14" i="15" s="1"/>
  <c r="I10" i="16" s="1"/>
  <c r="F102" i="5"/>
  <c r="D13" i="15" s="1"/>
  <c r="F13" i="15" s="1"/>
  <c r="F215" i="18" l="1"/>
  <c r="F219" i="18"/>
  <c r="F218" i="18" s="1"/>
  <c r="E353" i="5"/>
  <c r="F353" i="5" s="1"/>
  <c r="F354" i="5" s="1"/>
  <c r="E355" i="5" s="1"/>
  <c r="F355" i="5" s="1"/>
  <c r="F350" i="5" s="1"/>
  <c r="F8" i="5"/>
  <c r="E63" i="5" s="1"/>
  <c r="F312" i="5"/>
  <c r="F246" i="5"/>
  <c r="F182" i="5"/>
  <c r="F227" i="5"/>
  <c r="F150" i="5"/>
  <c r="F72" i="5"/>
  <c r="F193" i="5"/>
  <c r="F149" i="5"/>
  <c r="D9" i="15" s="1"/>
  <c r="F9" i="15" s="1"/>
  <c r="F148" i="5"/>
  <c r="F71" i="5"/>
  <c r="F192" i="5"/>
  <c r="F181" i="5"/>
  <c r="F311" i="5"/>
  <c r="F245" i="5"/>
  <c r="F226" i="5"/>
  <c r="E346" i="5"/>
  <c r="F346" i="5" s="1"/>
  <c r="F347" i="5" s="1"/>
  <c r="E348" i="5" s="1"/>
  <c r="F348" i="5" s="1"/>
  <c r="F345" i="5" s="1"/>
  <c r="F162" i="5"/>
  <c r="D20" i="15" s="1"/>
  <c r="F20" i="15" s="1"/>
  <c r="F163" i="5"/>
  <c r="D21" i="15" s="1"/>
  <c r="F21" i="15" s="1"/>
  <c r="F197" i="5"/>
  <c r="F153" i="5"/>
  <c r="D16" i="15" s="1"/>
  <c r="F16" i="15" s="1"/>
  <c r="F156" i="5"/>
  <c r="D19" i="15" s="1"/>
  <c r="F19" i="15" s="1"/>
  <c r="F358" i="5"/>
  <c r="F83" i="5"/>
  <c r="F103" i="5"/>
  <c r="F97" i="5" s="1"/>
  <c r="F96" i="5" s="1"/>
  <c r="F251" i="5"/>
  <c r="F198" i="5"/>
  <c r="F187" i="5"/>
  <c r="F77" i="5"/>
  <c r="F250" i="5"/>
  <c r="F186" i="5"/>
  <c r="F249" i="5"/>
  <c r="F196" i="5"/>
  <c r="F185" i="5"/>
  <c r="F224" i="18" l="1"/>
  <c r="E225" i="18" s="1"/>
  <c r="F225" i="18" s="1"/>
  <c r="F214" i="18" s="1"/>
  <c r="K19" i="15" s="1"/>
  <c r="K27" i="15" s="1"/>
  <c r="D23" i="15"/>
  <c r="F23" i="15" s="1"/>
  <c r="D6" i="15"/>
  <c r="F6" i="15" s="1"/>
  <c r="D7" i="15"/>
  <c r="F7" i="15" s="1"/>
  <c r="J9" i="15"/>
  <c r="L9" i="15" s="1"/>
  <c r="I5" i="16" s="1"/>
  <c r="J15" i="15"/>
  <c r="L15" i="15" s="1"/>
  <c r="I11" i="16" s="1"/>
  <c r="J16" i="15"/>
  <c r="L16" i="15" s="1"/>
  <c r="I12" i="16" s="1"/>
  <c r="J26" i="15"/>
  <c r="L26" i="15" s="1"/>
  <c r="I20" i="16" s="1"/>
  <c r="F180" i="5"/>
  <c r="F191" i="5"/>
  <c r="F225" i="5"/>
  <c r="F147" i="5"/>
  <c r="F310" i="5"/>
  <c r="F70" i="5"/>
  <c r="F184" i="5"/>
  <c r="F195" i="5"/>
  <c r="F362" i="5"/>
  <c r="E363" i="5" s="1"/>
  <c r="F363" i="5" s="1"/>
  <c r="F357" i="5" s="1"/>
  <c r="F244" i="5"/>
  <c r="F315" i="5"/>
  <c r="F229" i="5"/>
  <c r="F248" i="5"/>
  <c r="F161" i="5"/>
  <c r="F227" i="18" l="1"/>
  <c r="K20" i="15" s="1"/>
  <c r="E242" i="5"/>
  <c r="F242" i="5" s="1"/>
  <c r="F224" i="5" s="1"/>
  <c r="E265" i="5"/>
  <c r="E207" i="5"/>
  <c r="F207" i="5" s="1"/>
  <c r="F190" i="5" s="1"/>
  <c r="E165" i="5"/>
  <c r="F165" i="5" s="1"/>
  <c r="F146" i="5" s="1"/>
  <c r="E326" i="5"/>
  <c r="F326" i="5" s="1"/>
  <c r="F309" i="5" s="1"/>
  <c r="J17" i="15"/>
  <c r="L17" i="15" s="1"/>
  <c r="I13" i="16" s="1"/>
  <c r="E188" i="5"/>
  <c r="F188" i="5" s="1"/>
  <c r="F179" i="5" s="1"/>
  <c r="E229" i="18" l="1"/>
  <c r="F229" i="18" s="1"/>
  <c r="K21" i="15" s="1"/>
  <c r="K28" i="15" s="1"/>
  <c r="F265" i="5"/>
  <c r="F243" i="5" s="1"/>
  <c r="F223" i="5" s="1"/>
  <c r="J12" i="15" s="1"/>
  <c r="L12" i="15" s="1"/>
  <c r="I8" i="16" s="1"/>
  <c r="F145" i="5"/>
  <c r="F76" i="5"/>
  <c r="D22" i="15" s="1"/>
  <c r="F22" i="15" s="1"/>
  <c r="D78" i="5"/>
  <c r="D58" i="15" s="1"/>
  <c r="F58" i="15" s="1"/>
  <c r="F231" i="18" l="1"/>
  <c r="F233" i="18" s="1"/>
  <c r="K31" i="15" s="1"/>
  <c r="J10" i="15"/>
  <c r="L10" i="15" s="1"/>
  <c r="I6" i="16" s="1"/>
  <c r="F78" i="5"/>
  <c r="D26" i="15" s="1"/>
  <c r="F26" i="15" s="1"/>
  <c r="K22" i="15" l="1"/>
  <c r="F75" i="5"/>
  <c r="F69" i="5" s="1"/>
  <c r="F92" i="5" s="1"/>
  <c r="E93" i="5" l="1"/>
  <c r="F93" i="5" s="1"/>
  <c r="F67" i="5" l="1"/>
  <c r="J7" i="15" s="1"/>
  <c r="L7" i="15" s="1"/>
  <c r="I3" i="16" s="1"/>
  <c r="F222" i="5" l="1"/>
  <c r="F208" i="5" s="1"/>
  <c r="F189" i="5" s="1"/>
  <c r="J11" i="15" l="1"/>
  <c r="L11" i="15" s="1"/>
  <c r="I7" i="16" s="1"/>
  <c r="F331" i="5"/>
  <c r="E333" i="5" l="1"/>
  <c r="F333" i="5" s="1"/>
  <c r="F95" i="5" s="1"/>
  <c r="J25" i="15" l="1"/>
  <c r="L25" i="15" s="1"/>
  <c r="I19" i="16" s="1"/>
  <c r="J8" i="15" l="1"/>
  <c r="L8" i="15" s="1"/>
  <c r="I4" i="16" s="1"/>
  <c r="F63" i="5"/>
  <c r="F41" i="5" s="1"/>
  <c r="F64" i="5" s="1"/>
  <c r="E65" i="5" l="1"/>
  <c r="F65" i="5" s="1"/>
  <c r="J6" i="15" l="1"/>
  <c r="L6" i="15" s="1"/>
  <c r="I2" i="16" s="1"/>
  <c r="F365" i="5"/>
  <c r="J24" i="15" l="1"/>
  <c r="L24" i="15" s="1"/>
  <c r="E369" i="5"/>
  <c r="F369" i="5" s="1"/>
  <c r="E374" i="5"/>
  <c r="F374" i="5" s="1"/>
  <c r="E376" i="5"/>
  <c r="F376" i="5" s="1"/>
  <c r="E370" i="5"/>
  <c r="F370" i="5" s="1"/>
  <c r="E375" i="5"/>
  <c r="F375" i="5" s="1"/>
  <c r="E373" i="5"/>
  <c r="F373" i="5" s="1"/>
  <c r="J18" i="15"/>
  <c r="L18" i="15" s="1"/>
  <c r="I14" i="16" s="1"/>
  <c r="F368" i="5" l="1"/>
  <c r="F372" i="5"/>
  <c r="F371" i="5" s="1"/>
  <c r="F377" i="5" l="1"/>
  <c r="E378" i="5" l="1"/>
  <c r="F378" i="5" s="1"/>
  <c r="F367" i="5" s="1"/>
  <c r="J19" i="15" l="1"/>
  <c r="L19" i="15" s="1"/>
  <c r="I15" i="16" s="1"/>
  <c r="F380" i="5"/>
  <c r="J27" i="15" l="1"/>
  <c r="L27" i="15" s="1"/>
  <c r="E382" i="5"/>
  <c r="F382" i="5" s="1"/>
  <c r="J21" i="15" s="1"/>
  <c r="L21" i="15" s="1"/>
  <c r="I17" i="16" s="1"/>
  <c r="J20" i="15"/>
  <c r="L20" i="15" s="1"/>
  <c r="I16" i="16" s="1"/>
  <c r="F384" i="5" l="1"/>
  <c r="J22" i="15" s="1"/>
  <c r="L22" i="15" s="1"/>
  <c r="I18" i="16" s="1"/>
  <c r="J28" i="15"/>
  <c r="L28" i="15" s="1"/>
  <c r="F386" i="5" l="1"/>
  <c r="J31" i="15" s="1"/>
  <c r="L31" i="15" s="1"/>
  <c r="I21" i="16" s="1"/>
  <c r="J25" i="16" l="1" a="1"/>
  <c r="J25" i="16" s="1"/>
  <c r="I2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<sst xmlns="http://schemas.openxmlformats.org/spreadsheetml/2006/main" count="3207" uniqueCount="1175">
  <si>
    <t>ITEM</t>
  </si>
  <si>
    <t>.10.</t>
  </si>
  <si>
    <t>.10.10</t>
  </si>
  <si>
    <t>.10.10.10</t>
  </si>
  <si>
    <t>m²</t>
  </si>
  <si>
    <t>.10.10.10.10</t>
  </si>
  <si>
    <t>ha</t>
  </si>
  <si>
    <t>.10.10.10.11</t>
  </si>
  <si>
    <t>.10.10.10.40</t>
  </si>
  <si>
    <t>.10.10.10.43</t>
  </si>
  <si>
    <t>gl</t>
  </si>
  <si>
    <t>.10.10.10.44</t>
  </si>
  <si>
    <t>.10.10.10.17</t>
  </si>
  <si>
    <t>.10.10.11</t>
  </si>
  <si>
    <t>.10.10.11.10</t>
  </si>
  <si>
    <t>.10.10.11.11</t>
  </si>
  <si>
    <t>.10.10.11.40</t>
  </si>
  <si>
    <t>.10.10.11.41</t>
  </si>
  <si>
    <t>.10.10.11.42</t>
  </si>
  <si>
    <t>.10.10.11.43</t>
  </si>
  <si>
    <t>.10.10.11.44</t>
  </si>
  <si>
    <t>.10.10.11.17</t>
  </si>
  <si>
    <t>.10.10.12</t>
  </si>
  <si>
    <t>%</t>
  </si>
  <si>
    <t>.10.10.13</t>
  </si>
  <si>
    <t>.10.11</t>
  </si>
  <si>
    <t>.10.11.14</t>
  </si>
  <si>
    <t>km</t>
  </si>
  <si>
    <t>.10.11.15</t>
  </si>
  <si>
    <t>.10.11.16</t>
  </si>
  <si>
    <t>.10.11.18</t>
  </si>
  <si>
    <t>.10.11.19</t>
  </si>
  <si>
    <t>.10.11.20</t>
  </si>
  <si>
    <t>.10.11.20.41</t>
  </si>
  <si>
    <t>.10.11.20.42</t>
  </si>
  <si>
    <t>.10.11.20.43</t>
  </si>
  <si>
    <t>.10.11.20.44</t>
  </si>
  <si>
    <t>.10.11.20.17</t>
  </si>
  <si>
    <t>.10.11.21</t>
  </si>
  <si>
    <t>.10.11.13</t>
  </si>
  <si>
    <t>.10.15</t>
  </si>
  <si>
    <t>.10.15.44</t>
  </si>
  <si>
    <t>.10.15.45</t>
  </si>
  <si>
    <t>.10.15.45.18</t>
  </si>
  <si>
    <t>.10.15.45.40</t>
  </si>
  <si>
    <t>.10.15.45.45</t>
  </si>
  <si>
    <t>.10.15.45.46</t>
  </si>
  <si>
    <t>.10.15.45.47</t>
  </si>
  <si>
    <t>.10.15.45.48</t>
  </si>
  <si>
    <t>.10.15.45.17</t>
  </si>
  <si>
    <t>.10.15.46</t>
  </si>
  <si>
    <t>.10.15.46.42</t>
  </si>
  <si>
    <t>.10.15.46.49</t>
  </si>
  <si>
    <t>.10.15.46.50</t>
  </si>
  <si>
    <t>.10.15.46.51</t>
  </si>
  <si>
    <t>.10.15.46.52</t>
  </si>
  <si>
    <t>.10.15.46.17</t>
  </si>
  <si>
    <t>.10.15.47</t>
  </si>
  <si>
    <t>.10.15.47.53</t>
  </si>
  <si>
    <t>.10.15.47.55</t>
  </si>
  <si>
    <t>.10.15.47.17</t>
  </si>
  <si>
    <t>.10.15.48</t>
  </si>
  <si>
    <t>.10.15.13</t>
  </si>
  <si>
    <t>.10.27</t>
  </si>
  <si>
    <t>.11.</t>
  </si>
  <si>
    <t>.11.12</t>
  </si>
  <si>
    <t>.11.13</t>
  </si>
  <si>
    <t>.11.13.00.12</t>
  </si>
  <si>
    <t>.11.13.00.12.10</t>
  </si>
  <si>
    <t>m³</t>
  </si>
  <si>
    <t>.11.13.00.12.11</t>
  </si>
  <si>
    <t>.11.13.00.12.12</t>
  </si>
  <si>
    <t xml:space="preserve">.11.13.00.13   </t>
  </si>
  <si>
    <t>.11.13.00.14</t>
  </si>
  <si>
    <t>.11.13.00.14.13</t>
  </si>
  <si>
    <t>t</t>
  </si>
  <si>
    <t>.11.13.00.14.14</t>
  </si>
  <si>
    <t>.11.13.00.14.15</t>
  </si>
  <si>
    <t>.11.13.00.15</t>
  </si>
  <si>
    <t>.11.27</t>
  </si>
  <si>
    <t>.12.</t>
  </si>
  <si>
    <t>.12.16</t>
  </si>
  <si>
    <t>.12.16.22</t>
  </si>
  <si>
    <t>.12.16.22.19</t>
  </si>
  <si>
    <t>.12.16.22.20</t>
  </si>
  <si>
    <t>.12.16.22.21</t>
  </si>
  <si>
    <t>.12.16.22.22</t>
  </si>
  <si>
    <t>.12.16.22.56</t>
  </si>
  <si>
    <t>.12.16.23</t>
  </si>
  <si>
    <t>un</t>
  </si>
  <si>
    <t>.12.17</t>
  </si>
  <si>
    <t>.12.17.25</t>
  </si>
  <si>
    <t>.12.17.25.12</t>
  </si>
  <si>
    <t>.12.17.25.12.10</t>
  </si>
  <si>
    <t>.12.17.25.12.11</t>
  </si>
  <si>
    <t>.12.17.25.13</t>
  </si>
  <si>
    <t>.12.17.25.24</t>
  </si>
  <si>
    <t>.12.17.25.25</t>
  </si>
  <si>
    <t>.12.17.25.26</t>
  </si>
  <si>
    <t>.12.17.25.29</t>
  </si>
  <si>
    <t>.12.17.25.27</t>
  </si>
  <si>
    <t>.12.17.25.27.13</t>
  </si>
  <si>
    <t>.12.17.25.27.14</t>
  </si>
  <si>
    <t>.12.17.25.32</t>
  </si>
  <si>
    <t>.12.17.25.32.18</t>
  </si>
  <si>
    <t>.12.17.25.32.19</t>
  </si>
  <si>
    <t>.12.17.25.17</t>
  </si>
  <si>
    <t>.12.17.26</t>
  </si>
  <si>
    <t>.12.17.27</t>
  </si>
  <si>
    <t>.12.17.27.12</t>
  </si>
  <si>
    <t>.12.17.27.12.10</t>
  </si>
  <si>
    <t>.12.17.27.12.11</t>
  </si>
  <si>
    <t>.12.17.27.13</t>
  </si>
  <si>
    <t>.12.17.27.14</t>
  </si>
  <si>
    <t>.12.17.27.14.13</t>
  </si>
  <si>
    <t>.12.17.27.14.14</t>
  </si>
  <si>
    <t>.12.17.27.14.15</t>
  </si>
  <si>
    <t>.12.17.27.17</t>
  </si>
  <si>
    <t>.12.18</t>
  </si>
  <si>
    <t>.12.18.28</t>
  </si>
  <si>
    <t>.12.18.28.12</t>
  </si>
  <si>
    <t>.12.18.28.12.10</t>
  </si>
  <si>
    <t>.12.18.28.12.11</t>
  </si>
  <si>
    <t>.12.18.28.13</t>
  </si>
  <si>
    <t>.12.18.28.14</t>
  </si>
  <si>
    <t>.12.18.28.14.13</t>
  </si>
  <si>
    <t>.12.18.28.14.14</t>
  </si>
  <si>
    <t>.12.18.28.14.15</t>
  </si>
  <si>
    <t>.12.18.28.23</t>
  </si>
  <si>
    <t>.12.18.28.23.16</t>
  </si>
  <si>
    <t>.12.18.28.23.56</t>
  </si>
  <si>
    <t>.12.18.28.23.17</t>
  </si>
  <si>
    <t>.12.18.28.23.20</t>
  </si>
  <si>
    <t>.12.18.28.17</t>
  </si>
  <si>
    <t>.12.18.29</t>
  </si>
  <si>
    <t>.12.19</t>
  </si>
  <si>
    <t>.12.19.30</t>
  </si>
  <si>
    <t>.12.19.30.12</t>
  </si>
  <si>
    <t>.12.19.30.12.10</t>
  </si>
  <si>
    <t>.12.19.30.12.11</t>
  </si>
  <si>
    <t>.12.19.30.13</t>
  </si>
  <si>
    <t>.12.19.30.14</t>
  </si>
  <si>
    <t>.12.19.30.14.13</t>
  </si>
  <si>
    <t>.12.19.30.14.14</t>
  </si>
  <si>
    <t>.12.19.30.14.15</t>
  </si>
  <si>
    <t>.12.19.30.23</t>
  </si>
  <si>
    <t>.12.19.30.23.16</t>
  </si>
  <si>
    <t>.12.19.30.23.17</t>
  </si>
  <si>
    <t>.12.19.30.23.56</t>
  </si>
  <si>
    <t>.12.19.30.23.20</t>
  </si>
  <si>
    <t>.12.19.30.23.21</t>
  </si>
  <si>
    <t>.12.19.30.17</t>
  </si>
  <si>
    <t>.12.19.31</t>
  </si>
  <si>
    <t>.12.19.31.12</t>
  </si>
  <si>
    <t>.12.19.31.12.10</t>
  </si>
  <si>
    <t>.12.19.31.12.11</t>
  </si>
  <si>
    <t>.12.19.31.13</t>
  </si>
  <si>
    <t>.12.19.31.14</t>
  </si>
  <si>
    <t>.12.19.31.14.13</t>
  </si>
  <si>
    <t>.12.19.31.14.14</t>
  </si>
  <si>
    <t>.12.19.31.14.15</t>
  </si>
  <si>
    <t>.12.19.31.17</t>
  </si>
  <si>
    <t>.12.19.32</t>
  </si>
  <si>
    <t>.12.19.33</t>
  </si>
  <si>
    <t>.12.19.35</t>
  </si>
  <si>
    <t>.12.19.35.12</t>
  </si>
  <si>
    <t>.12.19.35.12.10</t>
  </si>
  <si>
    <t>.12.19.35.12.11</t>
  </si>
  <si>
    <t>.12.19.35.12.12</t>
  </si>
  <si>
    <t>.12.19.35.13</t>
  </si>
  <si>
    <t>.12.19.35.14</t>
  </si>
  <si>
    <t>.12.19.35.14.13</t>
  </si>
  <si>
    <t>.12.19.35.14.14</t>
  </si>
  <si>
    <t>.12.19.35.14.15</t>
  </si>
  <si>
    <t>.12.19.35.17</t>
  </si>
  <si>
    <t>.12.20</t>
  </si>
  <si>
    <t>.12.20.36</t>
  </si>
  <si>
    <t>.12.20.37</t>
  </si>
  <si>
    <t>.12.27.98</t>
  </si>
  <si>
    <t>.12.27.99</t>
  </si>
  <si>
    <t>.13.</t>
  </si>
  <si>
    <t>.13.13.00.23.17</t>
  </si>
  <si>
    <t>.13.13.00.23.20</t>
  </si>
  <si>
    <t>.13.13.00.23.28</t>
  </si>
  <si>
    <t>.13.13.00.23.29</t>
  </si>
  <si>
    <t>.13.13.00.23.56</t>
  </si>
  <si>
    <t>.13.27</t>
  </si>
  <si>
    <t>.14.</t>
  </si>
  <si>
    <t>.14.00.00.23.30</t>
  </si>
  <si>
    <t>.14.27</t>
  </si>
  <si>
    <t>.15.</t>
  </si>
  <si>
    <t>.15.13.00.23.20</t>
  </si>
  <si>
    <t>.15.00.00.23.31</t>
  </si>
  <si>
    <t>.15.27</t>
  </si>
  <si>
    <t>.16.</t>
  </si>
  <si>
    <t>.16.00.14</t>
  </si>
  <si>
    <t>.16.00.15</t>
  </si>
  <si>
    <t>.16.00.16</t>
  </si>
  <si>
    <t>.16.00.17</t>
  </si>
  <si>
    <t>.16.27</t>
  </si>
  <si>
    <t>.17.</t>
  </si>
  <si>
    <t>.17.21</t>
  </si>
  <si>
    <t>.17.21.38</t>
  </si>
  <si>
    <t>.17.21.39</t>
  </si>
  <si>
    <t>.17.22</t>
  </si>
  <si>
    <t>.17.22.40</t>
  </si>
  <si>
    <t>.17.22.40.36</t>
  </si>
  <si>
    <t>.17.22.40.37</t>
  </si>
  <si>
    <t>.17.22.40.54</t>
  </si>
  <si>
    <t>.17.22.41</t>
  </si>
  <si>
    <t>.17.27</t>
  </si>
  <si>
    <t>.18.</t>
  </si>
  <si>
    <t>kW</t>
  </si>
  <si>
    <r>
      <t>m</t>
    </r>
    <r>
      <rPr>
        <vertAlign val="superscript"/>
        <sz val="9"/>
        <rFont val="Arial"/>
        <family val="2"/>
      </rPr>
      <t>3</t>
    </r>
  </si>
  <si>
    <r>
      <t>m</t>
    </r>
    <r>
      <rPr>
        <vertAlign val="superscript"/>
        <sz val="9"/>
        <rFont val="Arial"/>
        <family val="2"/>
      </rPr>
      <t>2</t>
    </r>
  </si>
  <si>
    <t>.12.16.24</t>
  </si>
  <si>
    <t>.12.19.34</t>
  </si>
  <si>
    <t>-</t>
  </si>
  <si>
    <t>MW</t>
  </si>
  <si>
    <t>.12.16.22.12</t>
  </si>
  <si>
    <t>.12.17.26.12</t>
  </si>
  <si>
    <t>.12.17.26.12.10</t>
  </si>
  <si>
    <t>.12.17.26.12.11</t>
  </si>
  <si>
    <t>.12.17.26.13</t>
  </si>
  <si>
    <t>.12.17.26.14</t>
  </si>
  <si>
    <t>.12.17.26.14.13</t>
  </si>
  <si>
    <t>.12.17.26.14.14</t>
  </si>
  <si>
    <t>.12.17.26.14.15</t>
  </si>
  <si>
    <t>.12.17.26.17</t>
  </si>
  <si>
    <t>.12.17.26.15</t>
  </si>
  <si>
    <t>.12.17.26.15.13</t>
  </si>
  <si>
    <t>.12.17.26.15.14</t>
  </si>
  <si>
    <t>.12.17.25.27.15</t>
  </si>
  <si>
    <t>.12.16.23.12</t>
  </si>
  <si>
    <t>.12.16.23.12.10</t>
  </si>
  <si>
    <t>.12.16.23.12.11</t>
  </si>
  <si>
    <t>.12.16.23.13</t>
  </si>
  <si>
    <t>.12.16.23.14</t>
  </si>
  <si>
    <t>.12.16.23.14.13</t>
  </si>
  <si>
    <t>.12.16.23.14.14</t>
  </si>
  <si>
    <t>.12.16.23.14.15</t>
  </si>
  <si>
    <t>.12.16.23.23</t>
  </si>
  <si>
    <t>.12.16.23.23.16</t>
  </si>
  <si>
    <t>.12.16.23.23.17</t>
  </si>
  <si>
    <t>.12.16.23.23.56</t>
  </si>
  <si>
    <t>.12.16.23.17</t>
  </si>
  <si>
    <t>.12.16.23.12.12</t>
  </si>
  <si>
    <t>.12.16.24.12</t>
  </si>
  <si>
    <t>.12.16.24.12.10</t>
  </si>
  <si>
    <t>.12.16.24.12.11</t>
  </si>
  <si>
    <t>.12.16.24.13</t>
  </si>
  <si>
    <t>.12.16.24.14</t>
  </si>
  <si>
    <t>.12.16.24.14.13</t>
  </si>
  <si>
    <t>.12.16.24.14.14</t>
  </si>
  <si>
    <t>.12.16.24.14.15</t>
  </si>
  <si>
    <t>.12.16.24.23</t>
  </si>
  <si>
    <t>.12.16.24.23.16</t>
  </si>
  <si>
    <t>.12.16.24.23.56</t>
  </si>
  <si>
    <t>.12.16.24.23.17</t>
  </si>
  <si>
    <t>.12.16.24.17</t>
  </si>
  <si>
    <t>.12.18.29.12</t>
  </si>
  <si>
    <t>.12.18.29.12.10</t>
  </si>
  <si>
    <t>.12.18.29.12.11</t>
  </si>
  <si>
    <t>.12.18.29.13</t>
  </si>
  <si>
    <t>.12.18.29.14</t>
  </si>
  <si>
    <t>.12.18.29.14.13</t>
  </si>
  <si>
    <t>.12.18.29.14.14</t>
  </si>
  <si>
    <t>.12.18.29.14.15</t>
  </si>
  <si>
    <t>.12.18.29.23</t>
  </si>
  <si>
    <t>.12.18.29.23.16</t>
  </si>
  <si>
    <t>.12.18.29.23.17</t>
  </si>
  <si>
    <t>.12.18.29.23.20</t>
  </si>
  <si>
    <t>.12.18.29.23.56</t>
  </si>
  <si>
    <t>.12.18.29.17</t>
  </si>
  <si>
    <t>.12.19.31.12.12</t>
  </si>
  <si>
    <t>.12.19.30.23.23</t>
  </si>
  <si>
    <t>.12.19.30.23.24</t>
  </si>
  <si>
    <t>~IN</t>
  </si>
  <si>
    <t>~OUT</t>
  </si>
  <si>
    <t>m</t>
  </si>
  <si>
    <t>BQE</t>
  </si>
  <si>
    <t>ELB</t>
  </si>
  <si>
    <t xml:space="preserve">1,10 </t>
  </si>
  <si>
    <t>rocha</t>
  </si>
  <si>
    <t>brita</t>
  </si>
  <si>
    <t>Referências</t>
  </si>
  <si>
    <t>enr_inst_cpcy_p</t>
  </si>
  <si>
    <t>pwh_strc_rkex_m3</t>
  </si>
  <si>
    <t>pwh_strc_slex_m3</t>
  </si>
  <si>
    <t>pwh_strc_trtm_m2</t>
  </si>
  <si>
    <t>pwh_strc_conc_m3</t>
  </si>
  <si>
    <t>pwh_misc_ldev_ct</t>
  </si>
  <si>
    <t>pwh_misc_inst_ct</t>
  </si>
  <si>
    <t>pwh_turb_totl_n</t>
  </si>
  <si>
    <t>pwh_turb_0000_ct</t>
  </si>
  <si>
    <t>pwh_genr_totl_n</t>
  </si>
  <si>
    <t>pwh_genr_0000_ct</t>
  </si>
  <si>
    <t>pwh_dtub_slog_n</t>
  </si>
  <si>
    <t>pwh_dtub_slog_ct</t>
  </si>
  <si>
    <t>pwh_dtub_fwgt_n</t>
  </si>
  <si>
    <t>pwh_dtub_fwgt_ct</t>
  </si>
  <si>
    <t>pwh_strc_brdg_ct</t>
  </si>
  <si>
    <t>pwh_dtub_gtry_ct</t>
  </si>
  <si>
    <t>pwh_dtub_embp_ct</t>
  </si>
  <si>
    <t>div_cfd1_fill_m3</t>
  </si>
  <si>
    <t>div_cfd2_fill_m3</t>
  </si>
  <si>
    <t>div_tund_trtm_m2</t>
  </si>
  <si>
    <t>div_tund_conc_m3</t>
  </si>
  <si>
    <t>div_tund_shot_m3</t>
  </si>
  <si>
    <t>div_tund_fwgt_n</t>
  </si>
  <si>
    <t>div_tund_fwgt_ct</t>
  </si>
  <si>
    <t>div_tund_slog_n</t>
  </si>
  <si>
    <t>div_tund_slog_ct</t>
  </si>
  <si>
    <t>div_tund_embp_ct</t>
  </si>
  <si>
    <t>div_g0s0_fwgt_n</t>
  </si>
  <si>
    <t>div_g0s0_fwgt_ct</t>
  </si>
  <si>
    <t>div_g0s0_slog_n</t>
  </si>
  <si>
    <t>div_g0s0_slog_ct</t>
  </si>
  <si>
    <t>div_slui_slog_n</t>
  </si>
  <si>
    <t>div_slui_slog_ct</t>
  </si>
  <si>
    <t>div_g0s0_embp_ct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</si>
  <si>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</si>
  <si>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</si>
  <si>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</si>
  <si>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</si>
  <si>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</si>
  <si>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</si>
  <si>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</si>
  <si>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</si>
  <si>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</si>
  <si>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</si>
  <si>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dam_conc_hcr0_m3</t>
  </si>
  <si>
    <t>dam_trwl_slex_m3</t>
  </si>
  <si>
    <t>dam_trwl_rkex_m3</t>
  </si>
  <si>
    <t>dam_trwl_trtm_m2</t>
  </si>
  <si>
    <t>dam_trwl_conc_m3</t>
  </si>
  <si>
    <t>spw_totl_slex_m3</t>
  </si>
  <si>
    <t>spw_totl_rkex_m3</t>
  </si>
  <si>
    <t>spw_totl_trtm_m2</t>
  </si>
  <si>
    <t>spw_totl_conc_m3</t>
  </si>
  <si>
    <t>spw_ogee_segm_n</t>
  </si>
  <si>
    <t>spw_ogee_segm_ct</t>
  </si>
  <si>
    <t>spw_ogee_slog_n</t>
  </si>
  <si>
    <t>spw_ogee_slog_ct</t>
  </si>
  <si>
    <t>spw_ogee_cran_ct</t>
  </si>
  <si>
    <t>spw_ogee_embp_ct</t>
  </si>
  <si>
    <t>hsy_intk_slex_m3</t>
  </si>
  <si>
    <t>hsy_intk_rkex_m3</t>
  </si>
  <si>
    <t>hsy_intk_trtm_m2</t>
  </si>
  <si>
    <t>hsy_intk_conc_m3</t>
  </si>
  <si>
    <t>hsy_intk_fwgt_n</t>
  </si>
  <si>
    <t>hsy_intk_fwgt_ct</t>
  </si>
  <si>
    <t>hsy_intk_slog_n</t>
  </si>
  <si>
    <t>hsy_intk_slog_ct</t>
  </si>
  <si>
    <t>hsy_intk_cran_ct</t>
  </si>
  <si>
    <t>hsy_intk_rack_ct</t>
  </si>
  <si>
    <t>hsy_intk_embp_ct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</si>
  <si>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</si>
  <si>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</si>
  <si>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</si>
  <si>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</si>
  <si>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</si>
  <si>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</si>
  <si>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</si>
  <si>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</si>
  <si>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</si>
  <si>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</si>
  <si>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</si>
  <si>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</si>
  <si>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hsy_stnk_slex_m3</t>
  </si>
  <si>
    <t>hsy_stnk_rkex_m3</t>
  </si>
  <si>
    <t>hsy_stnk_trtm_m2</t>
  </si>
  <si>
    <t>hsy_stnk_conc_m3</t>
  </si>
  <si>
    <t>hsy_pstk_stee_t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</si>
  <si>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</si>
  <si>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</si>
  <si>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</si>
  <si>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</si>
  <si>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</si>
  <si>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</si>
  <si>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pwh_valv_bfly_n</t>
  </si>
  <si>
    <t>pwh_valv_bfly_ct</t>
  </si>
  <si>
    <t>pwh_valv_sphr_n</t>
  </si>
  <si>
    <t>pwh_valv_sphr_ct</t>
  </si>
  <si>
    <t>hsy_trce_slex_m3</t>
  </si>
  <si>
    <t>hsy_trce_rkex_m3</t>
  </si>
  <si>
    <t>hsy_trce_trtm_m2</t>
  </si>
  <si>
    <t>hsy_trce_conc_m3</t>
  </si>
  <si>
    <t>oth_port_lock_ct</t>
  </si>
  <si>
    <t>oth_fish_tran_ct</t>
  </si>
  <si>
    <t>oth_accs_road_l</t>
  </si>
  <si>
    <t>oth_accs_brdg_l</t>
  </si>
  <si>
    <t>bdg_1000_envr_ct</t>
  </si>
  <si>
    <t>bdg_1100_pwhc_ct</t>
  </si>
  <si>
    <t>bdg_1200_dmhs_ct</t>
  </si>
  <si>
    <t>bdg_1210_div0_ct</t>
  </si>
  <si>
    <t>bdg_1220_dam0_ct</t>
  </si>
  <si>
    <t>bdg_1230_spw0_ct</t>
  </si>
  <si>
    <t>bdg_1240_hsy0_ct</t>
  </si>
  <si>
    <t>bdg_1250_oth0_ct</t>
  </si>
  <si>
    <t>bdg_1300_eqp0_ct</t>
  </si>
  <si>
    <t>bdg_1400_elet_ct</t>
  </si>
  <si>
    <t>bdg_1500_mech_ct</t>
  </si>
  <si>
    <t>bdg_1600_road_ct</t>
  </si>
  <si>
    <t>bdg_1700_indt_ct</t>
  </si>
  <si>
    <t>bdg_1800_intr_ct</t>
  </si>
  <si>
    <t>bdg_totl_0000_ct</t>
  </si>
  <si>
    <t>bdg_totl_civl_ct</t>
  </si>
  <si>
    <t>bdg_totl_drct_ct</t>
  </si>
  <si>
    <t>bdg_totl_eqp0_ct</t>
  </si>
  <si>
    <t>bdg_totl_indx_ct</t>
  </si>
  <si>
    <t>bdg_totl_intr_ct</t>
  </si>
  <si>
    <t>hsy_lpps_slex_m3</t>
  </si>
  <si>
    <t>hsy_lpps_rkex_m3</t>
  </si>
  <si>
    <t>hsy_lpps_trtm_m2</t>
  </si>
  <si>
    <t>hsy_lpps_conc_m3</t>
  </si>
  <si>
    <t>div_tund_ugex_m3</t>
  </si>
  <si>
    <t>hsy_tunl_ugex_m3</t>
  </si>
  <si>
    <t>hsy_stnk_ugex_m3</t>
  </si>
  <si>
    <t>hsy_tunp_ugex_m3</t>
  </si>
  <si>
    <t>hsy_trce_ugex_m3</t>
  </si>
  <si>
    <t>pwh_strc_ugex_m3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</si>
  <si>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</si>
  <si>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</si>
  <si>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</si>
  <si>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</si>
  <si>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</si>
  <si>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</si>
  <si>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div_slui_rkex_m3</t>
  </si>
  <si>
    <t>div_slui_trtm_m2</t>
  </si>
  <si>
    <t>div_slui_conc_m3</t>
  </si>
  <si>
    <t>dam_eart_slex_m3</t>
  </si>
  <si>
    <t>dam_eart_trtm_m2</t>
  </si>
  <si>
    <t>dam_rock_slex_m3</t>
  </si>
  <si>
    <t>dam_rock_trtm_m2</t>
  </si>
  <si>
    <t>dam_rock_tran_m3</t>
  </si>
  <si>
    <t>dam_eart_filt_m3</t>
  </si>
  <si>
    <t>hsy_inch_slex_m3</t>
  </si>
  <si>
    <t>hsy_inch_rkex_m3</t>
  </si>
  <si>
    <t>hsy_inch_regc_m3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</si>
  <si>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</si>
  <si>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</si>
  <si>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</si>
  <si>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</si>
  <si>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</si>
  <si>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</si>
  <si>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hsy_trce_regc_m3</t>
  </si>
  <si>
    <t>$</t>
  </si>
  <si>
    <t>$ 10³</t>
  </si>
  <si>
    <t>UNIT PRICES SUMMARY</t>
  </si>
  <si>
    <t>UNIT PRICE</t>
  </si>
  <si>
    <t>UNIT</t>
  </si>
  <si>
    <t>ITEMS</t>
  </si>
  <si>
    <t>COSTS SUMMARY</t>
  </si>
  <si>
    <t>COSTS ($ x10³)</t>
  </si>
  <si>
    <t>ACCOUNT</t>
  </si>
  <si>
    <t>QUANTITIES SUMMARY</t>
  </si>
  <si>
    <t>INVENTORY STUDIES</t>
  </si>
  <si>
    <t>COSTS</t>
  </si>
  <si>
    <t>QUANTITY</t>
  </si>
  <si>
    <t>lands, resettlements, relocations and other socialenvironmental cost</t>
  </si>
  <si>
    <t>powerhouse civil and related land development cost</t>
  </si>
  <si>
    <t>dams and hydraulic system cost</t>
  </si>
  <si>
    <t>diversion cost</t>
  </si>
  <si>
    <t>dams and dikes cost</t>
  </si>
  <si>
    <t>spillway cost</t>
  </si>
  <si>
    <t>intakes and adduction cost</t>
  </si>
  <si>
    <t>special constructions cost</t>
  </si>
  <si>
    <t>turbines and generators cost</t>
  </si>
  <si>
    <t>auxiliary electrical equipment cost</t>
  </si>
  <si>
    <t>miscellaneous mechanical equipment cost</t>
  </si>
  <si>
    <t>roads, railroads and bridges cost</t>
  </si>
  <si>
    <t>indirect cost</t>
  </si>
  <si>
    <t>total civil cost</t>
  </si>
  <si>
    <t>direct cost</t>
  </si>
  <si>
    <t>equipment cost</t>
  </si>
  <si>
    <t>index cost</t>
  </si>
  <si>
    <t>Lands, resettlements, relocations and other socialenvironmental costs</t>
  </si>
  <si>
    <t>Powerhouse civil and related land development</t>
  </si>
  <si>
    <t>Dams and hydraulic system</t>
  </si>
  <si>
    <t>Diversion</t>
  </si>
  <si>
    <t>Intakes and adduction</t>
  </si>
  <si>
    <t>Special constructions</t>
  </si>
  <si>
    <t>Spillway</t>
  </si>
  <si>
    <t>Turbines and generators</t>
  </si>
  <si>
    <t>Auxiliary electrical equipment</t>
  </si>
  <si>
    <t>Miscellaneous mechanical equipment</t>
  </si>
  <si>
    <t>Roads, railroads and bridges</t>
  </si>
  <si>
    <t>Direct cost</t>
  </si>
  <si>
    <t>Indirect cost</t>
  </si>
  <si>
    <t>Total civil cost</t>
  </si>
  <si>
    <t>Equipment cost</t>
  </si>
  <si>
    <t>Index cost</t>
  </si>
  <si>
    <t>Installed capacity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</si>
  <si>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</si>
  <si>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</si>
  <si>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</si>
  <si>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structural concrete volume of the concrete dam </t>
  </si>
  <si>
    <t xml:space="preserve">foundation cleaning and treatment area of the concrete dam </t>
  </si>
  <si>
    <t>hsy_stnk_stee_t</t>
  </si>
  <si>
    <t>installed capacity</t>
  </si>
  <si>
    <t xml:space="preserve">compacted earthfill volume of the earthfill dam </t>
  </si>
  <si>
    <t>filters and transitions volumes of an earthfill dam</t>
  </si>
  <si>
    <t xml:space="preserve">dam downstream face protection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</si>
  <si>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</si>
  <si>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</si>
  <si>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</si>
  <si>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</si>
  <si>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</si>
  <si>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</si>
  <si>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</si>
  <si>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</si>
  <si>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</si>
  <si>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</si>
  <si>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</si>
  <si>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</si>
  <si>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foundation cleaning and treatment area of the transition walls</t>
  </si>
  <si>
    <t>total volume of the first phase cofferdam</t>
  </si>
  <si>
    <t>total volume of the second phase cofferdam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</si>
  <si>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</si>
  <si>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</si>
  <si>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</si>
  <si>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</si>
  <si>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 xml:space="preserve">surface rock excavation volume of the diversion gallery </t>
  </si>
  <si>
    <t>foundation cleaning and treatment area of the diversion gallery</t>
  </si>
  <si>
    <t>structural concrete volume of the sluiceway</t>
  </si>
  <si>
    <t>surface rock excavation volume of the sluiceway</t>
  </si>
  <si>
    <t>foundation cleaning and treatment area of the sluiceway</t>
  </si>
  <si>
    <t>structural concrete volume of the diversion tunnels (including intake)</t>
  </si>
  <si>
    <t>foundation cleaning and treatment area of the diversion tunnel</t>
  </si>
  <si>
    <t>underground rock excavation volume of the channels of the diversion tunnel</t>
  </si>
  <si>
    <t>shotcrete volume of the diversion tunnels</t>
  </si>
  <si>
    <t>embedded parts cost of the diversion tunnel equipment</t>
  </si>
  <si>
    <t>fixed wheel gates cost of the diversion tunnel</t>
  </si>
  <si>
    <t>number of fixed wheel gates of the diversion tunnel</t>
  </si>
  <si>
    <t>stoplogs cost of the diversion tunnel</t>
  </si>
  <si>
    <t>number of stoplogs of the diversion tunnel</t>
  </si>
  <si>
    <t>embedded parts cost of the diversion gallery or sluiceway equipment</t>
  </si>
  <si>
    <t>fixed wheel gates cost of the diversion gallery or sluiceway</t>
  </si>
  <si>
    <t>number of fixed wheel gates of the diversion gallery or sluiceway</t>
  </si>
  <si>
    <t>stoplogs cost of the diversion gallery or sluiceway</t>
  </si>
  <si>
    <t>downstream stoplogs cost of the sluiceway</t>
  </si>
  <si>
    <t>number of downstream stoplogs of the sluiceway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</si>
  <si>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</si>
  <si>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</si>
  <si>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</si>
  <si>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</si>
  <si>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</si>
  <si>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 xml:space="preserve">embedded parts cost of the draft tube equipment </t>
  </si>
  <si>
    <t xml:space="preserve">fixed wheel gates cost of the draft tube </t>
  </si>
  <si>
    <t xml:space="preserve">number of fixed wheel gates of the draft tube </t>
  </si>
  <si>
    <t>gantry crane cost</t>
  </si>
  <si>
    <t xml:space="preserve">stoplogs cost of the draft tube </t>
  </si>
  <si>
    <t xml:space="preserve">number of stoplogs of the draft tube </t>
  </si>
  <si>
    <t>bridge crane cost</t>
  </si>
  <si>
    <t>installations and final works cost</t>
  </si>
  <si>
    <t>land developments cost</t>
  </si>
  <si>
    <t>generator cost</t>
  </si>
  <si>
    <t>number of generators</t>
  </si>
  <si>
    <t>turbine cost</t>
  </si>
  <si>
    <t>number of turbines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</si>
  <si>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</si>
  <si>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</si>
  <si>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</si>
  <si>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crane cost of the spillway</t>
  </si>
  <si>
    <t xml:space="preserve">embedded parts cost of the spillway equipment </t>
  </si>
  <si>
    <t>segment gates cost of the spillway</t>
  </si>
  <si>
    <t>number of segment gates of the spillway</t>
  </si>
  <si>
    <t>stoplogs cost of the spillway</t>
  </si>
  <si>
    <t>number of stoplogs of the spillway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</si>
  <si>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</si>
  <si>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</si>
  <si>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</si>
  <si>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</si>
  <si>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</si>
  <si>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</si>
  <si>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</si>
  <si>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structural concrete volume of the intake</t>
  </si>
  <si>
    <t>crane cost of the intake</t>
  </si>
  <si>
    <t>embedded parts cost of the intake equipment</t>
  </si>
  <si>
    <t>fixed wheel gates cost of the intake</t>
  </si>
  <si>
    <t>number of fixed wheel gates of the intake</t>
  </si>
  <si>
    <t>trash racks cost of the intake</t>
  </si>
  <si>
    <t>surface rock excavation volume of the intake</t>
  </si>
  <si>
    <t>common excavation volume of the intake</t>
  </si>
  <si>
    <t>stoplogs cost of the intake</t>
  </si>
  <si>
    <t>number of stoplogs of the intake</t>
  </si>
  <si>
    <t>foundation cleaning and treatment area of the intake</t>
  </si>
  <si>
    <t>dental concrete volume for the regularization of the intake channel</t>
  </si>
  <si>
    <t>surface rock excavation volume of the intake channel</t>
  </si>
  <si>
    <t>common excavation volume of the intake channel</t>
  </si>
  <si>
    <t>structural concrete volume of the headrace channel</t>
  </si>
  <si>
    <t>surface rock excavation volume of the headrace channel</t>
  </si>
  <si>
    <t>shotcrete volume of the headrace channel</t>
  </si>
  <si>
    <t>common excavation volume of the headrace channel</t>
  </si>
  <si>
    <t>foundation cleaning and treatment area of the headrace channel</t>
  </si>
  <si>
    <t>structural concrete volume of the forebay</t>
  </si>
  <si>
    <t>surface rock excavation volume of the forebay</t>
  </si>
  <si>
    <t>common excavation volume of the forebay</t>
  </si>
  <si>
    <t>foundation cleaning and treatment area of the forebay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</si>
  <si>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</si>
  <si>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</si>
  <si>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</si>
  <si>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</si>
  <si>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concrete volume of the low pressure tunnel</t>
  </si>
  <si>
    <t>shotcrete volume of the low pressure tunnel</t>
  </si>
  <si>
    <t>foundation cleaning and treatment area of the low pressure tunnel</t>
  </si>
  <si>
    <t>underground rock excavation volume of the low pressure tunnel</t>
  </si>
  <si>
    <t>structural concrete volume of the surge tank</t>
  </si>
  <si>
    <t>surface rock excavation volume of the surge tank</t>
  </si>
  <si>
    <t>common excavation volume of the surge tank</t>
  </si>
  <si>
    <t>steel lining of the surge tank</t>
  </si>
  <si>
    <t>foundation cleaning and treatment area of the surge tank</t>
  </si>
  <si>
    <t>underground rock excavation volume of the surge tank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</si>
  <si>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</si>
  <si>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</si>
  <si>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</si>
  <si>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</si>
  <si>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foundation cleaning and treatment area of the penstock blocks</t>
  </si>
  <si>
    <t>concrete volume of the high pressure tunnel</t>
  </si>
  <si>
    <t>foundation cleaning and treatment area of the high pressure tunnel</t>
  </si>
  <si>
    <t>underground rock excavation volume of the high pressure tunnel</t>
  </si>
  <si>
    <t>butterfly valve cost</t>
  </si>
  <si>
    <t>number of butterfly valves</t>
  </si>
  <si>
    <t>spherical valve cost</t>
  </si>
  <si>
    <t>number of spherical valves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</si>
  <si>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</si>
  <si>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</si>
  <si>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</si>
  <si>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</si>
  <si>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</si>
  <si>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 xml:space="preserve">structural concrete volume of the tailrace </t>
  </si>
  <si>
    <t>fish transfer system cost</t>
  </si>
  <si>
    <t>port or lock system cost</t>
  </si>
  <si>
    <t>Concrete</t>
  </si>
  <si>
    <t>Rock</t>
  </si>
  <si>
    <t>Soil</t>
  </si>
  <si>
    <t>(considering 2/3 of the its volume)</t>
  </si>
  <si>
    <t>(considering 1/3 of the its volume)</t>
  </si>
  <si>
    <t>Unit</t>
  </si>
  <si>
    <t>Volume</t>
  </si>
  <si>
    <t>L</t>
  </si>
  <si>
    <t>(presumed zero)</t>
  </si>
  <si>
    <t>LANDS, RESETTLEMENTS, RELOCATIONS AND OTHER SOCIOENVIRONMENTAL ACTIONS</t>
  </si>
  <si>
    <t xml:space="preserve">     LAND ACQUISITIONS AND LAND DEVELOPMENTS</t>
  </si>
  <si>
    <t xml:space="preserve">       URBAN REAL ESTATE</t>
  </si>
  <si>
    <t xml:space="preserve">          Reservoir</t>
  </si>
  <si>
    <t xml:space="preserve">          Construction site, workers' camp, borrow areas, etc. </t>
  </si>
  <si>
    <t xml:space="preserve">          Conservation Areas and Permanent Preservation Areas</t>
  </si>
  <si>
    <t xml:space="preserve">          Towns and villages</t>
  </si>
  <si>
    <t xml:space="preserve">          Isolated social and economic infrastructure</t>
  </si>
  <si>
    <t xml:space="preserve">          Other costs</t>
  </si>
  <si>
    <t xml:space="preserve">       RURAL REAL ESTATE</t>
  </si>
  <si>
    <t xml:space="preserve">          Indigenous peoples and other ethnic groups</t>
  </si>
  <si>
    <t xml:space="preserve">          Rural resettlement </t>
  </si>
  <si>
    <t xml:space="preserve">     RESETTLEMENTS AND RELOCATIONS</t>
  </si>
  <si>
    <t xml:space="preserve">       ACQUISITION AND LEGAL EXPENSES</t>
  </si>
  <si>
    <t xml:space="preserve">       OTHER COSTS</t>
  </si>
  <si>
    <t xml:space="preserve">       ROADS </t>
  </si>
  <si>
    <t xml:space="preserve">       RAILROADS</t>
  </si>
  <si>
    <t xml:space="preserve">       BRIDGES</t>
  </si>
  <si>
    <t xml:space="preserve">       TRANSMISSION AND DISTRIBUTION SYSTEM</t>
  </si>
  <si>
    <t xml:space="preserve">       COMMUNICATIONS SYSTEM</t>
  </si>
  <si>
    <t xml:space="preserve">       POPULATION RESETTLEMENT</t>
  </si>
  <si>
    <t xml:space="preserve">       OTHER RESETTLEMENTS / RELOCATIONS</t>
  </si>
  <si>
    <t xml:space="preserve">     OTHER SOCIOENVIRONMENTAL ACTIONS</t>
  </si>
  <si>
    <t xml:space="preserve">       SOCIOENVIRONMENTAL COMMUNICATION</t>
  </si>
  <si>
    <t xml:space="preserve">       PHYSICAL AND BIOTIC ENVIRONMENT</t>
  </si>
  <si>
    <t xml:space="preserve">          Reservoir Cleaning</t>
  </si>
  <si>
    <t xml:space="preserve">          Conservation of flora</t>
  </si>
  <si>
    <t xml:space="preserve">          Conservation of fauna</t>
  </si>
  <si>
    <t xml:space="preserve">          Water quality </t>
  </si>
  <si>
    <t xml:space="preserve">          Recuperation of degraded areas</t>
  </si>
  <si>
    <t xml:space="preserve">       SOCIOECONOMIC AND CULTURAL ENVIRONMENT</t>
  </si>
  <si>
    <t xml:space="preserve">          Basic sanitation and healthcare</t>
  </si>
  <si>
    <t xml:space="preserve">          Housing and education infrastructure</t>
  </si>
  <si>
    <t xml:space="preserve">          Salvaging of cultural heritage</t>
  </si>
  <si>
    <t xml:space="preserve">          Support for municipalities </t>
  </si>
  <si>
    <t xml:space="preserve">       LICENSING AND INSTITUTIONAL MANAGEMENT</t>
  </si>
  <si>
    <t xml:space="preserve">          Institutional Management</t>
  </si>
  <si>
    <t xml:space="preserve">          Licensing</t>
  </si>
  <si>
    <t xml:space="preserve">       MULTIPLE USES</t>
  </si>
  <si>
    <t xml:space="preserve">     Subtotal of account .10</t>
  </si>
  <si>
    <t xml:space="preserve">      MISCELLANEOUS ITEMS FROM ACCOUNT .10</t>
  </si>
  <si>
    <t>POWERHOUSE (CIVIL CONSTRUCTION) AND RELATED LAND DEVELOPMENTS</t>
  </si>
  <si>
    <t xml:space="preserve">     LAND DEVELOPMENTS IN THE PLANT AREA</t>
  </si>
  <si>
    <t xml:space="preserve">     POWERHOUSE</t>
  </si>
  <si>
    <t xml:space="preserve">          Excavation</t>
  </si>
  <si>
    <t xml:space="preserve">               Underground rock </t>
  </si>
  <si>
    <t xml:space="preserve">               Surface rock</t>
  </si>
  <si>
    <t xml:space="preserve">          Foundation cleaning and treatment    </t>
  </si>
  <si>
    <t xml:space="preserve">          Concrete</t>
  </si>
  <si>
    <t xml:space="preserve">               Cement</t>
  </si>
  <si>
    <t xml:space="preserve">               Concrete without cement </t>
  </si>
  <si>
    <t xml:space="preserve">               Reinforcement steel  </t>
  </si>
  <si>
    <t xml:space="preserve">          Installations and final works</t>
  </si>
  <si>
    <t xml:space="preserve">     Subtotal of Account .11</t>
  </si>
  <si>
    <t xml:space="preserve">     MISCELLANEOUS ITEMS FROM ACCOUNT .11 </t>
  </si>
  <si>
    <r>
      <t>Weight in t/m</t>
    </r>
    <r>
      <rPr>
        <b/>
        <vertAlign val="superscript"/>
        <sz val="9"/>
        <color rgb="FF303030"/>
        <rFont val="Verdana"/>
        <family val="2"/>
      </rPr>
      <t>3</t>
    </r>
  </si>
  <si>
    <t>DAMS AND INTAKES</t>
  </si>
  <si>
    <t xml:space="preserve">     RIVER DIVERSION</t>
  </si>
  <si>
    <t xml:space="preserve">          COFFERDAMS</t>
  </si>
  <si>
    <t xml:space="preserve">               Concrete for deflector baffle</t>
  </si>
  <si>
    <t xml:space="preserve">               Earth-rock cofferdam 1st Phase</t>
  </si>
  <si>
    <t xml:space="preserve">               Earth-rock cofferdam 2nd Phase</t>
  </si>
  <si>
    <t xml:space="preserve">               Special cofferdams</t>
  </si>
  <si>
    <t xml:space="preserve">               Removal of cofferdams</t>
  </si>
  <si>
    <t xml:space="preserve">               Dewatering and other costs</t>
  </si>
  <si>
    <t xml:space="preserve">               Service bridge</t>
  </si>
  <si>
    <t xml:space="preserve">          DIVERSION TUNNEL</t>
  </si>
  <si>
    <t xml:space="preserve">               Excavation</t>
  </si>
  <si>
    <t xml:space="preserve">                    Surface rock</t>
  </si>
  <si>
    <t xml:space="preserve">                    Underground rock </t>
  </si>
  <si>
    <t xml:space="preserve">               Foundation cleaning and treatment    </t>
  </si>
  <si>
    <t xml:space="preserve">               Concrete</t>
  </si>
  <si>
    <t xml:space="preserve">                    Cement</t>
  </si>
  <si>
    <t xml:space="preserve">                    Concrete without cement </t>
  </si>
  <si>
    <t xml:space="preserve">                    Reinforcement steel  </t>
  </si>
  <si>
    <t xml:space="preserve">               Shotcrete</t>
  </si>
  <si>
    <t xml:space="preserve">               Other costs</t>
  </si>
  <si>
    <t xml:space="preserve">               Gates and related closing equipment</t>
  </si>
  <si>
    <t xml:space="preserve">                    Stoplogs</t>
  </si>
  <si>
    <t xml:space="preserve">                    Other embedded parts</t>
  </si>
  <si>
    <t xml:space="preserve">                    Downstream stoplogs</t>
  </si>
  <si>
    <t xml:space="preserve">          DIVERSION CHANNEL OR GALLERY / SLUICEWAY</t>
  </si>
  <si>
    <t xml:space="preserve">               Common</t>
  </si>
  <si>
    <t xml:space="preserve">                    Common</t>
  </si>
  <si>
    <t xml:space="preserve">               Surface Rock</t>
  </si>
  <si>
    <t xml:space="preserve">                    Surface Rock</t>
  </si>
  <si>
    <t xml:space="preserve">          Foundation cleaning and treatment </t>
  </si>
  <si>
    <t xml:space="preserve">               Foundation cleaning and treatment </t>
  </si>
  <si>
    <t xml:space="preserve">                    Underground rock</t>
  </si>
  <si>
    <t xml:space="preserve">               Concrete without cement</t>
  </si>
  <si>
    <t xml:space="preserve">                    Concrete without cement</t>
  </si>
  <si>
    <t xml:space="preserve">               Reinforcement steel</t>
  </si>
  <si>
    <t xml:space="preserve">                    Reinforcement steel</t>
  </si>
  <si>
    <t xml:space="preserve">           Gates and related closing equipment</t>
  </si>
  <si>
    <t xml:space="preserve">          Rockfill</t>
  </si>
  <si>
    <t xml:space="preserve">          Compacted Earthfill</t>
  </si>
  <si>
    <t xml:space="preserve">          Clay Core</t>
  </si>
  <si>
    <t xml:space="preserve">               Borrow soil</t>
  </si>
  <si>
    <t xml:space="preserve">               Quarry Rock</t>
  </si>
  <si>
    <t xml:space="preserve">          Filters / Transitions</t>
  </si>
  <si>
    <t xml:space="preserve">          Concrete face</t>
  </si>
  <si>
    <t xml:space="preserve">          Proteccion of dam faces</t>
  </si>
  <si>
    <t xml:space="preserve">               Downstream Face</t>
  </si>
  <si>
    <t xml:space="preserve">               Upstream Face</t>
  </si>
  <si>
    <t xml:space="preserve">       CONCRETE DAMS</t>
  </si>
  <si>
    <t xml:space="preserve">          Roller Compacted Concrete</t>
  </si>
  <si>
    <t xml:space="preserve">       CONCRETE TRANSITIONS AND RETAINING WALLS</t>
  </si>
  <si>
    <t xml:space="preserve">     SPILLWAYS</t>
  </si>
  <si>
    <t xml:space="preserve">       SURFACE SPILLWAYS</t>
  </si>
  <si>
    <t xml:space="preserve">               Stoplog</t>
  </si>
  <si>
    <t xml:space="preserve">               Other embedded parts</t>
  </si>
  <si>
    <t xml:space="preserve">     Other embedded parts</t>
  </si>
  <si>
    <t xml:space="preserve">               Crane</t>
  </si>
  <si>
    <t xml:space="preserve">               Segment gate</t>
  </si>
  <si>
    <t xml:space="preserve">       OTHER SPILLWAYS</t>
  </si>
  <si>
    <t xml:space="preserve">     INTAKE AND HYDRAULIC SYSTEM</t>
  </si>
  <si>
    <t xml:space="preserve">          INTAKE</t>
  </si>
  <si>
    <t xml:space="preserve">                    Crane </t>
  </si>
  <si>
    <t xml:space="preserve">               Fixed wheel gates</t>
  </si>
  <si>
    <t xml:space="preserve">                    Fixed wheel gates</t>
  </si>
  <si>
    <t xml:space="preserve">          SURGE TANK</t>
  </si>
  <si>
    <t xml:space="preserve">          HEADRACE CHANNEL AND FOREBAY</t>
  </si>
  <si>
    <t xml:space="preserve">          LOW PRESSURE TUNNEL OR PENSTOCK</t>
  </si>
  <si>
    <t xml:space="preserve">                    Butterfly valve</t>
  </si>
  <si>
    <t xml:space="preserve">          HIGH PRESSURE TUNNEL AND PENSTOCK</t>
  </si>
  <si>
    <t xml:space="preserve">                    Steel Lining</t>
  </si>
  <si>
    <t xml:space="preserve">                    Spherical valve</t>
  </si>
  <si>
    <t>BF</t>
  </si>
  <si>
    <t>Bulking Factor (BF) and Losses (L)</t>
  </si>
  <si>
    <t>Required Earthfill</t>
  </si>
  <si>
    <t>Required Rockfill and Aggregates</t>
  </si>
  <si>
    <t>Rock Excavation</t>
  </si>
  <si>
    <t>Common Excavation</t>
  </si>
  <si>
    <t>CUT AND FILL VOLUMES</t>
  </si>
  <si>
    <t xml:space="preserve">          TAILRACE CHANNEL OR TUNNEL</t>
  </si>
  <si>
    <t xml:space="preserve">          LOCK AND / OR PORT</t>
  </si>
  <si>
    <t xml:space="preserve">     SPECIAL CONSTRUCTIONS</t>
  </si>
  <si>
    <t xml:space="preserve">     Subtotal for equipment</t>
  </si>
  <si>
    <t xml:space="preserve">     Subtotal for civil construction works</t>
  </si>
  <si>
    <t xml:space="preserve">     MISCELLANEOUS ITEMS FROM ACCOUNT .12 civil construction works</t>
  </si>
  <si>
    <t xml:space="preserve">     MISCELLANEOUS ITEMS FROM ACCOUNT .12 equipment</t>
  </si>
  <si>
    <t>TURBINES E GENERATORS</t>
  </si>
  <si>
    <t xml:space="preserve">     Subtotal of Account .13</t>
  </si>
  <si>
    <t xml:space="preserve">     MISCELLANEOUS ITEMS FROM ACCOUNT .14</t>
  </si>
  <si>
    <t xml:space="preserve">     Subtotal of Account .14</t>
  </si>
  <si>
    <t xml:space="preserve">     Crane</t>
  </si>
  <si>
    <t xml:space="preserve">     Fixed wheel gates</t>
  </si>
  <si>
    <t xml:space="preserve">     Subtotal of Account .15</t>
  </si>
  <si>
    <t xml:space="preserve">     MISCELLANEOUS ITEMS FROM ACCOUNT .15</t>
  </si>
  <si>
    <t xml:space="preserve">     Bridge crane</t>
  </si>
  <si>
    <t xml:space="preserve">     Auxiliary eletric equipment</t>
  </si>
  <si>
    <t xml:space="preserve">     Gantry crane</t>
  </si>
  <si>
    <t xml:space="preserve">     Miscellaneous equipment</t>
  </si>
  <si>
    <t xml:space="preserve">ROADS, RAILROADS AND BRIDGES </t>
  </si>
  <si>
    <t xml:space="preserve">     ROADS</t>
  </si>
  <si>
    <t xml:space="preserve">     RAILROADS</t>
  </si>
  <si>
    <t xml:space="preserve">     BRIDGES</t>
  </si>
  <si>
    <t xml:space="preserve">     Subtotal of Account .16</t>
  </si>
  <si>
    <t xml:space="preserve">     MISCELLANEOUS ITEMS FROM ACCOUNT .16</t>
  </si>
  <si>
    <t>TOTAL DIRECT COSTS</t>
  </si>
  <si>
    <t>INDIRECT COSTS</t>
  </si>
  <si>
    <t xml:space="preserve">     CONSTRUCTION SITE AND WORKERS' CAMP</t>
  </si>
  <si>
    <t xml:space="preserve">       MAINTENANCE AND OPERATION</t>
  </si>
  <si>
    <t xml:space="preserve">       CONSTRUCTION</t>
  </si>
  <si>
    <t xml:space="preserve">       ENGINEERING</t>
  </si>
  <si>
    <t xml:space="preserve">          Basic engineering project</t>
  </si>
  <si>
    <t xml:space="preserve">          Special engineering services</t>
  </si>
  <si>
    <t xml:space="preserve">          Environmental studies and projects</t>
  </si>
  <si>
    <t xml:space="preserve">       OWNER'S ADMINISTRATON</t>
  </si>
  <si>
    <t xml:space="preserve">     Subtotal of Account .17</t>
  </si>
  <si>
    <t xml:space="preserve">     MISCELLANEOUS ITEMS FROM ACCOUNT .17</t>
  </si>
  <si>
    <t>DIRECT AND INDIRECT COSTS</t>
  </si>
  <si>
    <t>INTEREST DURING CONSTRUCTION</t>
  </si>
  <si>
    <t xml:space="preserve">TOTAL COST INCLUDING INTEREST           </t>
  </si>
  <si>
    <t>Installed Capacity</t>
  </si>
  <si>
    <t>rural properties affected by the reservoir</t>
  </si>
  <si>
    <t>permanent preservation areas</t>
  </si>
  <si>
    <t>length of roads to be relocated</t>
  </si>
  <si>
    <t>length of railways to be relocated</t>
  </si>
  <si>
    <t>length of bridges to be relocated</t>
  </si>
  <si>
    <t>length of transmission lines to be relocated</t>
  </si>
  <si>
    <t>urban properties affected by the reservoir</t>
  </si>
  <si>
    <t>hera_env_res0_rurl_a</t>
  </si>
  <si>
    <t>hera_env_res0_urbn_a</t>
  </si>
  <si>
    <t>hera_env_res0_ppa0_a</t>
  </si>
  <si>
    <t>hera_env_relc_road_l</t>
  </si>
  <si>
    <t>hera_env_relc_rail_l</t>
  </si>
  <si>
    <t>hera_env_relc_brdg_l</t>
  </si>
  <si>
    <t>hera_env_relc_tlin_l</t>
  </si>
  <si>
    <t>$/kW</t>
  </si>
  <si>
    <t>number of fixed wheel gates of the forebay intake</t>
  </si>
  <si>
    <t>fixed wheel gates cost of the forebay intake</t>
  </si>
  <si>
    <t>number of stoplogs of the forebay intake</t>
  </si>
  <si>
    <t>stoplogs cost of the forebay intake</t>
  </si>
  <si>
    <t>crane cost of the forebay intake</t>
  </si>
  <si>
    <t>trash racks cost of the forebay intake</t>
  </si>
  <si>
    <t>embedded parts cost of the forebay intake equipment</t>
  </si>
  <si>
    <t>hsy_infb_fwgt_n</t>
  </si>
  <si>
    <t>hsy_infb_fwgt_ct</t>
  </si>
  <si>
    <t>hsy_infb_slog_n</t>
  </si>
  <si>
    <t>hsy_infb_slog_ct</t>
  </si>
  <si>
    <t>hsy_infb_cran_ct</t>
  </si>
  <si>
    <t>hsy_infb_rack_ct</t>
  </si>
  <si>
    <t>hsy_infb_embp_ct</t>
  </si>
  <si>
    <t>.12.19.31.23</t>
  </si>
  <si>
    <t>.12.19.31.23.16</t>
  </si>
  <si>
    <t>.12.19.31.23.17</t>
  </si>
  <si>
    <t>.12.19.31.23.56</t>
  </si>
  <si>
    <t>.12.19.31.23.20</t>
  </si>
  <si>
    <t>.12.19.31.23.21</t>
  </si>
  <si>
    <t xml:space="preserve">               Dental Concrete</t>
  </si>
  <si>
    <t>.12.16.28.14</t>
  </si>
  <si>
    <t>.12.16.28.14.13</t>
  </si>
  <si>
    <t>.12.16.28.14.14</t>
  </si>
  <si>
    <t xml:space="preserve">          Dental Concrete</t>
  </si>
  <si>
    <t>.12.16.30.14</t>
  </si>
  <si>
    <t>.12.16.30.14.13</t>
  </si>
  <si>
    <t>.12.16.30.14.14</t>
  </si>
  <si>
    <t>.12.16.35.14</t>
  </si>
  <si>
    <t>.12.16.35.14.13</t>
  </si>
  <si>
    <t>.12.16.35.14.14</t>
  </si>
  <si>
    <t>hsy_chan_regc_m3</t>
  </si>
  <si>
    <t>dental concrete volume for the regularization of headrace channel</t>
  </si>
  <si>
    <t>hera_env_res0_clea_a</t>
  </si>
  <si>
    <t>number of inhabitants affected by the reservoir in rural areas</t>
  </si>
  <si>
    <t>number of inhabitants affected by the reservoir in urban areas</t>
  </si>
  <si>
    <t>reservoir cleaning area</t>
  </si>
  <si>
    <t>Total cost without interest during construction</t>
  </si>
  <si>
    <t>Total cost with interest during construction</t>
  </si>
  <si>
    <t>Interest during construction</t>
  </si>
  <si>
    <t>Socioenvironmental cost</t>
  </si>
  <si>
    <t>number of stoplogs of the diversion gallery or sluiceway</t>
  </si>
  <si>
    <t xml:space="preserve">length of the access bridges  </t>
  </si>
  <si>
    <t>length of the access roads</t>
  </si>
  <si>
    <t xml:space="preserve">     AIRPORT</t>
  </si>
  <si>
    <t xml:space="preserve">     OWNER'S ENGINEERING AND ADMINISTRATION</t>
  </si>
  <si>
    <t>Index cost ($/kW)</t>
  </si>
  <si>
    <t xml:space="preserve">                    Trash racks and trash racks cleaner</t>
  </si>
  <si>
    <t xml:space="preserve">          OTHER SPECIAL CONSTRUCTIONS</t>
  </si>
  <si>
    <t>(always considering 3/5 of the 1st phase cofferdam volume)</t>
  </si>
  <si>
    <t>(presumed zero, already considered in its unit price)</t>
  </si>
  <si>
    <t>(considering 70% of its volume)</t>
  </si>
  <si>
    <t>(always considering 2/5 of the 1st phase cofferdam volume and 30% of the compacted earthfill volume)</t>
  </si>
  <si>
    <t xml:space="preserve">Other socioenvironmental actions - Reservoir cleaning = 30% Environmental total costs </t>
  </si>
  <si>
    <t>AUXILIARY ELETRICAL EQUIPMENT</t>
  </si>
  <si>
    <t xml:space="preserve">     MISCELLANEOUS ITEMS FROM ACCOUNT .13</t>
  </si>
  <si>
    <t>MISCELLANEOUS MECHANICAL EQUIPMENT</t>
  </si>
  <si>
    <t>hera_env_popl_rurl_n</t>
  </si>
  <si>
    <t>hera_env_popl_urbn_n</t>
  </si>
  <si>
    <t xml:space="preserve">          Rural Resettlement (families or inhabitants affected)</t>
  </si>
  <si>
    <t xml:space="preserve">          Indigenous peoples and other ethnic groups (families or inhabitants affected)</t>
  </si>
  <si>
    <t xml:space="preserve">          Towns and villages (families or inhabitants affected)</t>
  </si>
  <si>
    <t xml:space="preserve">to access the definition of the variables in other languages, refer to Engineering dictionary.xls at HERA documentation </t>
  </si>
  <si>
    <t>bdg_excv_soil_up</t>
  </si>
  <si>
    <t>$/m³</t>
  </si>
  <si>
    <t>bdg_excv_rock_up</t>
  </si>
  <si>
    <t>bdg_excv_ugrk_up</t>
  </si>
  <si>
    <t>bdg_excv_borw_up</t>
  </si>
  <si>
    <t>bdg_excv_qury_up</t>
  </si>
  <si>
    <t>bdg_trtm_eart_up</t>
  </si>
  <si>
    <t>$/m²</t>
  </si>
  <si>
    <t>bdg_trtm_conc_up</t>
  </si>
  <si>
    <t>bdg_cofd_rmov_up</t>
  </si>
  <si>
    <t>bdg_cofd_01st_up</t>
  </si>
  <si>
    <t>bdg_cofd_02nd_up</t>
  </si>
  <si>
    <t>bdg_eart_fill_up</t>
  </si>
  <si>
    <t>bdg_rock_clay_up</t>
  </si>
  <si>
    <t>bdg_rock_fill_up</t>
  </si>
  <si>
    <t>bdg_e0r0_fltr_up</t>
  </si>
  <si>
    <t>bdg_eart_ripr_up</t>
  </si>
  <si>
    <t>bdg_eart_prot_up</t>
  </si>
  <si>
    <t>bdg_conc_cemt_up</t>
  </si>
  <si>
    <t>$/t</t>
  </si>
  <si>
    <t>bdg_conc_strc_up</t>
  </si>
  <si>
    <t>bdg_conc_rcmc_up</t>
  </si>
  <si>
    <t>bdg_conc_shot_up</t>
  </si>
  <si>
    <t>bdg_conc_stee_up</t>
  </si>
  <si>
    <t>bdg_pstk_stee_up</t>
  </si>
  <si>
    <t>bdg_accs_road_up</t>
  </si>
  <si>
    <t>$/km</t>
  </si>
  <si>
    <t>bdg_accs_brdg_up</t>
  </si>
  <si>
    <t>$/m</t>
  </si>
  <si>
    <t>bdg_res0_rurl_up</t>
  </si>
  <si>
    <t>bdg_res0_urbn_up</t>
  </si>
  <si>
    <t>bdg_res0_ppa0_up</t>
  </si>
  <si>
    <t>bdg_relc_road_up</t>
  </si>
  <si>
    <t>bdg_relc_rail_up</t>
  </si>
  <si>
    <t>bdg_relc_brdg_up</t>
  </si>
  <si>
    <t>bdg_res0_tlin_up</t>
  </si>
  <si>
    <t>bdg_popl_rurl_up</t>
  </si>
  <si>
    <t>$/un</t>
  </si>
  <si>
    <t>bdg_popl_urbn_up</t>
  </si>
  <si>
    <t>bdg_res0_clea_up</t>
  </si>
  <si>
    <t>bdg_civl_oth0_pc</t>
  </si>
  <si>
    <t>bdg_envr_oth0_pc</t>
  </si>
  <si>
    <t>bdg_civl_misc_pc</t>
  </si>
  <si>
    <t>bdg_eqp0_misc_pc</t>
  </si>
  <si>
    <t>bdg_envr_misc_pc</t>
  </si>
  <si>
    <t>bdg_indc_misc_pc</t>
  </si>
  <si>
    <t>bdg_indc_cons_pc</t>
  </si>
  <si>
    <t>bdg_indc_opmt_pc</t>
  </si>
  <si>
    <t>bdg_indc_engr_pc</t>
  </si>
  <si>
    <t>bdg_indc_spec_pc</t>
  </si>
  <si>
    <t>bdg_indc_envr_pc</t>
  </si>
  <si>
    <t>bdg_indc_admn_pc</t>
  </si>
  <si>
    <t>bdg_intr_cons_pc</t>
  </si>
  <si>
    <t>1st phase cofferdams</t>
  </si>
  <si>
    <t>2nd phase cofferdams</t>
  </si>
  <si>
    <t>Common excavation</t>
  </si>
  <si>
    <t>Surface rock excavation</t>
  </si>
  <si>
    <t>Underground rock excavation</t>
  </si>
  <si>
    <t>Borrow soil</t>
  </si>
  <si>
    <t>Quarry rock</t>
  </si>
  <si>
    <t>Foundation cleaning and treatment in dam earthworks</t>
  </si>
  <si>
    <t>Foundation cleaning and treatment in concrete strucutures</t>
  </si>
  <si>
    <t>Cofferdam removal</t>
  </si>
  <si>
    <t>Compacted earthfill</t>
  </si>
  <si>
    <t>Clay core</t>
  </si>
  <si>
    <t>Rockfill</t>
  </si>
  <si>
    <t>Filters and transitions</t>
  </si>
  <si>
    <t>Rip-rap or rockfill protection</t>
  </si>
  <si>
    <t>Downstream face protection (grass)</t>
  </si>
  <si>
    <t>Cement</t>
  </si>
  <si>
    <t>Structural concrete</t>
  </si>
  <si>
    <t>Roller-compacted or mass concrete</t>
  </si>
  <si>
    <t>Shotcrete</t>
  </si>
  <si>
    <t xml:space="preserve">Reinforcement steel </t>
  </si>
  <si>
    <t>Steel lining of penstocks</t>
  </si>
  <si>
    <t>Local access</t>
  </si>
  <si>
    <t>Local bridge access</t>
  </si>
  <si>
    <t>Rural properties affected by the reservoir</t>
  </si>
  <si>
    <t>Urban properties affected by the reservoir</t>
  </si>
  <si>
    <t>Permanent preservation areas</t>
  </si>
  <si>
    <t>Roads to be relocated</t>
  </si>
  <si>
    <t>Railways to be relocated</t>
  </si>
  <si>
    <t>Bridges to be relocated</t>
  </si>
  <si>
    <t>Transmission lines to be relocated</t>
  </si>
  <si>
    <t>Families or inhabitants affected by the reservoir in rural areas</t>
  </si>
  <si>
    <t>Families or inhabitants affected by the reservoir in urban areas</t>
  </si>
  <si>
    <t>Reservoir cleaning</t>
  </si>
  <si>
    <t>Foundation cleaning and treatment  - dam earthworks</t>
  </si>
  <si>
    <t>Foundation cleaning and treatment  - concrete strucutures</t>
  </si>
  <si>
    <t>Cofferdam - 1st phase</t>
  </si>
  <si>
    <t>Cofferdam - 2nd phase</t>
  </si>
  <si>
    <t>Rural properties</t>
  </si>
  <si>
    <t>Urban properties</t>
  </si>
  <si>
    <t>Roads</t>
  </si>
  <si>
    <t>Railways</t>
  </si>
  <si>
    <t>Bridges</t>
  </si>
  <si>
    <t xml:space="preserve">Transmission lines </t>
  </si>
  <si>
    <t>Families or inhabitants in rural areas</t>
  </si>
  <si>
    <t xml:space="preserve">un </t>
  </si>
  <si>
    <t>Families or inhabitants in urban areas</t>
  </si>
  <si>
    <t>hera_separator_line</t>
  </si>
  <si>
    <t>ENVIRONMENTAL UNIT COSTS</t>
  </si>
  <si>
    <t>ENGINEERING UNIT COSTS</t>
  </si>
  <si>
    <t>PERCENTAGE COSTS</t>
  </si>
  <si>
    <t>km²</t>
  </si>
  <si>
    <t>$/km²</t>
  </si>
  <si>
    <t>total cost without interest during construction</t>
  </si>
  <si>
    <t>interest during construction</t>
  </si>
  <si>
    <t>total cost with interest during construction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</si>
  <si>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</si>
  <si>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</si>
  <si>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</si>
  <si>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</si>
  <si>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bdg_eqp0_test_pc</t>
  </si>
  <si>
    <t>bdg_eqp0_tax0_pc</t>
  </si>
  <si>
    <t>bdg_eqp0_tran_pc</t>
  </si>
  <si>
    <t>bdg_eqp0_mech_pc</t>
  </si>
  <si>
    <t>bdg_eqp0_elec_pc</t>
  </si>
  <si>
    <t>EQUIPMENT UNIT COSTS</t>
  </si>
  <si>
    <t>bdg_eqp0_turb_up</t>
  </si>
  <si>
    <t>bdg_eqp0_genr_up</t>
  </si>
  <si>
    <t>bdg_eqp0_segm_up</t>
  </si>
  <si>
    <t>bdg_eqp0_fwgt_up</t>
  </si>
  <si>
    <t>bdg_eqp0_slog_up</t>
  </si>
  <si>
    <t>bdg_eqp0_rack_up</t>
  </si>
  <si>
    <t>bdg_eqp0_brdg_up</t>
  </si>
  <si>
    <t>bdg_eqp0_gtry_up</t>
  </si>
  <si>
    <t>bdg_eqp0_embp_up</t>
  </si>
  <si>
    <t>bdg_eqp0_bfly_up</t>
  </si>
  <si>
    <t>bdg_eqp0_sphr_up</t>
  </si>
  <si>
    <t>Turbine</t>
  </si>
  <si>
    <t>Generator</t>
  </si>
  <si>
    <t>Segment gate</t>
  </si>
  <si>
    <t>Fixed-wheel gate</t>
  </si>
  <si>
    <t>Stoplog</t>
  </si>
  <si>
    <t>Trash rack</t>
  </si>
  <si>
    <t>Bridge crane</t>
  </si>
  <si>
    <t>Gantry crane</t>
  </si>
  <si>
    <t>Embedded parts</t>
  </si>
  <si>
    <t>Butterfly valve</t>
  </si>
  <si>
    <t>Spherical valve</t>
  </si>
  <si>
    <t>pwh_turb_0000_t</t>
  </si>
  <si>
    <t>pwh_genr_0000_t</t>
  </si>
  <si>
    <t>pwh_dtub_slog_t</t>
  </si>
  <si>
    <t>pwh_dtub_fwgt_t</t>
  </si>
  <si>
    <t>pwh_strc_brdg_t</t>
  </si>
  <si>
    <t>pwh_dtub_gtry_t</t>
  </si>
  <si>
    <t>pwh_dtub_embp_t</t>
  </si>
  <si>
    <t>div_tund_fwgt_t</t>
  </si>
  <si>
    <t>div_tund_slog_t</t>
  </si>
  <si>
    <t>div_tund_embp_t</t>
  </si>
  <si>
    <t>div_g0s0_fwgt_t</t>
  </si>
  <si>
    <t>div_g0s0_slog_t</t>
  </si>
  <si>
    <t>div_slui_slog_t</t>
  </si>
  <si>
    <t>div_g0s0_embp_t</t>
  </si>
  <si>
    <t>spw_ogee_segm_t</t>
  </si>
  <si>
    <t>spw_ogee_slog_t</t>
  </si>
  <si>
    <t>spw_ogee_cran_t</t>
  </si>
  <si>
    <t>spw_ogee_embp_t</t>
  </si>
  <si>
    <t>hsy_infb_fwgt_t</t>
  </si>
  <si>
    <t>hsy_infb_slog_t</t>
  </si>
  <si>
    <t>hsy_infb_cran_t</t>
  </si>
  <si>
    <t>hsy_infb_rack_t</t>
  </si>
  <si>
    <t>hsy_infb_embp_t</t>
  </si>
  <si>
    <t>hsy_intk_slog_t</t>
  </si>
  <si>
    <t>hsy_intk_cran_t</t>
  </si>
  <si>
    <t>hsy_intk_rack_t</t>
  </si>
  <si>
    <t>hsy_intk_embp_t</t>
  </si>
  <si>
    <t>pwh_valv_bfly_t</t>
  </si>
  <si>
    <t>pwh_valv_sphr_t</t>
  </si>
  <si>
    <t>weight of the turbine</t>
  </si>
  <si>
    <t>weight of the generator</t>
  </si>
  <si>
    <t xml:space="preserve">weight of the stoplogs of the draft tube </t>
  </si>
  <si>
    <t xml:space="preserve">weight of the fixed wheel gates of the draft tube </t>
  </si>
  <si>
    <t>weight of the bridge crane</t>
  </si>
  <si>
    <t>weight of the gantry crane</t>
  </si>
  <si>
    <t xml:space="preserve">weight of the embedded parts of the draft tube equipment </t>
  </si>
  <si>
    <t>weight of the fixed wheel gates of the diversion tunnel</t>
  </si>
  <si>
    <t>weight of the stoplogs of the diversion tunnel</t>
  </si>
  <si>
    <t>weight of the embedded parts of the diversion tunnel equipment</t>
  </si>
  <si>
    <t>weight of the fixed wheel gates of the diversion gallery or sluiceway</t>
  </si>
  <si>
    <t>weight of the stoplogs of the diversion gallery or sluiceway</t>
  </si>
  <si>
    <t>weight of the downstream stoplogs of the sluiceway</t>
  </si>
  <si>
    <t>weight of the embedded parts of the diversion gallery or sluiceway equipment</t>
  </si>
  <si>
    <t>weight of the stoplogs of the spillway</t>
  </si>
  <si>
    <t>weight of the segment gates of the spillway</t>
  </si>
  <si>
    <t>weight of the crane of the spillway</t>
  </si>
  <si>
    <t xml:space="preserve">weight of the embedded parts of the spillway equipment </t>
  </si>
  <si>
    <t>weight of the fixed wheel gates of the forebay intake</t>
  </si>
  <si>
    <t>weight of the stoplogs of the forebay intake</t>
  </si>
  <si>
    <t>weight of the crane of the forebay intake</t>
  </si>
  <si>
    <t>weight of the trash racks of the forebay intake</t>
  </si>
  <si>
    <t>weight of the embedded parts of the forebay intake equipment</t>
  </si>
  <si>
    <t>weight of the stoplogs of the intake</t>
  </si>
  <si>
    <t>weight of the crane of the intake</t>
  </si>
  <si>
    <t>weight of the trash racks of the intake</t>
  </si>
  <si>
    <t>weight of the embedded parts of the intake equipment</t>
  </si>
  <si>
    <t>weight of the butterfly valve</t>
  </si>
  <si>
    <t>weight of the spherical valve</t>
  </si>
  <si>
    <t>bdg_eqp0_meth_x</t>
  </si>
  <si>
    <t>indicator of the method selected for equipment cost (0 = weight; 1 = database)</t>
  </si>
  <si>
    <t>x</t>
  </si>
  <si>
    <t>Assembly and tests for equipment accounts</t>
  </si>
  <si>
    <t>Taxes and fees for equipment accounts</t>
  </si>
  <si>
    <t>Transportation and insurance for equipment accounts</t>
  </si>
  <si>
    <t>Auxiliary eletric equipment</t>
  </si>
  <si>
    <t>Other costs for civil accounts</t>
  </si>
  <si>
    <t>Other costs for social and environmental accounts</t>
  </si>
  <si>
    <t>Miscellaneous items for civil accounts</t>
  </si>
  <si>
    <t>Miscellaneous items for equipment accounts</t>
  </si>
  <si>
    <t>Miscellaneous items for social and environmental accounts</t>
  </si>
  <si>
    <t>Miscellaneous items for indirect costs</t>
  </si>
  <si>
    <t>Indirect costs for construction site and worker's camp</t>
  </si>
  <si>
    <t>Indirect costs for maintenance and operation of the site and the camp</t>
  </si>
  <si>
    <t>Indirect costs for basic engineering</t>
  </si>
  <si>
    <t>Indirect costs for engineering special services</t>
  </si>
  <si>
    <t xml:space="preserve">Indirect costs for environmental projects and studies </t>
  </si>
  <si>
    <t>Indirect costs for owner´s administration</t>
  </si>
  <si>
    <t xml:space="preserve">    DAMS AND DYKES</t>
  </si>
  <si>
    <t xml:space="preserve">       EARTHFILL AND ROCKFILL DAMS AND DYKES</t>
  </si>
  <si>
    <t>Dams and dykes</t>
  </si>
  <si>
    <t xml:space="preserve">LOWER RESERVOIR </t>
  </si>
  <si>
    <t>UPPER RESERVOIR AND PSH CIRCUIT</t>
  </si>
  <si>
    <t>COST ESTIMATE SPREADSHEET: UPPER RESERVOIR AND PSH CIRCUIT</t>
  </si>
  <si>
    <t>COST ESTIMATE SPREADSHEET: LOWER RESERVOIR</t>
  </si>
  <si>
    <t>~UPPER</t>
  </si>
  <si>
    <t>~LOWER</t>
  </si>
  <si>
    <t>TOTAL</t>
  </si>
  <si>
    <t>Upper Res</t>
  </si>
  <si>
    <t>Lower Res</t>
  </si>
  <si>
    <t>pwh_strc_shot_m3</t>
  </si>
  <si>
    <t xml:space="preserve">          Shotcrete</t>
  </si>
  <si>
    <t>hsy_trce_shot_m3</t>
  </si>
  <si>
    <t>hsy_stlw_ugex_m3</t>
  </si>
  <si>
    <t>underground rock excavation volume of the lower surge tank</t>
  </si>
  <si>
    <t>hsy_stlw_trtm_m2</t>
  </si>
  <si>
    <t>foundation cleaning and treatment area of the lower surge tank</t>
  </si>
  <si>
    <t>hsy_stlw_conc_m3</t>
  </si>
  <si>
    <t>structural concrete volume of the lower surge tank</t>
  </si>
  <si>
    <t>hsy_inpp_slex_m3</t>
  </si>
  <si>
    <t>common excavation volume of the pumping intake</t>
  </si>
  <si>
    <t>hsy_inpp_rkex_m3</t>
  </si>
  <si>
    <t>surface rock excavation volume of the pumping intake</t>
  </si>
  <si>
    <t>hsy_inpp_trtm_m2</t>
  </si>
  <si>
    <t>foundation cleaning and treatment area of the pumping intake</t>
  </si>
  <si>
    <t>hsy_inpp_conc_m3</t>
  </si>
  <si>
    <t>structural concrete volume of the pumping intake</t>
  </si>
  <si>
    <t>novo</t>
  </si>
  <si>
    <t>nova divisão</t>
  </si>
  <si>
    <t>somatórios</t>
  </si>
  <si>
    <t>não tem</t>
  </si>
  <si>
    <t>passa escavação do túnel e casa de força para reservatório inferior</t>
  </si>
  <si>
    <t>passa concreto do túnel e da casa de força para reservatório inferior</t>
  </si>
  <si>
    <t>mais inpp</t>
  </si>
  <si>
    <t>mais stlw</t>
  </si>
  <si>
    <t xml:space="preserve">shotcrete volume of the underground tailrace </t>
  </si>
  <si>
    <t>shotcrete volume of the underground powerhouse</t>
  </si>
  <si>
    <t>hsy_intk_fwgt_t</t>
  </si>
  <si>
    <t>weight of the fixed wheel gates of the intake</t>
  </si>
  <si>
    <t>weight of the trash racks of the pumping intake</t>
  </si>
  <si>
    <t>trash racks cost of the pumping intake</t>
  </si>
  <si>
    <t>hsy_inpp_rack_t</t>
  </si>
  <si>
    <t>hsy_inpp_rack_ct</t>
  </si>
  <si>
    <t>bdg_eart_linr_up</t>
  </si>
  <si>
    <t>Geomembrane liner area of the earthfill dam</t>
  </si>
  <si>
    <t>dam_eart_linr_m2</t>
  </si>
  <si>
    <t>geomembrane liner area of the earthfill dam</t>
  </si>
  <si>
    <t>.12.17.25.32.20</t>
  </si>
  <si>
    <t xml:space="preserve">               Geomembrane liner</t>
  </si>
  <si>
    <t>.11.14</t>
  </si>
  <si>
    <t xml:space="preserve">     ACCESS TUNNEL</t>
  </si>
  <si>
    <t>pwh_accs_shot_m3</t>
  </si>
  <si>
    <t>shotcrete volume of the access tunnel to the underground powerhouse</t>
  </si>
  <si>
    <t>pwh_accs_trtm_m2</t>
  </si>
  <si>
    <t>foundation cleaning and treatment area of the access tunnel to the underground powerhouse</t>
  </si>
  <si>
    <t>pwh_accs_ugex_m3</t>
  </si>
  <si>
    <t>underground rock excavation volume of the access tunnel to the underground powerhouse</t>
  </si>
  <si>
    <t xml:space="preserve">     Turbines and pumps</t>
  </si>
  <si>
    <t xml:space="preserve">     Generators and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</si>
</sst>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00"/>
    <numFmt numFmtId="166" formatCode="#,##0.000"/>
    <numFmt numFmtId="167" formatCode="0.0%"/>
    <numFmt numFmtId="168" formatCode="_-* #,##0_-;\-* #,##0_-;_-* &quot;-&quot;??_-;_-@_-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vertAlign val="superscript"/>
      <sz val="9"/>
      <color rgb="FF303030"/>
      <name val="Verdana"/>
      <family val="2"/>
    </font>
    <font>
      <b/>
      <sz val="9"/>
      <name val="Calibri"/>
      <family val="2"/>
      <scheme val="minor"/>
    </font>
    <font>
      <sz val="8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7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0" fontId="1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20" fillId="0" borderId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43" fontId="38" fillId="0" borderId="0" applyFont="0" applyFill="0" applyBorder="0" applyAlignment="0" applyProtection="0"/>
    <xf numFmtId="0" fontId="39" fillId="0" borderId="0"/>
    <xf numFmtId="0" fontId="9" fillId="0" borderId="0"/>
    <xf numFmtId="0" fontId="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0" fontId="5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9" fillId="0" borderId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3">
    <xf numFmtId="0" fontId="0" fillId="0" borderId="0" xfId="0"/>
    <xf numFmtId="0" fontId="32" fillId="0" borderId="0" xfId="0" applyFont="1"/>
    <xf numFmtId="0" fontId="29" fillId="0" borderId="0" xfId="33" applyFont="1" applyAlignment="1">
      <alignment vertical="center"/>
    </xf>
    <xf numFmtId="0" fontId="33" fillId="0" borderId="0" xfId="33" applyFont="1" applyAlignment="1">
      <alignment vertical="center"/>
    </xf>
    <xf numFmtId="3" fontId="33" fillId="0" borderId="0" xfId="33" applyNumberFormat="1" applyFont="1" applyAlignment="1">
      <alignment horizontal="center"/>
    </xf>
    <xf numFmtId="0" fontId="33" fillId="0" borderId="0" xfId="33" applyFont="1"/>
    <xf numFmtId="4" fontId="33" fillId="0" borderId="0" xfId="33" applyNumberFormat="1" applyFont="1"/>
    <xf numFmtId="0" fontId="30" fillId="0" borderId="10" xfId="33" applyFont="1" applyBorder="1" applyAlignment="1">
      <alignment horizontal="left"/>
    </xf>
    <xf numFmtId="3" fontId="32" fillId="0" borderId="10" xfId="33" applyNumberFormat="1" applyFont="1" applyBorder="1" applyAlignment="1">
      <alignment horizontal="center"/>
    </xf>
    <xf numFmtId="0" fontId="32" fillId="0" borderId="10" xfId="33" applyFont="1" applyBorder="1"/>
    <xf numFmtId="3" fontId="34" fillId="0" borderId="27" xfId="33" applyNumberFormat="1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31" fillId="0" borderId="17" xfId="0" applyFont="1" applyBorder="1" applyAlignment="1">
      <alignment horizontal="center" vertical="center"/>
    </xf>
    <xf numFmtId="3" fontId="31" fillId="0" borderId="17" xfId="0" applyNumberFormat="1" applyFont="1" applyBorder="1" applyAlignment="1">
      <alignment vertical="center"/>
    </xf>
    <xf numFmtId="4" fontId="31" fillId="0" borderId="17" xfId="0" applyNumberFormat="1" applyFont="1" applyBorder="1" applyAlignment="1">
      <alignment vertical="center"/>
    </xf>
    <xf numFmtId="4" fontId="31" fillId="0" borderId="18" xfId="0" applyNumberFormat="1" applyFont="1" applyBorder="1" applyAlignment="1">
      <alignment vertical="center"/>
    </xf>
    <xf numFmtId="0" fontId="34" fillId="0" borderId="19" xfId="0" quotePrefix="1" applyFont="1" applyBorder="1" applyAlignment="1">
      <alignment horizontal="left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vertical="center"/>
    </xf>
    <xf numFmtId="4" fontId="34" fillId="0" borderId="28" xfId="0" applyNumberFormat="1" applyFont="1" applyBorder="1" applyAlignment="1">
      <alignment vertical="center"/>
    </xf>
    <xf numFmtId="0" fontId="31" fillId="0" borderId="11" xfId="0" quotePrefix="1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3" fontId="31" fillId="0" borderId="13" xfId="0" applyNumberFormat="1" applyFont="1" applyBorder="1" applyAlignment="1">
      <alignment vertical="center"/>
    </xf>
    <xf numFmtId="4" fontId="31" fillId="0" borderId="26" xfId="0" applyNumberFormat="1" applyFont="1" applyBorder="1" applyAlignment="1" applyProtection="1">
      <alignment vertical="center"/>
      <protection locked="0"/>
    </xf>
    <xf numFmtId="4" fontId="31" fillId="0" borderId="15" xfId="0" applyNumberFormat="1" applyFont="1" applyBorder="1" applyAlignment="1">
      <alignment vertical="center"/>
    </xf>
    <xf numFmtId="3" fontId="31" fillId="0" borderId="13" xfId="0" applyNumberFormat="1" applyFont="1" applyBorder="1" applyAlignment="1" applyProtection="1">
      <alignment vertical="center"/>
      <protection locked="0"/>
    </xf>
    <xf numFmtId="4" fontId="31" fillId="0" borderId="13" xfId="0" applyNumberFormat="1" applyFont="1" applyBorder="1" applyAlignment="1" applyProtection="1">
      <alignment vertical="center"/>
      <protection locked="0"/>
    </xf>
    <xf numFmtId="0" fontId="31" fillId="0" borderId="11" xfId="0" applyFont="1" applyBorder="1" applyAlignment="1">
      <alignment vertical="center"/>
    </xf>
    <xf numFmtId="3" fontId="34" fillId="0" borderId="12" xfId="0" applyNumberFormat="1" applyFont="1" applyBorder="1" applyAlignment="1">
      <alignment vertical="center"/>
    </xf>
    <xf numFmtId="4" fontId="34" fillId="0" borderId="12" xfId="0" applyNumberFormat="1" applyFont="1" applyBorder="1" applyAlignment="1">
      <alignment vertical="center"/>
    </xf>
    <xf numFmtId="4" fontId="31" fillId="0" borderId="13" xfId="0" applyNumberFormat="1" applyFont="1" applyBorder="1" applyAlignment="1">
      <alignment vertical="center"/>
    </xf>
    <xf numFmtId="14" fontId="31" fillId="0" borderId="11" xfId="0" quotePrefix="1" applyNumberFormat="1" applyFont="1" applyBorder="1" applyAlignment="1">
      <alignment horizontal="left" vertical="center"/>
    </xf>
    <xf numFmtId="14" fontId="31" fillId="0" borderId="11" xfId="0" applyNumberFormat="1" applyFont="1" applyBorder="1" applyAlignment="1">
      <alignment vertical="center"/>
    </xf>
    <xf numFmtId="3" fontId="31" fillId="0" borderId="11" xfId="0" quotePrefix="1" applyNumberFormat="1" applyFont="1" applyBorder="1" applyAlignment="1">
      <alignment horizontal="left" vertical="center"/>
    </xf>
    <xf numFmtId="0" fontId="31" fillId="0" borderId="13" xfId="0" quotePrefix="1" applyFont="1" applyBorder="1" applyAlignment="1">
      <alignment horizontal="center" vertical="center"/>
    </xf>
    <xf numFmtId="1" fontId="31" fillId="0" borderId="13" xfId="0" applyNumberFormat="1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14" fontId="31" fillId="0" borderId="20" xfId="0" quotePrefix="1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3" fontId="31" fillId="0" borderId="21" xfId="0" applyNumberFormat="1" applyFont="1" applyBorder="1" applyAlignment="1">
      <alignment vertical="center"/>
    </xf>
    <xf numFmtId="4" fontId="31" fillId="0" borderId="21" xfId="0" applyNumberFormat="1" applyFont="1" applyBorder="1" applyAlignment="1">
      <alignment vertical="center"/>
    </xf>
    <xf numFmtId="4" fontId="31" fillId="0" borderId="22" xfId="0" applyNumberFormat="1" applyFont="1" applyBorder="1" applyAlignment="1">
      <alignment vertical="center"/>
    </xf>
    <xf numFmtId="14" fontId="34" fillId="0" borderId="11" xfId="0" quotePrefix="1" applyNumberFormat="1" applyFont="1" applyBorder="1" applyAlignment="1">
      <alignment horizontal="left" vertical="center"/>
    </xf>
    <xf numFmtId="0" fontId="34" fillId="0" borderId="13" xfId="0" applyFont="1" applyBorder="1" applyAlignment="1">
      <alignment horizontal="center" vertical="center"/>
    </xf>
    <xf numFmtId="3" fontId="34" fillId="0" borderId="13" xfId="0" applyNumberFormat="1" applyFont="1" applyBorder="1" applyAlignment="1">
      <alignment vertical="center"/>
    </xf>
    <xf numFmtId="4" fontId="34" fillId="0" borderId="13" xfId="0" applyNumberFormat="1" applyFont="1" applyBorder="1" applyAlignment="1">
      <alignment vertical="center"/>
    </xf>
    <xf numFmtId="4" fontId="34" fillId="0" borderId="15" xfId="0" applyNumberFormat="1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14" fontId="31" fillId="0" borderId="11" xfId="0" quotePrefix="1" applyNumberFormat="1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center" vertical="center"/>
      <protection locked="0"/>
    </xf>
    <xf numFmtId="14" fontId="31" fillId="0" borderId="11" xfId="0" applyNumberFormat="1" applyFont="1" applyBorder="1" applyAlignment="1" applyProtection="1">
      <alignment vertical="center"/>
      <protection locked="0"/>
    </xf>
    <xf numFmtId="0" fontId="31" fillId="0" borderId="11" xfId="0" quotePrefix="1" applyFont="1" applyBorder="1" applyAlignment="1" applyProtection="1">
      <alignment horizontal="left" vertical="center"/>
      <protection locked="0"/>
    </xf>
    <xf numFmtId="0" fontId="31" fillId="0" borderId="23" xfId="0" quotePrefix="1" applyFont="1" applyBorder="1" applyAlignment="1">
      <alignment horizontal="left" vertical="center"/>
    </xf>
    <xf numFmtId="0" fontId="31" fillId="0" borderId="24" xfId="0" applyFont="1" applyBorder="1" applyAlignment="1">
      <alignment horizontal="center" vertical="center"/>
    </xf>
    <xf numFmtId="3" fontId="31" fillId="0" borderId="24" xfId="0" applyNumberFormat="1" applyFont="1" applyBorder="1" applyAlignment="1">
      <alignment vertical="center"/>
    </xf>
    <xf numFmtId="4" fontId="31" fillId="0" borderId="25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vertical="center"/>
    </xf>
    <xf numFmtId="0" fontId="34" fillId="0" borderId="14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1" fillId="0" borderId="24" xfId="0" applyFont="1" applyBorder="1" applyAlignment="1">
      <alignment horizontal="left" vertical="center"/>
    </xf>
    <xf numFmtId="0" fontId="31" fillId="0" borderId="14" xfId="0" quotePrefix="1" applyFont="1" applyBorder="1" applyAlignment="1">
      <alignment horizontal="left" vertical="center"/>
    </xf>
    <xf numFmtId="0" fontId="34" fillId="0" borderId="14" xfId="0" quotePrefix="1" applyFont="1" applyBorder="1" applyAlignment="1">
      <alignment horizontal="left" vertical="center"/>
    </xf>
    <xf numFmtId="2" fontId="32" fillId="0" borderId="10" xfId="33" applyNumberFormat="1" applyFont="1" applyBorder="1" applyAlignment="1">
      <alignment horizontal="left"/>
    </xf>
    <xf numFmtId="0" fontId="34" fillId="0" borderId="0" xfId="0" applyFont="1" applyAlignment="1">
      <alignment vertical="center"/>
    </xf>
    <xf numFmtId="0" fontId="31" fillId="0" borderId="33" xfId="0" applyFont="1" applyBorder="1" applyAlignment="1">
      <alignment vertical="center"/>
    </xf>
    <xf numFmtId="3" fontId="31" fillId="0" borderId="33" xfId="33" applyNumberFormat="1" applyFont="1" applyBorder="1" applyAlignment="1">
      <alignment horizontal="center"/>
    </xf>
    <xf numFmtId="0" fontId="31" fillId="0" borderId="33" xfId="0" applyFont="1" applyBorder="1" applyAlignment="1">
      <alignment horizontal="left" vertical="center"/>
    </xf>
    <xf numFmtId="3" fontId="31" fillId="0" borderId="33" xfId="33" applyNumberFormat="1" applyFont="1" applyBorder="1"/>
    <xf numFmtId="0" fontId="31" fillId="0" borderId="33" xfId="0" applyFont="1" applyBorder="1" applyAlignment="1">
      <alignment horizontal="center" vertical="center"/>
    </xf>
    <xf numFmtId="14" fontId="31" fillId="0" borderId="33" xfId="0" applyNumberFormat="1" applyFont="1" applyBorder="1" applyAlignment="1">
      <alignment horizontal="center" vertical="center"/>
    </xf>
    <xf numFmtId="0" fontId="31" fillId="0" borderId="33" xfId="0" applyFont="1" applyBorder="1" applyAlignment="1">
      <alignment horizontal="left" vertical="center" indent="1"/>
    </xf>
    <xf numFmtId="0" fontId="29" fillId="0" borderId="0" xfId="33" applyFont="1" applyAlignment="1">
      <alignment horizontal="center" vertical="center"/>
    </xf>
    <xf numFmtId="0" fontId="33" fillId="0" borderId="0" xfId="33" applyFont="1" applyAlignment="1">
      <alignment horizontal="center" vertical="center"/>
    </xf>
    <xf numFmtId="4" fontId="29" fillId="0" borderId="0" xfId="0" applyNumberFormat="1" applyFont="1" applyAlignment="1">
      <alignment horizontal="center" vertical="center"/>
    </xf>
    <xf numFmtId="0" fontId="28" fillId="0" borderId="0" xfId="33" applyFont="1" applyAlignment="1">
      <alignment horizontal="center" vertical="center"/>
    </xf>
    <xf numFmtId="0" fontId="28" fillId="0" borderId="0" xfId="33" applyFont="1" applyAlignment="1">
      <alignment horizontal="left" vertical="center"/>
    </xf>
    <xf numFmtId="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33" applyFont="1" applyAlignment="1">
      <alignment vertical="center"/>
    </xf>
    <xf numFmtId="167" fontId="28" fillId="0" borderId="0" xfId="44" applyNumberFormat="1" applyFont="1" applyAlignment="1">
      <alignment horizontal="center" vertical="center"/>
    </xf>
    <xf numFmtId="2" fontId="36" fillId="0" borderId="0" xfId="0" applyNumberFormat="1" applyFont="1" applyAlignment="1">
      <alignment horizontal="center" vertical="center" wrapText="1"/>
    </xf>
    <xf numFmtId="0" fontId="37" fillId="0" borderId="0" xfId="33" applyFont="1"/>
    <xf numFmtId="3" fontId="36" fillId="0" borderId="0" xfId="33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4" fontId="37" fillId="0" borderId="0" xfId="0" applyNumberFormat="1" applyFont="1" applyAlignment="1">
      <alignment vertical="center"/>
    </xf>
    <xf numFmtId="0" fontId="34" fillId="0" borderId="11" xfId="0" quotePrefix="1" applyFont="1" applyBorder="1" applyAlignment="1">
      <alignment horizontal="left" vertical="center"/>
    </xf>
    <xf numFmtId="0" fontId="34" fillId="0" borderId="13" xfId="0" applyFont="1" applyBorder="1" applyAlignment="1">
      <alignment vertical="center"/>
    </xf>
    <xf numFmtId="0" fontId="31" fillId="0" borderId="14" xfId="33" applyFont="1" applyBorder="1" applyAlignment="1">
      <alignment horizontal="center" vertical="center"/>
    </xf>
    <xf numFmtId="3" fontId="31" fillId="19" borderId="13" xfId="0" applyNumberFormat="1" applyFont="1" applyFill="1" applyBorder="1" applyAlignment="1" applyProtection="1">
      <alignment vertical="center"/>
      <protection locked="0"/>
    </xf>
    <xf numFmtId="167" fontId="37" fillId="0" borderId="0" xfId="44" applyNumberFormat="1" applyFont="1" applyAlignment="1">
      <alignment vertical="center"/>
    </xf>
    <xf numFmtId="166" fontId="29" fillId="0" borderId="0" xfId="0" applyNumberFormat="1" applyFont="1" applyAlignment="1">
      <alignment horizontal="center" vertical="center"/>
    </xf>
    <xf numFmtId="165" fontId="29" fillId="0" borderId="0" xfId="33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6" fontId="28" fillId="0" borderId="0" xfId="33" applyNumberFormat="1" applyFont="1" applyAlignment="1">
      <alignment horizontal="center" vertical="center"/>
    </xf>
    <xf numFmtId="39" fontId="28" fillId="0" borderId="0" xfId="33" applyNumberFormat="1" applyFont="1" applyAlignment="1">
      <alignment horizontal="left" vertical="center"/>
    </xf>
    <xf numFmtId="3" fontId="31" fillId="19" borderId="13" xfId="0" applyNumberFormat="1" applyFont="1" applyFill="1" applyBorder="1" applyAlignment="1">
      <alignment vertical="center"/>
    </xf>
    <xf numFmtId="4" fontId="31" fillId="18" borderId="13" xfId="0" applyNumberFormat="1" applyFont="1" applyFill="1" applyBorder="1" applyAlignment="1" applyProtection="1">
      <alignment vertical="center"/>
      <protection locked="0"/>
    </xf>
    <xf numFmtId="3" fontId="31" fillId="18" borderId="13" xfId="0" applyNumberFormat="1" applyFont="1" applyFill="1" applyBorder="1" applyAlignment="1">
      <alignment vertical="center"/>
    </xf>
    <xf numFmtId="3" fontId="31" fillId="18" borderId="13" xfId="0" applyNumberFormat="1" applyFont="1" applyFill="1" applyBorder="1" applyAlignment="1" applyProtection="1">
      <alignment vertical="center"/>
      <protection locked="0"/>
    </xf>
    <xf numFmtId="4" fontId="31" fillId="18" borderId="13" xfId="0" applyNumberFormat="1" applyFont="1" applyFill="1" applyBorder="1" applyAlignment="1">
      <alignment vertical="center"/>
    </xf>
    <xf numFmtId="166" fontId="28" fillId="18" borderId="0" xfId="0" applyNumberFormat="1" applyFont="1" applyFill="1" applyAlignment="1">
      <alignment horizontal="center" vertical="center"/>
    </xf>
    <xf numFmtId="165" fontId="28" fillId="18" borderId="0" xfId="33" applyNumberFormat="1" applyFont="1" applyFill="1" applyAlignment="1">
      <alignment horizontal="center" vertical="center"/>
    </xf>
    <xf numFmtId="164" fontId="31" fillId="18" borderId="13" xfId="0" applyNumberFormat="1" applyFont="1" applyFill="1" applyBorder="1" applyAlignment="1" applyProtection="1">
      <alignment vertical="center"/>
      <protection locked="0"/>
    </xf>
    <xf numFmtId="166" fontId="28" fillId="18" borderId="0" xfId="33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 applyProtection="1">
      <alignment vertical="center"/>
      <protection locked="0"/>
    </xf>
    <xf numFmtId="4" fontId="31" fillId="20" borderId="13" xfId="0" applyNumberFormat="1" applyFont="1" applyFill="1" applyBorder="1" applyAlignment="1" applyProtection="1">
      <alignment vertical="center"/>
      <protection locked="0"/>
    </xf>
    <xf numFmtId="4" fontId="34" fillId="0" borderId="0" xfId="33" applyNumberFormat="1" applyFont="1" applyAlignment="1">
      <alignment horizontal="center" vertical="center"/>
    </xf>
    <xf numFmtId="3" fontId="34" fillId="0" borderId="11" xfId="0" quotePrefix="1" applyNumberFormat="1" applyFont="1" applyBorder="1" applyAlignment="1">
      <alignment horizontal="left" vertical="center"/>
    </xf>
    <xf numFmtId="0" fontId="9" fillId="0" borderId="0" xfId="0" applyFont="1"/>
    <xf numFmtId="3" fontId="31" fillId="20" borderId="13" xfId="0" applyNumberFormat="1" applyFont="1" applyFill="1" applyBorder="1" applyAlignment="1" applyProtection="1">
      <alignment horizontal="right" vertical="center"/>
      <protection locked="0"/>
    </xf>
    <xf numFmtId="164" fontId="31" fillId="0" borderId="13" xfId="0" applyNumberFormat="1" applyFont="1" applyBorder="1" applyAlignment="1" applyProtection="1">
      <alignment vertical="center"/>
      <protection locked="0"/>
    </xf>
    <xf numFmtId="164" fontId="31" fillId="19" borderId="13" xfId="0" applyNumberFormat="1" applyFont="1" applyFill="1" applyBorder="1" applyAlignment="1" applyProtection="1">
      <alignment vertical="center"/>
      <protection locked="0"/>
    </xf>
    <xf numFmtId="4" fontId="31" fillId="23" borderId="13" xfId="0" applyNumberFormat="1" applyFont="1" applyFill="1" applyBorder="1" applyAlignment="1" applyProtection="1">
      <alignment vertical="center"/>
      <protection locked="0"/>
    </xf>
    <xf numFmtId="43" fontId="31" fillId="0" borderId="33" xfId="48" applyFont="1" applyBorder="1"/>
    <xf numFmtId="4" fontId="31" fillId="19" borderId="13" xfId="0" applyNumberFormat="1" applyFont="1" applyFill="1" applyBorder="1" applyAlignment="1" applyProtection="1">
      <alignment vertical="center"/>
      <protection locked="0"/>
    </xf>
    <xf numFmtId="168" fontId="31" fillId="0" borderId="33" xfId="48" applyNumberFormat="1" applyFont="1" applyBorder="1" applyAlignment="1">
      <alignment horizontal="right"/>
    </xf>
    <xf numFmtId="3" fontId="33" fillId="0" borderId="0" xfId="33" applyNumberFormat="1" applyFont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41" fillId="21" borderId="0" xfId="0" applyFont="1" applyFill="1"/>
    <xf numFmtId="0" fontId="42" fillId="0" borderId="0" xfId="0" applyFont="1"/>
    <xf numFmtId="0" fontId="43" fillId="0" borderId="0" xfId="0" applyFont="1"/>
    <xf numFmtId="0" fontId="41" fillId="22" borderId="0" xfId="0" applyFont="1" applyFill="1"/>
    <xf numFmtId="0" fontId="42" fillId="22" borderId="0" xfId="0" applyFont="1" applyFill="1"/>
    <xf numFmtId="43" fontId="42" fillId="22" borderId="0" xfId="48" applyFont="1" applyFill="1"/>
    <xf numFmtId="3" fontId="42" fillId="22" borderId="0" xfId="0" applyNumberFormat="1" applyFont="1" applyFill="1"/>
    <xf numFmtId="0" fontId="45" fillId="22" borderId="0" xfId="0" applyFont="1" applyFill="1"/>
    <xf numFmtId="0" fontId="46" fillId="0" borderId="0" xfId="0" applyFont="1"/>
    <xf numFmtId="0" fontId="40" fillId="24" borderId="0" xfId="0" applyFont="1" applyFill="1"/>
    <xf numFmtId="0" fontId="44" fillId="22" borderId="0" xfId="0" applyFont="1" applyFill="1"/>
    <xf numFmtId="0" fontId="44" fillId="0" borderId="0" xfId="55" applyFont="1"/>
    <xf numFmtId="0" fontId="47" fillId="22" borderId="0" xfId="0" applyFont="1" applyFill="1"/>
    <xf numFmtId="0" fontId="44" fillId="0" borderId="0" xfId="0" applyFont="1"/>
    <xf numFmtId="0" fontId="44" fillId="0" borderId="0" xfId="50" applyFont="1"/>
    <xf numFmtId="3" fontId="31" fillId="0" borderId="0" xfId="33" applyNumberFormat="1" applyFont="1" applyAlignment="1">
      <alignment horizontal="center"/>
    </xf>
    <xf numFmtId="43" fontId="31" fillId="0" borderId="0" xfId="48" applyFont="1"/>
    <xf numFmtId="0" fontId="31" fillId="0" borderId="0" xfId="33" applyFont="1"/>
    <xf numFmtId="0" fontId="31" fillId="0" borderId="0" xfId="0" applyFont="1"/>
    <xf numFmtId="0" fontId="31" fillId="0" borderId="33" xfId="0" quotePrefix="1" applyFont="1" applyBorder="1" applyAlignment="1">
      <alignment horizontal="center"/>
    </xf>
    <xf numFmtId="164" fontId="31" fillId="18" borderId="14" xfId="0" applyNumberFormat="1" applyFont="1" applyFill="1" applyBorder="1" applyAlignment="1" applyProtection="1">
      <alignment vertical="center"/>
      <protection locked="0"/>
    </xf>
    <xf numFmtId="0" fontId="9" fillId="0" borderId="33" xfId="0" applyFont="1" applyBorder="1" applyAlignment="1">
      <alignment horizontal="center"/>
    </xf>
    <xf numFmtId="0" fontId="0" fillId="0" borderId="33" xfId="0" applyBorder="1" applyAlignment="1">
      <alignment horizontal="left" indent="1"/>
    </xf>
    <xf numFmtId="4" fontId="0" fillId="0" borderId="33" xfId="0" applyNumberFormat="1" applyBorder="1" applyAlignment="1">
      <alignment horizontal="center"/>
    </xf>
    <xf numFmtId="0" fontId="30" fillId="0" borderId="33" xfId="0" applyFont="1" applyBorder="1"/>
    <xf numFmtId="0" fontId="0" fillId="0" borderId="33" xfId="0" applyBorder="1" applyAlignment="1">
      <alignment horizontal="center"/>
    </xf>
    <xf numFmtId="3" fontId="0" fillId="0" borderId="33" xfId="0" applyNumberFormat="1" applyBorder="1"/>
    <xf numFmtId="0" fontId="9" fillId="0" borderId="33" xfId="0" applyFont="1" applyBorder="1" applyAlignment="1">
      <alignment horizontal="left" indent="1"/>
    </xf>
    <xf numFmtId="166" fontId="29" fillId="18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9" fillId="0" borderId="33" xfId="0" applyFont="1" applyBorder="1"/>
    <xf numFmtId="4" fontId="31" fillId="0" borderId="33" xfId="33" applyNumberFormat="1" applyFont="1" applyBorder="1"/>
    <xf numFmtId="0" fontId="40" fillId="0" borderId="0" xfId="0" applyFont="1"/>
    <xf numFmtId="0" fontId="40" fillId="22" borderId="0" xfId="0" applyFont="1" applyFill="1"/>
    <xf numFmtId="0" fontId="31" fillId="0" borderId="14" xfId="0" applyFont="1" applyBorder="1" applyAlignment="1">
      <alignment horizontal="left" vertical="center"/>
    </xf>
    <xf numFmtId="0" fontId="28" fillId="0" borderId="0" xfId="33" applyFont="1"/>
    <xf numFmtId="2" fontId="42" fillId="0" borderId="0" xfId="49" applyNumberFormat="1" applyFont="1"/>
    <xf numFmtId="2" fontId="40" fillId="0" borderId="0" xfId="49" applyNumberFormat="1" applyFont="1"/>
    <xf numFmtId="2" fontId="44" fillId="0" borderId="0" xfId="49" applyNumberFormat="1" applyFont="1"/>
    <xf numFmtId="4" fontId="0" fillId="0" borderId="0" xfId="0" applyNumberFormat="1"/>
    <xf numFmtId="4" fontId="31" fillId="0" borderId="0" xfId="33" applyNumberFormat="1" applyFont="1"/>
    <xf numFmtId="0" fontId="31" fillId="25" borderId="36" xfId="0" applyFont="1" applyFill="1" applyBorder="1" applyAlignment="1">
      <alignment vertical="center"/>
    </xf>
    <xf numFmtId="4" fontId="37" fillId="0" borderId="0" xfId="33" applyNumberFormat="1" applyFont="1"/>
    <xf numFmtId="0" fontId="49" fillId="26" borderId="0" xfId="0" applyFont="1" applyFill="1"/>
    <xf numFmtId="0" fontId="40" fillId="0" borderId="0" xfId="0" applyFont="1"/>
    <xf numFmtId="0" fontId="45" fillId="22" borderId="0" xfId="0" applyFont="1" applyFill="1"/>
    <xf numFmtId="2" fontId="40" fillId="22" borderId="0" xfId="0" applyNumberFormat="1" applyFont="1" applyFill="1"/>
    <xf numFmtId="0" fontId="45" fillId="22" borderId="0" xfId="0" applyFont="1" applyFill="1"/>
    <xf numFmtId="2" fontId="40" fillId="22" borderId="0" xfId="0" applyNumberFormat="1" applyFont="1" applyFill="1"/>
    <xf numFmtId="0" fontId="40" fillId="22" borderId="0" xfId="0" applyFont="1" applyFill="1"/>
    <xf numFmtId="0" fontId="45" fillId="22" borderId="0" xfId="0" applyFont="1" applyFill="1"/>
    <xf numFmtId="0" fontId="40" fillId="24" borderId="0" xfId="0" applyFont="1" applyFill="1" applyBorder="1"/>
    <xf numFmtId="0" fontId="45" fillId="27" borderId="0" xfId="0" applyFont="1" applyFill="1"/>
    <xf numFmtId="0" fontId="42" fillId="27" borderId="0" xfId="0" applyFont="1" applyFill="1"/>
    <xf numFmtId="2" fontId="42" fillId="27" borderId="0" xfId="49" applyNumberFormat="1" applyFont="1" applyFill="1"/>
    <xf numFmtId="0" fontId="40" fillId="27" borderId="0" xfId="0" applyFont="1" applyFill="1" applyAlignment="1">
      <alignment horizontal="center" vertical="top"/>
    </xf>
    <xf numFmtId="0" fontId="40" fillId="0" borderId="0" xfId="0" applyFont="1" applyBorder="1"/>
    <xf numFmtId="0" fontId="40" fillId="27" borderId="0" xfId="0" applyFont="1" applyFill="1" applyBorder="1" applyAlignment="1">
      <alignment horizontal="center" vertical="top"/>
    </xf>
    <xf numFmtId="1" fontId="0" fillId="22" borderId="0" xfId="0" applyNumberFormat="1" applyFill="1"/>
    <xf numFmtId="0" fontId="2" fillId="0" borderId="0" xfId="0" applyFont="1"/>
    <xf numFmtId="0" fontId="0" fillId="28" borderId="0" xfId="0" applyFill="1"/>
    <xf numFmtId="0" fontId="0" fillId="0" borderId="0" xfId="0" quotePrefix="1"/>
    <xf numFmtId="0" fontId="0" fillId="28" borderId="0" xfId="0" applyFill="1" applyAlignment="1">
      <alignment horizontal="center"/>
    </xf>
    <xf numFmtId="0" fontId="40" fillId="29" borderId="0" xfId="0" applyFont="1" applyFill="1"/>
    <xf numFmtId="0" fontId="40" fillId="29" borderId="0" xfId="0" applyFont="1" applyFill="1" applyBorder="1"/>
    <xf numFmtId="0" fontId="37" fillId="29" borderId="0" xfId="33" applyFont="1" applyFill="1"/>
    <xf numFmtId="167" fontId="37" fillId="29" borderId="0" xfId="44" applyNumberFormat="1" applyFont="1" applyFill="1" applyAlignment="1">
      <alignment vertical="center"/>
    </xf>
    <xf numFmtId="0" fontId="40" fillId="0" borderId="0" xfId="0" applyFont="1" applyFill="1"/>
    <xf numFmtId="2" fontId="42" fillId="29" borderId="0" xfId="49" applyNumberFormat="1" applyFont="1" applyFill="1"/>
    <xf numFmtId="0" fontId="0" fillId="29" borderId="0" xfId="0" applyFill="1"/>
    <xf numFmtId="167" fontId="37" fillId="29" borderId="0" xfId="44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>
      <alignment vertical="center"/>
    </xf>
    <xf numFmtId="43" fontId="31" fillId="29" borderId="33" xfId="48" applyFont="1" applyFill="1" applyBorder="1"/>
    <xf numFmtId="0" fontId="42" fillId="0" borderId="0" xfId="0" applyFont="1" applyAlignment="1">
      <alignment horizontal="left"/>
    </xf>
    <xf numFmtId="0" fontId="45" fillId="21" borderId="0" xfId="0" applyFont="1" applyFill="1"/>
    <xf numFmtId="43" fontId="31" fillId="0" borderId="33" xfId="48" applyFont="1" applyFill="1" applyBorder="1"/>
    <xf numFmtId="3" fontId="31" fillId="0" borderId="33" xfId="33" applyNumberFormat="1" applyFont="1" applyFill="1" applyBorder="1"/>
    <xf numFmtId="168" fontId="31" fillId="0" borderId="33" xfId="48" applyNumberFormat="1" applyFont="1" applyBorder="1"/>
    <xf numFmtId="0" fontId="3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3" fontId="0" fillId="0" borderId="0" xfId="0" applyNumberFormat="1" applyFill="1"/>
    <xf numFmtId="3" fontId="0" fillId="29" borderId="35" xfId="0" applyNumberFormat="1" applyFill="1" applyBorder="1"/>
    <xf numFmtId="3" fontId="0" fillId="29" borderId="33" xfId="0" applyNumberFormat="1" applyFill="1" applyBorder="1"/>
    <xf numFmtId="0" fontId="51" fillId="0" borderId="0" xfId="0" applyFont="1"/>
    <xf numFmtId="3" fontId="40" fillId="22" borderId="0" xfId="0" applyNumberFormat="1" applyFont="1" applyFill="1"/>
    <xf numFmtId="2" fontId="9" fillId="29" borderId="0" xfId="49" applyNumberFormat="1" applyFont="1" applyFill="1"/>
    <xf numFmtId="2" fontId="40" fillId="0" borderId="0" xfId="49" applyNumberFormat="1" applyFont="1" applyFill="1"/>
    <xf numFmtId="2" fontId="42" fillId="0" borderId="0" xfId="49" applyNumberFormat="1" applyFont="1" applyFill="1"/>
    <xf numFmtId="0" fontId="44" fillId="0" borderId="0" xfId="0" applyFont="1" applyFill="1" applyAlignment="1">
      <alignment horizontal="center"/>
    </xf>
    <xf numFmtId="0" fontId="52" fillId="0" borderId="0" xfId="0" applyFont="1"/>
    <xf numFmtId="168" fontId="31" fillId="29" borderId="33" xfId="48" applyNumberFormat="1" applyFont="1" applyFill="1" applyBorder="1"/>
    <xf numFmtId="167" fontId="53" fillId="29" borderId="0" xfId="44" applyNumberFormat="1" applyFont="1" applyFill="1" applyAlignment="1">
      <alignment vertical="center"/>
    </xf>
    <xf numFmtId="167" fontId="53" fillId="0" borderId="0" xfId="44" applyNumberFormat="1" applyFont="1" applyFill="1" applyAlignment="1">
      <alignment vertical="center"/>
    </xf>
    <xf numFmtId="4" fontId="1" fillId="22" borderId="0" xfId="0" applyNumberFormat="1" applyFont="1" applyFill="1"/>
    <xf numFmtId="1" fontId="42" fillId="22" borderId="0" xfId="0" applyNumberFormat="1" applyFont="1" applyFill="1"/>
    <xf numFmtId="4" fontId="34" fillId="0" borderId="33" xfId="33" applyNumberFormat="1" applyFont="1" applyBorder="1" applyAlignment="1">
      <alignment horizontal="center" vertical="center"/>
    </xf>
    <xf numFmtId="0" fontId="34" fillId="0" borderId="34" xfId="33" applyFont="1" applyBorder="1" applyAlignment="1">
      <alignment horizontal="center" vertical="center"/>
    </xf>
    <xf numFmtId="0" fontId="34" fillId="0" borderId="35" xfId="33" applyFont="1" applyBorder="1" applyAlignment="1">
      <alignment horizontal="center" vertical="center"/>
    </xf>
    <xf numFmtId="4" fontId="29" fillId="0" borderId="34" xfId="33" applyNumberFormat="1" applyFont="1" applyBorder="1" applyAlignment="1">
      <alignment horizontal="center" vertical="center" wrapText="1"/>
    </xf>
    <xf numFmtId="4" fontId="29" fillId="0" borderId="35" xfId="33" applyNumberFormat="1" applyFont="1" applyBorder="1" applyAlignment="1">
      <alignment horizontal="center" vertical="center" wrapText="1"/>
    </xf>
    <xf numFmtId="0" fontId="34" fillId="25" borderId="33" xfId="33" applyFont="1" applyFill="1" applyBorder="1" applyAlignment="1">
      <alignment horizontal="center" vertical="center"/>
    </xf>
    <xf numFmtId="0" fontId="34" fillId="0" borderId="33" xfId="33" applyFont="1" applyBorder="1" applyAlignment="1">
      <alignment horizontal="center" vertical="center"/>
    </xf>
    <xf numFmtId="0" fontId="9" fillId="0" borderId="33" xfId="0" applyFont="1" applyBorder="1" applyAlignment="1">
      <alignment horizontal="center"/>
    </xf>
    <xf numFmtId="2" fontId="30" fillId="0" borderId="0" xfId="0" applyNumberFormat="1" applyFont="1" applyAlignment="1">
      <alignment horizontal="center" vertical="center" wrapText="1"/>
    </xf>
    <xf numFmtId="0" fontId="34" fillId="0" borderId="30" xfId="33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31" xfId="33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4" fontId="34" fillId="0" borderId="32" xfId="33" applyNumberFormat="1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17" xfId="33" quotePrefix="1" applyFont="1" applyBorder="1" applyAlignment="1">
      <alignment horizontal="center" vertical="center"/>
    </xf>
    <xf numFmtId="4" fontId="34" fillId="0" borderId="17" xfId="33" applyNumberFormat="1" applyFont="1" applyBorder="1" applyAlignment="1">
      <alignment horizontal="center" vertical="center"/>
    </xf>
    <xf numFmtId="3" fontId="34" fillId="0" borderId="29" xfId="33" applyNumberFormat="1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1" fillId="29" borderId="14" xfId="0" quotePrefix="1" applyFont="1" applyFill="1" applyBorder="1" applyAlignment="1">
      <alignment horizontal="left" vertical="center"/>
    </xf>
  </cellXfs>
  <cellStyles count="127">
    <cellStyle name="20% - Ênfase1" xfId="2" builtinId="30" customBuiltin="1"/>
    <cellStyle name="20% - Ênfase1 2" xfId="56" xr:uid="{00000000-0005-0000-0000-000000000000}"/>
    <cellStyle name="20% - Ênfase2" xfId="3" builtinId="34" customBuiltin="1"/>
    <cellStyle name="20% - Ênfase2 2" xfId="57" xr:uid="{00000000-0005-0000-0000-000001000000}"/>
    <cellStyle name="20% - Ênfase3" xfId="4" builtinId="38" customBuiltin="1"/>
    <cellStyle name="20% - Ênfase3 2" xfId="58" xr:uid="{00000000-0005-0000-0000-000002000000}"/>
    <cellStyle name="20% - Ênfase4" xfId="5" builtinId="42" customBuiltin="1"/>
    <cellStyle name="20% - Ênfase4 2" xfId="59" xr:uid="{00000000-0005-0000-0000-000003000000}"/>
    <cellStyle name="20% - Ênfase5" xfId="6" builtinId="46" customBuiltin="1"/>
    <cellStyle name="20% - Ênfase5 2" xfId="60" xr:uid="{00000000-0005-0000-0000-000004000000}"/>
    <cellStyle name="20% - Ênfase6" xfId="7" builtinId="50" customBuiltin="1"/>
    <cellStyle name="20% - Ênfase6 2" xfId="61" xr:uid="{00000000-0005-0000-0000-000005000000}"/>
    <cellStyle name="40% - Ênfase1" xfId="8" builtinId="31" customBuiltin="1"/>
    <cellStyle name="40% - Ênfase1 2" xfId="62" xr:uid="{00000000-0005-0000-0000-000006000000}"/>
    <cellStyle name="40% - Ênfase2" xfId="9" builtinId="35" customBuiltin="1"/>
    <cellStyle name="40% - Ênfase2 2" xfId="63" xr:uid="{00000000-0005-0000-0000-000007000000}"/>
    <cellStyle name="40% - Ênfase3" xfId="10" builtinId="39" customBuiltin="1"/>
    <cellStyle name="40% - Ênfase3 2" xfId="64" xr:uid="{00000000-0005-0000-0000-000008000000}"/>
    <cellStyle name="40% - Ênfase4" xfId="11" builtinId="43" customBuiltin="1"/>
    <cellStyle name="40% - Ênfase4 2" xfId="65" xr:uid="{00000000-0005-0000-0000-000009000000}"/>
    <cellStyle name="40% - Ênfase5" xfId="12" builtinId="47" customBuiltin="1"/>
    <cellStyle name="40% - Ênfase5 2" xfId="66" xr:uid="{00000000-0005-0000-0000-00000A000000}"/>
    <cellStyle name="40% - Ênfase6" xfId="13" builtinId="51" customBuiltin="1"/>
    <cellStyle name="40% - Ênfase6 2" xfId="67" xr:uid="{00000000-0005-0000-0000-00000B000000}"/>
    <cellStyle name="60% - Ênfase1" xfId="14" builtinId="32" customBuiltin="1"/>
    <cellStyle name="60% - Ênfase1 2" xfId="68" xr:uid="{00000000-0005-0000-0000-00000C000000}"/>
    <cellStyle name="60% - Ênfase2" xfId="15" builtinId="36" customBuiltin="1"/>
    <cellStyle name="60% - Ênfase2 2" xfId="69" xr:uid="{00000000-0005-0000-0000-00000D000000}"/>
    <cellStyle name="60% - Ênfase3" xfId="16" builtinId="40" customBuiltin="1"/>
    <cellStyle name="60% - Ênfase3 2" xfId="70" xr:uid="{00000000-0005-0000-0000-00000E000000}"/>
    <cellStyle name="60% - Ênfase4" xfId="17" builtinId="44" customBuiltin="1"/>
    <cellStyle name="60% - Ênfase4 2" xfId="71" xr:uid="{00000000-0005-0000-0000-00000F000000}"/>
    <cellStyle name="60% - Ênfase5" xfId="18" builtinId="48" customBuiltin="1"/>
    <cellStyle name="60% - Ênfase5 2" xfId="72" xr:uid="{00000000-0005-0000-0000-000010000000}"/>
    <cellStyle name="60% - Ênfase6" xfId="19" builtinId="52" customBuiltin="1"/>
    <cellStyle name="60% - Ênfase6 2" xfId="73" xr:uid="{00000000-0005-0000-0000-000011000000}"/>
    <cellStyle name="Bom" xfId="20" builtinId="26" customBuiltin="1"/>
    <cellStyle name="Bom 2" xfId="74" xr:uid="{00000000-0005-0000-0000-000012000000}"/>
    <cellStyle name="Cálculo" xfId="21" builtinId="22" customBuiltin="1"/>
    <cellStyle name="Cálculo 2" xfId="75" xr:uid="{00000000-0005-0000-0000-000013000000}"/>
    <cellStyle name="Célula de Verificação" xfId="22" builtinId="23" customBuiltin="1"/>
    <cellStyle name="Célula de Verificação 2" xfId="76" xr:uid="{00000000-0005-0000-0000-000014000000}"/>
    <cellStyle name="Célula Vinculada" xfId="23" builtinId="24" customBuiltin="1"/>
    <cellStyle name="Célula Vinculada 2" xfId="77" xr:uid="{00000000-0005-0000-0000-000015000000}"/>
    <cellStyle name="Comma 2" xfId="115" xr:uid="{80865FB5-0866-4F9D-BB41-418CC89FBAF1}"/>
    <cellStyle name="Ênfase1" xfId="24" builtinId="29" customBuiltin="1"/>
    <cellStyle name="Ênfase1 2" xfId="78" xr:uid="{00000000-0005-0000-0000-000016000000}"/>
    <cellStyle name="Ênfase2" xfId="25" builtinId="33" customBuiltin="1"/>
    <cellStyle name="Ênfase2 2" xfId="79" xr:uid="{00000000-0005-0000-0000-000017000000}"/>
    <cellStyle name="Ênfase3" xfId="26" builtinId="37" customBuiltin="1"/>
    <cellStyle name="Ênfase3 2" xfId="80" xr:uid="{00000000-0005-0000-0000-000018000000}"/>
    <cellStyle name="Ênfase4" xfId="27" builtinId="41" customBuiltin="1"/>
    <cellStyle name="Ênfase4 2" xfId="81" xr:uid="{00000000-0005-0000-0000-000019000000}"/>
    <cellStyle name="Ênfase5" xfId="28" builtinId="45" customBuiltin="1"/>
    <cellStyle name="Ênfase5 2" xfId="82" xr:uid="{00000000-0005-0000-0000-00001A000000}"/>
    <cellStyle name="Ênfase6" xfId="29" builtinId="49" customBuiltin="1"/>
    <cellStyle name="Ênfase6 2" xfId="83" xr:uid="{00000000-0005-0000-0000-00001B000000}"/>
    <cellStyle name="Entrada" xfId="30" builtinId="20" customBuiltin="1"/>
    <cellStyle name="Entrada 2" xfId="84" xr:uid="{00000000-0005-0000-0000-00001C000000}"/>
    <cellStyle name="Estilo 1" xfId="1" xr:uid="{00000000-0005-0000-0000-00001D000000}"/>
    <cellStyle name="Incorreto 2" xfId="85" xr:uid="{00000000-0005-0000-0000-00001E000000}"/>
    <cellStyle name="Neutra 2" xfId="86" xr:uid="{00000000-0005-0000-0000-00001F000000}"/>
    <cellStyle name="Neutro" xfId="32" builtinId="28" customBuiltin="1"/>
    <cellStyle name="Neutro 2" xfId="104" xr:uid="{00000000-0005-0000-0000-000060000000}"/>
    <cellStyle name="Normal" xfId="0" builtinId="0"/>
    <cellStyle name="Normal 2" xfId="46" xr:uid="{00000000-0005-0000-0000-000021000000}"/>
    <cellStyle name="Normal 2 2" xfId="52" xr:uid="{00000000-0005-0000-0000-000021000000}"/>
    <cellStyle name="Normal 2 2 2" xfId="108" xr:uid="{00000000-0005-0000-0000-000021000000}"/>
    <cellStyle name="Normal 2 2 2 2" xfId="124" xr:uid="{1D4379D7-40D4-41A0-A79F-38FEC5B2D15F}"/>
    <cellStyle name="Normal 2 2 3" xfId="117" xr:uid="{8D5BDD20-3606-49D2-85E0-60D6A638E54D}"/>
    <cellStyle name="Normal 2 3" xfId="99" xr:uid="{00000000-0005-0000-0000-000021000000}"/>
    <cellStyle name="Normal 2 3 2" xfId="121" xr:uid="{8B7E8961-9BDE-4898-8033-92B459764E60}"/>
    <cellStyle name="Normal 2 4" xfId="113" xr:uid="{E59D82E9-A243-49EA-8BAD-7072658208A2}"/>
    <cellStyle name="Normal 3" xfId="47" xr:uid="{00000000-0005-0000-0000-000022000000}"/>
    <cellStyle name="Normal 3 2" xfId="53" xr:uid="{00000000-0005-0000-0000-000022000000}"/>
    <cellStyle name="Normal 3 2 2" xfId="109" xr:uid="{00000000-0005-0000-0000-000022000000}"/>
    <cellStyle name="Normal 3 2 2 2" xfId="125" xr:uid="{5DE84981-1616-4E94-B21D-6D8CBA1843E6}"/>
    <cellStyle name="Normal 3 2 3" xfId="118" xr:uid="{C8BA2E44-C241-48EC-A420-5BC0DFC7D02D}"/>
    <cellStyle name="Normal 3 3" xfId="100" xr:uid="{00000000-0005-0000-0000-000022000000}"/>
    <cellStyle name="Normal 3 3 2" xfId="122" xr:uid="{CEA8F38B-E8C9-448E-B28D-D73C659DF895}"/>
    <cellStyle name="Normal 3 4" xfId="114" xr:uid="{50726D3B-FA67-4A8F-948F-E9FC7C783458}"/>
    <cellStyle name="Normal 4" xfId="45" xr:uid="{00000000-0005-0000-0000-000023000000}"/>
    <cellStyle name="Normal 4 2" xfId="51" xr:uid="{00000000-0005-0000-0000-000023000000}"/>
    <cellStyle name="Normal 4 2 2" xfId="107" xr:uid="{00000000-0005-0000-0000-000023000000}"/>
    <cellStyle name="Normal 4 2 2 2" xfId="123" xr:uid="{D2912CAE-0A65-4AB4-89B7-F920DD25A389}"/>
    <cellStyle name="Normal 4 2 3" xfId="116" xr:uid="{AF25DC1F-6C1A-418A-ADA1-718875A333FE}"/>
    <cellStyle name="Normal 4 3" xfId="98" xr:uid="{00000000-0005-0000-0000-000023000000}"/>
    <cellStyle name="Normal 4 3 2" xfId="120" xr:uid="{9F08ACAE-27A8-462C-9810-6754282A47A7}"/>
    <cellStyle name="Normal 4 4" xfId="112" xr:uid="{59317068-AC17-42EF-A74A-045BCB3B614A}"/>
    <cellStyle name="Normal 5" xfId="50" xr:uid="{00000000-0005-0000-0000-000035000000}"/>
    <cellStyle name="Normal 5 2" xfId="106" xr:uid="{00000000-0005-0000-0000-000035000000}"/>
    <cellStyle name="Normal 6" xfId="102" xr:uid="{00000000-0005-0000-0000-000061000000}"/>
    <cellStyle name="Normal 7" xfId="55" xr:uid="{00000000-0005-0000-0000-00005A000000}"/>
    <cellStyle name="Normal 7 2" xfId="119" xr:uid="{8017DBA5-59A9-4349-A65D-B5F62DA23AC6}"/>
    <cellStyle name="Normal 8" xfId="111" xr:uid="{1783CA97-3127-4D43-AFD5-2451AA0027F6}"/>
    <cellStyle name="Normal 8 2" xfId="126" xr:uid="{5F4ABA35-547D-45F4-B7C1-71881E29D4D7}"/>
    <cellStyle name="Normal_49OPE" xfId="33" xr:uid="{00000000-0005-0000-0000-000024000000}"/>
    <cellStyle name="Normal_VERTEDOR" xfId="49" xr:uid="{00000000-0005-0000-0000-000025000000}"/>
    <cellStyle name="Nota" xfId="34" builtinId="10" customBuiltin="1"/>
    <cellStyle name="Nota 2" xfId="87" xr:uid="{00000000-0005-0000-0000-000026000000}"/>
    <cellStyle name="Porcentagem" xfId="44" builtinId="5"/>
    <cellStyle name="Porcentagem 2" xfId="97" xr:uid="{00000000-0005-0000-0000-000027000000}"/>
    <cellStyle name="Ruim" xfId="31" builtinId="27" customBuiltin="1"/>
    <cellStyle name="Ruim 2" xfId="103" xr:uid="{00000000-0005-0000-0000-000067000000}"/>
    <cellStyle name="Saída" xfId="35" builtinId="21" customBuiltin="1"/>
    <cellStyle name="Saída 2" xfId="88" xr:uid="{00000000-0005-0000-0000-000028000000}"/>
    <cellStyle name="Separador de milhares 2" xfId="101" xr:uid="{00000000-0005-0000-0000-000029000000}"/>
    <cellStyle name="Texto de Aviso" xfId="36" builtinId="11" customBuiltin="1"/>
    <cellStyle name="Texto de Aviso 2" xfId="89" xr:uid="{00000000-0005-0000-0000-00002A000000}"/>
    <cellStyle name="Texto Explicativo" xfId="37" builtinId="53" customBuiltin="1"/>
    <cellStyle name="Texto Explicativo 2" xfId="90" xr:uid="{00000000-0005-0000-0000-00002B000000}"/>
    <cellStyle name="Título" xfId="38" builtinId="15" customBuiltin="1"/>
    <cellStyle name="Título 1" xfId="39" builtinId="16" customBuiltin="1"/>
    <cellStyle name="Título 1 2" xfId="92" xr:uid="{00000000-0005-0000-0000-00002C000000}"/>
    <cellStyle name="Título 2" xfId="40" builtinId="17" customBuiltin="1"/>
    <cellStyle name="Título 2 2" xfId="93" xr:uid="{00000000-0005-0000-0000-00002D000000}"/>
    <cellStyle name="Título 3" xfId="41" builtinId="18" customBuiltin="1"/>
    <cellStyle name="Título 3 2" xfId="94" xr:uid="{00000000-0005-0000-0000-00002E000000}"/>
    <cellStyle name="Título 4" xfId="42" builtinId="19" customBuiltin="1"/>
    <cellStyle name="Título 4 2" xfId="95" xr:uid="{00000000-0005-0000-0000-00002F000000}"/>
    <cellStyle name="Título 5" xfId="91" xr:uid="{00000000-0005-0000-0000-000030000000}"/>
    <cellStyle name="Total" xfId="43" builtinId="25" customBuiltin="1"/>
    <cellStyle name="Total 2" xfId="96" xr:uid="{00000000-0005-0000-0000-000031000000}"/>
    <cellStyle name="Vírgula" xfId="48" builtinId="3"/>
    <cellStyle name="Vírgula 2" xfId="54" xr:uid="{00000000-0005-0000-0000-000039000000}"/>
    <cellStyle name="Vírgula 2 2" xfId="110" xr:uid="{00000000-0005-0000-0000-000039000000}"/>
    <cellStyle name="Vírgula 3" xfId="105" xr:uid="{00000000-0005-0000-0000-000068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8"/>
  <sheetViews>
    <sheetView workbookViewId="0">
      <selection activeCell="B136" sqref="B136"/>
    </sheetView>
  </sheetViews>
  <sheetFormatPr defaultColWidth="9.109375" defaultRowHeight="14.4" x14ac:dyDescent="0.3"/>
  <cols>
    <col min="1" max="1" width="27.5546875" style="126" bestFit="1" customWidth="1"/>
    <col min="2" max="2" width="10.33203125" style="126" bestFit="1" customWidth="1"/>
    <col min="3" max="3" width="6.33203125" style="126" bestFit="1" customWidth="1"/>
    <col min="4" max="4" width="84.88671875" style="126" customWidth="1"/>
    <col min="5" max="7" width="2.5546875" style="126" customWidth="1"/>
    <col min="8" max="8" width="22.33203125" style="126" bestFit="1" customWidth="1"/>
    <col min="9" max="9" width="15.33203125" style="126" bestFit="1" customWidth="1"/>
    <col min="10" max="10" width="2" style="126" bestFit="1" customWidth="1"/>
    <col min="11" max="11" width="63.5546875" style="126" bestFit="1" customWidth="1"/>
    <col min="12" max="12" width="4.5546875" style="127" customWidth="1"/>
    <col min="13" max="16384" width="9.109375" style="127"/>
  </cols>
  <sheetData>
    <row r="1" spans="1:12" x14ac:dyDescent="0.3">
      <c r="A1" s="125" t="s">
        <v>277</v>
      </c>
      <c r="D1" s="168" t="s">
        <v>895</v>
      </c>
      <c r="E1" s="138"/>
      <c r="H1" s="125" t="s">
        <v>278</v>
      </c>
      <c r="I1" s="214" t="s">
        <v>1145</v>
      </c>
    </row>
    <row r="2" spans="1:12" x14ac:dyDescent="0.3">
      <c r="A2" s="128" t="s">
        <v>286</v>
      </c>
      <c r="B2" s="129">
        <v>100</v>
      </c>
      <c r="C2" s="126" t="s">
        <v>218</v>
      </c>
      <c r="D2" s="134" t="s">
        <v>500</v>
      </c>
      <c r="E2" s="138"/>
      <c r="H2" s="128" t="s">
        <v>392</v>
      </c>
      <c r="I2" s="130">
        <f>summary!L6*1000</f>
        <v>15176106.801433656</v>
      </c>
      <c r="J2" s="157" t="s">
        <v>447</v>
      </c>
      <c r="K2" s="134" t="s">
        <v>460</v>
      </c>
      <c r="L2" s="138"/>
    </row>
    <row r="3" spans="1:12" x14ac:dyDescent="0.3">
      <c r="A3" s="128" t="s">
        <v>288</v>
      </c>
      <c r="B3" s="129">
        <v>4000</v>
      </c>
      <c r="C3" s="161" t="s">
        <v>69</v>
      </c>
      <c r="D3" s="134" t="s">
        <v>545</v>
      </c>
      <c r="E3" s="138"/>
      <c r="H3" s="128" t="s">
        <v>393</v>
      </c>
      <c r="I3" s="130">
        <f>summary!L7*1000</f>
        <v>11866176.052127605</v>
      </c>
      <c r="J3" s="157" t="s">
        <v>447</v>
      </c>
      <c r="K3" s="134" t="s">
        <v>461</v>
      </c>
    </row>
    <row r="4" spans="1:12" x14ac:dyDescent="0.3">
      <c r="A4" s="128" t="s">
        <v>287</v>
      </c>
      <c r="B4" s="129">
        <v>10000</v>
      </c>
      <c r="C4" s="161" t="s">
        <v>69</v>
      </c>
      <c r="D4" s="134" t="s">
        <v>544</v>
      </c>
      <c r="H4" s="128" t="s">
        <v>394</v>
      </c>
      <c r="I4" s="130">
        <f>summary!L8*1000</f>
        <v>25042826.292550929</v>
      </c>
      <c r="J4" s="157" t="s">
        <v>447</v>
      </c>
      <c r="K4" s="134" t="s">
        <v>462</v>
      </c>
    </row>
    <row r="5" spans="1:12" x14ac:dyDescent="0.3">
      <c r="A5" s="128" t="s">
        <v>421</v>
      </c>
      <c r="B5" s="129">
        <v>0</v>
      </c>
      <c r="C5" s="161" t="s">
        <v>69</v>
      </c>
      <c r="D5" s="134" t="s">
        <v>547</v>
      </c>
      <c r="H5" s="128" t="s">
        <v>395</v>
      </c>
      <c r="I5" s="130">
        <f>summary!L9*1000</f>
        <v>1401127.3491187894</v>
      </c>
      <c r="J5" s="157" t="s">
        <v>447</v>
      </c>
      <c r="K5" s="134" t="s">
        <v>463</v>
      </c>
    </row>
    <row r="6" spans="1:12" x14ac:dyDescent="0.3">
      <c r="A6" s="128" t="s">
        <v>289</v>
      </c>
      <c r="B6" s="129">
        <v>500</v>
      </c>
      <c r="C6" s="161" t="s">
        <v>4</v>
      </c>
      <c r="D6" s="134" t="s">
        <v>546</v>
      </c>
      <c r="H6" s="128" t="s">
        <v>396</v>
      </c>
      <c r="I6" s="130">
        <f>summary!L10*1000</f>
        <v>1373053.0991497112</v>
      </c>
      <c r="J6" s="157" t="s">
        <v>447</v>
      </c>
      <c r="K6" s="134" t="s">
        <v>464</v>
      </c>
    </row>
    <row r="7" spans="1:12" x14ac:dyDescent="0.3">
      <c r="A7" s="128" t="s">
        <v>290</v>
      </c>
      <c r="B7" s="129">
        <v>8000</v>
      </c>
      <c r="C7" s="161" t="s">
        <v>69</v>
      </c>
      <c r="D7" s="134" t="s">
        <v>543</v>
      </c>
      <c r="H7" s="128" t="s">
        <v>397</v>
      </c>
      <c r="I7" s="130">
        <f>summary!L11*1000</f>
        <v>6875300.2878721766</v>
      </c>
      <c r="J7" s="157" t="s">
        <v>447</v>
      </c>
      <c r="K7" s="134" t="s">
        <v>465</v>
      </c>
    </row>
    <row r="8" spans="1:12" x14ac:dyDescent="0.3">
      <c r="A8" s="128" t="s">
        <v>1126</v>
      </c>
      <c r="B8" s="129">
        <v>200</v>
      </c>
      <c r="C8" s="193" t="s">
        <v>69</v>
      </c>
      <c r="D8" s="134" t="s">
        <v>1152</v>
      </c>
      <c r="H8" s="128" t="s">
        <v>398</v>
      </c>
      <c r="I8" s="130">
        <f>summary!L12*1000</f>
        <v>11219541.174318431</v>
      </c>
      <c r="J8" s="157" t="s">
        <v>447</v>
      </c>
      <c r="K8" s="134" t="s">
        <v>466</v>
      </c>
    </row>
    <row r="9" spans="1:12" x14ac:dyDescent="0.3">
      <c r="A9" s="128" t="s">
        <v>291</v>
      </c>
      <c r="B9" s="131">
        <v>929000</v>
      </c>
      <c r="C9" s="126" t="s">
        <v>447</v>
      </c>
      <c r="D9" s="134" t="s">
        <v>556</v>
      </c>
      <c r="H9" s="128" t="s">
        <v>399</v>
      </c>
      <c r="I9" s="130">
        <f>summary!L13*1000</f>
        <v>0</v>
      </c>
      <c r="J9" s="157" t="s">
        <v>447</v>
      </c>
      <c r="K9" s="134" t="s">
        <v>467</v>
      </c>
    </row>
    <row r="10" spans="1:12" x14ac:dyDescent="0.3">
      <c r="A10" s="128" t="s">
        <v>292</v>
      </c>
      <c r="B10" s="131">
        <v>1250000</v>
      </c>
      <c r="C10" s="126" t="s">
        <v>447</v>
      </c>
      <c r="D10" s="134" t="s">
        <v>555</v>
      </c>
      <c r="H10" s="128" t="s">
        <v>400</v>
      </c>
      <c r="I10" s="130">
        <f>summary!L14*1000</f>
        <v>105688800</v>
      </c>
      <c r="J10" s="157" t="s">
        <v>447</v>
      </c>
      <c r="K10" s="134" t="s">
        <v>468</v>
      </c>
    </row>
    <row r="11" spans="1:12" x14ac:dyDescent="0.3">
      <c r="A11" s="128" t="s">
        <v>293</v>
      </c>
      <c r="B11" s="131">
        <v>2</v>
      </c>
      <c r="D11" s="134" t="s">
        <v>560</v>
      </c>
      <c r="H11" s="128" t="s">
        <v>401</v>
      </c>
      <c r="I11" s="130">
        <f>summary!L15*1000</f>
        <v>22828780.800000001</v>
      </c>
      <c r="J11" s="157" t="s">
        <v>447</v>
      </c>
      <c r="K11" s="134" t="s">
        <v>469</v>
      </c>
    </row>
    <row r="12" spans="1:12" x14ac:dyDescent="0.3">
      <c r="A12" s="128" t="s">
        <v>1037</v>
      </c>
      <c r="B12" s="131">
        <v>500</v>
      </c>
      <c r="C12" s="188" t="s">
        <v>75</v>
      </c>
      <c r="D12" s="134" t="s">
        <v>1066</v>
      </c>
      <c r="H12" s="128" t="s">
        <v>402</v>
      </c>
      <c r="I12" s="130">
        <f>summary!L16*1000</f>
        <v>11376393.600000001</v>
      </c>
      <c r="J12" s="157" t="s">
        <v>447</v>
      </c>
      <c r="K12" s="134" t="s">
        <v>470</v>
      </c>
    </row>
    <row r="13" spans="1:12" x14ac:dyDescent="0.3">
      <c r="A13" s="128" t="s">
        <v>294</v>
      </c>
      <c r="B13" s="131">
        <v>7180000</v>
      </c>
      <c r="C13" s="126" t="s">
        <v>447</v>
      </c>
      <c r="D13" s="134" t="s">
        <v>559</v>
      </c>
      <c r="H13" s="128" t="s">
        <v>403</v>
      </c>
      <c r="I13" s="130">
        <f>summary!L17*1000</f>
        <v>5310304.8725253623</v>
      </c>
      <c r="J13" s="157" t="s">
        <v>447</v>
      </c>
      <c r="K13" s="134" t="s">
        <v>471</v>
      </c>
    </row>
    <row r="14" spans="1:12" x14ac:dyDescent="0.3">
      <c r="A14" s="128" t="s">
        <v>295</v>
      </c>
      <c r="B14" s="131">
        <v>2</v>
      </c>
      <c r="D14" s="134" t="s">
        <v>558</v>
      </c>
      <c r="H14" s="128" t="s">
        <v>408</v>
      </c>
      <c r="I14" s="130">
        <f>summary!L18*1000</f>
        <v>197289388.41863757</v>
      </c>
      <c r="J14" s="157" t="s">
        <v>447</v>
      </c>
      <c r="K14" s="134" t="s">
        <v>474</v>
      </c>
    </row>
    <row r="15" spans="1:12" x14ac:dyDescent="0.3">
      <c r="A15" s="128" t="s">
        <v>1038</v>
      </c>
      <c r="B15" s="131">
        <v>600</v>
      </c>
      <c r="C15" s="188" t="s">
        <v>75</v>
      </c>
      <c r="D15" s="134" t="s">
        <v>1067</v>
      </c>
      <c r="H15" s="128" t="s">
        <v>404</v>
      </c>
      <c r="I15" s="130">
        <f>summary!L19*1000</f>
        <v>26042199.271260157</v>
      </c>
      <c r="J15" s="157" t="s">
        <v>447</v>
      </c>
      <c r="K15" s="134" t="s">
        <v>472</v>
      </c>
    </row>
    <row r="16" spans="1:12" x14ac:dyDescent="0.3">
      <c r="A16" s="128" t="s">
        <v>296</v>
      </c>
      <c r="B16" s="131">
        <v>12580000</v>
      </c>
      <c r="C16" s="126" t="s">
        <v>447</v>
      </c>
      <c r="D16" s="134" t="s">
        <v>557</v>
      </c>
      <c r="H16" s="128" t="s">
        <v>406</v>
      </c>
      <c r="I16" s="130">
        <f>summary!L20*1000</f>
        <v>223331587.68989775</v>
      </c>
      <c r="J16" s="157" t="s">
        <v>447</v>
      </c>
      <c r="K16" s="134" t="s">
        <v>1002</v>
      </c>
    </row>
    <row r="17" spans="1:13" x14ac:dyDescent="0.3">
      <c r="A17" s="128" t="s">
        <v>297</v>
      </c>
      <c r="B17" s="131">
        <v>2</v>
      </c>
      <c r="D17" s="134" t="s">
        <v>553</v>
      </c>
      <c r="H17" s="128" t="s">
        <v>405</v>
      </c>
      <c r="I17" s="130">
        <f>summary!L21*1000</f>
        <v>26799790.522787727</v>
      </c>
      <c r="J17" s="157" t="s">
        <v>447</v>
      </c>
      <c r="K17" s="134" t="s">
        <v>1003</v>
      </c>
    </row>
    <row r="18" spans="1:13" x14ac:dyDescent="0.3">
      <c r="A18" s="128" t="s">
        <v>1039</v>
      </c>
      <c r="B18" s="131">
        <v>20</v>
      </c>
      <c r="C18" s="188" t="s">
        <v>75</v>
      </c>
      <c r="D18" s="134" t="s">
        <v>1068</v>
      </c>
      <c r="H18" s="128" t="s">
        <v>411</v>
      </c>
      <c r="I18" s="130">
        <f>summary!L22*1000</f>
        <v>250131378.21268547</v>
      </c>
      <c r="J18" s="157" t="s">
        <v>447</v>
      </c>
      <c r="K18" s="134" t="s">
        <v>1004</v>
      </c>
    </row>
    <row r="19" spans="1:13" x14ac:dyDescent="0.3">
      <c r="A19" s="128" t="s">
        <v>298</v>
      </c>
      <c r="B19" s="131">
        <v>84000</v>
      </c>
      <c r="C19" s="126" t="s">
        <v>447</v>
      </c>
      <c r="D19" s="134" t="s">
        <v>552</v>
      </c>
      <c r="H19" s="128" t="s">
        <v>407</v>
      </c>
      <c r="I19" s="130">
        <f>summary!L25*1000</f>
        <v>29256354.918280922</v>
      </c>
      <c r="J19" s="157" t="s">
        <v>447</v>
      </c>
      <c r="K19" s="134" t="s">
        <v>473</v>
      </c>
    </row>
    <row r="20" spans="1:13" x14ac:dyDescent="0.3">
      <c r="A20" s="128" t="s">
        <v>299</v>
      </c>
      <c r="B20" s="131">
        <v>0</v>
      </c>
      <c r="D20" s="134" t="s">
        <v>550</v>
      </c>
      <c r="H20" s="128" t="s">
        <v>409</v>
      </c>
      <c r="I20" s="130">
        <f>summary!L26*1000</f>
        <v>152856926.69892299</v>
      </c>
      <c r="J20" s="157" t="s">
        <v>447</v>
      </c>
      <c r="K20" s="134" t="s">
        <v>475</v>
      </c>
    </row>
    <row r="21" spans="1:13" x14ac:dyDescent="0.3">
      <c r="A21" s="128" t="s">
        <v>1040</v>
      </c>
      <c r="B21" s="131">
        <v>0</v>
      </c>
      <c r="C21" s="188" t="s">
        <v>75</v>
      </c>
      <c r="D21" s="134" t="s">
        <v>1069</v>
      </c>
      <c r="H21" s="128" t="s">
        <v>410</v>
      </c>
      <c r="I21" s="130">
        <f>summary!L31</f>
        <v>2501.3137821268547</v>
      </c>
      <c r="J21" s="157" t="s">
        <v>447</v>
      </c>
      <c r="K21" s="134" t="s">
        <v>476</v>
      </c>
    </row>
    <row r="22" spans="1:13" x14ac:dyDescent="0.3">
      <c r="A22" s="128" t="s">
        <v>300</v>
      </c>
      <c r="B22" s="131">
        <v>0</v>
      </c>
      <c r="C22" s="126" t="s">
        <v>447</v>
      </c>
      <c r="D22" s="134" t="s">
        <v>549</v>
      </c>
      <c r="H22" s="175" t="s">
        <v>1005</v>
      </c>
      <c r="I22" s="183" t="str">
        <f>VLOOKUP(1,J25:K26,2,FALSE)</f>
        <v/>
      </c>
      <c r="J22" s="184"/>
      <c r="K22" s="134" t="s">
        <v>1006</v>
      </c>
      <c r="L22" s="184"/>
    </row>
    <row r="23" spans="1:13" x14ac:dyDescent="0.3">
      <c r="A23" s="128" t="s">
        <v>1041</v>
      </c>
      <c r="B23" s="131">
        <v>120</v>
      </c>
      <c r="C23" s="188" t="s">
        <v>75</v>
      </c>
      <c r="D23" s="134" t="s">
        <v>1070</v>
      </c>
      <c r="H23"/>
      <c r="I23"/>
      <c r="J23"/>
      <c r="K23"/>
      <c r="L23"/>
      <c r="M23"/>
    </row>
    <row r="24" spans="1:13" x14ac:dyDescent="0.3">
      <c r="A24" s="128" t="s">
        <v>301</v>
      </c>
      <c r="B24" s="131">
        <v>922000</v>
      </c>
      <c r="C24" s="126" t="s">
        <v>447</v>
      </c>
      <c r="D24" s="134" t="s">
        <v>554</v>
      </c>
      <c r="H24"/>
      <c r="I24"/>
      <c r="J24" s="185" t="s">
        <v>1007</v>
      </c>
      <c r="K24" s="185"/>
    </row>
    <row r="25" spans="1:13" x14ac:dyDescent="0.3">
      <c r="A25" s="128" t="s">
        <v>1042</v>
      </c>
      <c r="B25" s="131">
        <v>15</v>
      </c>
      <c r="C25" s="188" t="s">
        <v>75</v>
      </c>
      <c r="D25" s="134" t="s">
        <v>1071</v>
      </c>
      <c r="H25"/>
      <c r="I25"/>
      <c r="J25" s="119" cm="1">
        <f t="array" ref="J25">IFERROR(MIN(ABS(I12:I21),0),1)</f>
        <v>0</v>
      </c>
      <c r="K25" s="186" t="s">
        <v>1008</v>
      </c>
    </row>
    <row r="26" spans="1:13" x14ac:dyDescent="0.3">
      <c r="A26" s="128" t="s">
        <v>302</v>
      </c>
      <c r="B26" s="131">
        <v>1863000</v>
      </c>
      <c r="C26" s="126" t="s">
        <v>447</v>
      </c>
      <c r="D26" s="134" t="s">
        <v>551</v>
      </c>
      <c r="H26"/>
      <c r="I26"/>
      <c r="J26" s="187">
        <v>1</v>
      </c>
      <c r="K26" t="str">
        <f>""</f>
        <v/>
      </c>
    </row>
    <row r="27" spans="1:13" x14ac:dyDescent="0.3">
      <c r="A27" s="128" t="s">
        <v>1043</v>
      </c>
      <c r="B27" s="131">
        <v>5</v>
      </c>
      <c r="C27" s="188" t="s">
        <v>75</v>
      </c>
      <c r="D27" s="134" t="s">
        <v>1072</v>
      </c>
    </row>
    <row r="28" spans="1:13" x14ac:dyDescent="0.3">
      <c r="A28" s="128" t="s">
        <v>303</v>
      </c>
      <c r="B28" s="131">
        <v>434000</v>
      </c>
      <c r="C28" s="126" t="s">
        <v>447</v>
      </c>
      <c r="D28" s="134" t="s">
        <v>548</v>
      </c>
    </row>
    <row r="29" spans="1:13" x14ac:dyDescent="0.3">
      <c r="A29" s="128" t="s">
        <v>437</v>
      </c>
      <c r="B29" s="129">
        <v>0</v>
      </c>
      <c r="C29" s="161" t="s">
        <v>69</v>
      </c>
      <c r="D29" s="134" t="s">
        <v>590</v>
      </c>
    </row>
    <row r="30" spans="1:13" x14ac:dyDescent="0.3">
      <c r="A30" s="128" t="s">
        <v>438</v>
      </c>
      <c r="B30" s="129">
        <v>0</v>
      </c>
      <c r="C30" s="161" t="s">
        <v>69</v>
      </c>
      <c r="D30" s="134" t="s">
        <v>589</v>
      </c>
    </row>
    <row r="31" spans="1:13" x14ac:dyDescent="0.3">
      <c r="A31" s="128" t="s">
        <v>439</v>
      </c>
      <c r="B31" s="158">
        <v>0</v>
      </c>
      <c r="C31" s="162" t="s">
        <v>4</v>
      </c>
      <c r="D31" s="134" t="s">
        <v>588</v>
      </c>
    </row>
    <row r="32" spans="1:13" x14ac:dyDescent="0.3">
      <c r="A32" s="128" t="s">
        <v>840</v>
      </c>
      <c r="B32" s="131">
        <v>2</v>
      </c>
      <c r="D32" s="134" t="s">
        <v>833</v>
      </c>
    </row>
    <row r="33" spans="1:11" x14ac:dyDescent="0.3">
      <c r="A33" s="128" t="s">
        <v>1055</v>
      </c>
      <c r="B33" s="131">
        <v>12</v>
      </c>
      <c r="C33" s="188" t="s">
        <v>75</v>
      </c>
      <c r="D33" s="134" t="s">
        <v>1084</v>
      </c>
    </row>
    <row r="34" spans="1:11" x14ac:dyDescent="0.3">
      <c r="A34" s="128" t="s">
        <v>841</v>
      </c>
      <c r="B34" s="131">
        <v>150000</v>
      </c>
      <c r="C34" s="126" t="s">
        <v>447</v>
      </c>
      <c r="D34" s="134" t="s">
        <v>834</v>
      </c>
      <c r="K34" s="127"/>
    </row>
    <row r="35" spans="1:11" x14ac:dyDescent="0.3">
      <c r="A35" s="128" t="s">
        <v>842</v>
      </c>
      <c r="B35" s="131">
        <v>1</v>
      </c>
      <c r="D35" s="134" t="s">
        <v>835</v>
      </c>
      <c r="K35" s="127"/>
    </row>
    <row r="36" spans="1:11" x14ac:dyDescent="0.3">
      <c r="A36" s="128" t="s">
        <v>1056</v>
      </c>
      <c r="B36" s="131">
        <v>10</v>
      </c>
      <c r="C36" s="188" t="s">
        <v>75</v>
      </c>
      <c r="D36" s="134" t="s">
        <v>1085</v>
      </c>
      <c r="E36" s="136"/>
      <c r="K36" s="127"/>
    </row>
    <row r="37" spans="1:11" x14ac:dyDescent="0.3">
      <c r="A37" s="128" t="s">
        <v>843</v>
      </c>
      <c r="B37" s="131">
        <v>15000</v>
      </c>
      <c r="C37" s="126" t="s">
        <v>447</v>
      </c>
      <c r="D37" s="134" t="s">
        <v>836</v>
      </c>
      <c r="E37" s="136"/>
      <c r="K37" s="127"/>
    </row>
    <row r="38" spans="1:11" x14ac:dyDescent="0.3">
      <c r="A38" s="128" t="s">
        <v>1057</v>
      </c>
      <c r="B38" s="131">
        <v>10</v>
      </c>
      <c r="C38" s="188" t="s">
        <v>75</v>
      </c>
      <c r="D38" s="134" t="s">
        <v>1086</v>
      </c>
      <c r="E38" s="139"/>
    </row>
    <row r="39" spans="1:11" x14ac:dyDescent="0.3">
      <c r="A39" s="128" t="s">
        <v>844</v>
      </c>
      <c r="B39" s="131">
        <v>70000</v>
      </c>
      <c r="C39" s="126" t="s">
        <v>447</v>
      </c>
      <c r="D39" s="134" t="s">
        <v>837</v>
      </c>
    </row>
    <row r="40" spans="1:11" x14ac:dyDescent="0.3">
      <c r="A40" s="128" t="s">
        <v>1058</v>
      </c>
      <c r="B40" s="131">
        <v>10</v>
      </c>
      <c r="C40" s="188" t="s">
        <v>75</v>
      </c>
      <c r="D40" s="134" t="s">
        <v>1087</v>
      </c>
    </row>
    <row r="41" spans="1:11" x14ac:dyDescent="0.3">
      <c r="A41" s="128" t="s">
        <v>845</v>
      </c>
      <c r="B41" s="131">
        <v>350000</v>
      </c>
      <c r="C41" s="126" t="s">
        <v>447</v>
      </c>
      <c r="D41" s="134" t="s">
        <v>838</v>
      </c>
    </row>
    <row r="42" spans="1:11" x14ac:dyDescent="0.3">
      <c r="A42" s="128" t="s">
        <v>1059</v>
      </c>
      <c r="B42" s="131">
        <v>5</v>
      </c>
      <c r="C42" s="188" t="s">
        <v>75</v>
      </c>
      <c r="D42" s="134" t="s">
        <v>1088</v>
      </c>
    </row>
    <row r="43" spans="1:11" x14ac:dyDescent="0.3">
      <c r="A43" s="128" t="s">
        <v>846</v>
      </c>
      <c r="B43" s="131">
        <v>120000</v>
      </c>
      <c r="C43" s="126" t="s">
        <v>447</v>
      </c>
      <c r="D43" s="134" t="s">
        <v>839</v>
      </c>
    </row>
    <row r="44" spans="1:11" x14ac:dyDescent="0.3">
      <c r="A44" s="128" t="s">
        <v>346</v>
      </c>
      <c r="B44" s="129">
        <v>400</v>
      </c>
      <c r="C44" s="161" t="s">
        <v>69</v>
      </c>
      <c r="D44" s="134" t="s">
        <v>584</v>
      </c>
    </row>
    <row r="45" spans="1:11" x14ac:dyDescent="0.3">
      <c r="A45" s="128" t="s">
        <v>347</v>
      </c>
      <c r="B45" s="129">
        <v>700</v>
      </c>
      <c r="C45" s="161" t="s">
        <v>69</v>
      </c>
      <c r="D45" s="134" t="s">
        <v>583</v>
      </c>
    </row>
    <row r="46" spans="1:11" x14ac:dyDescent="0.3">
      <c r="A46" s="128" t="s">
        <v>348</v>
      </c>
      <c r="B46" s="129">
        <v>100</v>
      </c>
      <c r="C46" s="161" t="s">
        <v>4</v>
      </c>
      <c r="D46" s="134" t="s">
        <v>587</v>
      </c>
    </row>
    <row r="47" spans="1:11" x14ac:dyDescent="0.3">
      <c r="A47" s="128" t="s">
        <v>349</v>
      </c>
      <c r="B47" s="129">
        <v>1000</v>
      </c>
      <c r="C47" s="161" t="s">
        <v>69</v>
      </c>
      <c r="D47" s="134" t="s">
        <v>577</v>
      </c>
    </row>
    <row r="48" spans="1:11" x14ac:dyDescent="0.3">
      <c r="A48" s="128" t="s">
        <v>350</v>
      </c>
      <c r="B48" s="131">
        <v>2</v>
      </c>
      <c r="D48" s="134" t="s">
        <v>581</v>
      </c>
      <c r="K48" s="127"/>
    </row>
    <row r="49" spans="1:11" x14ac:dyDescent="0.3">
      <c r="A49" s="175" t="s">
        <v>1153</v>
      </c>
      <c r="B49" s="219">
        <v>10</v>
      </c>
      <c r="C49" s="194" t="s">
        <v>75</v>
      </c>
      <c r="D49" s="134" t="s">
        <v>1154</v>
      </c>
      <c r="K49" s="127"/>
    </row>
    <row r="50" spans="1:11" x14ac:dyDescent="0.3">
      <c r="A50" s="128" t="s">
        <v>351</v>
      </c>
      <c r="B50" s="131">
        <v>173000</v>
      </c>
      <c r="C50" s="126" t="s">
        <v>447</v>
      </c>
      <c r="D50" s="134" t="s">
        <v>580</v>
      </c>
      <c r="K50" s="127"/>
    </row>
    <row r="51" spans="1:11" x14ac:dyDescent="0.3">
      <c r="A51" s="128" t="s">
        <v>352</v>
      </c>
      <c r="B51" s="131">
        <v>1</v>
      </c>
      <c r="D51" s="134" t="s">
        <v>586</v>
      </c>
      <c r="K51" s="127"/>
    </row>
    <row r="52" spans="1:11" x14ac:dyDescent="0.3">
      <c r="A52" s="128" t="s">
        <v>1060</v>
      </c>
      <c r="B52" s="131">
        <v>10</v>
      </c>
      <c r="C52" s="188" t="s">
        <v>75</v>
      </c>
      <c r="D52" s="134" t="s">
        <v>1089</v>
      </c>
      <c r="K52" s="127"/>
    </row>
    <row r="53" spans="1:11" x14ac:dyDescent="0.3">
      <c r="A53" s="128" t="s">
        <v>353</v>
      </c>
      <c r="B53" s="131">
        <v>20000</v>
      </c>
      <c r="C53" s="126" t="s">
        <v>447</v>
      </c>
      <c r="D53" s="134" t="s">
        <v>585</v>
      </c>
      <c r="J53" s="127"/>
      <c r="K53" s="127"/>
    </row>
    <row r="54" spans="1:11" x14ac:dyDescent="0.3">
      <c r="A54" s="128" t="s">
        <v>1061</v>
      </c>
      <c r="B54" s="131">
        <v>10</v>
      </c>
      <c r="C54" s="188" t="s">
        <v>75</v>
      </c>
      <c r="D54" s="134" t="s">
        <v>1090</v>
      </c>
      <c r="K54" s="127"/>
    </row>
    <row r="55" spans="1:11" x14ac:dyDescent="0.3">
      <c r="A55" s="128" t="s">
        <v>354</v>
      </c>
      <c r="B55" s="131">
        <v>95000</v>
      </c>
      <c r="C55" s="126" t="s">
        <v>447</v>
      </c>
      <c r="D55" s="134" t="s">
        <v>578</v>
      </c>
      <c r="K55" s="127"/>
    </row>
    <row r="56" spans="1:11" x14ac:dyDescent="0.3">
      <c r="A56" s="128" t="s">
        <v>1062</v>
      </c>
      <c r="B56" s="131">
        <v>10</v>
      </c>
      <c r="C56" s="188" t="s">
        <v>75</v>
      </c>
      <c r="D56" s="134" t="s">
        <v>1091</v>
      </c>
      <c r="K56" s="127"/>
    </row>
    <row r="57" spans="1:11" x14ac:dyDescent="0.3">
      <c r="A57" s="128" t="s">
        <v>355</v>
      </c>
      <c r="B57" s="131">
        <v>401000</v>
      </c>
      <c r="C57" s="126" t="s">
        <v>447</v>
      </c>
      <c r="D57" s="134" t="s">
        <v>582</v>
      </c>
      <c r="K57" s="127"/>
    </row>
    <row r="58" spans="1:11" x14ac:dyDescent="0.3">
      <c r="A58" s="128" t="s">
        <v>1063</v>
      </c>
      <c r="B58" s="131">
        <v>5</v>
      </c>
      <c r="C58" s="188" t="s">
        <v>75</v>
      </c>
      <c r="D58" s="134" t="s">
        <v>1092</v>
      </c>
      <c r="K58" s="127"/>
    </row>
    <row r="59" spans="1:11" x14ac:dyDescent="0.3">
      <c r="A59" s="128" t="s">
        <v>356</v>
      </c>
      <c r="B59" s="131">
        <v>170000</v>
      </c>
      <c r="C59" s="126" t="s">
        <v>447</v>
      </c>
      <c r="D59" s="134" t="s">
        <v>579</v>
      </c>
      <c r="K59" s="127"/>
    </row>
    <row r="60" spans="1:11" x14ac:dyDescent="0.3">
      <c r="A60" s="128" t="s">
        <v>357</v>
      </c>
      <c r="B60" s="129">
        <v>0</v>
      </c>
      <c r="C60" s="161" t="s">
        <v>69</v>
      </c>
      <c r="D60" s="134" t="s">
        <v>594</v>
      </c>
    </row>
    <row r="61" spans="1:11" x14ac:dyDescent="0.3">
      <c r="A61" s="128" t="s">
        <v>358</v>
      </c>
      <c r="B61" s="129">
        <v>0</v>
      </c>
      <c r="C61" s="161" t="s">
        <v>69</v>
      </c>
      <c r="D61" s="134" t="s">
        <v>598</v>
      </c>
    </row>
    <row r="62" spans="1:11" x14ac:dyDescent="0.3">
      <c r="A62" s="128" t="s">
        <v>864</v>
      </c>
      <c r="B62" s="129">
        <v>0</v>
      </c>
      <c r="C62" s="161" t="s">
        <v>69</v>
      </c>
      <c r="D62" s="134" t="s">
        <v>865</v>
      </c>
    </row>
    <row r="63" spans="1:11" x14ac:dyDescent="0.3">
      <c r="A63" s="128" t="s">
        <v>359</v>
      </c>
      <c r="B63" s="129">
        <v>0</v>
      </c>
      <c r="C63" s="161" t="s">
        <v>69</v>
      </c>
      <c r="D63" s="134" t="s">
        <v>592</v>
      </c>
    </row>
    <row r="64" spans="1:11" x14ac:dyDescent="0.3">
      <c r="A64" s="128" t="s">
        <v>360</v>
      </c>
      <c r="B64" s="129">
        <v>0</v>
      </c>
      <c r="C64" s="161" t="s">
        <v>69</v>
      </c>
      <c r="D64" s="134" t="s">
        <v>597</v>
      </c>
    </row>
    <row r="65" spans="1:4" x14ac:dyDescent="0.3">
      <c r="A65" s="128" t="s">
        <v>361</v>
      </c>
      <c r="B65" s="129">
        <v>10000</v>
      </c>
      <c r="C65" s="161" t="s">
        <v>4</v>
      </c>
      <c r="D65" s="134" t="s">
        <v>595</v>
      </c>
    </row>
    <row r="66" spans="1:4" x14ac:dyDescent="0.3">
      <c r="A66" s="128" t="s">
        <v>362</v>
      </c>
      <c r="B66" s="129">
        <v>550</v>
      </c>
      <c r="C66" s="161" t="s">
        <v>4</v>
      </c>
      <c r="D66" s="134" t="s">
        <v>599</v>
      </c>
    </row>
    <row r="67" spans="1:4" x14ac:dyDescent="0.3">
      <c r="A67" s="128" t="s">
        <v>363</v>
      </c>
      <c r="B67" s="129">
        <v>0</v>
      </c>
      <c r="C67" s="161" t="s">
        <v>69</v>
      </c>
      <c r="D67" s="134" t="s">
        <v>591</v>
      </c>
    </row>
    <row r="68" spans="1:4" x14ac:dyDescent="0.3">
      <c r="A68" s="128" t="s">
        <v>364</v>
      </c>
      <c r="B68" s="129">
        <v>0</v>
      </c>
      <c r="C68" s="161" t="s">
        <v>69</v>
      </c>
      <c r="D68" s="134" t="s">
        <v>596</v>
      </c>
    </row>
    <row r="69" spans="1:4" x14ac:dyDescent="0.3">
      <c r="A69" s="128" t="s">
        <v>365</v>
      </c>
      <c r="B69" s="129">
        <v>0</v>
      </c>
      <c r="C69" s="161" t="s">
        <v>69</v>
      </c>
      <c r="D69" s="134" t="s">
        <v>593</v>
      </c>
    </row>
    <row r="70" spans="1:4" x14ac:dyDescent="0.3">
      <c r="A70" s="128" t="s">
        <v>412</v>
      </c>
      <c r="B70" s="129">
        <v>0</v>
      </c>
      <c r="C70" s="161" t="s">
        <v>69</v>
      </c>
      <c r="D70" s="134" t="s">
        <v>602</v>
      </c>
    </row>
    <row r="71" spans="1:4" x14ac:dyDescent="0.3">
      <c r="A71" s="128" t="s">
        <v>413</v>
      </c>
      <c r="B71" s="129">
        <v>0</v>
      </c>
      <c r="C71" s="161" t="s">
        <v>69</v>
      </c>
      <c r="D71" s="134" t="s">
        <v>601</v>
      </c>
    </row>
    <row r="72" spans="1:4" x14ac:dyDescent="0.3">
      <c r="A72" s="128" t="s">
        <v>417</v>
      </c>
      <c r="B72" s="129">
        <v>4000</v>
      </c>
      <c r="C72" s="161" t="s">
        <v>69</v>
      </c>
      <c r="D72" s="134" t="s">
        <v>607</v>
      </c>
    </row>
    <row r="73" spans="1:4" x14ac:dyDescent="0.3">
      <c r="A73" s="128" t="s">
        <v>366</v>
      </c>
      <c r="B73" s="129">
        <v>1000</v>
      </c>
      <c r="C73" s="161" t="s">
        <v>4</v>
      </c>
      <c r="D73" s="134" t="s">
        <v>606</v>
      </c>
    </row>
    <row r="74" spans="1:4" x14ac:dyDescent="0.3">
      <c r="A74" s="128" t="s">
        <v>414</v>
      </c>
      <c r="B74" s="129">
        <v>0</v>
      </c>
      <c r="C74" s="161" t="s">
        <v>4</v>
      </c>
      <c r="D74" s="134" t="s">
        <v>603</v>
      </c>
    </row>
    <row r="75" spans="1:4" x14ac:dyDescent="0.3">
      <c r="A75" s="128" t="s">
        <v>367</v>
      </c>
      <c r="B75" s="129">
        <v>600</v>
      </c>
      <c r="C75" s="161" t="s">
        <v>69</v>
      </c>
      <c r="D75" s="134" t="s">
        <v>604</v>
      </c>
    </row>
    <row r="76" spans="1:4" x14ac:dyDescent="0.3">
      <c r="A76" s="128" t="s">
        <v>415</v>
      </c>
      <c r="B76" s="129">
        <v>0</v>
      </c>
      <c r="C76" s="161" t="s">
        <v>69</v>
      </c>
      <c r="D76" s="134" t="s">
        <v>600</v>
      </c>
    </row>
    <row r="77" spans="1:4" x14ac:dyDescent="0.3">
      <c r="A77" s="128" t="s">
        <v>368</v>
      </c>
      <c r="B77" s="129">
        <v>1600</v>
      </c>
      <c r="C77" s="161" t="s">
        <v>69</v>
      </c>
      <c r="D77" s="134" t="s">
        <v>605</v>
      </c>
    </row>
    <row r="78" spans="1:4" x14ac:dyDescent="0.3">
      <c r="A78" s="128" t="s">
        <v>369</v>
      </c>
      <c r="B78" s="129">
        <v>200</v>
      </c>
      <c r="C78" s="161" t="s">
        <v>69</v>
      </c>
      <c r="D78" s="134" t="s">
        <v>610</v>
      </c>
    </row>
    <row r="79" spans="1:4" x14ac:dyDescent="0.3">
      <c r="A79" s="128" t="s">
        <v>370</v>
      </c>
      <c r="B79" s="129">
        <v>400</v>
      </c>
      <c r="C79" s="161" t="s">
        <v>69</v>
      </c>
      <c r="D79" s="134" t="s">
        <v>609</v>
      </c>
    </row>
    <row r="80" spans="1:4" x14ac:dyDescent="0.3">
      <c r="A80" s="128" t="s">
        <v>418</v>
      </c>
      <c r="B80" s="129">
        <v>600</v>
      </c>
      <c r="C80" s="161" t="s">
        <v>69</v>
      </c>
      <c r="D80" s="134" t="s">
        <v>613</v>
      </c>
    </row>
    <row r="81" spans="1:5" x14ac:dyDescent="0.3">
      <c r="A81" s="128" t="s">
        <v>371</v>
      </c>
      <c r="B81" s="129">
        <v>0</v>
      </c>
      <c r="C81" s="161" t="s">
        <v>4</v>
      </c>
      <c r="D81" s="134" t="s">
        <v>612</v>
      </c>
    </row>
    <row r="82" spans="1:5" x14ac:dyDescent="0.3">
      <c r="A82" s="128" t="s">
        <v>372</v>
      </c>
      <c r="B82" s="129">
        <v>100</v>
      </c>
      <c r="C82" s="161" t="s">
        <v>69</v>
      </c>
      <c r="D82" s="134" t="s">
        <v>608</v>
      </c>
    </row>
    <row r="83" spans="1:5" x14ac:dyDescent="0.3">
      <c r="A83" s="128" t="s">
        <v>499</v>
      </c>
      <c r="B83" s="131">
        <v>0</v>
      </c>
      <c r="C83" s="126" t="s">
        <v>75</v>
      </c>
      <c r="D83" s="134" t="s">
        <v>611</v>
      </c>
    </row>
    <row r="84" spans="1:5" x14ac:dyDescent="0.3">
      <c r="A84" s="128" t="s">
        <v>374</v>
      </c>
      <c r="B84" s="129">
        <v>400</v>
      </c>
      <c r="C84" s="161" t="s">
        <v>69</v>
      </c>
      <c r="D84" s="134" t="s">
        <v>616</v>
      </c>
    </row>
    <row r="85" spans="1:5" x14ac:dyDescent="0.3">
      <c r="A85" s="128" t="s">
        <v>375</v>
      </c>
      <c r="B85" s="129">
        <v>2000</v>
      </c>
      <c r="C85" s="161" t="s">
        <v>69</v>
      </c>
      <c r="D85" s="134" t="s">
        <v>615</v>
      </c>
    </row>
    <row r="86" spans="1:5" x14ac:dyDescent="0.3">
      <c r="A86" s="128" t="s">
        <v>419</v>
      </c>
      <c r="B86" s="129">
        <v>3000</v>
      </c>
      <c r="C86" s="161" t="s">
        <v>69</v>
      </c>
      <c r="D86" s="134" t="s">
        <v>621</v>
      </c>
    </row>
    <row r="87" spans="1:5" x14ac:dyDescent="0.3">
      <c r="A87" s="128" t="s">
        <v>376</v>
      </c>
      <c r="B87" s="129">
        <v>1000</v>
      </c>
      <c r="C87" s="161" t="s">
        <v>4</v>
      </c>
      <c r="D87" s="134" t="s">
        <v>620</v>
      </c>
    </row>
    <row r="88" spans="1:5" x14ac:dyDescent="0.3">
      <c r="A88" s="128" t="s">
        <v>377</v>
      </c>
      <c r="B88" s="129">
        <v>10000</v>
      </c>
      <c r="C88" s="161" t="s">
        <v>4</v>
      </c>
      <c r="D88" s="134" t="s">
        <v>618</v>
      </c>
    </row>
    <row r="89" spans="1:5" x14ac:dyDescent="0.3">
      <c r="A89" s="128" t="s">
        <v>378</v>
      </c>
      <c r="B89" s="129">
        <v>200</v>
      </c>
      <c r="C89" s="161" t="s">
        <v>69</v>
      </c>
      <c r="D89" s="134" t="s">
        <v>619</v>
      </c>
    </row>
    <row r="90" spans="1:5" x14ac:dyDescent="0.3">
      <c r="A90" s="128" t="s">
        <v>379</v>
      </c>
      <c r="B90" s="129">
        <v>300</v>
      </c>
      <c r="C90" s="161" t="s">
        <v>69</v>
      </c>
      <c r="D90" s="134" t="s">
        <v>614</v>
      </c>
    </row>
    <row r="91" spans="1:5" x14ac:dyDescent="0.3">
      <c r="A91" s="128" t="s">
        <v>1167</v>
      </c>
      <c r="B91" s="220">
        <v>2163.9047999999957</v>
      </c>
      <c r="C91" s="193" t="s">
        <v>69</v>
      </c>
      <c r="D91" s="134" t="s">
        <v>1168</v>
      </c>
      <c r="E91" s="138" t="s">
        <v>1143</v>
      </c>
    </row>
    <row r="92" spans="1:5" x14ac:dyDescent="0.3">
      <c r="A92" s="128" t="s">
        <v>1169</v>
      </c>
      <c r="B92" s="220">
        <v>6120</v>
      </c>
      <c r="C92" s="193" t="s">
        <v>4</v>
      </c>
      <c r="D92" s="134" t="s">
        <v>1170</v>
      </c>
      <c r="E92" s="138" t="s">
        <v>1143</v>
      </c>
    </row>
    <row r="93" spans="1:5" x14ac:dyDescent="0.3">
      <c r="A93" s="128" t="s">
        <v>1171</v>
      </c>
      <c r="B93" s="220">
        <v>55725.904800000004</v>
      </c>
      <c r="C93" s="193" t="s">
        <v>69</v>
      </c>
      <c r="D93" s="134" t="s">
        <v>1172</v>
      </c>
      <c r="E93" s="138" t="s">
        <v>1143</v>
      </c>
    </row>
    <row r="94" spans="1:5" x14ac:dyDescent="0.3">
      <c r="A94" s="128" t="s">
        <v>373</v>
      </c>
      <c r="B94" s="129">
        <v>589</v>
      </c>
      <c r="C94" s="161" t="s">
        <v>75</v>
      </c>
      <c r="D94" s="134" t="s">
        <v>617</v>
      </c>
    </row>
    <row r="95" spans="1:5" x14ac:dyDescent="0.3">
      <c r="A95" s="128" t="s">
        <v>380</v>
      </c>
      <c r="B95" s="131">
        <v>2</v>
      </c>
      <c r="D95" s="134" t="s">
        <v>623</v>
      </c>
    </row>
    <row r="96" spans="1:5" x14ac:dyDescent="0.3">
      <c r="A96" s="128" t="s">
        <v>1064</v>
      </c>
      <c r="B96" s="131">
        <v>200</v>
      </c>
      <c r="C96" s="188" t="s">
        <v>75</v>
      </c>
      <c r="D96" s="134" t="s">
        <v>1093</v>
      </c>
    </row>
    <row r="97" spans="1:5" x14ac:dyDescent="0.3">
      <c r="A97" s="128" t="s">
        <v>381</v>
      </c>
      <c r="B97" s="131">
        <v>1700000</v>
      </c>
      <c r="C97" s="126" t="s">
        <v>447</v>
      </c>
      <c r="D97" s="134" t="s">
        <v>622</v>
      </c>
    </row>
    <row r="98" spans="1:5" x14ac:dyDescent="0.3">
      <c r="A98" s="128" t="s">
        <v>382</v>
      </c>
      <c r="B98" s="131">
        <v>0</v>
      </c>
      <c r="D98" s="134" t="s">
        <v>625</v>
      </c>
    </row>
    <row r="99" spans="1:5" x14ac:dyDescent="0.3">
      <c r="A99" s="128" t="s">
        <v>1065</v>
      </c>
      <c r="B99" s="131">
        <v>0</v>
      </c>
      <c r="C99" s="188" t="s">
        <v>75</v>
      </c>
      <c r="D99" s="134" t="s">
        <v>1094</v>
      </c>
    </row>
    <row r="100" spans="1:5" x14ac:dyDescent="0.3">
      <c r="A100" s="128" t="s">
        <v>383</v>
      </c>
      <c r="B100" s="131">
        <v>0</v>
      </c>
      <c r="C100" s="126" t="s">
        <v>447</v>
      </c>
      <c r="D100" s="134" t="s">
        <v>624</v>
      </c>
    </row>
    <row r="101" spans="1:5" x14ac:dyDescent="0.3">
      <c r="A101" s="128" t="s">
        <v>384</v>
      </c>
      <c r="B101" s="129">
        <v>200</v>
      </c>
      <c r="C101" s="161" t="s">
        <v>69</v>
      </c>
      <c r="D101" s="134" t="s">
        <v>628</v>
      </c>
    </row>
    <row r="102" spans="1:5" x14ac:dyDescent="0.3">
      <c r="A102" s="128" t="s">
        <v>385</v>
      </c>
      <c r="B102" s="129">
        <v>400</v>
      </c>
      <c r="C102" s="161" t="s">
        <v>69</v>
      </c>
      <c r="D102" s="134" t="s">
        <v>627</v>
      </c>
    </row>
    <row r="103" spans="1:5" x14ac:dyDescent="0.3">
      <c r="A103" s="128" t="s">
        <v>420</v>
      </c>
      <c r="B103" s="210">
        <v>10615.818112000003</v>
      </c>
      <c r="C103" s="213" t="s">
        <v>69</v>
      </c>
      <c r="D103" s="134" t="s">
        <v>630</v>
      </c>
    </row>
    <row r="104" spans="1:5" x14ac:dyDescent="0.3">
      <c r="A104" s="128" t="s">
        <v>386</v>
      </c>
      <c r="B104" s="210">
        <v>1600</v>
      </c>
      <c r="C104" s="213" t="s">
        <v>4</v>
      </c>
      <c r="D104" s="134" t="s">
        <v>629</v>
      </c>
    </row>
    <row r="105" spans="1:5" x14ac:dyDescent="0.3">
      <c r="A105" s="128" t="s">
        <v>387</v>
      </c>
      <c r="B105" s="210">
        <v>0</v>
      </c>
      <c r="C105" s="213" t="s">
        <v>69</v>
      </c>
      <c r="D105" s="134" t="s">
        <v>631</v>
      </c>
      <c r="E105" s="138" t="s">
        <v>1143</v>
      </c>
    </row>
    <row r="106" spans="1:5" x14ac:dyDescent="0.3">
      <c r="A106" s="128" t="s">
        <v>1128</v>
      </c>
      <c r="B106" s="210">
        <v>414.46959999999973</v>
      </c>
      <c r="C106" s="211" t="s">
        <v>69</v>
      </c>
      <c r="D106" s="134" t="s">
        <v>1151</v>
      </c>
      <c r="E106" s="138"/>
    </row>
    <row r="107" spans="1:5" x14ac:dyDescent="0.3">
      <c r="A107" s="128" t="s">
        <v>446</v>
      </c>
      <c r="B107" s="210">
        <v>0</v>
      </c>
      <c r="C107" s="212" t="s">
        <v>4</v>
      </c>
      <c r="D107" s="134" t="s">
        <v>626</v>
      </c>
      <c r="E107" s="138" t="s">
        <v>1143</v>
      </c>
    </row>
    <row r="108" spans="1:5" x14ac:dyDescent="0.3">
      <c r="A108" s="175" t="s">
        <v>1129</v>
      </c>
      <c r="B108" s="210">
        <v>1702.2091474945573</v>
      </c>
      <c r="C108" s="211" t="s">
        <v>69</v>
      </c>
      <c r="D108" s="134" t="s">
        <v>1130</v>
      </c>
      <c r="E108" s="138" t="s">
        <v>1143</v>
      </c>
    </row>
    <row r="109" spans="1:5" x14ac:dyDescent="0.3">
      <c r="A109" s="175" t="s">
        <v>1131</v>
      </c>
      <c r="B109" s="210">
        <v>1474.0352730643308</v>
      </c>
      <c r="C109" s="211" t="s">
        <v>4</v>
      </c>
      <c r="D109" s="134" t="s">
        <v>1132</v>
      </c>
      <c r="E109" s="138" t="s">
        <v>1143</v>
      </c>
    </row>
    <row r="110" spans="1:5" x14ac:dyDescent="0.3">
      <c r="A110" s="175" t="s">
        <v>1133</v>
      </c>
      <c r="B110" s="210">
        <v>413.37076135934467</v>
      </c>
      <c r="C110" s="211" t="s">
        <v>69</v>
      </c>
      <c r="D110" s="134" t="s">
        <v>1134</v>
      </c>
      <c r="E110" s="138" t="s">
        <v>1143</v>
      </c>
    </row>
    <row r="111" spans="1:5" x14ac:dyDescent="0.3">
      <c r="A111" s="175" t="s">
        <v>1135</v>
      </c>
      <c r="B111" s="210">
        <v>0</v>
      </c>
      <c r="C111" s="211" t="s">
        <v>69</v>
      </c>
      <c r="D111" s="134" t="s">
        <v>1136</v>
      </c>
      <c r="E111" s="138" t="s">
        <v>1143</v>
      </c>
    </row>
    <row r="112" spans="1:5" x14ac:dyDescent="0.3">
      <c r="A112" s="175" t="s">
        <v>1137</v>
      </c>
      <c r="B112" s="210">
        <v>0</v>
      </c>
      <c r="C112" s="211" t="s">
        <v>69</v>
      </c>
      <c r="D112" s="134" t="s">
        <v>1138</v>
      </c>
      <c r="E112" s="138" t="s">
        <v>1143</v>
      </c>
    </row>
    <row r="113" spans="1:20" x14ac:dyDescent="0.3">
      <c r="A113" s="175" t="s">
        <v>1139</v>
      </c>
      <c r="B113" s="210">
        <v>0</v>
      </c>
      <c r="C113" s="211" t="s">
        <v>4</v>
      </c>
      <c r="D113" s="134" t="s">
        <v>1140</v>
      </c>
      <c r="E113" s="138" t="s">
        <v>1143</v>
      </c>
    </row>
    <row r="114" spans="1:20" x14ac:dyDescent="0.3">
      <c r="A114" s="175" t="s">
        <v>1141</v>
      </c>
      <c r="B114" s="210">
        <v>703.2</v>
      </c>
      <c r="C114" s="211" t="s">
        <v>69</v>
      </c>
      <c r="D114" s="134" t="s">
        <v>1142</v>
      </c>
      <c r="E114" s="138" t="s">
        <v>1143</v>
      </c>
      <c r="L114" s="126"/>
      <c r="M114" s="126"/>
      <c r="N114" s="126"/>
      <c r="O114" s="126"/>
      <c r="P114" s="126"/>
      <c r="Q114" s="126"/>
      <c r="R114" s="126"/>
      <c r="S114" s="126"/>
      <c r="T114" s="126"/>
    </row>
    <row r="115" spans="1:20" x14ac:dyDescent="0.3">
      <c r="A115" s="175" t="s">
        <v>1157</v>
      </c>
      <c r="B115" s="210">
        <v>50</v>
      </c>
      <c r="C115" s="211" t="s">
        <v>75</v>
      </c>
      <c r="D115" s="134" t="s">
        <v>1155</v>
      </c>
      <c r="E115" s="138" t="s">
        <v>1143</v>
      </c>
      <c r="L115" s="126"/>
      <c r="M115" s="126"/>
      <c r="N115" s="126"/>
      <c r="O115" s="126"/>
      <c r="P115" s="126"/>
      <c r="Q115" s="126"/>
      <c r="R115" s="126"/>
      <c r="S115" s="126"/>
      <c r="T115" s="126"/>
    </row>
    <row r="116" spans="1:20" x14ac:dyDescent="0.3">
      <c r="A116" s="175" t="s">
        <v>1158</v>
      </c>
      <c r="B116" s="210">
        <v>200000</v>
      </c>
      <c r="C116" s="211" t="s">
        <v>447</v>
      </c>
      <c r="D116" s="134" t="s">
        <v>1156</v>
      </c>
      <c r="E116" s="138" t="s">
        <v>1143</v>
      </c>
    </row>
    <row r="117" spans="1:20" x14ac:dyDescent="0.3">
      <c r="A117" s="175" t="s">
        <v>1095</v>
      </c>
      <c r="B117" s="129">
        <v>0</v>
      </c>
      <c r="C117" s="193"/>
      <c r="D117" s="134" t="s">
        <v>1096</v>
      </c>
      <c r="E117" s="138" t="s">
        <v>1143</v>
      </c>
    </row>
    <row r="118" spans="1:20" x14ac:dyDescent="0.3">
      <c r="A118" s="177" t="s">
        <v>996</v>
      </c>
      <c r="B118" s="178">
        <v>0</v>
      </c>
      <c r="C118" s="179"/>
      <c r="D118" s="180" t="s">
        <v>998</v>
      </c>
    </row>
    <row r="119" spans="1:20" x14ac:dyDescent="0.3">
      <c r="A119" s="170" t="s">
        <v>896</v>
      </c>
      <c r="B119" s="171">
        <v>3.8235483014242027</v>
      </c>
      <c r="C119" s="169" t="s">
        <v>897</v>
      </c>
      <c r="D119" s="176" t="s">
        <v>951</v>
      </c>
    </row>
    <row r="120" spans="1:20" x14ac:dyDescent="0.3">
      <c r="A120" s="170" t="s">
        <v>898</v>
      </c>
      <c r="B120" s="171">
        <v>10.565067674987899</v>
      </c>
      <c r="C120" s="169" t="s">
        <v>897</v>
      </c>
      <c r="D120" s="176" t="s">
        <v>952</v>
      </c>
    </row>
    <row r="121" spans="1:20" x14ac:dyDescent="0.3">
      <c r="A121" s="170" t="s">
        <v>899</v>
      </c>
      <c r="B121" s="171">
        <v>70.43378449991954</v>
      </c>
      <c r="C121" s="169" t="s">
        <v>897</v>
      </c>
      <c r="D121" s="176" t="s">
        <v>953</v>
      </c>
    </row>
    <row r="122" spans="1:20" x14ac:dyDescent="0.3">
      <c r="A122" s="170" t="s">
        <v>900</v>
      </c>
      <c r="B122" s="171">
        <v>7.8684599255624397</v>
      </c>
      <c r="C122" s="169" t="s">
        <v>897</v>
      </c>
      <c r="D122" s="176" t="s">
        <v>954</v>
      </c>
    </row>
    <row r="123" spans="1:20" x14ac:dyDescent="0.3">
      <c r="A123" s="170" t="s">
        <v>901</v>
      </c>
      <c r="B123" s="171">
        <v>10.771338043880553</v>
      </c>
      <c r="C123" s="169" t="s">
        <v>897</v>
      </c>
      <c r="D123" s="176" t="s">
        <v>955</v>
      </c>
    </row>
    <row r="124" spans="1:20" x14ac:dyDescent="0.3">
      <c r="A124" s="170" t="s">
        <v>902</v>
      </c>
      <c r="B124" s="171">
        <v>3.7430525477100089</v>
      </c>
      <c r="C124" s="169" t="s">
        <v>903</v>
      </c>
      <c r="D124" s="176" t="s">
        <v>956</v>
      </c>
    </row>
    <row r="125" spans="1:20" x14ac:dyDescent="0.3">
      <c r="A125" s="170" t="s">
        <v>904</v>
      </c>
      <c r="B125" s="171">
        <v>29.959513335501487</v>
      </c>
      <c r="C125" s="169" t="s">
        <v>903</v>
      </c>
      <c r="D125" s="176" t="s">
        <v>957</v>
      </c>
      <c r="E125" s="127"/>
    </row>
    <row r="126" spans="1:20" x14ac:dyDescent="0.3">
      <c r="A126" s="170" t="s">
        <v>905</v>
      </c>
      <c r="B126" s="171">
        <v>3.3204498407104919</v>
      </c>
      <c r="C126" s="169" t="s">
        <v>897</v>
      </c>
      <c r="D126" s="176" t="s">
        <v>958</v>
      </c>
    </row>
    <row r="127" spans="1:20" x14ac:dyDescent="0.3">
      <c r="A127" s="170" t="s">
        <v>906</v>
      </c>
      <c r="B127" s="171">
        <v>1.9117741507121013</v>
      </c>
      <c r="C127" s="169" t="s">
        <v>897</v>
      </c>
      <c r="D127" s="176" t="s">
        <v>949</v>
      </c>
    </row>
    <row r="128" spans="1:20" x14ac:dyDescent="0.3">
      <c r="A128" s="170" t="s">
        <v>907</v>
      </c>
      <c r="B128" s="171">
        <v>1.6602249203552459</v>
      </c>
      <c r="C128" s="169" t="s">
        <v>897</v>
      </c>
      <c r="D128" s="176" t="s">
        <v>950</v>
      </c>
    </row>
    <row r="129" spans="1:11" x14ac:dyDescent="0.3">
      <c r="A129" s="170" t="s">
        <v>908</v>
      </c>
      <c r="B129" s="171">
        <v>1.3533348593198822</v>
      </c>
      <c r="C129" s="169" t="s">
        <v>897</v>
      </c>
      <c r="D129" s="176" t="s">
        <v>959</v>
      </c>
    </row>
    <row r="130" spans="1:11" x14ac:dyDescent="0.3">
      <c r="A130" s="170" t="s">
        <v>909</v>
      </c>
      <c r="B130" s="171">
        <v>5.5843929139221915</v>
      </c>
      <c r="C130" s="169" t="s">
        <v>897</v>
      </c>
      <c r="D130" s="176" t="s">
        <v>960</v>
      </c>
    </row>
    <row r="131" spans="1:11" x14ac:dyDescent="0.3">
      <c r="A131" s="170" t="s">
        <v>910</v>
      </c>
      <c r="B131" s="171">
        <v>5.2322239914225941</v>
      </c>
      <c r="C131" s="169" t="s">
        <v>897</v>
      </c>
      <c r="D131" s="176" t="s">
        <v>961</v>
      </c>
    </row>
    <row r="132" spans="1:11" x14ac:dyDescent="0.3">
      <c r="A132" s="170" t="s">
        <v>911</v>
      </c>
      <c r="B132" s="171">
        <v>13.080559978556485</v>
      </c>
      <c r="C132" s="169" t="s">
        <v>897</v>
      </c>
      <c r="D132" s="176" t="s">
        <v>962</v>
      </c>
    </row>
    <row r="133" spans="1:11" x14ac:dyDescent="0.3">
      <c r="A133" s="170" t="s">
        <v>912</v>
      </c>
      <c r="B133" s="171">
        <v>6.4899701432068717</v>
      </c>
      <c r="C133" s="169" t="s">
        <v>897</v>
      </c>
      <c r="D133" s="176" t="s">
        <v>963</v>
      </c>
      <c r="K133" s="127"/>
    </row>
    <row r="134" spans="1:11" x14ac:dyDescent="0.3">
      <c r="A134" s="170" t="s">
        <v>913</v>
      </c>
      <c r="B134" s="171">
        <v>2.9682809182108949</v>
      </c>
      <c r="C134" s="169" t="s">
        <v>903</v>
      </c>
      <c r="D134" s="176" t="s">
        <v>964</v>
      </c>
      <c r="K134" s="127"/>
    </row>
    <row r="135" spans="1:11" x14ac:dyDescent="0.3">
      <c r="A135" s="175" t="s">
        <v>1159</v>
      </c>
      <c r="B135" s="173">
        <v>20</v>
      </c>
      <c r="C135" s="188" t="s">
        <v>903</v>
      </c>
      <c r="D135" s="176" t="s">
        <v>1160</v>
      </c>
      <c r="K135" s="127"/>
    </row>
    <row r="136" spans="1:11" x14ac:dyDescent="0.3">
      <c r="A136" s="170" t="s">
        <v>914</v>
      </c>
      <c r="B136" s="171">
        <v>175.0782643283714</v>
      </c>
      <c r="C136" s="169" t="s">
        <v>915</v>
      </c>
      <c r="D136" s="176" t="s">
        <v>965</v>
      </c>
      <c r="K136" s="127"/>
    </row>
    <row r="137" spans="1:11" x14ac:dyDescent="0.3">
      <c r="A137" s="170" t="s">
        <v>916</v>
      </c>
      <c r="B137" s="171">
        <v>100.6196921427422</v>
      </c>
      <c r="C137" s="169" t="s">
        <v>897</v>
      </c>
      <c r="D137" s="176" t="s">
        <v>966</v>
      </c>
    </row>
    <row r="138" spans="1:11" x14ac:dyDescent="0.3">
      <c r="A138" s="170" t="s">
        <v>917</v>
      </c>
      <c r="B138" s="171">
        <v>56.850126060649337</v>
      </c>
      <c r="C138" s="169" t="s">
        <v>897</v>
      </c>
      <c r="D138" s="176" t="s">
        <v>967</v>
      </c>
    </row>
    <row r="139" spans="1:11" x14ac:dyDescent="0.3">
      <c r="A139" s="170" t="s">
        <v>918</v>
      </c>
      <c r="B139" s="171">
        <v>190.17121814978273</v>
      </c>
      <c r="C139" s="169" t="s">
        <v>897</v>
      </c>
      <c r="D139" s="176" t="s">
        <v>968</v>
      </c>
    </row>
    <row r="140" spans="1:11" x14ac:dyDescent="0.3">
      <c r="A140" s="170" t="s">
        <v>919</v>
      </c>
      <c r="B140" s="171">
        <v>2176.9070395082267</v>
      </c>
      <c r="C140" s="169" t="s">
        <v>915</v>
      </c>
      <c r="D140" s="176" t="s">
        <v>969</v>
      </c>
    </row>
    <row r="141" spans="1:11" x14ac:dyDescent="0.3">
      <c r="A141" s="170" t="s">
        <v>921</v>
      </c>
      <c r="B141" s="171">
        <v>217338.53502832312</v>
      </c>
      <c r="C141" s="169" t="s">
        <v>922</v>
      </c>
      <c r="D141" s="176" t="s">
        <v>971</v>
      </c>
    </row>
    <row r="142" spans="1:11" x14ac:dyDescent="0.3">
      <c r="A142" s="170" t="s">
        <v>923</v>
      </c>
      <c r="B142" s="171">
        <v>25154.923035685548</v>
      </c>
      <c r="C142" s="169" t="s">
        <v>924</v>
      </c>
      <c r="D142" s="176" t="s">
        <v>972</v>
      </c>
    </row>
    <row r="143" spans="1:11" x14ac:dyDescent="0.3">
      <c r="A143" s="177" t="s">
        <v>996</v>
      </c>
      <c r="B143" s="178">
        <v>0</v>
      </c>
      <c r="C143" s="179"/>
      <c r="D143" s="180" t="s">
        <v>1014</v>
      </c>
    </row>
    <row r="144" spans="1:11" x14ac:dyDescent="0.3">
      <c r="A144" s="175" t="s">
        <v>1015</v>
      </c>
      <c r="B144" s="173">
        <v>20000</v>
      </c>
      <c r="C144" s="189" t="s">
        <v>915</v>
      </c>
      <c r="D144" s="176" t="s">
        <v>1026</v>
      </c>
    </row>
    <row r="145" spans="1:4" x14ac:dyDescent="0.3">
      <c r="A145" s="175" t="s">
        <v>1016</v>
      </c>
      <c r="B145" s="173">
        <v>35000</v>
      </c>
      <c r="C145" s="189" t="s">
        <v>915</v>
      </c>
      <c r="D145" s="176" t="s">
        <v>1027</v>
      </c>
    </row>
    <row r="146" spans="1:4" x14ac:dyDescent="0.3">
      <c r="A146" s="175" t="s">
        <v>1017</v>
      </c>
      <c r="B146" s="173">
        <v>18000</v>
      </c>
      <c r="C146" s="189" t="s">
        <v>915</v>
      </c>
      <c r="D146" s="176" t="s">
        <v>1028</v>
      </c>
    </row>
    <row r="147" spans="1:4" x14ac:dyDescent="0.3">
      <c r="A147" s="175" t="s">
        <v>1018</v>
      </c>
      <c r="B147" s="173">
        <v>14000</v>
      </c>
      <c r="C147" s="189" t="s">
        <v>915</v>
      </c>
      <c r="D147" s="176" t="s">
        <v>1029</v>
      </c>
    </row>
    <row r="148" spans="1:4" x14ac:dyDescent="0.3">
      <c r="A148" s="175" t="s">
        <v>1019</v>
      </c>
      <c r="B148" s="173">
        <v>8000</v>
      </c>
      <c r="C148" s="189" t="s">
        <v>915</v>
      </c>
      <c r="D148" s="176" t="s">
        <v>1030</v>
      </c>
    </row>
    <row r="149" spans="1:4" x14ac:dyDescent="0.3">
      <c r="A149" s="175" t="s">
        <v>1020</v>
      </c>
      <c r="B149" s="173">
        <v>12000</v>
      </c>
      <c r="C149" s="189" t="s">
        <v>915</v>
      </c>
      <c r="D149" s="176" t="s">
        <v>1031</v>
      </c>
    </row>
    <row r="150" spans="1:4" x14ac:dyDescent="0.3">
      <c r="A150" s="175" t="s">
        <v>1021</v>
      </c>
      <c r="B150" s="173">
        <v>16000</v>
      </c>
      <c r="C150" s="189" t="s">
        <v>915</v>
      </c>
      <c r="D150" s="176" t="s">
        <v>1032</v>
      </c>
    </row>
    <row r="151" spans="1:4" x14ac:dyDescent="0.3">
      <c r="A151" s="175" t="s">
        <v>1022</v>
      </c>
      <c r="B151" s="173">
        <v>16000</v>
      </c>
      <c r="C151" s="189" t="s">
        <v>915</v>
      </c>
      <c r="D151" s="176" t="s">
        <v>1033</v>
      </c>
    </row>
    <row r="152" spans="1:4" x14ac:dyDescent="0.3">
      <c r="A152" s="175" t="s">
        <v>1023</v>
      </c>
      <c r="B152" s="173">
        <v>3000</v>
      </c>
      <c r="C152" s="189" t="s">
        <v>915</v>
      </c>
      <c r="D152" s="176" t="s">
        <v>1034</v>
      </c>
    </row>
    <row r="153" spans="1:4" x14ac:dyDescent="0.3">
      <c r="A153" s="175" t="s">
        <v>920</v>
      </c>
      <c r="B153" s="173">
        <v>3004.1769933828173</v>
      </c>
      <c r="C153" s="189" t="s">
        <v>915</v>
      </c>
      <c r="D153" s="176" t="s">
        <v>970</v>
      </c>
    </row>
    <row r="154" spans="1:4" x14ac:dyDescent="0.3">
      <c r="A154" s="175" t="s">
        <v>1024</v>
      </c>
      <c r="B154" s="173">
        <v>5000</v>
      </c>
      <c r="C154" s="189" t="s">
        <v>915</v>
      </c>
      <c r="D154" s="176" t="s">
        <v>1035</v>
      </c>
    </row>
    <row r="155" spans="1:4" x14ac:dyDescent="0.3">
      <c r="A155" s="175" t="s">
        <v>1025</v>
      </c>
      <c r="B155" s="173">
        <v>5000</v>
      </c>
      <c r="C155" s="189" t="s">
        <v>915</v>
      </c>
      <c r="D155" s="176" t="s">
        <v>1036</v>
      </c>
    </row>
    <row r="156" spans="1:4" x14ac:dyDescent="0.3">
      <c r="A156" s="177" t="s">
        <v>996</v>
      </c>
      <c r="B156" s="178">
        <v>0</v>
      </c>
      <c r="C156" s="179"/>
      <c r="D156" s="182" t="s">
        <v>997</v>
      </c>
    </row>
    <row r="157" spans="1:4" x14ac:dyDescent="0.3">
      <c r="A157" s="172" t="s">
        <v>925</v>
      </c>
      <c r="B157" s="173">
        <v>1.56363247863248</v>
      </c>
      <c r="C157" s="181" t="s">
        <v>1001</v>
      </c>
      <c r="D157" s="176" t="s">
        <v>973</v>
      </c>
    </row>
    <row r="158" spans="1:4" x14ac:dyDescent="0.3">
      <c r="A158" s="172" t="s">
        <v>926</v>
      </c>
      <c r="B158" s="173">
        <v>29.914529914529901</v>
      </c>
      <c r="C158" s="181" t="s">
        <v>1001</v>
      </c>
      <c r="D158" s="176" t="s">
        <v>974</v>
      </c>
    </row>
    <row r="159" spans="1:4" x14ac:dyDescent="0.3">
      <c r="A159" s="172" t="s">
        <v>927</v>
      </c>
      <c r="B159" s="173">
        <v>1.67461538461538</v>
      </c>
      <c r="C159" s="181" t="s">
        <v>1001</v>
      </c>
      <c r="D159" s="176" t="s">
        <v>975</v>
      </c>
    </row>
    <row r="160" spans="1:4" x14ac:dyDescent="0.3">
      <c r="A160" s="172" t="s">
        <v>928</v>
      </c>
      <c r="B160" s="173">
        <v>754647.69107056642</v>
      </c>
      <c r="C160" s="181" t="s">
        <v>922</v>
      </c>
      <c r="D160" s="176" t="s">
        <v>976</v>
      </c>
    </row>
    <row r="161" spans="1:8" x14ac:dyDescent="0.3">
      <c r="A161" s="172" t="s">
        <v>929</v>
      </c>
      <c r="B161" s="173">
        <v>1453954.5514626247</v>
      </c>
      <c r="C161" s="181" t="s">
        <v>922</v>
      </c>
      <c r="D161" s="176" t="s">
        <v>977</v>
      </c>
    </row>
    <row r="162" spans="1:8" x14ac:dyDescent="0.3">
      <c r="A162" s="172" t="s">
        <v>930</v>
      </c>
      <c r="B162" s="173">
        <v>42.735042735042697</v>
      </c>
      <c r="C162" s="181" t="s">
        <v>922</v>
      </c>
      <c r="D162" s="176" t="s">
        <v>978</v>
      </c>
    </row>
    <row r="163" spans="1:8" x14ac:dyDescent="0.3">
      <c r="A163" s="172" t="s">
        <v>931</v>
      </c>
      <c r="B163" s="173">
        <v>170940.17094017094</v>
      </c>
      <c r="C163" s="181" t="s">
        <v>922</v>
      </c>
      <c r="D163" s="176" t="s">
        <v>979</v>
      </c>
      <c r="H163" s="133"/>
    </row>
    <row r="164" spans="1:8" x14ac:dyDescent="0.3">
      <c r="A164" s="172" t="s">
        <v>932</v>
      </c>
      <c r="B164" s="173">
        <v>64102.564102564109</v>
      </c>
      <c r="C164" s="181" t="s">
        <v>933</v>
      </c>
      <c r="D164" s="176" t="s">
        <v>980</v>
      </c>
      <c r="H164" s="133"/>
    </row>
    <row r="165" spans="1:8" x14ac:dyDescent="0.3">
      <c r="A165" s="172" t="s">
        <v>934</v>
      </c>
      <c r="B165" s="173">
        <v>85470.085470085469</v>
      </c>
      <c r="C165" s="181" t="s">
        <v>933</v>
      </c>
      <c r="D165" s="176" t="s">
        <v>981</v>
      </c>
      <c r="H165" s="133"/>
    </row>
    <row r="166" spans="1:8" x14ac:dyDescent="0.3">
      <c r="A166" s="172" t="s">
        <v>935</v>
      </c>
      <c r="B166" s="173">
        <v>23.8109829059829</v>
      </c>
      <c r="C166" s="181" t="s">
        <v>1001</v>
      </c>
      <c r="D166" s="176" t="s">
        <v>982</v>
      </c>
      <c r="H166" s="133"/>
    </row>
    <row r="167" spans="1:8" x14ac:dyDescent="0.3">
      <c r="A167" s="177" t="s">
        <v>996</v>
      </c>
      <c r="B167" s="178">
        <v>0</v>
      </c>
      <c r="C167" s="179"/>
      <c r="D167" s="182" t="s">
        <v>999</v>
      </c>
      <c r="H167" s="133"/>
    </row>
    <row r="168" spans="1:8" x14ac:dyDescent="0.3">
      <c r="A168" s="175" t="s">
        <v>1009</v>
      </c>
      <c r="B168" s="174">
        <v>8</v>
      </c>
      <c r="C168" s="189" t="s">
        <v>23</v>
      </c>
      <c r="D168" s="176" t="s">
        <v>1098</v>
      </c>
      <c r="H168" s="133"/>
    </row>
    <row r="169" spans="1:8" x14ac:dyDescent="0.3">
      <c r="A169" s="175" t="s">
        <v>1010</v>
      </c>
      <c r="B169" s="174">
        <v>28</v>
      </c>
      <c r="C169" s="189" t="s">
        <v>23</v>
      </c>
      <c r="D169" s="176" t="s">
        <v>1099</v>
      </c>
      <c r="H169" s="133"/>
    </row>
    <row r="170" spans="1:8" x14ac:dyDescent="0.3">
      <c r="A170" s="175" t="s">
        <v>1011</v>
      </c>
      <c r="B170" s="174">
        <v>5</v>
      </c>
      <c r="C170" s="189" t="s">
        <v>23</v>
      </c>
      <c r="D170" s="176" t="s">
        <v>1100</v>
      </c>
      <c r="H170" s="133"/>
    </row>
    <row r="171" spans="1:8" x14ac:dyDescent="0.3">
      <c r="A171" s="175" t="s">
        <v>1012</v>
      </c>
      <c r="B171" s="174">
        <v>6</v>
      </c>
      <c r="C171" s="189" t="s">
        <v>23</v>
      </c>
      <c r="D171" s="176" t="s">
        <v>486</v>
      </c>
      <c r="H171" s="133"/>
    </row>
    <row r="172" spans="1:8" x14ac:dyDescent="0.3">
      <c r="A172" s="175" t="s">
        <v>1013</v>
      </c>
      <c r="B172" s="174">
        <v>18</v>
      </c>
      <c r="C172" s="189" t="s">
        <v>23</v>
      </c>
      <c r="D172" s="176" t="s">
        <v>1101</v>
      </c>
      <c r="H172" s="133"/>
    </row>
    <row r="173" spans="1:8" x14ac:dyDescent="0.3">
      <c r="A173" s="175" t="s">
        <v>936</v>
      </c>
      <c r="B173" s="174">
        <v>2</v>
      </c>
      <c r="C173" s="181" t="s">
        <v>23</v>
      </c>
      <c r="D173" s="176" t="s">
        <v>1102</v>
      </c>
      <c r="H173" s="133"/>
    </row>
    <row r="174" spans="1:8" x14ac:dyDescent="0.3">
      <c r="A174" s="175" t="s">
        <v>937</v>
      </c>
      <c r="B174" s="174">
        <v>30</v>
      </c>
      <c r="C174" s="181" t="s">
        <v>23</v>
      </c>
      <c r="D174" s="176" t="s">
        <v>1103</v>
      </c>
      <c r="H174" s="133"/>
    </row>
    <row r="175" spans="1:8" x14ac:dyDescent="0.3">
      <c r="A175" s="175" t="s">
        <v>938</v>
      </c>
      <c r="B175" s="174">
        <v>20</v>
      </c>
      <c r="C175" s="181" t="s">
        <v>23</v>
      </c>
      <c r="D175" s="176" t="s">
        <v>1104</v>
      </c>
      <c r="H175" s="133"/>
    </row>
    <row r="176" spans="1:8" x14ac:dyDescent="0.3">
      <c r="A176" s="175" t="s">
        <v>939</v>
      </c>
      <c r="B176" s="174">
        <v>20</v>
      </c>
      <c r="C176" s="181" t="s">
        <v>23</v>
      </c>
      <c r="D176" s="176" t="s">
        <v>1105</v>
      </c>
      <c r="H176" s="133"/>
    </row>
    <row r="177" spans="1:8" x14ac:dyDescent="0.3">
      <c r="A177" s="175" t="s">
        <v>940</v>
      </c>
      <c r="B177" s="174">
        <v>20</v>
      </c>
      <c r="C177" s="181" t="s">
        <v>23</v>
      </c>
      <c r="D177" s="176" t="s">
        <v>1106</v>
      </c>
      <c r="H177" s="133"/>
    </row>
    <row r="178" spans="1:8" x14ac:dyDescent="0.3">
      <c r="A178" s="175" t="s">
        <v>941</v>
      </c>
      <c r="B178" s="174">
        <v>10</v>
      </c>
      <c r="C178" s="181" t="s">
        <v>23</v>
      </c>
      <c r="D178" s="176" t="s">
        <v>1107</v>
      </c>
      <c r="H178" s="133"/>
    </row>
    <row r="179" spans="1:8" x14ac:dyDescent="0.3">
      <c r="A179" s="175" t="s">
        <v>942</v>
      </c>
      <c r="B179" s="174">
        <v>2</v>
      </c>
      <c r="C179" s="181" t="s">
        <v>23</v>
      </c>
      <c r="D179" s="176" t="s">
        <v>1108</v>
      </c>
      <c r="H179" s="133"/>
    </row>
    <row r="180" spans="1:8" x14ac:dyDescent="0.3">
      <c r="A180" s="175" t="s">
        <v>943</v>
      </c>
      <c r="B180" s="174">
        <v>2</v>
      </c>
      <c r="C180" s="181" t="s">
        <v>23</v>
      </c>
      <c r="D180" s="176" t="s">
        <v>1109</v>
      </c>
      <c r="H180" s="133"/>
    </row>
    <row r="181" spans="1:8" x14ac:dyDescent="0.3">
      <c r="A181" s="175" t="s">
        <v>944</v>
      </c>
      <c r="B181" s="174">
        <v>4</v>
      </c>
      <c r="C181" s="181" t="s">
        <v>23</v>
      </c>
      <c r="D181" s="176" t="s">
        <v>1110</v>
      </c>
      <c r="H181" s="133"/>
    </row>
    <row r="182" spans="1:8" x14ac:dyDescent="0.3">
      <c r="A182" s="175" t="s">
        <v>945</v>
      </c>
      <c r="B182" s="174">
        <v>1</v>
      </c>
      <c r="C182" s="181" t="s">
        <v>23</v>
      </c>
      <c r="D182" s="176" t="s">
        <v>1111</v>
      </c>
      <c r="H182" s="133"/>
    </row>
    <row r="183" spans="1:8" x14ac:dyDescent="0.3">
      <c r="A183" s="175" t="s">
        <v>946</v>
      </c>
      <c r="B183" s="174">
        <v>1.5</v>
      </c>
      <c r="C183" s="181" t="s">
        <v>23</v>
      </c>
      <c r="D183" s="176" t="s">
        <v>1112</v>
      </c>
      <c r="H183" s="133"/>
    </row>
    <row r="184" spans="1:8" x14ac:dyDescent="0.3">
      <c r="A184" s="175" t="s">
        <v>947</v>
      </c>
      <c r="B184" s="174">
        <v>1.5</v>
      </c>
      <c r="C184" s="181" t="s">
        <v>23</v>
      </c>
      <c r="D184" s="176" t="s">
        <v>1113</v>
      </c>
      <c r="H184" s="133"/>
    </row>
    <row r="185" spans="1:8" x14ac:dyDescent="0.3">
      <c r="A185" s="175" t="s">
        <v>948</v>
      </c>
      <c r="B185" s="174">
        <v>12</v>
      </c>
      <c r="C185" s="181" t="s">
        <v>23</v>
      </c>
      <c r="D185" s="176" t="s">
        <v>872</v>
      </c>
      <c r="H185" s="133"/>
    </row>
    <row r="186" spans="1:8" x14ac:dyDescent="0.3">
      <c r="E186" s="138" t="s">
        <v>1144</v>
      </c>
      <c r="H186" s="133"/>
    </row>
    <row r="187" spans="1:8" x14ac:dyDescent="0.3">
      <c r="A187" s="199" t="s">
        <v>1121</v>
      </c>
      <c r="H187" s="133"/>
    </row>
    <row r="188" spans="1:8" x14ac:dyDescent="0.3">
      <c r="A188" s="128" t="s">
        <v>304</v>
      </c>
      <c r="B188" s="129">
        <v>0</v>
      </c>
      <c r="C188" s="161" t="s">
        <v>69</v>
      </c>
      <c r="D188" s="134" t="s">
        <v>517</v>
      </c>
      <c r="H188" s="133"/>
    </row>
    <row r="189" spans="1:8" x14ac:dyDescent="0.3">
      <c r="A189" s="128" t="s">
        <v>305</v>
      </c>
      <c r="B189" s="129">
        <v>1000</v>
      </c>
      <c r="C189" s="161" t="s">
        <v>69</v>
      </c>
      <c r="D189" s="134" t="s">
        <v>518</v>
      </c>
      <c r="H189" s="133"/>
    </row>
    <row r="190" spans="1:8" x14ac:dyDescent="0.3">
      <c r="A190" s="128" t="s">
        <v>422</v>
      </c>
      <c r="B190" s="129">
        <v>1600</v>
      </c>
      <c r="C190" s="161" t="s">
        <v>69</v>
      </c>
      <c r="D190" s="134" t="s">
        <v>521</v>
      </c>
      <c r="H190" s="133"/>
    </row>
    <row r="191" spans="1:8" x14ac:dyDescent="0.3">
      <c r="A191" s="128" t="s">
        <v>423</v>
      </c>
      <c r="B191" s="129">
        <v>400</v>
      </c>
      <c r="C191" s="161" t="s">
        <v>69</v>
      </c>
      <c r="D191" s="134" t="s">
        <v>520</v>
      </c>
      <c r="H191" s="133"/>
    </row>
    <row r="192" spans="1:8" x14ac:dyDescent="0.3">
      <c r="A192" s="128" t="s">
        <v>424</v>
      </c>
      <c r="B192" s="158">
        <v>500</v>
      </c>
      <c r="C192" s="162" t="s">
        <v>69</v>
      </c>
      <c r="D192" s="134" t="s">
        <v>519</v>
      </c>
      <c r="H192" s="133"/>
    </row>
    <row r="193" spans="1:8" x14ac:dyDescent="0.3">
      <c r="A193" s="128" t="s">
        <v>416</v>
      </c>
      <c r="B193" s="129">
        <v>3000</v>
      </c>
      <c r="C193" s="161" t="s">
        <v>69</v>
      </c>
      <c r="D193" s="134" t="s">
        <v>530</v>
      </c>
      <c r="H193" s="133"/>
    </row>
    <row r="194" spans="1:8" x14ac:dyDescent="0.3">
      <c r="A194" s="128" t="s">
        <v>306</v>
      </c>
      <c r="B194" s="129">
        <v>100</v>
      </c>
      <c r="C194" s="161" t="s">
        <v>4</v>
      </c>
      <c r="D194" s="134" t="s">
        <v>529</v>
      </c>
      <c r="H194" s="133"/>
    </row>
    <row r="195" spans="1:8" x14ac:dyDescent="0.3">
      <c r="A195" s="128" t="s">
        <v>307</v>
      </c>
      <c r="B195" s="129">
        <v>400</v>
      </c>
      <c r="C195" s="161" t="s">
        <v>69</v>
      </c>
      <c r="D195" s="134" t="s">
        <v>528</v>
      </c>
    </row>
    <row r="196" spans="1:8" x14ac:dyDescent="0.3">
      <c r="A196" s="128" t="s">
        <v>308</v>
      </c>
      <c r="B196" s="129">
        <v>300</v>
      </c>
      <c r="C196" s="161" t="s">
        <v>69</v>
      </c>
      <c r="D196" s="134" t="s">
        <v>531</v>
      </c>
    </row>
    <row r="197" spans="1:8" x14ac:dyDescent="0.3">
      <c r="A197" s="132" t="s">
        <v>309</v>
      </c>
      <c r="B197" s="129">
        <v>1</v>
      </c>
      <c r="D197" s="134" t="s">
        <v>534</v>
      </c>
    </row>
    <row r="198" spans="1:8" x14ac:dyDescent="0.3">
      <c r="A198" s="175" t="s">
        <v>1044</v>
      </c>
      <c r="B198" s="129">
        <v>10</v>
      </c>
      <c r="C198" s="188" t="s">
        <v>75</v>
      </c>
      <c r="D198" s="134" t="s">
        <v>1073</v>
      </c>
    </row>
    <row r="199" spans="1:8" x14ac:dyDescent="0.3">
      <c r="A199" s="132" t="s">
        <v>310</v>
      </c>
      <c r="B199" s="131">
        <v>358000</v>
      </c>
      <c r="C199" s="126" t="s">
        <v>447</v>
      </c>
      <c r="D199" s="134" t="s">
        <v>533</v>
      </c>
    </row>
    <row r="200" spans="1:8" x14ac:dyDescent="0.3">
      <c r="A200" s="132" t="s">
        <v>311</v>
      </c>
      <c r="B200" s="129">
        <v>1</v>
      </c>
      <c r="D200" s="134" t="s">
        <v>536</v>
      </c>
    </row>
    <row r="201" spans="1:8" x14ac:dyDescent="0.3">
      <c r="A201" s="175" t="s">
        <v>1045</v>
      </c>
      <c r="B201" s="129">
        <v>12</v>
      </c>
      <c r="C201" s="188" t="s">
        <v>75</v>
      </c>
      <c r="D201" s="134" t="s">
        <v>1074</v>
      </c>
    </row>
    <row r="202" spans="1:8" x14ac:dyDescent="0.3">
      <c r="A202" s="132" t="s">
        <v>312</v>
      </c>
      <c r="B202" s="131">
        <v>258000</v>
      </c>
      <c r="C202" s="126" t="s">
        <v>447</v>
      </c>
      <c r="D202" s="134" t="s">
        <v>535</v>
      </c>
    </row>
    <row r="203" spans="1:8" x14ac:dyDescent="0.3">
      <c r="A203" s="175" t="s">
        <v>1046</v>
      </c>
      <c r="B203" s="131">
        <v>5</v>
      </c>
      <c r="C203" s="188" t="s">
        <v>75</v>
      </c>
      <c r="D203" s="134" t="s">
        <v>1075</v>
      </c>
    </row>
    <row r="204" spans="1:8" x14ac:dyDescent="0.3">
      <c r="A204" s="132" t="s">
        <v>313</v>
      </c>
      <c r="B204" s="131">
        <v>152000</v>
      </c>
      <c r="C204" s="126" t="s">
        <v>447</v>
      </c>
      <c r="D204" s="134" t="s">
        <v>532</v>
      </c>
    </row>
    <row r="205" spans="1:8" x14ac:dyDescent="0.3">
      <c r="A205" s="128" t="s">
        <v>425</v>
      </c>
      <c r="B205" s="129">
        <v>0</v>
      </c>
      <c r="C205" s="161" t="s">
        <v>69</v>
      </c>
      <c r="D205" s="134" t="s">
        <v>523</v>
      </c>
    </row>
    <row r="206" spans="1:8" x14ac:dyDescent="0.3">
      <c r="A206" s="128" t="s">
        <v>426</v>
      </c>
      <c r="B206" s="129">
        <v>0</v>
      </c>
      <c r="C206" s="161" t="s">
        <v>4</v>
      </c>
      <c r="D206" s="134" t="s">
        <v>524</v>
      </c>
    </row>
    <row r="207" spans="1:8" x14ac:dyDescent="0.3">
      <c r="A207" s="128" t="s">
        <v>427</v>
      </c>
      <c r="B207" s="129">
        <v>0</v>
      </c>
      <c r="C207" s="161" t="s">
        <v>69</v>
      </c>
      <c r="D207" s="134" t="s">
        <v>522</v>
      </c>
    </row>
    <row r="208" spans="1:8" x14ac:dyDescent="0.3">
      <c r="A208" s="128" t="s">
        <v>428</v>
      </c>
      <c r="B208" s="129">
        <v>0</v>
      </c>
      <c r="C208" s="161" t="s">
        <v>69</v>
      </c>
      <c r="D208" s="134" t="s">
        <v>526</v>
      </c>
    </row>
    <row r="209" spans="1:4" x14ac:dyDescent="0.3">
      <c r="A209" s="128" t="s">
        <v>429</v>
      </c>
      <c r="B209" s="129">
        <v>0</v>
      </c>
      <c r="C209" s="161" t="s">
        <v>4</v>
      </c>
      <c r="D209" s="134" t="s">
        <v>527</v>
      </c>
    </row>
    <row r="210" spans="1:4" x14ac:dyDescent="0.3">
      <c r="A210" s="128" t="s">
        <v>430</v>
      </c>
      <c r="B210" s="129">
        <v>0</v>
      </c>
      <c r="C210" s="161" t="s">
        <v>69</v>
      </c>
      <c r="D210" s="134" t="s">
        <v>525</v>
      </c>
    </row>
    <row r="211" spans="1:4" x14ac:dyDescent="0.3">
      <c r="A211" s="132" t="s">
        <v>314</v>
      </c>
      <c r="B211" s="129">
        <v>0</v>
      </c>
      <c r="C211" s="192"/>
      <c r="D211" s="134" t="s">
        <v>539</v>
      </c>
    </row>
    <row r="212" spans="1:4" x14ac:dyDescent="0.3">
      <c r="A212" s="175" t="s">
        <v>1047</v>
      </c>
      <c r="B212" s="129">
        <v>0</v>
      </c>
      <c r="C212" s="188" t="s">
        <v>75</v>
      </c>
      <c r="D212" s="134" t="s">
        <v>1076</v>
      </c>
    </row>
    <row r="213" spans="1:4" x14ac:dyDescent="0.3">
      <c r="A213" s="132" t="s">
        <v>315</v>
      </c>
      <c r="B213" s="131">
        <v>0</v>
      </c>
      <c r="C213" s="126" t="s">
        <v>447</v>
      </c>
      <c r="D213" s="134" t="s">
        <v>538</v>
      </c>
    </row>
    <row r="214" spans="1:4" x14ac:dyDescent="0.3">
      <c r="A214" s="132" t="s">
        <v>316</v>
      </c>
      <c r="B214" s="129">
        <v>0</v>
      </c>
      <c r="C214" s="192"/>
      <c r="D214" s="134" t="s">
        <v>874</v>
      </c>
    </row>
    <row r="215" spans="1:4" x14ac:dyDescent="0.3">
      <c r="A215" s="175" t="s">
        <v>1048</v>
      </c>
      <c r="B215" s="129">
        <v>0</v>
      </c>
      <c r="C215" s="188" t="s">
        <v>75</v>
      </c>
      <c r="D215" s="134" t="s">
        <v>1077</v>
      </c>
    </row>
    <row r="216" spans="1:4" x14ac:dyDescent="0.3">
      <c r="A216" s="132" t="s">
        <v>317</v>
      </c>
      <c r="B216" s="131">
        <v>0</v>
      </c>
      <c r="C216" s="126" t="s">
        <v>447</v>
      </c>
      <c r="D216" s="134" t="s">
        <v>540</v>
      </c>
    </row>
    <row r="217" spans="1:4" x14ac:dyDescent="0.3">
      <c r="A217" s="132" t="s">
        <v>318</v>
      </c>
      <c r="B217" s="129">
        <v>0</v>
      </c>
      <c r="C217" s="192"/>
      <c r="D217" s="134" t="s">
        <v>542</v>
      </c>
    </row>
    <row r="218" spans="1:4" x14ac:dyDescent="0.3">
      <c r="A218" s="175" t="s">
        <v>1049</v>
      </c>
      <c r="B218" s="129">
        <v>0</v>
      </c>
      <c r="C218" s="188" t="s">
        <v>75</v>
      </c>
      <c r="D218" s="134" t="s">
        <v>1078</v>
      </c>
    </row>
    <row r="219" spans="1:4" x14ac:dyDescent="0.3">
      <c r="A219" s="132" t="s">
        <v>319</v>
      </c>
      <c r="B219" s="131">
        <v>0</v>
      </c>
      <c r="C219" s="126" t="s">
        <v>447</v>
      </c>
      <c r="D219" s="134" t="s">
        <v>541</v>
      </c>
    </row>
    <row r="220" spans="1:4" x14ac:dyDescent="0.3">
      <c r="A220" s="175" t="s">
        <v>1050</v>
      </c>
      <c r="B220" s="131">
        <v>0</v>
      </c>
      <c r="C220" s="188" t="s">
        <v>75</v>
      </c>
      <c r="D220" s="134" t="s">
        <v>1079</v>
      </c>
    </row>
    <row r="221" spans="1:4" x14ac:dyDescent="0.3">
      <c r="A221" s="132" t="s">
        <v>320</v>
      </c>
      <c r="B221" s="131">
        <v>0</v>
      </c>
      <c r="C221" s="126" t="s">
        <v>447</v>
      </c>
      <c r="D221" s="134" t="s">
        <v>537</v>
      </c>
    </row>
    <row r="222" spans="1:4" x14ac:dyDescent="0.3">
      <c r="A222" s="128" t="s">
        <v>431</v>
      </c>
      <c r="B222" s="129">
        <v>0</v>
      </c>
      <c r="C222" s="161" t="s">
        <v>69</v>
      </c>
      <c r="D222" s="134" t="s">
        <v>505</v>
      </c>
    </row>
    <row r="223" spans="1:4" x14ac:dyDescent="0.3">
      <c r="A223" s="128" t="s">
        <v>432</v>
      </c>
      <c r="B223" s="129">
        <v>0</v>
      </c>
      <c r="C223" s="161" t="s">
        <v>4</v>
      </c>
      <c r="D223" s="134" t="s">
        <v>506</v>
      </c>
    </row>
    <row r="224" spans="1:4" x14ac:dyDescent="0.3">
      <c r="A224" s="128" t="s">
        <v>433</v>
      </c>
      <c r="B224" s="129">
        <v>0</v>
      </c>
      <c r="C224" s="161" t="s">
        <v>69</v>
      </c>
      <c r="D224" s="134" t="s">
        <v>510</v>
      </c>
    </row>
    <row r="225" spans="1:11" x14ac:dyDescent="0.3">
      <c r="A225" s="128" t="s">
        <v>434</v>
      </c>
      <c r="B225" s="129">
        <v>0</v>
      </c>
      <c r="C225" s="161" t="s">
        <v>4</v>
      </c>
      <c r="D225" s="134" t="s">
        <v>512</v>
      </c>
    </row>
    <row r="226" spans="1:11" x14ac:dyDescent="0.3">
      <c r="A226" s="132" t="s">
        <v>321</v>
      </c>
      <c r="B226" s="129">
        <v>0</v>
      </c>
      <c r="C226" s="161" t="s">
        <v>69</v>
      </c>
      <c r="D226" s="134" t="s">
        <v>501</v>
      </c>
    </row>
    <row r="227" spans="1:11" x14ac:dyDescent="0.3">
      <c r="A227" s="132" t="s">
        <v>322</v>
      </c>
      <c r="B227" s="129">
        <v>16000</v>
      </c>
      <c r="C227" s="161" t="s">
        <v>69</v>
      </c>
      <c r="D227" s="134" t="s">
        <v>509</v>
      </c>
    </row>
    <row r="228" spans="1:11" x14ac:dyDescent="0.3">
      <c r="A228" s="132" t="s">
        <v>323</v>
      </c>
      <c r="B228" s="129">
        <v>8000</v>
      </c>
      <c r="C228" s="161" t="s">
        <v>69</v>
      </c>
      <c r="D228" s="134" t="s">
        <v>507</v>
      </c>
    </row>
    <row r="229" spans="1:11" x14ac:dyDescent="0.3">
      <c r="A229" s="128" t="s">
        <v>435</v>
      </c>
      <c r="B229" s="129">
        <v>0</v>
      </c>
      <c r="C229" s="161" t="s">
        <v>69</v>
      </c>
      <c r="D229" s="134" t="s">
        <v>511</v>
      </c>
    </row>
    <row r="230" spans="1:11" x14ac:dyDescent="0.3">
      <c r="A230" s="132" t="s">
        <v>436</v>
      </c>
      <c r="B230" s="129">
        <v>0</v>
      </c>
      <c r="C230" s="161" t="s">
        <v>69</v>
      </c>
      <c r="D230" s="134" t="s">
        <v>502</v>
      </c>
    </row>
    <row r="231" spans="1:11" x14ac:dyDescent="0.3">
      <c r="A231" s="137" t="s">
        <v>324</v>
      </c>
      <c r="B231" s="135">
        <v>0</v>
      </c>
      <c r="C231" s="163" t="s">
        <v>69</v>
      </c>
      <c r="D231" s="134" t="s">
        <v>508</v>
      </c>
    </row>
    <row r="232" spans="1:11" x14ac:dyDescent="0.3">
      <c r="A232" s="132" t="s">
        <v>325</v>
      </c>
      <c r="B232" s="129">
        <v>0</v>
      </c>
      <c r="C232" s="161" t="s">
        <v>69</v>
      </c>
      <c r="D232" s="134" t="s">
        <v>504</v>
      </c>
    </row>
    <row r="233" spans="1:11" x14ac:dyDescent="0.3">
      <c r="A233" s="132" t="s">
        <v>326</v>
      </c>
      <c r="B233" s="129">
        <v>0</v>
      </c>
      <c r="C233" s="161" t="s">
        <v>4</v>
      </c>
      <c r="D233" s="134" t="s">
        <v>503</v>
      </c>
    </row>
    <row r="234" spans="1:11" x14ac:dyDescent="0.3">
      <c r="A234" s="175" t="s">
        <v>1161</v>
      </c>
      <c r="B234" s="129">
        <v>0</v>
      </c>
      <c r="C234" s="193" t="s">
        <v>4</v>
      </c>
      <c r="D234" s="134" t="s">
        <v>1162</v>
      </c>
    </row>
    <row r="235" spans="1:11" x14ac:dyDescent="0.3">
      <c r="A235" s="132" t="s">
        <v>327</v>
      </c>
      <c r="B235" s="129">
        <v>0</v>
      </c>
      <c r="C235" s="161" t="s">
        <v>69</v>
      </c>
      <c r="D235" s="134" t="s">
        <v>496</v>
      </c>
    </row>
    <row r="236" spans="1:11" x14ac:dyDescent="0.3">
      <c r="A236" s="132" t="s">
        <v>328</v>
      </c>
      <c r="B236" s="129">
        <v>0</v>
      </c>
      <c r="C236" s="161" t="s">
        <v>69</v>
      </c>
      <c r="D236" s="134" t="s">
        <v>495</v>
      </c>
    </row>
    <row r="237" spans="1:11" x14ac:dyDescent="0.3">
      <c r="A237" s="132" t="s">
        <v>329</v>
      </c>
      <c r="B237" s="129">
        <v>0</v>
      </c>
      <c r="C237" s="161" t="s">
        <v>4</v>
      </c>
      <c r="D237" s="134" t="s">
        <v>498</v>
      </c>
    </row>
    <row r="238" spans="1:11" x14ac:dyDescent="0.3">
      <c r="A238" s="132" t="s">
        <v>330</v>
      </c>
      <c r="B238" s="129">
        <v>0</v>
      </c>
      <c r="C238" s="161" t="s">
        <v>69</v>
      </c>
      <c r="D238" s="134" t="s">
        <v>497</v>
      </c>
      <c r="H238" s="169"/>
      <c r="K238" s="198"/>
    </row>
    <row r="239" spans="1:11" x14ac:dyDescent="0.3">
      <c r="A239" s="132" t="s">
        <v>331</v>
      </c>
      <c r="B239" s="129">
        <v>0</v>
      </c>
      <c r="C239" s="161" t="s">
        <v>69</v>
      </c>
      <c r="D239" s="134" t="s">
        <v>494</v>
      </c>
      <c r="H239" s="169"/>
    </row>
    <row r="240" spans="1:11" x14ac:dyDescent="0.3">
      <c r="A240" s="132" t="s">
        <v>332</v>
      </c>
      <c r="B240" s="129">
        <v>1000</v>
      </c>
      <c r="C240" s="161" t="s">
        <v>69</v>
      </c>
      <c r="D240" s="134" t="s">
        <v>515</v>
      </c>
    </row>
    <row r="241" spans="1:4" x14ac:dyDescent="0.3">
      <c r="A241" s="132" t="s">
        <v>333</v>
      </c>
      <c r="B241" s="129">
        <v>3000</v>
      </c>
      <c r="C241" s="161" t="s">
        <v>69</v>
      </c>
      <c r="D241" s="134" t="s">
        <v>514</v>
      </c>
    </row>
    <row r="242" spans="1:4" x14ac:dyDescent="0.3">
      <c r="A242" s="132" t="s">
        <v>334</v>
      </c>
      <c r="B242" s="129">
        <v>2000</v>
      </c>
      <c r="C242" s="161" t="s">
        <v>4</v>
      </c>
      <c r="D242" s="134" t="s">
        <v>516</v>
      </c>
    </row>
    <row r="243" spans="1:4" x14ac:dyDescent="0.3">
      <c r="A243" s="132" t="s">
        <v>335</v>
      </c>
      <c r="B243" s="129">
        <v>4000</v>
      </c>
      <c r="C243" s="161" t="s">
        <v>69</v>
      </c>
      <c r="D243" s="134" t="s">
        <v>513</v>
      </c>
    </row>
    <row r="244" spans="1:4" x14ac:dyDescent="0.3">
      <c r="A244" s="128" t="s">
        <v>440</v>
      </c>
      <c r="B244" s="129">
        <v>0</v>
      </c>
      <c r="C244" s="161" t="s">
        <v>69</v>
      </c>
      <c r="D244" s="134" t="s">
        <v>563</v>
      </c>
    </row>
    <row r="245" spans="1:4" x14ac:dyDescent="0.3">
      <c r="A245" s="128" t="s">
        <v>441</v>
      </c>
      <c r="B245" s="129">
        <v>0</v>
      </c>
      <c r="C245" s="161" t="s">
        <v>69</v>
      </c>
      <c r="D245" s="134" t="s">
        <v>562</v>
      </c>
    </row>
    <row r="246" spans="1:4" x14ac:dyDescent="0.3">
      <c r="A246" s="128" t="s">
        <v>442</v>
      </c>
      <c r="B246" s="158">
        <v>0</v>
      </c>
      <c r="C246" s="162" t="s">
        <v>69</v>
      </c>
      <c r="D246" s="134" t="s">
        <v>561</v>
      </c>
    </row>
    <row r="247" spans="1:4" x14ac:dyDescent="0.3">
      <c r="A247" s="128" t="s">
        <v>443</v>
      </c>
      <c r="B247" s="158">
        <v>0</v>
      </c>
      <c r="C247" s="162" t="s">
        <v>69</v>
      </c>
      <c r="D247" s="134" t="s">
        <v>572</v>
      </c>
    </row>
    <row r="248" spans="1:4" x14ac:dyDescent="0.3">
      <c r="A248" s="128" t="s">
        <v>444</v>
      </c>
      <c r="B248" s="158">
        <v>0</v>
      </c>
      <c r="C248" s="162" t="s">
        <v>69</v>
      </c>
      <c r="D248" s="134" t="s">
        <v>571</v>
      </c>
    </row>
    <row r="249" spans="1:4" x14ac:dyDescent="0.3">
      <c r="A249" s="128" t="s">
        <v>445</v>
      </c>
      <c r="B249" s="158">
        <v>0</v>
      </c>
      <c r="C249" s="162" t="s">
        <v>69</v>
      </c>
      <c r="D249" s="134" t="s">
        <v>570</v>
      </c>
    </row>
    <row r="250" spans="1:4" x14ac:dyDescent="0.3">
      <c r="A250" s="132" t="s">
        <v>336</v>
      </c>
      <c r="B250" s="129">
        <v>1500</v>
      </c>
      <c r="C250" s="161" t="s">
        <v>69</v>
      </c>
      <c r="D250" s="134" t="s">
        <v>575</v>
      </c>
    </row>
    <row r="251" spans="1:4" x14ac:dyDescent="0.3">
      <c r="A251" s="132" t="s">
        <v>337</v>
      </c>
      <c r="B251" s="129">
        <v>4500</v>
      </c>
      <c r="C251" s="161" t="s">
        <v>69</v>
      </c>
      <c r="D251" s="134" t="s">
        <v>574</v>
      </c>
    </row>
    <row r="252" spans="1:4" x14ac:dyDescent="0.3">
      <c r="A252" s="132" t="s">
        <v>338</v>
      </c>
      <c r="B252" s="129">
        <v>2000</v>
      </c>
      <c r="C252" s="161" t="s">
        <v>4</v>
      </c>
      <c r="D252" s="134" t="s">
        <v>576</v>
      </c>
    </row>
    <row r="253" spans="1:4" x14ac:dyDescent="0.3">
      <c r="A253" s="132" t="s">
        <v>339</v>
      </c>
      <c r="B253" s="129">
        <v>10000</v>
      </c>
      <c r="C253" s="161" t="s">
        <v>69</v>
      </c>
      <c r="D253" s="134" t="s">
        <v>573</v>
      </c>
    </row>
    <row r="254" spans="1:4" x14ac:dyDescent="0.3">
      <c r="A254" s="132" t="s">
        <v>340</v>
      </c>
      <c r="B254" s="131">
        <v>2</v>
      </c>
      <c r="D254" s="134" t="s">
        <v>567</v>
      </c>
    </row>
    <row r="255" spans="1:4" x14ac:dyDescent="0.3">
      <c r="A255" s="175" t="s">
        <v>1051</v>
      </c>
      <c r="B255" s="131">
        <v>25</v>
      </c>
      <c r="C255" s="188" t="s">
        <v>75</v>
      </c>
      <c r="D255" s="134" t="s">
        <v>1081</v>
      </c>
    </row>
    <row r="256" spans="1:4" x14ac:dyDescent="0.3">
      <c r="A256" s="132" t="s">
        <v>341</v>
      </c>
      <c r="B256" s="131">
        <v>429000</v>
      </c>
      <c r="C256" s="126" t="s">
        <v>447</v>
      </c>
      <c r="D256" s="134" t="s">
        <v>566</v>
      </c>
    </row>
    <row r="257" spans="1:4" x14ac:dyDescent="0.3">
      <c r="A257" s="132" t="s">
        <v>342</v>
      </c>
      <c r="B257" s="131">
        <v>1</v>
      </c>
      <c r="D257" s="134" t="s">
        <v>569</v>
      </c>
    </row>
    <row r="258" spans="1:4" x14ac:dyDescent="0.3">
      <c r="A258" s="175" t="s">
        <v>1052</v>
      </c>
      <c r="B258" s="131">
        <v>18</v>
      </c>
      <c r="C258" s="188" t="s">
        <v>75</v>
      </c>
      <c r="D258" s="134" t="s">
        <v>1080</v>
      </c>
    </row>
    <row r="259" spans="1:4" x14ac:dyDescent="0.3">
      <c r="A259" s="132" t="s">
        <v>343</v>
      </c>
      <c r="B259" s="131">
        <v>186000</v>
      </c>
      <c r="C259" s="126" t="s">
        <v>447</v>
      </c>
      <c r="D259" s="134" t="s">
        <v>568</v>
      </c>
    </row>
    <row r="260" spans="1:4" x14ac:dyDescent="0.3">
      <c r="A260" s="175" t="s">
        <v>1053</v>
      </c>
      <c r="B260" s="131">
        <v>12</v>
      </c>
      <c r="C260" s="188" t="s">
        <v>75</v>
      </c>
      <c r="D260" s="134" t="s">
        <v>1082</v>
      </c>
    </row>
    <row r="261" spans="1:4" x14ac:dyDescent="0.3">
      <c r="A261" s="132" t="s">
        <v>344</v>
      </c>
      <c r="B261" s="131">
        <v>268000</v>
      </c>
      <c r="C261" s="126" t="s">
        <v>447</v>
      </c>
      <c r="D261" s="134" t="s">
        <v>564</v>
      </c>
    </row>
    <row r="262" spans="1:4" x14ac:dyDescent="0.3">
      <c r="A262" s="175" t="s">
        <v>1054</v>
      </c>
      <c r="B262" s="131">
        <v>5</v>
      </c>
      <c r="C262" s="188" t="s">
        <v>75</v>
      </c>
      <c r="D262" s="134" t="s">
        <v>1083</v>
      </c>
    </row>
    <row r="263" spans="1:4" x14ac:dyDescent="0.3">
      <c r="A263" s="132" t="s">
        <v>345</v>
      </c>
      <c r="B263" s="131">
        <v>188000</v>
      </c>
      <c r="C263" s="126" t="s">
        <v>447</v>
      </c>
      <c r="D263" s="134" t="s">
        <v>565</v>
      </c>
    </row>
    <row r="264" spans="1:4" x14ac:dyDescent="0.3">
      <c r="A264" s="132" t="s">
        <v>388</v>
      </c>
      <c r="B264" s="129">
        <v>0</v>
      </c>
      <c r="C264" s="161" t="s">
        <v>447</v>
      </c>
      <c r="D264" s="134" t="s">
        <v>633</v>
      </c>
    </row>
    <row r="265" spans="1:4" x14ac:dyDescent="0.3">
      <c r="A265" s="132" t="s">
        <v>389</v>
      </c>
      <c r="B265" s="129">
        <v>0</v>
      </c>
      <c r="C265" s="161" t="s">
        <v>447</v>
      </c>
      <c r="D265" s="134" t="s">
        <v>632</v>
      </c>
    </row>
    <row r="266" spans="1:4" x14ac:dyDescent="0.3">
      <c r="A266" s="132" t="s">
        <v>390</v>
      </c>
      <c r="B266" s="129">
        <v>2</v>
      </c>
      <c r="C266" s="161" t="s">
        <v>27</v>
      </c>
      <c r="D266" s="134" t="s">
        <v>876</v>
      </c>
    </row>
    <row r="267" spans="1:4" x14ac:dyDescent="0.3">
      <c r="A267" s="132" t="s">
        <v>391</v>
      </c>
      <c r="B267" s="129">
        <v>100</v>
      </c>
      <c r="C267" s="161" t="s">
        <v>279</v>
      </c>
      <c r="D267" s="134" t="s">
        <v>875</v>
      </c>
    </row>
    <row r="268" spans="1:4" x14ac:dyDescent="0.3">
      <c r="A268" s="132" t="s">
        <v>825</v>
      </c>
      <c r="B268" s="129">
        <v>0</v>
      </c>
      <c r="C268" s="162" t="s">
        <v>1000</v>
      </c>
      <c r="D268" s="134" t="s">
        <v>818</v>
      </c>
    </row>
    <row r="269" spans="1:4" x14ac:dyDescent="0.3">
      <c r="A269" s="132" t="s">
        <v>826</v>
      </c>
      <c r="B269" s="129">
        <v>0</v>
      </c>
      <c r="C269" s="162" t="s">
        <v>1000</v>
      </c>
      <c r="D269" s="134" t="s">
        <v>824</v>
      </c>
    </row>
    <row r="270" spans="1:4" x14ac:dyDescent="0.3">
      <c r="A270" s="132" t="s">
        <v>866</v>
      </c>
      <c r="B270" s="129">
        <v>0</v>
      </c>
      <c r="C270" s="162" t="s">
        <v>1000</v>
      </c>
      <c r="D270" s="134" t="s">
        <v>869</v>
      </c>
    </row>
    <row r="271" spans="1:4" x14ac:dyDescent="0.3">
      <c r="A271" s="132" t="s">
        <v>827</v>
      </c>
      <c r="B271" s="129">
        <v>0</v>
      </c>
      <c r="C271" s="162" t="s">
        <v>1000</v>
      </c>
      <c r="D271" s="134" t="s">
        <v>819</v>
      </c>
    </row>
    <row r="272" spans="1:4" x14ac:dyDescent="0.3">
      <c r="A272" s="132" t="s">
        <v>828</v>
      </c>
      <c r="B272" s="129">
        <v>0</v>
      </c>
      <c r="C272" s="161" t="s">
        <v>27</v>
      </c>
      <c r="D272" s="134" t="s">
        <v>820</v>
      </c>
    </row>
    <row r="273" spans="1:5" x14ac:dyDescent="0.3">
      <c r="A273" s="132" t="s">
        <v>829</v>
      </c>
      <c r="B273" s="129">
        <v>0</v>
      </c>
      <c r="C273" s="161" t="s">
        <v>27</v>
      </c>
      <c r="D273" s="134" t="s">
        <v>821</v>
      </c>
    </row>
    <row r="274" spans="1:5" x14ac:dyDescent="0.3">
      <c r="A274" s="132" t="s">
        <v>830</v>
      </c>
      <c r="B274" s="129">
        <v>0</v>
      </c>
      <c r="C274" s="162" t="s">
        <v>27</v>
      </c>
      <c r="D274" s="134" t="s">
        <v>822</v>
      </c>
    </row>
    <row r="275" spans="1:5" x14ac:dyDescent="0.3">
      <c r="A275" s="132" t="s">
        <v>831</v>
      </c>
      <c r="B275" s="129">
        <v>0</v>
      </c>
      <c r="C275" s="161" t="s">
        <v>27</v>
      </c>
      <c r="D275" s="134" t="s">
        <v>823</v>
      </c>
    </row>
    <row r="276" spans="1:5" x14ac:dyDescent="0.3">
      <c r="A276" s="132" t="s">
        <v>890</v>
      </c>
      <c r="B276" s="129">
        <v>0</v>
      </c>
      <c r="C276" s="161"/>
      <c r="D276" s="134" t="s">
        <v>867</v>
      </c>
    </row>
    <row r="277" spans="1:5" x14ac:dyDescent="0.3">
      <c r="A277" s="132" t="s">
        <v>891</v>
      </c>
      <c r="B277" s="129">
        <v>0</v>
      </c>
      <c r="C277" s="161"/>
      <c r="D277" s="134" t="s">
        <v>868</v>
      </c>
    </row>
    <row r="278" spans="1:5" x14ac:dyDescent="0.3">
      <c r="A278" s="133"/>
      <c r="E278" s="138" t="s">
        <v>1144</v>
      </c>
    </row>
    <row r="279" spans="1:5" x14ac:dyDescent="0.3">
      <c r="A279" s="199" t="s">
        <v>1122</v>
      </c>
    </row>
    <row r="280" spans="1:5" x14ac:dyDescent="0.3">
      <c r="A280" s="128" t="s">
        <v>304</v>
      </c>
      <c r="B280" s="129">
        <v>0</v>
      </c>
      <c r="C280" s="161" t="s">
        <v>69</v>
      </c>
      <c r="D280" s="134" t="s">
        <v>517</v>
      </c>
    </row>
    <row r="281" spans="1:5" x14ac:dyDescent="0.3">
      <c r="A281" s="128" t="s">
        <v>305</v>
      </c>
      <c r="B281" s="129">
        <v>500</v>
      </c>
      <c r="C281" s="161" t="s">
        <v>69</v>
      </c>
      <c r="D281" s="134" t="s">
        <v>518</v>
      </c>
    </row>
    <row r="282" spans="1:5" x14ac:dyDescent="0.3">
      <c r="A282" s="128" t="s">
        <v>422</v>
      </c>
      <c r="B282" s="129">
        <v>800</v>
      </c>
      <c r="C282" s="161" t="s">
        <v>69</v>
      </c>
      <c r="D282" s="134" t="s">
        <v>521</v>
      </c>
    </row>
    <row r="283" spans="1:5" x14ac:dyDescent="0.3">
      <c r="A283" s="128" t="s">
        <v>423</v>
      </c>
      <c r="B283" s="129">
        <v>200</v>
      </c>
      <c r="C283" s="161" t="s">
        <v>69</v>
      </c>
      <c r="D283" s="134" t="s">
        <v>520</v>
      </c>
    </row>
    <row r="284" spans="1:5" x14ac:dyDescent="0.3">
      <c r="A284" s="128" t="s">
        <v>424</v>
      </c>
      <c r="B284" s="174">
        <v>250</v>
      </c>
      <c r="C284" s="162" t="s">
        <v>69</v>
      </c>
      <c r="D284" s="134" t="s">
        <v>519</v>
      </c>
    </row>
    <row r="285" spans="1:5" x14ac:dyDescent="0.3">
      <c r="A285" s="128" t="s">
        <v>416</v>
      </c>
      <c r="B285" s="129">
        <v>1500</v>
      </c>
      <c r="C285" s="161" t="s">
        <v>69</v>
      </c>
      <c r="D285" s="134" t="s">
        <v>530</v>
      </c>
    </row>
    <row r="286" spans="1:5" x14ac:dyDescent="0.3">
      <c r="A286" s="128" t="s">
        <v>306</v>
      </c>
      <c r="B286" s="129">
        <v>50</v>
      </c>
      <c r="C286" s="161" t="s">
        <v>4</v>
      </c>
      <c r="D286" s="134" t="s">
        <v>529</v>
      </c>
    </row>
    <row r="287" spans="1:5" x14ac:dyDescent="0.3">
      <c r="A287" s="128" t="s">
        <v>307</v>
      </c>
      <c r="B287" s="129">
        <v>200</v>
      </c>
      <c r="C287" s="161" t="s">
        <v>69</v>
      </c>
      <c r="D287" s="134" t="s">
        <v>528</v>
      </c>
    </row>
    <row r="288" spans="1:5" x14ac:dyDescent="0.3">
      <c r="A288" s="128" t="s">
        <v>308</v>
      </c>
      <c r="B288" s="129">
        <v>150</v>
      </c>
      <c r="C288" s="161" t="s">
        <v>69</v>
      </c>
      <c r="D288" s="134" t="s">
        <v>531</v>
      </c>
    </row>
    <row r="289" spans="1:4" x14ac:dyDescent="0.3">
      <c r="A289" s="175" t="s">
        <v>309</v>
      </c>
      <c r="B289" s="129">
        <v>1</v>
      </c>
      <c r="D289" s="134" t="s">
        <v>534</v>
      </c>
    </row>
    <row r="290" spans="1:4" x14ac:dyDescent="0.3">
      <c r="A290" s="175" t="s">
        <v>1044</v>
      </c>
      <c r="B290" s="129">
        <v>5</v>
      </c>
      <c r="C290" s="188" t="s">
        <v>75</v>
      </c>
      <c r="D290" s="134" t="s">
        <v>1073</v>
      </c>
    </row>
    <row r="291" spans="1:4" x14ac:dyDescent="0.3">
      <c r="A291" s="175" t="s">
        <v>310</v>
      </c>
      <c r="B291" s="131">
        <v>180000</v>
      </c>
      <c r="C291" s="126" t="s">
        <v>447</v>
      </c>
      <c r="D291" s="134" t="s">
        <v>533</v>
      </c>
    </row>
    <row r="292" spans="1:4" x14ac:dyDescent="0.3">
      <c r="A292" s="175" t="s">
        <v>311</v>
      </c>
      <c r="B292" s="129">
        <v>1</v>
      </c>
      <c r="D292" s="134" t="s">
        <v>536</v>
      </c>
    </row>
    <row r="293" spans="1:4" x14ac:dyDescent="0.3">
      <c r="A293" s="175" t="s">
        <v>1045</v>
      </c>
      <c r="B293" s="129">
        <v>12</v>
      </c>
      <c r="C293" s="188" t="s">
        <v>75</v>
      </c>
      <c r="D293" s="134" t="s">
        <v>1074</v>
      </c>
    </row>
    <row r="294" spans="1:4" x14ac:dyDescent="0.3">
      <c r="A294" s="175" t="s">
        <v>312</v>
      </c>
      <c r="B294" s="131">
        <v>130000</v>
      </c>
      <c r="C294" s="126" t="s">
        <v>447</v>
      </c>
      <c r="D294" s="134" t="s">
        <v>535</v>
      </c>
    </row>
    <row r="295" spans="1:4" x14ac:dyDescent="0.3">
      <c r="A295" s="175" t="s">
        <v>1046</v>
      </c>
      <c r="B295" s="131">
        <v>5</v>
      </c>
      <c r="C295" s="188" t="s">
        <v>75</v>
      </c>
      <c r="D295" s="134" t="s">
        <v>1075</v>
      </c>
    </row>
    <row r="296" spans="1:4" x14ac:dyDescent="0.3">
      <c r="A296" s="175" t="s">
        <v>313</v>
      </c>
      <c r="B296" s="131">
        <v>75000</v>
      </c>
      <c r="C296" s="126" t="s">
        <v>447</v>
      </c>
      <c r="D296" s="134" t="s">
        <v>532</v>
      </c>
    </row>
    <row r="297" spans="1:4" x14ac:dyDescent="0.3">
      <c r="A297" s="128" t="s">
        <v>425</v>
      </c>
      <c r="B297" s="129">
        <v>0</v>
      </c>
      <c r="C297" s="161" t="s">
        <v>69</v>
      </c>
      <c r="D297" s="134" t="s">
        <v>523</v>
      </c>
    </row>
    <row r="298" spans="1:4" x14ac:dyDescent="0.3">
      <c r="A298" s="128" t="s">
        <v>426</v>
      </c>
      <c r="B298" s="129">
        <v>0</v>
      </c>
      <c r="C298" s="161" t="s">
        <v>4</v>
      </c>
      <c r="D298" s="134" t="s">
        <v>524</v>
      </c>
    </row>
    <row r="299" spans="1:4" x14ac:dyDescent="0.3">
      <c r="A299" s="128" t="s">
        <v>427</v>
      </c>
      <c r="B299" s="129">
        <v>0</v>
      </c>
      <c r="C299" s="161" t="s">
        <v>69</v>
      </c>
      <c r="D299" s="134" t="s">
        <v>522</v>
      </c>
    </row>
    <row r="300" spans="1:4" x14ac:dyDescent="0.3">
      <c r="A300" s="128" t="s">
        <v>428</v>
      </c>
      <c r="B300" s="129">
        <v>0</v>
      </c>
      <c r="C300" s="161" t="s">
        <v>69</v>
      </c>
      <c r="D300" s="134" t="s">
        <v>526</v>
      </c>
    </row>
    <row r="301" spans="1:4" x14ac:dyDescent="0.3">
      <c r="A301" s="128" t="s">
        <v>429</v>
      </c>
      <c r="B301" s="129">
        <v>0</v>
      </c>
      <c r="C301" s="161" t="s">
        <v>4</v>
      </c>
      <c r="D301" s="134" t="s">
        <v>527</v>
      </c>
    </row>
    <row r="302" spans="1:4" x14ac:dyDescent="0.3">
      <c r="A302" s="128" t="s">
        <v>430</v>
      </c>
      <c r="B302" s="129">
        <v>0</v>
      </c>
      <c r="C302" s="161" t="s">
        <v>69</v>
      </c>
      <c r="D302" s="134" t="s">
        <v>525</v>
      </c>
    </row>
    <row r="303" spans="1:4" x14ac:dyDescent="0.3">
      <c r="A303" s="175" t="s">
        <v>314</v>
      </c>
      <c r="B303" s="129">
        <v>0</v>
      </c>
      <c r="C303" s="192"/>
      <c r="D303" s="134" t="s">
        <v>539</v>
      </c>
    </row>
    <row r="304" spans="1:4" x14ac:dyDescent="0.3">
      <c r="A304" s="175" t="s">
        <v>1047</v>
      </c>
      <c r="B304" s="129">
        <v>0</v>
      </c>
      <c r="C304" s="188" t="s">
        <v>75</v>
      </c>
      <c r="D304" s="134" t="s">
        <v>1076</v>
      </c>
    </row>
    <row r="305" spans="1:4" x14ac:dyDescent="0.3">
      <c r="A305" s="175" t="s">
        <v>315</v>
      </c>
      <c r="B305" s="131">
        <v>0</v>
      </c>
      <c r="C305" s="126" t="s">
        <v>447</v>
      </c>
      <c r="D305" s="134" t="s">
        <v>538</v>
      </c>
    </row>
    <row r="306" spans="1:4" x14ac:dyDescent="0.3">
      <c r="A306" s="175" t="s">
        <v>316</v>
      </c>
      <c r="B306" s="129">
        <v>0</v>
      </c>
      <c r="C306" s="192"/>
      <c r="D306" s="134" t="s">
        <v>874</v>
      </c>
    </row>
    <row r="307" spans="1:4" x14ac:dyDescent="0.3">
      <c r="A307" s="175" t="s">
        <v>1048</v>
      </c>
      <c r="B307" s="129">
        <v>0</v>
      </c>
      <c r="C307" s="188" t="s">
        <v>75</v>
      </c>
      <c r="D307" s="134" t="s">
        <v>1077</v>
      </c>
    </row>
    <row r="308" spans="1:4" x14ac:dyDescent="0.3">
      <c r="A308" s="175" t="s">
        <v>317</v>
      </c>
      <c r="B308" s="131">
        <v>0</v>
      </c>
      <c r="C308" s="126" t="s">
        <v>447</v>
      </c>
      <c r="D308" s="134" t="s">
        <v>540</v>
      </c>
    </row>
    <row r="309" spans="1:4" x14ac:dyDescent="0.3">
      <c r="A309" s="175" t="s">
        <v>318</v>
      </c>
      <c r="B309" s="129">
        <v>0</v>
      </c>
      <c r="C309" s="192"/>
      <c r="D309" s="134" t="s">
        <v>542</v>
      </c>
    </row>
    <row r="310" spans="1:4" x14ac:dyDescent="0.3">
      <c r="A310" s="175" t="s">
        <v>1049</v>
      </c>
      <c r="B310" s="129">
        <v>0</v>
      </c>
      <c r="C310" s="188" t="s">
        <v>75</v>
      </c>
      <c r="D310" s="134" t="s">
        <v>1078</v>
      </c>
    </row>
    <row r="311" spans="1:4" x14ac:dyDescent="0.3">
      <c r="A311" s="175" t="s">
        <v>319</v>
      </c>
      <c r="B311" s="131">
        <v>0</v>
      </c>
      <c r="C311" s="126" t="s">
        <v>447</v>
      </c>
      <c r="D311" s="134" t="s">
        <v>541</v>
      </c>
    </row>
    <row r="312" spans="1:4" x14ac:dyDescent="0.3">
      <c r="A312" s="175" t="s">
        <v>1050</v>
      </c>
      <c r="B312" s="131">
        <v>0</v>
      </c>
      <c r="C312" s="188" t="s">
        <v>75</v>
      </c>
      <c r="D312" s="134" t="s">
        <v>1079</v>
      </c>
    </row>
    <row r="313" spans="1:4" x14ac:dyDescent="0.3">
      <c r="A313" s="175" t="s">
        <v>320</v>
      </c>
      <c r="B313" s="131">
        <v>0</v>
      </c>
      <c r="C313" s="126" t="s">
        <v>447</v>
      </c>
      <c r="D313" s="134" t="s">
        <v>537</v>
      </c>
    </row>
    <row r="314" spans="1:4" x14ac:dyDescent="0.3">
      <c r="A314" s="128" t="s">
        <v>431</v>
      </c>
      <c r="B314" s="129">
        <v>0</v>
      </c>
      <c r="C314" s="161" t="s">
        <v>69</v>
      </c>
      <c r="D314" s="134" t="s">
        <v>505</v>
      </c>
    </row>
    <row r="315" spans="1:4" x14ac:dyDescent="0.3">
      <c r="A315" s="128" t="s">
        <v>432</v>
      </c>
      <c r="B315" s="129">
        <v>0</v>
      </c>
      <c r="C315" s="161" t="s">
        <v>4</v>
      </c>
      <c r="D315" s="134" t="s">
        <v>506</v>
      </c>
    </row>
    <row r="316" spans="1:4" x14ac:dyDescent="0.3">
      <c r="A316" s="128" t="s">
        <v>433</v>
      </c>
      <c r="B316" s="129">
        <v>0</v>
      </c>
      <c r="C316" s="161" t="s">
        <v>69</v>
      </c>
      <c r="D316" s="134" t="s">
        <v>510</v>
      </c>
    </row>
    <row r="317" spans="1:4" x14ac:dyDescent="0.3">
      <c r="A317" s="128" t="s">
        <v>434</v>
      </c>
      <c r="B317" s="129">
        <v>0</v>
      </c>
      <c r="C317" s="161" t="s">
        <v>4</v>
      </c>
      <c r="D317" s="134" t="s">
        <v>512</v>
      </c>
    </row>
    <row r="318" spans="1:4" x14ac:dyDescent="0.3">
      <c r="A318" s="175" t="s">
        <v>321</v>
      </c>
      <c r="B318" s="129">
        <v>0</v>
      </c>
      <c r="C318" s="161" t="s">
        <v>69</v>
      </c>
      <c r="D318" s="134" t="s">
        <v>501</v>
      </c>
    </row>
    <row r="319" spans="1:4" x14ac:dyDescent="0.3">
      <c r="A319" s="175" t="s">
        <v>322</v>
      </c>
      <c r="B319" s="129">
        <v>8000</v>
      </c>
      <c r="C319" s="161" t="s">
        <v>69</v>
      </c>
      <c r="D319" s="134" t="s">
        <v>509</v>
      </c>
    </row>
    <row r="320" spans="1:4" x14ac:dyDescent="0.3">
      <c r="A320" s="175" t="s">
        <v>323</v>
      </c>
      <c r="B320" s="129">
        <v>4000</v>
      </c>
      <c r="C320" s="161" t="s">
        <v>69</v>
      </c>
      <c r="D320" s="134" t="s">
        <v>507</v>
      </c>
    </row>
    <row r="321" spans="1:4" x14ac:dyDescent="0.3">
      <c r="A321" s="128" t="s">
        <v>435</v>
      </c>
      <c r="B321" s="129">
        <v>0</v>
      </c>
      <c r="C321" s="161" t="s">
        <v>69</v>
      </c>
      <c r="D321" s="134" t="s">
        <v>511</v>
      </c>
    </row>
    <row r="322" spans="1:4" x14ac:dyDescent="0.3">
      <c r="A322" s="175" t="s">
        <v>436</v>
      </c>
      <c r="B322" s="129">
        <v>0</v>
      </c>
      <c r="C322" s="161" t="s">
        <v>69</v>
      </c>
      <c r="D322" s="134" t="s">
        <v>502</v>
      </c>
    </row>
    <row r="323" spans="1:4" x14ac:dyDescent="0.3">
      <c r="A323" s="137" t="s">
        <v>324</v>
      </c>
      <c r="B323" s="135">
        <v>0</v>
      </c>
      <c r="C323" s="163" t="s">
        <v>69</v>
      </c>
      <c r="D323" s="134" t="s">
        <v>508</v>
      </c>
    </row>
    <row r="324" spans="1:4" x14ac:dyDescent="0.3">
      <c r="A324" s="175" t="s">
        <v>325</v>
      </c>
      <c r="B324" s="129">
        <v>0</v>
      </c>
      <c r="C324" s="161" t="s">
        <v>69</v>
      </c>
      <c r="D324" s="134" t="s">
        <v>504</v>
      </c>
    </row>
    <row r="325" spans="1:4" x14ac:dyDescent="0.3">
      <c r="A325" s="175" t="s">
        <v>326</v>
      </c>
      <c r="B325" s="129">
        <v>0</v>
      </c>
      <c r="C325" s="161" t="s">
        <v>4</v>
      </c>
      <c r="D325" s="134" t="s">
        <v>503</v>
      </c>
    </row>
    <row r="326" spans="1:4" x14ac:dyDescent="0.3">
      <c r="A326" s="175" t="s">
        <v>1161</v>
      </c>
      <c r="B326" s="129">
        <v>0</v>
      </c>
      <c r="C326" s="193" t="s">
        <v>4</v>
      </c>
      <c r="D326" s="134" t="s">
        <v>1162</v>
      </c>
    </row>
    <row r="327" spans="1:4" x14ac:dyDescent="0.3">
      <c r="A327" s="175" t="s">
        <v>327</v>
      </c>
      <c r="B327" s="129">
        <v>0</v>
      </c>
      <c r="C327" s="161" t="s">
        <v>69</v>
      </c>
      <c r="D327" s="134" t="s">
        <v>496</v>
      </c>
    </row>
    <row r="328" spans="1:4" x14ac:dyDescent="0.3">
      <c r="A328" s="175" t="s">
        <v>328</v>
      </c>
      <c r="B328" s="129">
        <v>0</v>
      </c>
      <c r="C328" s="161" t="s">
        <v>69</v>
      </c>
      <c r="D328" s="134" t="s">
        <v>495</v>
      </c>
    </row>
    <row r="329" spans="1:4" x14ac:dyDescent="0.3">
      <c r="A329" s="175" t="s">
        <v>329</v>
      </c>
      <c r="B329" s="129">
        <v>0</v>
      </c>
      <c r="C329" s="161" t="s">
        <v>4</v>
      </c>
      <c r="D329" s="134" t="s">
        <v>498</v>
      </c>
    </row>
    <row r="330" spans="1:4" x14ac:dyDescent="0.3">
      <c r="A330" s="175" t="s">
        <v>330</v>
      </c>
      <c r="B330" s="129">
        <v>0</v>
      </c>
      <c r="C330" s="161" t="s">
        <v>69</v>
      </c>
      <c r="D330" s="134" t="s">
        <v>497</v>
      </c>
    </row>
    <row r="331" spans="1:4" x14ac:dyDescent="0.3">
      <c r="A331" s="175" t="s">
        <v>331</v>
      </c>
      <c r="B331" s="129">
        <v>0</v>
      </c>
      <c r="C331" s="161" t="s">
        <v>69</v>
      </c>
      <c r="D331" s="134" t="s">
        <v>494</v>
      </c>
    </row>
    <row r="332" spans="1:4" x14ac:dyDescent="0.3">
      <c r="A332" s="175" t="s">
        <v>332</v>
      </c>
      <c r="B332" s="129">
        <v>500</v>
      </c>
      <c r="C332" s="161" t="s">
        <v>69</v>
      </c>
      <c r="D332" s="134" t="s">
        <v>515</v>
      </c>
    </row>
    <row r="333" spans="1:4" x14ac:dyDescent="0.3">
      <c r="A333" s="175" t="s">
        <v>333</v>
      </c>
      <c r="B333" s="129">
        <v>1500</v>
      </c>
      <c r="C333" s="161" t="s">
        <v>69</v>
      </c>
      <c r="D333" s="134" t="s">
        <v>514</v>
      </c>
    </row>
    <row r="334" spans="1:4" x14ac:dyDescent="0.3">
      <c r="A334" s="175" t="s">
        <v>334</v>
      </c>
      <c r="B334" s="129">
        <v>1000</v>
      </c>
      <c r="C334" s="161" t="s">
        <v>4</v>
      </c>
      <c r="D334" s="134" t="s">
        <v>516</v>
      </c>
    </row>
    <row r="335" spans="1:4" x14ac:dyDescent="0.3">
      <c r="A335" s="175" t="s">
        <v>335</v>
      </c>
      <c r="B335" s="129">
        <v>2000</v>
      </c>
      <c r="C335" s="161" t="s">
        <v>69</v>
      </c>
      <c r="D335" s="134" t="s">
        <v>513</v>
      </c>
    </row>
    <row r="336" spans="1:4" x14ac:dyDescent="0.3">
      <c r="A336" s="128" t="s">
        <v>440</v>
      </c>
      <c r="B336" s="129">
        <v>0</v>
      </c>
      <c r="C336" s="161" t="s">
        <v>69</v>
      </c>
      <c r="D336" s="134" t="s">
        <v>563</v>
      </c>
    </row>
    <row r="337" spans="1:4" x14ac:dyDescent="0.3">
      <c r="A337" s="128" t="s">
        <v>441</v>
      </c>
      <c r="B337" s="129">
        <v>0</v>
      </c>
      <c r="C337" s="161" t="s">
        <v>69</v>
      </c>
      <c r="D337" s="134" t="s">
        <v>562</v>
      </c>
    </row>
    <row r="338" spans="1:4" x14ac:dyDescent="0.3">
      <c r="A338" s="128" t="s">
        <v>442</v>
      </c>
      <c r="B338" s="174">
        <v>0</v>
      </c>
      <c r="C338" s="162" t="s">
        <v>69</v>
      </c>
      <c r="D338" s="134" t="s">
        <v>561</v>
      </c>
    </row>
    <row r="339" spans="1:4" x14ac:dyDescent="0.3">
      <c r="A339" s="128" t="s">
        <v>443</v>
      </c>
      <c r="B339" s="174">
        <v>0</v>
      </c>
      <c r="C339" s="162" t="s">
        <v>69</v>
      </c>
      <c r="D339" s="134" t="s">
        <v>572</v>
      </c>
    </row>
    <row r="340" spans="1:4" x14ac:dyDescent="0.3">
      <c r="A340" s="128" t="s">
        <v>444</v>
      </c>
      <c r="B340" s="174">
        <v>0</v>
      </c>
      <c r="C340" s="162" t="s">
        <v>69</v>
      </c>
      <c r="D340" s="134" t="s">
        <v>571</v>
      </c>
    </row>
    <row r="341" spans="1:4" x14ac:dyDescent="0.3">
      <c r="A341" s="128" t="s">
        <v>445</v>
      </c>
      <c r="B341" s="174">
        <v>0</v>
      </c>
      <c r="C341" s="162" t="s">
        <v>69</v>
      </c>
      <c r="D341" s="134" t="s">
        <v>570</v>
      </c>
    </row>
    <row r="342" spans="1:4" x14ac:dyDescent="0.3">
      <c r="A342" s="175" t="s">
        <v>336</v>
      </c>
      <c r="B342" s="129">
        <v>1500</v>
      </c>
      <c r="C342" s="161" t="s">
        <v>69</v>
      </c>
      <c r="D342" s="134" t="s">
        <v>575</v>
      </c>
    </row>
    <row r="343" spans="1:4" x14ac:dyDescent="0.3">
      <c r="A343" s="175" t="s">
        <v>337</v>
      </c>
      <c r="B343" s="129">
        <v>2500</v>
      </c>
      <c r="C343" s="161" t="s">
        <v>69</v>
      </c>
      <c r="D343" s="134" t="s">
        <v>574</v>
      </c>
    </row>
    <row r="344" spans="1:4" x14ac:dyDescent="0.3">
      <c r="A344" s="175" t="s">
        <v>338</v>
      </c>
      <c r="B344" s="129">
        <v>1000</v>
      </c>
      <c r="C344" s="161" t="s">
        <v>4</v>
      </c>
      <c r="D344" s="134" t="s">
        <v>576</v>
      </c>
    </row>
    <row r="345" spans="1:4" x14ac:dyDescent="0.3">
      <c r="A345" s="175" t="s">
        <v>339</v>
      </c>
      <c r="B345" s="129">
        <v>5000</v>
      </c>
      <c r="C345" s="161" t="s">
        <v>69</v>
      </c>
      <c r="D345" s="134" t="s">
        <v>573</v>
      </c>
    </row>
    <row r="346" spans="1:4" x14ac:dyDescent="0.3">
      <c r="A346" s="175" t="s">
        <v>340</v>
      </c>
      <c r="B346" s="131">
        <v>2</v>
      </c>
      <c r="D346" s="134" t="s">
        <v>567</v>
      </c>
    </row>
    <row r="347" spans="1:4" x14ac:dyDescent="0.3">
      <c r="A347" s="175" t="s">
        <v>1051</v>
      </c>
      <c r="B347" s="131">
        <v>13</v>
      </c>
      <c r="C347" s="188" t="s">
        <v>75</v>
      </c>
      <c r="D347" s="134" t="s">
        <v>1081</v>
      </c>
    </row>
    <row r="348" spans="1:4" x14ac:dyDescent="0.3">
      <c r="A348" s="175" t="s">
        <v>341</v>
      </c>
      <c r="B348" s="131">
        <v>215000</v>
      </c>
      <c r="C348" s="126" t="s">
        <v>447</v>
      </c>
      <c r="D348" s="134" t="s">
        <v>566</v>
      </c>
    </row>
    <row r="349" spans="1:4" x14ac:dyDescent="0.3">
      <c r="A349" s="175" t="s">
        <v>342</v>
      </c>
      <c r="B349" s="131">
        <v>1</v>
      </c>
      <c r="D349" s="134" t="s">
        <v>569</v>
      </c>
    </row>
    <row r="350" spans="1:4" x14ac:dyDescent="0.3">
      <c r="A350" s="175" t="s">
        <v>1052</v>
      </c>
      <c r="B350" s="131">
        <v>9</v>
      </c>
      <c r="C350" s="188" t="s">
        <v>75</v>
      </c>
      <c r="D350" s="134" t="s">
        <v>1080</v>
      </c>
    </row>
    <row r="351" spans="1:4" x14ac:dyDescent="0.3">
      <c r="A351" s="175" t="s">
        <v>343</v>
      </c>
      <c r="B351" s="131">
        <v>93000</v>
      </c>
      <c r="C351" s="126" t="s">
        <v>447</v>
      </c>
      <c r="D351" s="134" t="s">
        <v>568</v>
      </c>
    </row>
    <row r="352" spans="1:4" x14ac:dyDescent="0.3">
      <c r="A352" s="175" t="s">
        <v>1053</v>
      </c>
      <c r="B352" s="131">
        <v>12</v>
      </c>
      <c r="C352" s="188" t="s">
        <v>75</v>
      </c>
      <c r="D352" s="134" t="s">
        <v>1082</v>
      </c>
    </row>
    <row r="353" spans="1:4" x14ac:dyDescent="0.3">
      <c r="A353" s="175" t="s">
        <v>344</v>
      </c>
      <c r="B353" s="131">
        <v>135000</v>
      </c>
      <c r="C353" s="126" t="s">
        <v>447</v>
      </c>
      <c r="D353" s="134" t="s">
        <v>564</v>
      </c>
    </row>
    <row r="354" spans="1:4" x14ac:dyDescent="0.3">
      <c r="A354" s="175" t="s">
        <v>1054</v>
      </c>
      <c r="B354" s="131">
        <v>5</v>
      </c>
      <c r="C354" s="188" t="s">
        <v>75</v>
      </c>
      <c r="D354" s="134" t="s">
        <v>1083</v>
      </c>
    </row>
    <row r="355" spans="1:4" x14ac:dyDescent="0.3">
      <c r="A355" s="175" t="s">
        <v>345</v>
      </c>
      <c r="B355" s="131">
        <v>95000</v>
      </c>
      <c r="C355" s="126" t="s">
        <v>447</v>
      </c>
      <c r="D355" s="134" t="s">
        <v>565</v>
      </c>
    </row>
    <row r="356" spans="1:4" x14ac:dyDescent="0.3">
      <c r="A356" s="175" t="s">
        <v>388</v>
      </c>
      <c r="B356" s="129">
        <v>0</v>
      </c>
      <c r="C356" s="161" t="s">
        <v>447</v>
      </c>
      <c r="D356" s="134" t="s">
        <v>633</v>
      </c>
    </row>
    <row r="357" spans="1:4" x14ac:dyDescent="0.3">
      <c r="A357" s="175" t="s">
        <v>389</v>
      </c>
      <c r="B357" s="129">
        <v>0</v>
      </c>
      <c r="C357" s="161" t="s">
        <v>447</v>
      </c>
      <c r="D357" s="134" t="s">
        <v>632</v>
      </c>
    </row>
    <row r="358" spans="1:4" x14ac:dyDescent="0.3">
      <c r="A358" s="175" t="s">
        <v>390</v>
      </c>
      <c r="B358" s="129">
        <v>1</v>
      </c>
      <c r="C358" s="161" t="s">
        <v>27</v>
      </c>
      <c r="D358" s="134" t="s">
        <v>876</v>
      </c>
    </row>
    <row r="359" spans="1:4" x14ac:dyDescent="0.3">
      <c r="A359" s="175" t="s">
        <v>391</v>
      </c>
      <c r="B359" s="129">
        <v>50</v>
      </c>
      <c r="C359" s="161" t="s">
        <v>279</v>
      </c>
      <c r="D359" s="134" t="s">
        <v>875</v>
      </c>
    </row>
    <row r="360" spans="1:4" x14ac:dyDescent="0.3">
      <c r="A360" s="175" t="s">
        <v>825</v>
      </c>
      <c r="B360" s="129">
        <v>0</v>
      </c>
      <c r="C360" s="162" t="s">
        <v>1000</v>
      </c>
      <c r="D360" s="134" t="s">
        <v>818</v>
      </c>
    </row>
    <row r="361" spans="1:4" x14ac:dyDescent="0.3">
      <c r="A361" s="175" t="s">
        <v>826</v>
      </c>
      <c r="B361" s="129">
        <v>0</v>
      </c>
      <c r="C361" s="162" t="s">
        <v>1000</v>
      </c>
      <c r="D361" s="134" t="s">
        <v>824</v>
      </c>
    </row>
    <row r="362" spans="1:4" x14ac:dyDescent="0.3">
      <c r="A362" s="175" t="s">
        <v>866</v>
      </c>
      <c r="B362" s="129">
        <v>0</v>
      </c>
      <c r="C362" s="162" t="s">
        <v>1000</v>
      </c>
      <c r="D362" s="134" t="s">
        <v>869</v>
      </c>
    </row>
    <row r="363" spans="1:4" x14ac:dyDescent="0.3">
      <c r="A363" s="175" t="s">
        <v>827</v>
      </c>
      <c r="B363" s="129">
        <v>0</v>
      </c>
      <c r="C363" s="162" t="s">
        <v>1000</v>
      </c>
      <c r="D363" s="134" t="s">
        <v>819</v>
      </c>
    </row>
    <row r="364" spans="1:4" x14ac:dyDescent="0.3">
      <c r="A364" s="175" t="s">
        <v>828</v>
      </c>
      <c r="B364" s="129">
        <v>0</v>
      </c>
      <c r="C364" s="161" t="s">
        <v>27</v>
      </c>
      <c r="D364" s="134" t="s">
        <v>820</v>
      </c>
    </row>
    <row r="365" spans="1:4" x14ac:dyDescent="0.3">
      <c r="A365" s="175" t="s">
        <v>829</v>
      </c>
      <c r="B365" s="129">
        <v>0</v>
      </c>
      <c r="C365" s="161" t="s">
        <v>27</v>
      </c>
      <c r="D365" s="134" t="s">
        <v>821</v>
      </c>
    </row>
    <row r="366" spans="1:4" x14ac:dyDescent="0.3">
      <c r="A366" s="175" t="s">
        <v>830</v>
      </c>
      <c r="B366" s="129">
        <v>0</v>
      </c>
      <c r="C366" s="162" t="s">
        <v>27</v>
      </c>
      <c r="D366" s="134" t="s">
        <v>822</v>
      </c>
    </row>
    <row r="367" spans="1:4" x14ac:dyDescent="0.3">
      <c r="A367" s="175" t="s">
        <v>831</v>
      </c>
      <c r="B367" s="129">
        <v>0</v>
      </c>
      <c r="C367" s="161" t="s">
        <v>27</v>
      </c>
      <c r="D367" s="134" t="s">
        <v>823</v>
      </c>
    </row>
    <row r="368" spans="1:4" x14ac:dyDescent="0.3">
      <c r="A368" s="175" t="s">
        <v>890</v>
      </c>
      <c r="B368" s="129">
        <v>0</v>
      </c>
      <c r="C368" s="161"/>
      <c r="D368" s="134" t="s">
        <v>867</v>
      </c>
    </row>
    <row r="369" spans="1:4" x14ac:dyDescent="0.3">
      <c r="A369" s="175" t="s">
        <v>891</v>
      </c>
      <c r="B369" s="129">
        <v>0</v>
      </c>
      <c r="C369" s="161"/>
      <c r="D369" s="134" t="s">
        <v>868</v>
      </c>
    </row>
    <row r="370" spans="1:4" x14ac:dyDescent="0.3">
      <c r="A370" s="133"/>
    </row>
    <row r="371" spans="1:4" x14ac:dyDescent="0.3">
      <c r="A371" s="133"/>
    </row>
    <row r="372" spans="1:4" x14ac:dyDescent="0.3">
      <c r="A372" s="133"/>
    </row>
    <row r="373" spans="1:4" x14ac:dyDescent="0.3">
      <c r="A373" s="133"/>
    </row>
    <row r="374" spans="1:4" x14ac:dyDescent="0.3">
      <c r="A374" s="133"/>
    </row>
    <row r="375" spans="1:4" x14ac:dyDescent="0.3">
      <c r="A375" s="133"/>
    </row>
    <row r="376" spans="1:4" x14ac:dyDescent="0.3">
      <c r="A376" s="133"/>
    </row>
    <row r="377" spans="1:4" x14ac:dyDescent="0.3">
      <c r="A377" s="133"/>
    </row>
    <row r="378" spans="1:4" x14ac:dyDescent="0.3">
      <c r="A378" s="133"/>
    </row>
    <row r="379" spans="1:4" x14ac:dyDescent="0.3">
      <c r="A379" s="133"/>
    </row>
    <row r="380" spans="1:4" x14ac:dyDescent="0.3">
      <c r="A380" s="133"/>
    </row>
    <row r="381" spans="1:4" x14ac:dyDescent="0.3">
      <c r="A381" s="133"/>
    </row>
    <row r="382" spans="1:4" x14ac:dyDescent="0.3">
      <c r="A382" s="133"/>
    </row>
    <row r="383" spans="1:4" x14ac:dyDescent="0.3">
      <c r="A383" s="133"/>
    </row>
    <row r="384" spans="1:4" x14ac:dyDescent="0.3">
      <c r="A384" s="133"/>
    </row>
    <row r="385" spans="1:1" x14ac:dyDescent="0.3">
      <c r="A385" s="133"/>
    </row>
    <row r="386" spans="1:1" x14ac:dyDescent="0.3">
      <c r="A386" s="133"/>
    </row>
    <row r="387" spans="1:1" x14ac:dyDescent="0.3">
      <c r="A387" s="133"/>
    </row>
    <row r="388" spans="1:1" x14ac:dyDescent="0.3">
      <c r="A388" s="133"/>
    </row>
    <row r="389" spans="1:1" x14ac:dyDescent="0.3">
      <c r="A389" s="133"/>
    </row>
    <row r="390" spans="1:1" x14ac:dyDescent="0.3">
      <c r="A390" s="133"/>
    </row>
    <row r="391" spans="1:1" x14ac:dyDescent="0.3">
      <c r="A391" s="133"/>
    </row>
    <row r="392" spans="1:1" x14ac:dyDescent="0.3">
      <c r="A392" s="133"/>
    </row>
    <row r="393" spans="1:1" x14ac:dyDescent="0.3">
      <c r="A393" s="133"/>
    </row>
    <row r="394" spans="1:1" x14ac:dyDescent="0.3">
      <c r="A394" s="133"/>
    </row>
    <row r="395" spans="1:1" x14ac:dyDescent="0.3">
      <c r="A395" s="133"/>
    </row>
    <row r="396" spans="1:1" x14ac:dyDescent="0.3">
      <c r="A396" s="133"/>
    </row>
    <row r="397" spans="1:1" x14ac:dyDescent="0.3">
      <c r="A397" s="133"/>
    </row>
    <row r="398" spans="1:1" x14ac:dyDescent="0.3">
      <c r="A398" s="133"/>
    </row>
  </sheetData>
  <phoneticPr fontId="5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7"/>
  <sheetViews>
    <sheetView workbookViewId="0">
      <selection activeCell="D24" sqref="D24"/>
    </sheetView>
  </sheetViews>
  <sheetFormatPr defaultRowHeight="13.2" x14ac:dyDescent="0.25"/>
  <cols>
    <col min="1" max="1" width="3.6640625" customWidth="1"/>
    <col min="2" max="2" width="46.88671875" bestFit="1" customWidth="1"/>
    <col min="3" max="3" width="4.6640625" bestFit="1" customWidth="1"/>
    <col min="4" max="4" width="12.6640625" bestFit="1" customWidth="1"/>
    <col min="6" max="6" width="31.5546875" bestFit="1" customWidth="1"/>
    <col min="7" max="7" width="4.6640625" bestFit="1" customWidth="1"/>
    <col min="8" max="8" width="11.33203125" bestFit="1" customWidth="1"/>
    <col min="10" max="10" width="20.44140625" bestFit="1" customWidth="1"/>
    <col min="11" max="11" width="4.6640625" bestFit="1" customWidth="1"/>
    <col min="12" max="12" width="10" bestFit="1" customWidth="1"/>
  </cols>
  <sheetData>
    <row r="1" spans="1:12" x14ac:dyDescent="0.25">
      <c r="A1" s="63" t="s">
        <v>449</v>
      </c>
      <c r="B1" s="5"/>
      <c r="C1" s="4"/>
      <c r="D1" s="5"/>
    </row>
    <row r="2" spans="1:12" x14ac:dyDescent="0.25">
      <c r="A2" s="5"/>
      <c r="B2" s="5"/>
      <c r="C2" s="4"/>
      <c r="D2" s="5"/>
      <c r="J2" s="194"/>
    </row>
    <row r="3" spans="1:12" x14ac:dyDescent="0.25">
      <c r="A3" s="63"/>
      <c r="B3" s="222" t="s">
        <v>452</v>
      </c>
      <c r="C3" s="222" t="s">
        <v>451</v>
      </c>
      <c r="D3" s="221" t="s">
        <v>450</v>
      </c>
      <c r="F3" s="222" t="s">
        <v>452</v>
      </c>
      <c r="G3" s="222" t="s">
        <v>451</v>
      </c>
      <c r="H3" s="221" t="s">
        <v>450</v>
      </c>
      <c r="J3" s="222" t="s">
        <v>452</v>
      </c>
      <c r="K3" s="222" t="s">
        <v>451</v>
      </c>
      <c r="L3" s="221" t="s">
        <v>450</v>
      </c>
    </row>
    <row r="4" spans="1:12" x14ac:dyDescent="0.25">
      <c r="A4" s="63"/>
      <c r="B4" s="223"/>
      <c r="C4" s="223"/>
      <c r="D4" s="221"/>
      <c r="F4" s="223"/>
      <c r="G4" s="223"/>
      <c r="H4" s="221"/>
      <c r="J4" s="223"/>
      <c r="K4" s="223"/>
      <c r="L4" s="221"/>
    </row>
    <row r="5" spans="1:12" x14ac:dyDescent="0.25">
      <c r="A5" s="5"/>
      <c r="B5" s="64" t="s">
        <v>951</v>
      </c>
      <c r="C5" s="65" t="s">
        <v>69</v>
      </c>
      <c r="D5" s="156">
        <f>iocosts!B119</f>
        <v>3.8235483014242027</v>
      </c>
      <c r="F5" s="64" t="s">
        <v>987</v>
      </c>
      <c r="G5" s="65" t="s">
        <v>1000</v>
      </c>
      <c r="H5" s="156">
        <f>iocosts!B157</f>
        <v>1.56363247863248</v>
      </c>
      <c r="J5" s="64" t="s">
        <v>1026</v>
      </c>
      <c r="K5" s="65" t="s">
        <v>75</v>
      </c>
      <c r="L5" s="156">
        <f>iocosts!B144</f>
        <v>20000</v>
      </c>
    </row>
    <row r="6" spans="1:12" x14ac:dyDescent="0.25">
      <c r="A6" s="5"/>
      <c r="B6" s="64" t="s">
        <v>952</v>
      </c>
      <c r="C6" s="65" t="s">
        <v>69</v>
      </c>
      <c r="D6" s="156">
        <f>iocosts!B120</f>
        <v>10.565067674987899</v>
      </c>
      <c r="F6" s="64" t="s">
        <v>988</v>
      </c>
      <c r="G6" s="65" t="s">
        <v>1000</v>
      </c>
      <c r="H6" s="156">
        <f>iocosts!B158</f>
        <v>29.914529914529901</v>
      </c>
      <c r="J6" s="64" t="s">
        <v>1027</v>
      </c>
      <c r="K6" s="65" t="s">
        <v>75</v>
      </c>
      <c r="L6" s="156">
        <f>iocosts!B145</f>
        <v>35000</v>
      </c>
    </row>
    <row r="7" spans="1:12" x14ac:dyDescent="0.25">
      <c r="A7" s="5"/>
      <c r="B7" s="64" t="s">
        <v>953</v>
      </c>
      <c r="C7" s="65" t="s">
        <v>69</v>
      </c>
      <c r="D7" s="156">
        <f>iocosts!B121</f>
        <v>70.43378449991954</v>
      </c>
      <c r="F7" s="64" t="s">
        <v>975</v>
      </c>
      <c r="G7" s="65" t="s">
        <v>1000</v>
      </c>
      <c r="H7" s="156">
        <f>iocosts!B159</f>
        <v>1.67461538461538</v>
      </c>
      <c r="J7" s="64" t="s">
        <v>1028</v>
      </c>
      <c r="K7" s="65" t="s">
        <v>75</v>
      </c>
      <c r="L7" s="156">
        <f>iocosts!B146</f>
        <v>18000</v>
      </c>
    </row>
    <row r="8" spans="1:12" x14ac:dyDescent="0.25">
      <c r="A8" s="5"/>
      <c r="B8" s="64" t="s">
        <v>954</v>
      </c>
      <c r="C8" s="65" t="s">
        <v>69</v>
      </c>
      <c r="D8" s="156">
        <f>iocosts!B122</f>
        <v>7.8684599255624397</v>
      </c>
      <c r="F8" s="64" t="s">
        <v>989</v>
      </c>
      <c r="G8" s="65" t="s">
        <v>27</v>
      </c>
      <c r="H8" s="156">
        <f>iocosts!B160</f>
        <v>754647.69107056642</v>
      </c>
      <c r="J8" s="64" t="s">
        <v>1029</v>
      </c>
      <c r="K8" s="65" t="s">
        <v>75</v>
      </c>
      <c r="L8" s="156">
        <f>iocosts!B147</f>
        <v>14000</v>
      </c>
    </row>
    <row r="9" spans="1:12" x14ac:dyDescent="0.25">
      <c r="A9" s="5"/>
      <c r="B9" s="64" t="s">
        <v>955</v>
      </c>
      <c r="C9" s="65" t="s">
        <v>69</v>
      </c>
      <c r="D9" s="156">
        <f>iocosts!B123</f>
        <v>10.771338043880553</v>
      </c>
      <c r="F9" s="64" t="s">
        <v>990</v>
      </c>
      <c r="G9" s="65" t="s">
        <v>27</v>
      </c>
      <c r="H9" s="156">
        <f>iocosts!B161</f>
        <v>1453954.5514626247</v>
      </c>
      <c r="J9" s="64" t="s">
        <v>1030</v>
      </c>
      <c r="K9" s="65" t="s">
        <v>75</v>
      </c>
      <c r="L9" s="156">
        <f>iocosts!B148</f>
        <v>8000</v>
      </c>
    </row>
    <row r="10" spans="1:12" x14ac:dyDescent="0.25">
      <c r="A10" s="5"/>
      <c r="B10" s="64" t="s">
        <v>983</v>
      </c>
      <c r="C10" s="65" t="s">
        <v>4</v>
      </c>
      <c r="D10" s="156">
        <f>iocosts!B124</f>
        <v>3.7430525477100089</v>
      </c>
      <c r="F10" s="64" t="s">
        <v>991</v>
      </c>
      <c r="G10" s="65" t="s">
        <v>27</v>
      </c>
      <c r="H10" s="156">
        <f>iocosts!B162</f>
        <v>42.735042735042697</v>
      </c>
      <c r="J10" s="64" t="s">
        <v>1031</v>
      </c>
      <c r="K10" s="65" t="s">
        <v>75</v>
      </c>
      <c r="L10" s="156">
        <f>iocosts!B149</f>
        <v>12000</v>
      </c>
    </row>
    <row r="11" spans="1:12" x14ac:dyDescent="0.25">
      <c r="A11" s="5"/>
      <c r="B11" s="64" t="s">
        <v>984</v>
      </c>
      <c r="C11" s="65" t="s">
        <v>4</v>
      </c>
      <c r="D11" s="156">
        <f>iocosts!B125</f>
        <v>29.959513335501487</v>
      </c>
      <c r="F11" s="64" t="s">
        <v>992</v>
      </c>
      <c r="G11" s="65" t="s">
        <v>27</v>
      </c>
      <c r="H11" s="156">
        <f>iocosts!B163</f>
        <v>170940.17094017094</v>
      </c>
      <c r="J11" s="64" t="s">
        <v>1032</v>
      </c>
      <c r="K11" s="65" t="s">
        <v>75</v>
      </c>
      <c r="L11" s="156">
        <f>iocosts!B150</f>
        <v>16000</v>
      </c>
    </row>
    <row r="12" spans="1:12" x14ac:dyDescent="0.25">
      <c r="A12" s="5"/>
      <c r="B12" s="64" t="s">
        <v>958</v>
      </c>
      <c r="C12" s="65" t="s">
        <v>69</v>
      </c>
      <c r="D12" s="156">
        <f>iocosts!B126</f>
        <v>3.3204498407104919</v>
      </c>
      <c r="F12" s="64" t="s">
        <v>993</v>
      </c>
      <c r="G12" s="65" t="s">
        <v>994</v>
      </c>
      <c r="H12" s="156">
        <f>iocosts!B164</f>
        <v>64102.564102564109</v>
      </c>
      <c r="J12" s="64" t="s">
        <v>1033</v>
      </c>
      <c r="K12" s="65" t="s">
        <v>75</v>
      </c>
      <c r="L12" s="156">
        <f>iocosts!B151</f>
        <v>16000</v>
      </c>
    </row>
    <row r="13" spans="1:12" x14ac:dyDescent="0.25">
      <c r="A13" s="5"/>
      <c r="B13" s="64" t="s">
        <v>985</v>
      </c>
      <c r="C13" s="65" t="s">
        <v>69</v>
      </c>
      <c r="D13" s="156">
        <f>iocosts!B127</f>
        <v>1.9117741507121013</v>
      </c>
      <c r="F13" s="64" t="s">
        <v>995</v>
      </c>
      <c r="G13" s="65" t="s">
        <v>994</v>
      </c>
      <c r="H13" s="156">
        <f>iocosts!B165</f>
        <v>85470.085470085469</v>
      </c>
      <c r="J13" s="64" t="s">
        <v>1034</v>
      </c>
      <c r="K13" s="65" t="s">
        <v>75</v>
      </c>
      <c r="L13" s="156">
        <f>iocosts!B152</f>
        <v>3000</v>
      </c>
    </row>
    <row r="14" spans="1:12" x14ac:dyDescent="0.25">
      <c r="A14" s="5"/>
      <c r="B14" s="64" t="s">
        <v>986</v>
      </c>
      <c r="C14" s="65" t="s">
        <v>69</v>
      </c>
      <c r="D14" s="156">
        <f>iocosts!B128</f>
        <v>1.6602249203552459</v>
      </c>
      <c r="F14" s="64" t="s">
        <v>982</v>
      </c>
      <c r="G14" s="65" t="s">
        <v>1000</v>
      </c>
      <c r="H14" s="156">
        <f>iocosts!B166</f>
        <v>23.8109829059829</v>
      </c>
      <c r="J14" s="64" t="s">
        <v>970</v>
      </c>
      <c r="K14" s="65" t="s">
        <v>75</v>
      </c>
      <c r="L14" s="156">
        <f>iocosts!B153</f>
        <v>3004.1769933828173</v>
      </c>
    </row>
    <row r="15" spans="1:12" x14ac:dyDescent="0.25">
      <c r="A15" s="5"/>
      <c r="B15" s="66" t="s">
        <v>959</v>
      </c>
      <c r="C15" s="65" t="s">
        <v>69</v>
      </c>
      <c r="D15" s="156">
        <f>iocosts!B129</f>
        <v>1.3533348593198822</v>
      </c>
      <c r="J15" s="64" t="s">
        <v>1035</v>
      </c>
      <c r="K15" s="65" t="s">
        <v>75</v>
      </c>
      <c r="L15" s="156">
        <f>iocosts!B154</f>
        <v>5000</v>
      </c>
    </row>
    <row r="16" spans="1:12" x14ac:dyDescent="0.25">
      <c r="A16" s="5"/>
      <c r="B16" s="66" t="s">
        <v>960</v>
      </c>
      <c r="C16" s="65" t="s">
        <v>69</v>
      </c>
      <c r="D16" s="156">
        <f>iocosts!B130</f>
        <v>5.5843929139221915</v>
      </c>
      <c r="J16" s="64" t="s">
        <v>1036</v>
      </c>
      <c r="K16" s="65" t="s">
        <v>75</v>
      </c>
      <c r="L16" s="156">
        <f>iocosts!B155</f>
        <v>5000</v>
      </c>
    </row>
    <row r="17" spans="1:5" x14ac:dyDescent="0.25">
      <c r="A17" s="5"/>
      <c r="B17" s="66" t="s">
        <v>961</v>
      </c>
      <c r="C17" s="65" t="s">
        <v>69</v>
      </c>
      <c r="D17" s="156">
        <f>iocosts!B131</f>
        <v>5.2322239914225941</v>
      </c>
    </row>
    <row r="18" spans="1:5" x14ac:dyDescent="0.25">
      <c r="A18" s="5"/>
      <c r="B18" s="66" t="s">
        <v>962</v>
      </c>
      <c r="C18" s="65" t="s">
        <v>69</v>
      </c>
      <c r="D18" s="156">
        <f>iocosts!B132</f>
        <v>13.080559978556485</v>
      </c>
    </row>
    <row r="19" spans="1:5" x14ac:dyDescent="0.25">
      <c r="A19" s="5"/>
      <c r="B19" s="66" t="s">
        <v>963</v>
      </c>
      <c r="C19" s="68" t="s">
        <v>69</v>
      </c>
      <c r="D19" s="156">
        <f>iocosts!B133</f>
        <v>6.4899701432068717</v>
      </c>
    </row>
    <row r="20" spans="1:5" x14ac:dyDescent="0.25">
      <c r="A20" s="5"/>
      <c r="B20" s="66" t="s">
        <v>964</v>
      </c>
      <c r="C20" s="68" t="s">
        <v>4</v>
      </c>
      <c r="D20" s="156">
        <f>iocosts!B134</f>
        <v>2.9682809182108949</v>
      </c>
    </row>
    <row r="21" spans="1:5" x14ac:dyDescent="0.25">
      <c r="A21" s="5"/>
      <c r="B21" s="66" t="s">
        <v>965</v>
      </c>
      <c r="C21" s="65" t="s">
        <v>75</v>
      </c>
      <c r="D21" s="156">
        <f>iocosts!B136</f>
        <v>175.0782643283714</v>
      </c>
    </row>
    <row r="22" spans="1:5" x14ac:dyDescent="0.25">
      <c r="A22" s="5"/>
      <c r="B22" s="66" t="s">
        <v>966</v>
      </c>
      <c r="C22" s="65" t="s">
        <v>69</v>
      </c>
      <c r="D22" s="156">
        <f>iocosts!B137</f>
        <v>100.6196921427422</v>
      </c>
    </row>
    <row r="23" spans="1:5" x14ac:dyDescent="0.25">
      <c r="B23" s="64" t="s">
        <v>967</v>
      </c>
      <c r="C23" s="65" t="s">
        <v>69</v>
      </c>
      <c r="D23" s="156">
        <f>iocosts!B138</f>
        <v>56.850126060649337</v>
      </c>
    </row>
    <row r="24" spans="1:5" x14ac:dyDescent="0.25">
      <c r="B24" s="64" t="s">
        <v>968</v>
      </c>
      <c r="C24" s="65" t="s">
        <v>69</v>
      </c>
      <c r="D24" s="156">
        <f>iocosts!B139</f>
        <v>190.17121814978273</v>
      </c>
      <c r="E24" s="164"/>
    </row>
    <row r="25" spans="1:5" x14ac:dyDescent="0.25">
      <c r="B25" s="64" t="s">
        <v>969</v>
      </c>
      <c r="C25" s="65" t="s">
        <v>75</v>
      </c>
      <c r="D25" s="156">
        <f>iocosts!B140</f>
        <v>2176.9070395082267</v>
      </c>
    </row>
    <row r="26" spans="1:5" x14ac:dyDescent="0.25">
      <c r="B26" s="64" t="s">
        <v>971</v>
      </c>
      <c r="C26" s="65" t="s">
        <v>27</v>
      </c>
      <c r="D26" s="156">
        <f>iocosts!B141</f>
        <v>217338.53502832312</v>
      </c>
    </row>
    <row r="27" spans="1:5" x14ac:dyDescent="0.25">
      <c r="B27" s="64" t="s">
        <v>972</v>
      </c>
      <c r="C27" s="65" t="s">
        <v>279</v>
      </c>
      <c r="D27" s="156">
        <f>iocosts!B142</f>
        <v>25154.923035685548</v>
      </c>
    </row>
  </sheetData>
  <mergeCells count="9">
    <mergeCell ref="L3:L4"/>
    <mergeCell ref="H3:H4"/>
    <mergeCell ref="D3:D4"/>
    <mergeCell ref="C3:C4"/>
    <mergeCell ref="B3:B4"/>
    <mergeCell ref="F3:F4"/>
    <mergeCell ref="G3:G4"/>
    <mergeCell ref="J3:J4"/>
    <mergeCell ref="K3:K4"/>
  </mergeCells>
  <pageMargins left="0.51181102362204722" right="0.51181102362204722" top="0.78740157480314965" bottom="0.78740157480314965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9"/>
  <sheetViews>
    <sheetView topLeftCell="F4" workbookViewId="0">
      <selection activeCell="L20" sqref="L20"/>
    </sheetView>
  </sheetViews>
  <sheetFormatPr defaultColWidth="9.109375" defaultRowHeight="12.75" customHeight="1" x14ac:dyDescent="0.2"/>
  <cols>
    <col min="1" max="1" width="3.88671875" style="143" customWidth="1"/>
    <col min="2" max="2" width="46.88671875" style="143" bestFit="1" customWidth="1"/>
    <col min="3" max="3" width="4.6640625" style="143" bestFit="1" customWidth="1"/>
    <col min="4" max="6" width="15.6640625" style="143" customWidth="1"/>
    <col min="7" max="7" width="9.109375" style="143" customWidth="1"/>
    <col min="8" max="8" width="63.5546875" style="143" bestFit="1" customWidth="1"/>
    <col min="9" max="9" width="9" style="143" bestFit="1" customWidth="1"/>
    <col min="10" max="10" width="15.6640625" style="143" bestFit="1" customWidth="1"/>
    <col min="11" max="11" width="13.44140625" style="143" bestFit="1" customWidth="1"/>
    <col min="12" max="12" width="15.6640625" style="143" customWidth="1"/>
    <col min="13" max="16384" width="9.109375" style="143"/>
  </cols>
  <sheetData>
    <row r="1" spans="1:13" ht="12.75" customHeight="1" x14ac:dyDescent="0.2">
      <c r="A1" s="63" t="s">
        <v>453</v>
      </c>
      <c r="B1" s="142"/>
      <c r="D1" s="140"/>
      <c r="E1" s="140"/>
      <c r="F1" s="140"/>
      <c r="G1" s="140"/>
    </row>
    <row r="2" spans="1:13" ht="12.75" customHeight="1" x14ac:dyDescent="0.2">
      <c r="A2" s="63"/>
      <c r="E2" s="140"/>
      <c r="F2" s="140"/>
      <c r="G2" s="140"/>
    </row>
    <row r="3" spans="1:13" ht="12.75" customHeight="1" x14ac:dyDescent="0.2">
      <c r="A3" s="142"/>
      <c r="B3" s="226" t="s">
        <v>0</v>
      </c>
      <c r="C3" s="227" t="s">
        <v>451</v>
      </c>
      <c r="D3" s="221" t="s">
        <v>454</v>
      </c>
      <c r="E3" s="221"/>
      <c r="F3" s="221"/>
      <c r="G3" s="142"/>
      <c r="H3" s="227" t="s">
        <v>0</v>
      </c>
      <c r="I3" s="227" t="s">
        <v>455</v>
      </c>
      <c r="J3" s="221" t="s">
        <v>454</v>
      </c>
      <c r="K3" s="221"/>
      <c r="L3" s="221"/>
    </row>
    <row r="4" spans="1:13" ht="12.75" customHeight="1" x14ac:dyDescent="0.2">
      <c r="A4" s="63"/>
      <c r="B4" s="226"/>
      <c r="C4" s="227"/>
      <c r="D4" s="224" t="s">
        <v>1118</v>
      </c>
      <c r="E4" s="224" t="s">
        <v>1117</v>
      </c>
      <c r="F4" s="224" t="s">
        <v>1123</v>
      </c>
      <c r="G4" s="106"/>
      <c r="H4" s="227"/>
      <c r="I4" s="227"/>
      <c r="J4" s="224" t="s">
        <v>1118</v>
      </c>
      <c r="K4" s="224" t="s">
        <v>1117</v>
      </c>
      <c r="L4" s="224" t="s">
        <v>1123</v>
      </c>
    </row>
    <row r="5" spans="1:13" ht="12.75" customHeight="1" x14ac:dyDescent="0.2">
      <c r="A5" s="63"/>
      <c r="B5" s="226"/>
      <c r="C5" s="227"/>
      <c r="D5" s="225"/>
      <c r="E5" s="225"/>
      <c r="F5" s="225"/>
      <c r="G5" s="106"/>
      <c r="H5" s="227"/>
      <c r="I5" s="227"/>
      <c r="J5" s="225"/>
      <c r="K5" s="225"/>
      <c r="L5" s="225"/>
    </row>
    <row r="6" spans="1:13" ht="12.75" customHeight="1" x14ac:dyDescent="0.2">
      <c r="A6" s="142"/>
      <c r="B6" s="166" t="s">
        <v>951</v>
      </c>
      <c r="C6" s="65" t="s">
        <v>69</v>
      </c>
      <c r="D6" s="113">
        <f>u_budget!F71+u_budget!F107+u_budget!F129+u_budget!F148+u_budget!F168+u_budget!F181+u_budget!F192+u_budget!F210+u_budget!F226+u_budget!F245+u_budget!F268+u_budget!F283+u_budget!F296+u_budget!F311</f>
        <v>35.558999203245087</v>
      </c>
      <c r="E6" s="113">
        <f>l_budget!F79+l_budget!F101+l_budget!F120+l_budget!F140+l_budget!F153+l_budget!F164+l_budget!F182</f>
        <v>10.705935243987767</v>
      </c>
      <c r="F6" s="113">
        <f>D6+E6</f>
        <v>46.264934447232854</v>
      </c>
      <c r="G6" s="165"/>
      <c r="H6" s="64" t="s">
        <v>477</v>
      </c>
      <c r="I6" s="65" t="s">
        <v>1</v>
      </c>
      <c r="J6" s="113">
        <f>u_budget!F7</f>
        <v>14693.902848195605</v>
      </c>
      <c r="K6" s="113">
        <f>l_budget!F7</f>
        <v>482.20395323805207</v>
      </c>
      <c r="L6" s="113">
        <f>J6+K6</f>
        <v>15176.106801433656</v>
      </c>
    </row>
    <row r="7" spans="1:13" ht="12.75" customHeight="1" x14ac:dyDescent="0.2">
      <c r="A7" s="142"/>
      <c r="B7" s="166" t="s">
        <v>952</v>
      </c>
      <c r="C7" s="65" t="s">
        <v>69</v>
      </c>
      <c r="D7" s="113">
        <f>u_budget!F72+u_budget!F108+u_budget!F130+u_budget!F150+u_budget!F169+u_budget!F182+u_budget!F193+u_budget!F211+u_budget!F227+u_budget!F246+u_budget!F269+u_budget!F284+u_budget!F297+u_budget!F312</f>
        <v>226.09244824474106</v>
      </c>
      <c r="E7" s="113">
        <f>l_budget!F80+l_budget!F102+l_budget!F122+l_budget!F141+l_budget!F154+l_budget!F165+l_budget!F183</f>
        <v>44.373284234949182</v>
      </c>
      <c r="F7" s="113">
        <f t="shared" ref="F7:F27" si="0">D7+E7</f>
        <v>270.46573247969025</v>
      </c>
      <c r="G7" s="165"/>
      <c r="H7" s="64" t="s">
        <v>478</v>
      </c>
      <c r="I7" s="65" t="s">
        <v>64</v>
      </c>
      <c r="J7" s="113">
        <f>u_budget!F67</f>
        <v>11866.176052127605</v>
      </c>
      <c r="K7" s="197">
        <v>0</v>
      </c>
      <c r="L7" s="113">
        <f t="shared" ref="L7:L31" si="1">J7+K7</f>
        <v>11866.176052127605</v>
      </c>
      <c r="M7" s="215" t="s">
        <v>1146</v>
      </c>
    </row>
    <row r="8" spans="1:13" ht="12.75" customHeight="1" x14ac:dyDescent="0.2">
      <c r="A8" s="142"/>
      <c r="B8" s="166" t="s">
        <v>953</v>
      </c>
      <c r="C8" s="65" t="s">
        <v>69</v>
      </c>
      <c r="D8" s="113">
        <f>u_budget!F73+u_budget!F109+u_budget!F270+u_budget!F285+u_budget!F298+u_budget!F313</f>
        <v>1614.2033931585215</v>
      </c>
      <c r="E8" s="113">
        <f>l_budget!F81</f>
        <v>105.65067674987931</v>
      </c>
      <c r="F8" s="113">
        <f t="shared" si="0"/>
        <v>1719.8540699084008</v>
      </c>
      <c r="G8" s="165"/>
      <c r="H8" s="64" t="s">
        <v>479</v>
      </c>
      <c r="I8" s="65" t="s">
        <v>80</v>
      </c>
      <c r="J8" s="113">
        <f>u_budget!F95</f>
        <v>21026.480477869427</v>
      </c>
      <c r="K8" s="113">
        <f>l_budget!F67</f>
        <v>4016.3458146815042</v>
      </c>
      <c r="L8" s="113">
        <f t="shared" si="1"/>
        <v>25042.82629255093</v>
      </c>
    </row>
    <row r="9" spans="1:13" ht="12.75" customHeight="1" x14ac:dyDescent="0.2">
      <c r="A9" s="142"/>
      <c r="B9" s="166" t="s">
        <v>954</v>
      </c>
      <c r="C9" s="65" t="s">
        <v>69</v>
      </c>
      <c r="D9" s="113">
        <f>u_budget!F149</f>
        <v>0</v>
      </c>
      <c r="E9" s="113">
        <f>l_budget!F121</f>
        <v>0</v>
      </c>
      <c r="F9" s="113">
        <f t="shared" si="0"/>
        <v>0</v>
      </c>
      <c r="G9" s="165"/>
      <c r="H9" s="70" t="s">
        <v>480</v>
      </c>
      <c r="I9" s="65" t="s">
        <v>81</v>
      </c>
      <c r="J9" s="113">
        <f>u_budget!F96</f>
        <v>881.41823274585965</v>
      </c>
      <c r="K9" s="113">
        <f>l_budget!F68</f>
        <v>519.70911637292977</v>
      </c>
      <c r="L9" s="113">
        <f t="shared" si="1"/>
        <v>1401.1273491187894</v>
      </c>
    </row>
    <row r="10" spans="1:13" ht="12.75" customHeight="1" x14ac:dyDescent="0.2">
      <c r="A10" s="142"/>
      <c r="B10" s="166" t="s">
        <v>955</v>
      </c>
      <c r="C10" s="65" t="s">
        <v>69</v>
      </c>
      <c r="D10" s="113">
        <f>u_budget!F151</f>
        <v>118.48471848268608</v>
      </c>
      <c r="E10" s="113">
        <f>l_budget!F123</f>
        <v>0</v>
      </c>
      <c r="F10" s="113">
        <f t="shared" si="0"/>
        <v>118.48471848268608</v>
      </c>
      <c r="G10" s="165"/>
      <c r="H10" s="70" t="s">
        <v>1116</v>
      </c>
      <c r="I10" s="65" t="s">
        <v>90</v>
      </c>
      <c r="J10" s="113">
        <f>u_budget!F145</f>
        <v>955.65353705058737</v>
      </c>
      <c r="K10" s="113">
        <f>l_budget!F117</f>
        <v>417.39956209912384</v>
      </c>
      <c r="L10" s="113">
        <f t="shared" si="1"/>
        <v>1373.0530991497112</v>
      </c>
    </row>
    <row r="11" spans="1:13" ht="12.75" customHeight="1" x14ac:dyDescent="0.2">
      <c r="A11" s="142"/>
      <c r="B11" s="166" t="s">
        <v>983</v>
      </c>
      <c r="C11" s="65" t="s">
        <v>4</v>
      </c>
      <c r="D11" s="113">
        <f>u_budget!F110+u_budget!F152+u_budget!F314+(iocosts!B65+iocosts!B73+iocosts!B87)*unit_prices!D10/1000</f>
        <v>51.279819903627121</v>
      </c>
      <c r="E11" s="200">
        <f>l_budget!F82+l_budget!F124</f>
        <v>0.18715262738550043</v>
      </c>
      <c r="F11" s="113">
        <f t="shared" si="0"/>
        <v>51.466972531012622</v>
      </c>
      <c r="G11" s="165"/>
      <c r="H11" s="70" t="s">
        <v>483</v>
      </c>
      <c r="I11" s="65" t="s">
        <v>118</v>
      </c>
      <c r="J11" s="113">
        <f>u_budget!F189</f>
        <v>4465.4541207763104</v>
      </c>
      <c r="K11" s="113">
        <f>l_budget!F161</f>
        <v>2409.8461670958663</v>
      </c>
      <c r="L11" s="113">
        <f t="shared" si="1"/>
        <v>6875.3002878721763</v>
      </c>
    </row>
    <row r="12" spans="1:13" ht="12.75" customHeight="1" x14ac:dyDescent="0.2">
      <c r="A12" s="142"/>
      <c r="B12" s="166" t="s">
        <v>984</v>
      </c>
      <c r="C12" s="65" t="s">
        <v>4</v>
      </c>
      <c r="D12" s="113">
        <f>u_budget!F74+u_budget!F131+u_budget!F170+u_budget!F183+u_budget!F194+u_budget!F212+u_budget!F228+u_budget!F286+(iocosts!B66+iocosts!B74+iocosts!B88)*unit_prices!D11/1000</f>
        <v>498.04800645321791</v>
      </c>
      <c r="E12" s="200">
        <f>l_budget!F103+l_budget!F142+l_budget!F155+l_budget!F166+l_budget!F184</f>
        <v>59.919026671002975</v>
      </c>
      <c r="F12" s="113">
        <f t="shared" si="0"/>
        <v>557.96703312422085</v>
      </c>
      <c r="G12" s="165"/>
      <c r="H12" s="70" t="s">
        <v>481</v>
      </c>
      <c r="I12" s="65" t="s">
        <v>135</v>
      </c>
      <c r="J12" s="113">
        <f>u_budget!F223</f>
        <v>11219.54117431843</v>
      </c>
      <c r="K12" s="197">
        <v>0</v>
      </c>
      <c r="L12" s="113">
        <f t="shared" si="1"/>
        <v>11219.54117431843</v>
      </c>
      <c r="M12" s="215" t="s">
        <v>1146</v>
      </c>
    </row>
    <row r="13" spans="1:13" ht="12.75" customHeight="1" x14ac:dyDescent="0.2">
      <c r="A13" s="142"/>
      <c r="B13" s="166" t="s">
        <v>958</v>
      </c>
      <c r="C13" s="65" t="s">
        <v>69</v>
      </c>
      <c r="D13" s="113">
        <f>u_budget!F102</f>
        <v>1.6602249203552459</v>
      </c>
      <c r="E13" s="113">
        <f>l_budget!F74</f>
        <v>0.83011246017762297</v>
      </c>
      <c r="F13" s="113">
        <f t="shared" si="0"/>
        <v>2.490337380532869</v>
      </c>
      <c r="G13" s="165"/>
      <c r="H13" s="70" t="s">
        <v>482</v>
      </c>
      <c r="I13" s="65" t="s">
        <v>175</v>
      </c>
      <c r="J13" s="113">
        <f>u_budget!F327</f>
        <v>0</v>
      </c>
      <c r="K13" s="113">
        <f>l_budget!F195</f>
        <v>0</v>
      </c>
      <c r="L13" s="113">
        <f t="shared" si="1"/>
        <v>0</v>
      </c>
    </row>
    <row r="14" spans="1:13" ht="12.75" customHeight="1" x14ac:dyDescent="0.2">
      <c r="A14" s="142"/>
      <c r="B14" s="166" t="s">
        <v>985</v>
      </c>
      <c r="C14" s="65" t="s">
        <v>69</v>
      </c>
      <c r="D14" s="113">
        <f>u_budget!F99</f>
        <v>0</v>
      </c>
      <c r="E14" s="113">
        <f>l_budget!F71</f>
        <v>0</v>
      </c>
      <c r="F14" s="113">
        <f t="shared" si="0"/>
        <v>0</v>
      </c>
      <c r="G14" s="165"/>
      <c r="H14" s="64" t="s">
        <v>484</v>
      </c>
      <c r="I14" s="65" t="s">
        <v>180</v>
      </c>
      <c r="J14" s="113">
        <f>u_budget!F336</f>
        <v>105688.8</v>
      </c>
      <c r="K14" s="197">
        <v>0</v>
      </c>
      <c r="L14" s="113">
        <f t="shared" si="1"/>
        <v>105688.8</v>
      </c>
      <c r="M14" s="215" t="s">
        <v>1146</v>
      </c>
    </row>
    <row r="15" spans="1:13" ht="12.75" customHeight="1" x14ac:dyDescent="0.2">
      <c r="A15" s="142"/>
      <c r="B15" s="166" t="s">
        <v>986</v>
      </c>
      <c r="C15" s="65" t="s">
        <v>69</v>
      </c>
      <c r="D15" s="113">
        <f>u_budget!F100</f>
        <v>1.6602249203552459</v>
      </c>
      <c r="E15" s="113">
        <f>l_budget!F72</f>
        <v>0.83011246017762297</v>
      </c>
      <c r="F15" s="113">
        <f t="shared" si="0"/>
        <v>2.490337380532869</v>
      </c>
      <c r="G15" s="165"/>
      <c r="H15" s="64" t="s">
        <v>485</v>
      </c>
      <c r="I15" s="65" t="s">
        <v>187</v>
      </c>
      <c r="J15" s="113">
        <f>u_budget!F345</f>
        <v>22828.7808</v>
      </c>
      <c r="K15" s="197">
        <v>0</v>
      </c>
      <c r="L15" s="113">
        <f t="shared" si="1"/>
        <v>22828.7808</v>
      </c>
      <c r="M15" s="215" t="s">
        <v>1146</v>
      </c>
    </row>
    <row r="16" spans="1:13" ht="12.75" customHeight="1" x14ac:dyDescent="0.2">
      <c r="A16" s="142"/>
      <c r="B16" s="166" t="s">
        <v>959</v>
      </c>
      <c r="C16" s="65" t="s">
        <v>69</v>
      </c>
      <c r="D16" s="113">
        <f>u_budget!F153</f>
        <v>0</v>
      </c>
      <c r="E16" s="113">
        <f>l_budget!F125</f>
        <v>0</v>
      </c>
      <c r="F16" s="113">
        <f t="shared" si="0"/>
        <v>0</v>
      </c>
      <c r="G16" s="165"/>
      <c r="H16" s="64" t="s">
        <v>486</v>
      </c>
      <c r="I16" s="69" t="s">
        <v>190</v>
      </c>
      <c r="J16" s="113">
        <f>u_budget!F350</f>
        <v>11376.393600000001</v>
      </c>
      <c r="K16" s="197">
        <v>0</v>
      </c>
      <c r="L16" s="113">
        <f t="shared" si="1"/>
        <v>11376.393600000001</v>
      </c>
      <c r="M16" s="215" t="s">
        <v>1146</v>
      </c>
    </row>
    <row r="17" spans="1:12" ht="12.75" customHeight="1" x14ac:dyDescent="0.2">
      <c r="A17" s="142"/>
      <c r="B17" s="166" t="s">
        <v>960</v>
      </c>
      <c r="C17" s="65" t="s">
        <v>69</v>
      </c>
      <c r="D17" s="113">
        <f>u_budget!F155</f>
        <v>44.675143311377532</v>
      </c>
      <c r="E17" s="113">
        <f>l_budget!F127</f>
        <v>22.337571655688766</v>
      </c>
      <c r="F17" s="113">
        <f t="shared" si="0"/>
        <v>67.012714967066302</v>
      </c>
      <c r="G17" s="165"/>
      <c r="H17" s="64" t="s">
        <v>487</v>
      </c>
      <c r="I17" s="69" t="s">
        <v>194</v>
      </c>
      <c r="J17" s="113">
        <f>u_budget!F357</f>
        <v>3540.2032483502412</v>
      </c>
      <c r="K17" s="113">
        <f>l_budget!F204</f>
        <v>1770.1016241751206</v>
      </c>
      <c r="L17" s="113">
        <f t="shared" si="1"/>
        <v>5310.304872525362</v>
      </c>
    </row>
    <row r="18" spans="1:12" ht="12.75" customHeight="1" x14ac:dyDescent="0.2">
      <c r="A18" s="142"/>
      <c r="B18" s="166" t="s">
        <v>961</v>
      </c>
      <c r="C18" s="65" t="s">
        <v>69</v>
      </c>
      <c r="D18" s="113">
        <f>u_budget!F154</f>
        <v>83.715583862761505</v>
      </c>
      <c r="E18" s="113">
        <f>l_budget!F126</f>
        <v>41.857791931380753</v>
      </c>
      <c r="F18" s="113">
        <f t="shared" si="0"/>
        <v>125.57337579414227</v>
      </c>
      <c r="G18" s="165"/>
      <c r="H18" s="64" t="s">
        <v>488</v>
      </c>
      <c r="I18" s="69"/>
      <c r="J18" s="113">
        <f>u_budget!F365</f>
        <v>191020.73702654289</v>
      </c>
      <c r="K18" s="113">
        <f>l_budget!F212</f>
        <v>6268.6513920946772</v>
      </c>
      <c r="L18" s="113">
        <f t="shared" si="1"/>
        <v>197289.38841863757</v>
      </c>
    </row>
    <row r="19" spans="1:12" ht="12.75" customHeight="1" x14ac:dyDescent="0.2">
      <c r="A19" s="142"/>
      <c r="B19" s="166" t="s">
        <v>962</v>
      </c>
      <c r="C19" s="65" t="s">
        <v>69</v>
      </c>
      <c r="D19" s="113">
        <f>u_budget!F156</f>
        <v>0</v>
      </c>
      <c r="E19" s="113">
        <f>l_budget!F128</f>
        <v>0</v>
      </c>
      <c r="F19" s="113">
        <f t="shared" si="0"/>
        <v>0</v>
      </c>
      <c r="G19" s="165"/>
      <c r="H19" s="64" t="s">
        <v>489</v>
      </c>
      <c r="I19" s="65" t="s">
        <v>200</v>
      </c>
      <c r="J19" s="113">
        <f>u_budget!F367</f>
        <v>25214.73728750366</v>
      </c>
      <c r="K19" s="113">
        <f>l_budget!F214</f>
        <v>827.46198375649749</v>
      </c>
      <c r="L19" s="113">
        <f t="shared" si="1"/>
        <v>26042.199271260157</v>
      </c>
    </row>
    <row r="20" spans="1:12" ht="12.75" customHeight="1" x14ac:dyDescent="0.2">
      <c r="A20" s="142"/>
      <c r="B20" s="166" t="s">
        <v>963</v>
      </c>
      <c r="C20" s="68" t="s">
        <v>69</v>
      </c>
      <c r="D20" s="113">
        <f>u_budget!F162</f>
        <v>0</v>
      </c>
      <c r="E20" s="113">
        <f>l_budget!F134</f>
        <v>0</v>
      </c>
      <c r="F20" s="113">
        <f t="shared" si="0"/>
        <v>0</v>
      </c>
      <c r="G20" s="165"/>
      <c r="H20" s="64" t="s">
        <v>870</v>
      </c>
      <c r="I20" s="65"/>
      <c r="J20" s="113">
        <f>u_budget!F380</f>
        <v>216235.47431404656</v>
      </c>
      <c r="K20" s="113">
        <f>l_budget!F227</f>
        <v>7096.1133758511751</v>
      </c>
      <c r="L20" s="113">
        <f t="shared" si="1"/>
        <v>223331.58768989774</v>
      </c>
    </row>
    <row r="21" spans="1:12" ht="12.75" customHeight="1" x14ac:dyDescent="0.2">
      <c r="A21" s="142"/>
      <c r="B21" s="166" t="s">
        <v>964</v>
      </c>
      <c r="C21" s="68" t="s">
        <v>4</v>
      </c>
      <c r="D21" s="113">
        <f>u_budget!F163</f>
        <v>0</v>
      </c>
      <c r="E21" s="113">
        <f>l_budget!F135</f>
        <v>0</v>
      </c>
      <c r="F21" s="113">
        <f t="shared" si="0"/>
        <v>0</v>
      </c>
      <c r="G21" s="165"/>
      <c r="H21" s="64" t="s">
        <v>872</v>
      </c>
      <c r="I21" s="65" t="s">
        <v>211</v>
      </c>
      <c r="J21" s="113">
        <f>u_budget!F382</f>
        <v>25948.256917685587</v>
      </c>
      <c r="K21" s="113">
        <f>l_budget!F229</f>
        <v>851.53360510214088</v>
      </c>
      <c r="L21" s="113">
        <f t="shared" si="1"/>
        <v>26799.790522787727</v>
      </c>
    </row>
    <row r="22" spans="1:12" ht="12.75" customHeight="1" x14ac:dyDescent="0.2">
      <c r="A22" s="142"/>
      <c r="B22" s="166" t="s">
        <v>965</v>
      </c>
      <c r="C22" s="65" t="s">
        <v>75</v>
      </c>
      <c r="D22" s="113">
        <f>u_budget!F76+u_budget!F112+u_budget!F116+u_budget!F120+u_budget!F133+u_budget!F137+u_budget!F158+u_budget!F172+u_budget!F176+u_budget!F185+u_budget!F196+u_budget!F200+u_budget!F214+u_budget!F230+u_budget!F234+u_budget!F249+u_budget!F253+u_budget!F257+u_budget!F273+u_budget!F277+u_budget!F288+u_budget!F301+u_budget!F316+u_budget!F324</f>
        <v>1322.2440467071881</v>
      </c>
      <c r="E22" s="113">
        <f>l_budget!F84+l_budget!F88+l_budget!F92+l_budget!F105+l_budget!F109+l_budget!F130+l_budget!F144+l_budget!F148+l_budget!F157+l_budget!F168+l_budget!F172+l_budget!F186</f>
        <v>295.61964931845512</v>
      </c>
      <c r="F22" s="113">
        <f t="shared" si="0"/>
        <v>1617.8636960256431</v>
      </c>
      <c r="G22" s="165"/>
      <c r="H22" s="64" t="s">
        <v>871</v>
      </c>
      <c r="I22" s="65"/>
      <c r="J22" s="113">
        <f>u_budget!F384</f>
        <v>242183.73123173215</v>
      </c>
      <c r="K22" s="113">
        <f>l_budget!F231</f>
        <v>7947.6469809533155</v>
      </c>
      <c r="L22" s="113">
        <f t="shared" si="1"/>
        <v>250131.37821268546</v>
      </c>
    </row>
    <row r="23" spans="1:12" ht="12.75" customHeight="1" x14ac:dyDescent="0.2">
      <c r="A23" s="142"/>
      <c r="B23" s="166" t="s">
        <v>966</v>
      </c>
      <c r="C23" s="65" t="s">
        <v>69</v>
      </c>
      <c r="D23" s="113">
        <f>u_budget!F77+u_budget!F113+u_budget!F134+u_budget!F159+u_budget!F173+u_budget!F186+u_budget!F197+u_budget!F215+u_budget!F231+u_budget!F250+u_budget!F274+u_budget!F289+u_budget!F302+u_budget!F317</f>
        <v>2738.5229711891361</v>
      </c>
      <c r="E23" s="113">
        <f>l_budget!F85+l_budget!F106+l_budget!F131+l_budget!F145+l_budget!F158+l_budget!F169+l_budget!F187</f>
        <v>724.46178342774385</v>
      </c>
      <c r="F23" s="113">
        <f t="shared" si="0"/>
        <v>3462.9847546168799</v>
      </c>
      <c r="G23" s="165"/>
      <c r="J23" s="141"/>
      <c r="K23" s="141"/>
    </row>
    <row r="24" spans="1:12" ht="12.75" customHeight="1" x14ac:dyDescent="0.2">
      <c r="A24" s="142"/>
      <c r="B24" s="166" t="s">
        <v>967</v>
      </c>
      <c r="C24" s="65" t="s">
        <v>69</v>
      </c>
      <c r="D24" s="113">
        <f>u_budget!F121+u_budget!F138+u_budget!F177+u_budget!F201+u_budget!F235+u_budget!F258+u_budget!F325</f>
        <v>28.425063030324669</v>
      </c>
      <c r="E24" s="113">
        <f>l_budget!F93+l_budget!F110+l_budget!F149+l_budget!F173</f>
        <v>14.212531515162334</v>
      </c>
      <c r="F24" s="113">
        <f t="shared" si="0"/>
        <v>42.637594545487005</v>
      </c>
      <c r="G24" s="165"/>
      <c r="H24" s="64" t="s">
        <v>873</v>
      </c>
      <c r="I24" s="65" t="s">
        <v>1</v>
      </c>
      <c r="J24" s="113">
        <f>J6</f>
        <v>14693.902848195605</v>
      </c>
      <c r="K24" s="113">
        <f>K6</f>
        <v>482.20395323805207</v>
      </c>
      <c r="L24" s="113">
        <f t="shared" si="1"/>
        <v>15176.106801433656</v>
      </c>
    </row>
    <row r="25" spans="1:12" ht="12.75" customHeight="1" x14ac:dyDescent="0.2">
      <c r="A25" s="142"/>
      <c r="B25" s="166" t="s">
        <v>968</v>
      </c>
      <c r="C25" s="65" t="s">
        <v>69</v>
      </c>
      <c r="D25" s="113">
        <f>u_budget!F117+u_budget!F254+u_budget!F278</f>
        <v>361.32531448458712</v>
      </c>
      <c r="E25" s="113">
        <f>l_budget!F89</f>
        <v>28.525682722467408</v>
      </c>
      <c r="F25" s="113">
        <f t="shared" si="0"/>
        <v>389.85099720705455</v>
      </c>
      <c r="G25" s="165"/>
      <c r="H25" s="64" t="s">
        <v>490</v>
      </c>
      <c r="I25" s="144" t="s">
        <v>217</v>
      </c>
      <c r="J25" s="113">
        <f>u_budget!F67+u_budget!F331+u_budget!F333+u_budget!F357</f>
        <v>25044.307479424297</v>
      </c>
      <c r="K25" s="113">
        <f>l_budget!F199+l_budget!F201+l_budget!F204</f>
        <v>4212.0474388566245</v>
      </c>
      <c r="L25" s="113">
        <f t="shared" si="1"/>
        <v>29256.354918280922</v>
      </c>
    </row>
    <row r="26" spans="1:12" ht="12.75" customHeight="1" x14ac:dyDescent="0.2">
      <c r="A26" s="142"/>
      <c r="B26" s="166" t="s">
        <v>969</v>
      </c>
      <c r="C26" s="65" t="s">
        <v>75</v>
      </c>
      <c r="D26" s="113">
        <f>u_budget!F78+u_budget!F114+u_budget!F118+u_budget!F135+u_budget!F160+u_budget!F174+u_budget!F187+u_budget!F198+u_budget!F216+u_budget!F232+u_budget!F251+u_budget!F255+u_budget!F275+u_budget!F279+u_budget!F290+u_budget!F303+u_budget!F318</f>
        <v>3415.2635493268222</v>
      </c>
      <c r="E26" s="113">
        <f>l_budget!F86+l_budget!F90+l_budget!F107+l_budget!F132+l_budget!F146+l_budget!F159+l_budget!F170+l_budget!F188</f>
        <v>645.45293721418921</v>
      </c>
      <c r="F26" s="113">
        <f t="shared" si="0"/>
        <v>4060.7164865410114</v>
      </c>
      <c r="G26" s="142"/>
      <c r="H26" s="64" t="s">
        <v>491</v>
      </c>
      <c r="I26" s="144" t="s">
        <v>217</v>
      </c>
      <c r="J26" s="113">
        <f>u_budget!F332+u_budget!F334+u_budget!F336+u_budget!F345+u_budget!F350</f>
        <v>151282.526698923</v>
      </c>
      <c r="K26" s="113">
        <f>l_budget!F200+l_budget!F202</f>
        <v>1574.4</v>
      </c>
      <c r="L26" s="113">
        <f t="shared" si="1"/>
        <v>152856.92669892299</v>
      </c>
    </row>
    <row r="27" spans="1:12" ht="12.75" customHeight="1" x14ac:dyDescent="0.2">
      <c r="A27" s="142"/>
      <c r="B27" s="166" t="s">
        <v>970</v>
      </c>
      <c r="C27" s="65" t="s">
        <v>75</v>
      </c>
      <c r="D27" s="113">
        <f>u_budget!F292+u_budget!F305</f>
        <v>1769.4602491024793</v>
      </c>
      <c r="E27" s="197">
        <v>0</v>
      </c>
      <c r="F27" s="113">
        <f t="shared" si="0"/>
        <v>1769.4602491024793</v>
      </c>
      <c r="G27" s="215" t="s">
        <v>1146</v>
      </c>
      <c r="H27" s="64" t="s">
        <v>489</v>
      </c>
      <c r="I27" s="65" t="s">
        <v>200</v>
      </c>
      <c r="J27" s="113">
        <f>J19</f>
        <v>25214.73728750366</v>
      </c>
      <c r="K27" s="113">
        <f>K19</f>
        <v>827.46198375649749</v>
      </c>
      <c r="L27" s="113">
        <f t="shared" si="1"/>
        <v>26042.199271260157</v>
      </c>
    </row>
    <row r="28" spans="1:12" ht="12.75" customHeight="1" x14ac:dyDescent="0.2">
      <c r="H28" s="64" t="s">
        <v>872</v>
      </c>
      <c r="I28" s="65" t="s">
        <v>211</v>
      </c>
      <c r="J28" s="113">
        <f>J21</f>
        <v>25948.256917685587</v>
      </c>
      <c r="K28" s="113">
        <f>K21</f>
        <v>851.53360510214088</v>
      </c>
      <c r="L28" s="113">
        <f t="shared" si="1"/>
        <v>26799.790522787727</v>
      </c>
    </row>
    <row r="29" spans="1:12" ht="12.75" customHeight="1" x14ac:dyDescent="0.2">
      <c r="H29" s="64"/>
      <c r="J29" s="141"/>
    </row>
    <row r="30" spans="1:12" ht="12.75" customHeight="1" x14ac:dyDescent="0.2">
      <c r="H30" s="64" t="s">
        <v>493</v>
      </c>
      <c r="I30" s="65" t="s">
        <v>218</v>
      </c>
      <c r="J30" s="115">
        <f>u_budget!D385/1000</f>
        <v>100</v>
      </c>
      <c r="K30" s="115">
        <f>u_budget!E385/1000</f>
        <v>0</v>
      </c>
      <c r="L30" s="113">
        <f t="shared" si="1"/>
        <v>100</v>
      </c>
    </row>
    <row r="31" spans="1:12" ht="12.75" customHeight="1" x14ac:dyDescent="0.2">
      <c r="H31" s="64" t="s">
        <v>492</v>
      </c>
      <c r="I31" s="65" t="s">
        <v>832</v>
      </c>
      <c r="J31" s="113">
        <f>u_budget!F386</f>
        <v>2421.8373123173214</v>
      </c>
      <c r="K31" s="113">
        <f>l_budget!F233</f>
        <v>79.476469809533157</v>
      </c>
      <c r="L31" s="113">
        <f t="shared" si="1"/>
        <v>2501.3137821268547</v>
      </c>
    </row>
    <row r="32" spans="1:12" ht="12.75" customHeight="1" x14ac:dyDescent="0.2">
      <c r="H32" s="63"/>
      <c r="I32" s="140"/>
      <c r="J32" s="141"/>
    </row>
    <row r="33" spans="1:8" ht="12.75" customHeight="1" x14ac:dyDescent="0.2">
      <c r="A33" s="63" t="s">
        <v>456</v>
      </c>
      <c r="B33" s="142"/>
      <c r="C33" s="140"/>
      <c r="D33" s="142"/>
      <c r="E33" s="142"/>
      <c r="F33" s="142"/>
    </row>
    <row r="34" spans="1:8" ht="12.75" customHeight="1" x14ac:dyDescent="0.2">
      <c r="A34" s="63"/>
      <c r="B34" s="142"/>
      <c r="C34" s="140"/>
      <c r="E34" s="142"/>
      <c r="F34" s="142"/>
    </row>
    <row r="35" spans="1:8" ht="12.75" customHeight="1" x14ac:dyDescent="0.2">
      <c r="A35" s="142"/>
      <c r="B35" s="227" t="s">
        <v>0</v>
      </c>
      <c r="C35" s="227" t="s">
        <v>451</v>
      </c>
      <c r="D35" s="221" t="s">
        <v>459</v>
      </c>
      <c r="E35" s="221"/>
      <c r="F35" s="221"/>
    </row>
    <row r="36" spans="1:8" ht="12.75" customHeight="1" x14ac:dyDescent="0.25">
      <c r="A36" s="63"/>
      <c r="B36" s="227"/>
      <c r="C36" s="227"/>
      <c r="D36" s="224" t="s">
        <v>1118</v>
      </c>
      <c r="E36" s="224" t="s">
        <v>1117</v>
      </c>
      <c r="F36" s="224" t="s">
        <v>1123</v>
      </c>
      <c r="H36"/>
    </row>
    <row r="37" spans="1:8" ht="12.75" customHeight="1" x14ac:dyDescent="0.2">
      <c r="A37" s="63"/>
      <c r="B37" s="227"/>
      <c r="C37" s="227"/>
      <c r="D37" s="225"/>
      <c r="E37" s="225"/>
      <c r="F37" s="225"/>
    </row>
    <row r="38" spans="1:8" ht="12.75" customHeight="1" x14ac:dyDescent="0.2">
      <c r="A38" s="142"/>
      <c r="B38" s="64" t="str">
        <f>B6</f>
        <v>Common excavation</v>
      </c>
      <c r="C38" s="65" t="s">
        <v>69</v>
      </c>
      <c r="D38" s="67">
        <f>u_budget!D71+u_budget!D107+u_budget!D129+u_budget!D148+u_budget!D168+u_budget!D181+u_budget!D192+u_budget!D210+u_budget!D226+u_budget!D245+u_budget!D268+u_budget!D283+u_budget!D296+u_budget!D311</f>
        <v>9300</v>
      </c>
      <c r="E38" s="67">
        <f>l_budget!D79+l_budget!D101+l_budget!D120+l_budget!D140+l_budget!D153+l_budget!D164+l_budget!D182</f>
        <v>2800</v>
      </c>
      <c r="F38" s="202">
        <f>D38+E38</f>
        <v>12100</v>
      </c>
    </row>
    <row r="39" spans="1:8" ht="12.75" customHeight="1" x14ac:dyDescent="0.2">
      <c r="A39" s="142"/>
      <c r="B39" s="64" t="str">
        <f t="shared" ref="B39:B59" si="2">B7</f>
        <v>Surface rock excavation</v>
      </c>
      <c r="C39" s="65" t="s">
        <v>69</v>
      </c>
      <c r="D39" s="67">
        <f>u_budget!D72+u_budget!D108+u_budget!D130+u_budget!D150+u_budget!D169+u_budget!D182+u_budget!D193+u_budget!D211+u_budget!D227+u_budget!D246+u_budget!D269+u_budget!D284+u_budget!D297+u_budget!D312</f>
        <v>21400</v>
      </c>
      <c r="E39" s="67">
        <f>l_budget!D80+l_budget!D102+l_budget!D122+l_budget!D141+l_budget!D154+l_budget!D165+l_budget!D183</f>
        <v>4200</v>
      </c>
      <c r="F39" s="202">
        <f t="shared" ref="F39:F59" si="3">D39+E39</f>
        <v>25600</v>
      </c>
    </row>
    <row r="40" spans="1:8" ht="12.75" customHeight="1" x14ac:dyDescent="0.2">
      <c r="A40" s="142"/>
      <c r="B40" s="64" t="str">
        <f t="shared" si="2"/>
        <v>Underground rock excavation</v>
      </c>
      <c r="C40" s="65" t="s">
        <v>69</v>
      </c>
      <c r="D40" s="67">
        <f>u_budget!D73+u_budget!D109+u_budget!D270+u_budget!D285+u_budget!D298+u_budget!D313</f>
        <v>22918.02725949456</v>
      </c>
      <c r="E40" s="216">
        <v>0</v>
      </c>
      <c r="F40" s="202">
        <f t="shared" si="3"/>
        <v>22918.02725949456</v>
      </c>
      <c r="G40" s="215" t="s">
        <v>1146</v>
      </c>
    </row>
    <row r="41" spans="1:8" ht="12.75" customHeight="1" x14ac:dyDescent="0.2">
      <c r="A41" s="142"/>
      <c r="B41" s="64" t="str">
        <f t="shared" si="2"/>
        <v>Borrow soil</v>
      </c>
      <c r="C41" s="65" t="s">
        <v>69</v>
      </c>
      <c r="D41" s="67">
        <f>u_budget!D149</f>
        <v>0</v>
      </c>
      <c r="E41" s="67"/>
      <c r="F41" s="202">
        <f t="shared" si="3"/>
        <v>0</v>
      </c>
    </row>
    <row r="42" spans="1:8" ht="12.75" customHeight="1" x14ac:dyDescent="0.2">
      <c r="A42" s="142"/>
      <c r="B42" s="64" t="str">
        <f t="shared" si="2"/>
        <v>Quarry rock</v>
      </c>
      <c r="C42" s="65" t="s">
        <v>69</v>
      </c>
      <c r="D42" s="67">
        <f>u_budget!D151</f>
        <v>11000</v>
      </c>
      <c r="E42" s="67"/>
      <c r="F42" s="202">
        <f t="shared" si="3"/>
        <v>11000</v>
      </c>
    </row>
    <row r="43" spans="1:8" ht="12.75" customHeight="1" x14ac:dyDescent="0.2">
      <c r="A43" s="142"/>
      <c r="B43" s="64" t="str">
        <f t="shared" si="2"/>
        <v>Foundation cleaning and treatment  - dam earthworks</v>
      </c>
      <c r="C43" s="65" t="s">
        <v>4</v>
      </c>
      <c r="D43" s="67">
        <f>u_budget!D110+u_budget!D152+u_budget!D314+iocosts!B65+iocosts!B73+iocosts!B87</f>
        <v>13700</v>
      </c>
      <c r="E43" s="201">
        <f>l_budget!D82+l_budget!D124</f>
        <v>50</v>
      </c>
      <c r="F43" s="202">
        <f t="shared" si="3"/>
        <v>13750</v>
      </c>
    </row>
    <row r="44" spans="1:8" ht="12.75" customHeight="1" x14ac:dyDescent="0.2">
      <c r="A44" s="142"/>
      <c r="B44" s="64" t="str">
        <f t="shared" si="2"/>
        <v>Foundation cleaning and treatment  - concrete strucutures</v>
      </c>
      <c r="C44" s="65" t="s">
        <v>4</v>
      </c>
      <c r="D44" s="67">
        <f>u_budget!D74+u_budget!D131+u_budget!D170+u_budget!D183+u_budget!D194+u_budget!D212+u_budget!D228+iocosts!B66+iocosts!B74+u_budget!D286+iocosts!B88</f>
        <v>16624.035273064332</v>
      </c>
      <c r="E44" s="201">
        <f>l_budget!D103+l_budget!D142+l_budget!D155+l_budget!D166+l_budget!D184</f>
        <v>2000</v>
      </c>
      <c r="F44" s="202">
        <f t="shared" si="3"/>
        <v>18624.035273064332</v>
      </c>
    </row>
    <row r="45" spans="1:8" ht="12.75" customHeight="1" x14ac:dyDescent="0.2">
      <c r="A45" s="142"/>
      <c r="B45" s="64" t="str">
        <f t="shared" si="2"/>
        <v>Cofferdam removal</v>
      </c>
      <c r="C45" s="65" t="s">
        <v>69</v>
      </c>
      <c r="D45" s="67">
        <f>u_budget!D102</f>
        <v>500</v>
      </c>
      <c r="E45" s="67">
        <f>l_budget!D74</f>
        <v>250</v>
      </c>
      <c r="F45" s="202">
        <f t="shared" si="3"/>
        <v>750</v>
      </c>
    </row>
    <row r="46" spans="1:8" ht="12.75" customHeight="1" x14ac:dyDescent="0.2">
      <c r="A46" s="142"/>
      <c r="B46" s="64" t="str">
        <f t="shared" si="2"/>
        <v>Cofferdam - 1st phase</v>
      </c>
      <c r="C46" s="65" t="s">
        <v>69</v>
      </c>
      <c r="D46" s="67">
        <f>u_budget!D99</f>
        <v>0</v>
      </c>
      <c r="E46" s="67">
        <f>l_budget!D71</f>
        <v>0</v>
      </c>
      <c r="F46" s="202">
        <f t="shared" si="3"/>
        <v>0</v>
      </c>
    </row>
    <row r="47" spans="1:8" ht="12.75" customHeight="1" x14ac:dyDescent="0.2">
      <c r="A47" s="142"/>
      <c r="B47" s="64" t="str">
        <f t="shared" si="2"/>
        <v>Cofferdam - 2nd phase</v>
      </c>
      <c r="C47" s="65" t="s">
        <v>69</v>
      </c>
      <c r="D47" s="67">
        <f>u_budget!D100</f>
        <v>1000</v>
      </c>
      <c r="E47" s="67">
        <f>l_budget!D72</f>
        <v>500</v>
      </c>
      <c r="F47" s="202">
        <f t="shared" si="3"/>
        <v>1500</v>
      </c>
    </row>
    <row r="48" spans="1:8" ht="12.75" customHeight="1" x14ac:dyDescent="0.2">
      <c r="A48" s="142"/>
      <c r="B48" s="64" t="str">
        <f t="shared" si="2"/>
        <v>Compacted earthfill</v>
      </c>
      <c r="C48" s="65" t="s">
        <v>69</v>
      </c>
      <c r="D48" s="67">
        <f>u_budget!D153</f>
        <v>0</v>
      </c>
      <c r="E48" s="67">
        <f>l_budget!D125</f>
        <v>0</v>
      </c>
      <c r="F48" s="202">
        <f t="shared" si="3"/>
        <v>0</v>
      </c>
    </row>
    <row r="49" spans="1:7" ht="12.75" customHeight="1" x14ac:dyDescent="0.2">
      <c r="A49" s="142"/>
      <c r="B49" s="64" t="str">
        <f t="shared" si="2"/>
        <v>Clay core</v>
      </c>
      <c r="C49" s="65" t="s">
        <v>69</v>
      </c>
      <c r="D49" s="67">
        <f>u_budget!D155</f>
        <v>8000</v>
      </c>
      <c r="E49" s="67">
        <f>l_budget!D126</f>
        <v>8000</v>
      </c>
      <c r="F49" s="202">
        <f t="shared" si="3"/>
        <v>16000</v>
      </c>
    </row>
    <row r="50" spans="1:7" ht="12.75" customHeight="1" x14ac:dyDescent="0.2">
      <c r="A50" s="142"/>
      <c r="B50" s="64" t="str">
        <f t="shared" si="2"/>
        <v>Rockfill</v>
      </c>
      <c r="C50" s="65" t="s">
        <v>69</v>
      </c>
      <c r="D50" s="67">
        <f>u_budget!D154</f>
        <v>16000</v>
      </c>
      <c r="E50" s="67">
        <f>l_budget!D127</f>
        <v>4000</v>
      </c>
      <c r="F50" s="202">
        <f t="shared" si="3"/>
        <v>20000</v>
      </c>
    </row>
    <row r="51" spans="1:7" ht="12.75" customHeight="1" x14ac:dyDescent="0.2">
      <c r="A51" s="142"/>
      <c r="B51" s="64" t="str">
        <f t="shared" si="2"/>
        <v>Filters and transitions</v>
      </c>
      <c r="C51" s="65" t="s">
        <v>69</v>
      </c>
      <c r="D51" s="67">
        <f>u_budget!D156</f>
        <v>0</v>
      </c>
      <c r="E51" s="67">
        <f>l_budget!D128</f>
        <v>0</v>
      </c>
      <c r="F51" s="202">
        <f t="shared" si="3"/>
        <v>0</v>
      </c>
    </row>
    <row r="52" spans="1:7" ht="12.75" customHeight="1" x14ac:dyDescent="0.2">
      <c r="A52" s="142"/>
      <c r="B52" s="64" t="str">
        <f t="shared" si="2"/>
        <v>Rip-rap or rockfill protection</v>
      </c>
      <c r="C52" s="68" t="s">
        <v>69</v>
      </c>
      <c r="D52" s="67">
        <f>u_budget!D162</f>
        <v>0</v>
      </c>
      <c r="E52" s="67">
        <f>l_budget!D134</f>
        <v>0</v>
      </c>
      <c r="F52" s="202">
        <f t="shared" si="3"/>
        <v>0</v>
      </c>
    </row>
    <row r="53" spans="1:7" ht="12.75" customHeight="1" x14ac:dyDescent="0.2">
      <c r="A53" s="142"/>
      <c r="B53" s="64" t="str">
        <f t="shared" si="2"/>
        <v>Downstream face protection (grass)</v>
      </c>
      <c r="C53" s="68" t="s">
        <v>4</v>
      </c>
      <c r="D53" s="67">
        <f>u_budget!D163</f>
        <v>0</v>
      </c>
      <c r="E53" s="67">
        <f>l_budget!D135</f>
        <v>0</v>
      </c>
      <c r="F53" s="202">
        <f t="shared" si="3"/>
        <v>0</v>
      </c>
    </row>
    <row r="54" spans="1:7" ht="12.75" customHeight="1" x14ac:dyDescent="0.2">
      <c r="A54" s="142"/>
      <c r="B54" s="64" t="str">
        <f t="shared" si="2"/>
        <v>Cement</v>
      </c>
      <c r="C54" s="65" t="s">
        <v>75</v>
      </c>
      <c r="D54" s="67">
        <f>u_budget!D76+u_budget!D112+u_budget!D116+u_budget!D120+u_budget!D133+u_budget!D137+u_budget!D158+u_budget!D172+u_budget!D176+u_budget!D185+u_budget!D196+u_budget!D200+u_budget!D214+u_budget!D230+u_budget!D234+u_budget!D249+u_budget!D253+u_budget!D257+u_budget!D273+u_budget!D277+u_budget!D288+u_budget!D301+u_budget!D316+u_budget!D324</f>
        <v>7552.3026903398359</v>
      </c>
      <c r="E54" s="67">
        <f>l_budget!D84+l_budget!D88+l_budget!D92+l_budget!D105+l_budget!D109+l_budget!D130+l_budget!D144+l_budget!D148+l_budget!D157+l_budget!D168+l_budget!D172+l_budget!D186</f>
        <v>1688.5</v>
      </c>
      <c r="F54" s="202">
        <f t="shared" si="3"/>
        <v>9240.802690339835</v>
      </c>
    </row>
    <row r="55" spans="1:7" ht="12.75" customHeight="1" x14ac:dyDescent="0.2">
      <c r="A55" s="142"/>
      <c r="B55" s="64" t="str">
        <f t="shared" si="2"/>
        <v>Structural concrete</v>
      </c>
      <c r="C55" s="65" t="s">
        <v>69</v>
      </c>
      <c r="D55" s="67">
        <f>u_budget!D77+u_budget!D113+u_budget!D134+u_budget!D159+u_budget!D173+u_budget!D186+u_budget!D197+u_budget!D215+u_budget!D231+u_budget!D250+u_budget!D274+u_budget!D289+u_budget!D302+u_budget!D317</f>
        <v>27216.570761359344</v>
      </c>
      <c r="E55" s="67">
        <f>l_budget!D85+l_budget!D106+l_budget!D131+l_budget!D145+l_budget!D158+l_budget!D169+l_budget!D187</f>
        <v>7200</v>
      </c>
      <c r="F55" s="202">
        <f t="shared" si="3"/>
        <v>34416.57076135934</v>
      </c>
    </row>
    <row r="56" spans="1:7" ht="12.75" customHeight="1" x14ac:dyDescent="0.2">
      <c r="B56" s="64" t="str">
        <f t="shared" si="2"/>
        <v>Roller-compacted or mass concrete</v>
      </c>
      <c r="C56" s="65" t="s">
        <v>69</v>
      </c>
      <c r="D56" s="67">
        <f>u_budget!D121+u_budget!D138+u_budget!D177+u_budget!D201+u_budget!D235+u_budget!D258+u_budget!D325</f>
        <v>500</v>
      </c>
      <c r="E56" s="67">
        <f>l_budget!D93+l_budget!D110+l_budget!D149+l_budget!D173</f>
        <v>250</v>
      </c>
      <c r="F56" s="202">
        <f>D56+E56</f>
        <v>750</v>
      </c>
    </row>
    <row r="57" spans="1:7" ht="12.75" customHeight="1" x14ac:dyDescent="0.2">
      <c r="B57" s="64" t="str">
        <f t="shared" si="2"/>
        <v>Shotcrete</v>
      </c>
      <c r="C57" s="65" t="s">
        <v>69</v>
      </c>
      <c r="D57" s="67">
        <f>u_budget!D81+u_budget!D117+u_budget!D254+u_budget!D278</f>
        <v>2100</v>
      </c>
      <c r="E57" s="201">
        <f>l_budget!D89</f>
        <v>150</v>
      </c>
      <c r="F57" s="202">
        <f t="shared" si="3"/>
        <v>2250</v>
      </c>
    </row>
    <row r="58" spans="1:7" ht="12.75" customHeight="1" x14ac:dyDescent="0.2">
      <c r="B58" s="64" t="str">
        <f t="shared" si="2"/>
        <v xml:space="preserve">Reinforcement steel </v>
      </c>
      <c r="C58" s="65" t="s">
        <v>75</v>
      </c>
      <c r="D58" s="67">
        <f>u_budget!D78+u_budget!D114+u_budget!D118+u_budget!D135+u_budget!D160+u_budget!D174+u_budget!D187+u_budget!D198+u_budget!D216+u_budget!D232+u_budget!D251+u_budget!D255+u_budget!D275+u_budget!D279+u_budget!D290+u_budget!D303+u_budget!D318</f>
        <v>1568.8605380679674</v>
      </c>
      <c r="E58" s="67">
        <f>l_budget!D86+l_budget!D90+l_budget!D107+l_budget!D132+l_budget!D146+l_budget!D159+l_budget!D170+l_budget!D188</f>
        <v>296.5</v>
      </c>
      <c r="F58" s="202">
        <f t="shared" si="3"/>
        <v>1865.3605380679674</v>
      </c>
    </row>
    <row r="59" spans="1:7" ht="12.75" customHeight="1" x14ac:dyDescent="0.2">
      <c r="B59" s="64" t="str">
        <f t="shared" si="2"/>
        <v>Steel lining of penstocks</v>
      </c>
      <c r="C59" s="65" t="s">
        <v>75</v>
      </c>
      <c r="D59" s="67">
        <f>u_budget!D292+u_budget!D305</f>
        <v>589</v>
      </c>
      <c r="E59" s="216">
        <v>0</v>
      </c>
      <c r="F59" s="202">
        <f t="shared" si="3"/>
        <v>589</v>
      </c>
      <c r="G59" s="215" t="s">
        <v>1146</v>
      </c>
    </row>
  </sheetData>
  <mergeCells count="18">
    <mergeCell ref="E36:E37"/>
    <mergeCell ref="D36:D37"/>
    <mergeCell ref="C35:C37"/>
    <mergeCell ref="B35:B37"/>
    <mergeCell ref="D35:F35"/>
    <mergeCell ref="F36:F37"/>
    <mergeCell ref="K4:K5"/>
    <mergeCell ref="E4:E5"/>
    <mergeCell ref="B3:B5"/>
    <mergeCell ref="C3:C5"/>
    <mergeCell ref="D4:D5"/>
    <mergeCell ref="I3:I5"/>
    <mergeCell ref="H3:H5"/>
    <mergeCell ref="J4:J5"/>
    <mergeCell ref="F4:F5"/>
    <mergeCell ref="D3:F3"/>
    <mergeCell ref="J3:L3"/>
    <mergeCell ref="L4:L5"/>
  </mergeCells>
  <pageMargins left="0.51181102362204722" right="0.51181102362204722" top="0.78740157480314965" bottom="0.78740157480314965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938-FB54-48B9-A9AE-6632FD93625F}">
  <dimension ref="A1:G55"/>
  <sheetViews>
    <sheetView workbookViewId="0">
      <selection activeCell="G18" sqref="G18"/>
    </sheetView>
  </sheetViews>
  <sheetFormatPr defaultRowHeight="13.2" x14ac:dyDescent="0.25"/>
  <cols>
    <col min="1" max="1" width="3.88671875" customWidth="1"/>
    <col min="2" max="2" width="50.6640625" bestFit="1" customWidth="1"/>
    <col min="4" max="5" width="10.6640625" customWidth="1"/>
    <col min="7" max="7" width="87.88671875" bestFit="1" customWidth="1"/>
  </cols>
  <sheetData>
    <row r="1" spans="1:7" x14ac:dyDescent="0.25">
      <c r="A1" s="203" t="s">
        <v>776</v>
      </c>
      <c r="B1" s="204"/>
      <c r="C1" s="205"/>
      <c r="D1" s="206"/>
    </row>
    <row r="2" spans="1:7" x14ac:dyDescent="0.25">
      <c r="D2" s="228" t="s">
        <v>640</v>
      </c>
      <c r="E2" s="228"/>
    </row>
    <row r="3" spans="1:7" ht="12.75" customHeight="1" x14ac:dyDescent="0.25">
      <c r="C3" s="146" t="s">
        <v>639</v>
      </c>
      <c r="D3" s="150" t="s">
        <v>1124</v>
      </c>
      <c r="E3" s="150" t="s">
        <v>1125</v>
      </c>
    </row>
    <row r="4" spans="1:7" x14ac:dyDescent="0.25">
      <c r="B4" s="155" t="s">
        <v>774</v>
      </c>
      <c r="C4" s="150" t="s">
        <v>69</v>
      </c>
      <c r="D4" s="207">
        <f>summary!D39</f>
        <v>21400</v>
      </c>
      <c r="E4" s="207">
        <f>summary!E39+summary!E40+summary!D40</f>
        <v>27118.02725949456</v>
      </c>
      <c r="G4" s="209" t="s">
        <v>1147</v>
      </c>
    </row>
    <row r="5" spans="1:7" x14ac:dyDescent="0.25">
      <c r="B5" s="155" t="s">
        <v>773</v>
      </c>
      <c r="C5" s="150" t="s">
        <v>69</v>
      </c>
      <c r="D5" s="151">
        <f>SUM(D6:D11)</f>
        <v>31485.660491202747</v>
      </c>
      <c r="E5" s="151">
        <f>SUM(E6:E11)</f>
        <v>24229.037428026011</v>
      </c>
    </row>
    <row r="6" spans="1:7" x14ac:dyDescent="0.25">
      <c r="B6" s="147" t="str">
        <f>unit_prices!B13</f>
        <v>Cofferdam - 1st phase</v>
      </c>
      <c r="C6" s="150" t="s">
        <v>69</v>
      </c>
      <c r="D6" s="151">
        <v>0</v>
      </c>
      <c r="E6" s="151">
        <v>0</v>
      </c>
      <c r="G6" s="108" t="s">
        <v>642</v>
      </c>
    </row>
    <row r="7" spans="1:7" x14ac:dyDescent="0.25">
      <c r="B7" s="147" t="str">
        <f>unit_prices!B14</f>
        <v>Cofferdam - 2nd phase</v>
      </c>
      <c r="C7" s="150" t="s">
        <v>69</v>
      </c>
      <c r="D7" s="151">
        <f>1/3*summary!D47*$D$26*$E$26</f>
        <v>293.33333333333337</v>
      </c>
      <c r="E7" s="151">
        <f>1/3*summary!E47*$D$26*$E$26</f>
        <v>146.66666666666669</v>
      </c>
      <c r="G7" s="108" t="s">
        <v>638</v>
      </c>
    </row>
    <row r="8" spans="1:7" x14ac:dyDescent="0.25">
      <c r="B8" s="147" t="str">
        <f>unit_prices!B17</f>
        <v>Rockfill</v>
      </c>
      <c r="C8" s="150" t="s">
        <v>69</v>
      </c>
      <c r="D8" s="151">
        <f>summary!D50*$D$27*$E$27</f>
        <v>14960.000000000002</v>
      </c>
      <c r="E8" s="151">
        <f>summary!E50*$D$27*$E$27</f>
        <v>3740.0000000000005</v>
      </c>
    </row>
    <row r="9" spans="1:7" x14ac:dyDescent="0.25">
      <c r="B9" s="147" t="str">
        <f>unit_prices!B18</f>
        <v>Filters and transitions</v>
      </c>
      <c r="C9" s="150" t="s">
        <v>69</v>
      </c>
      <c r="D9" s="151">
        <f>summary!D51*$D$28*$E$28</f>
        <v>0</v>
      </c>
      <c r="E9" s="151">
        <f>summary!E51*$D$28*$E$28</f>
        <v>0</v>
      </c>
    </row>
    <row r="10" spans="1:7" x14ac:dyDescent="0.25">
      <c r="B10" s="147" t="str">
        <f>unit_prices!B19</f>
        <v>Rip-rap or rockfill protection</v>
      </c>
      <c r="C10" s="150" t="s">
        <v>69</v>
      </c>
      <c r="D10" s="151">
        <f>summary!D52*$D$29*$E$29</f>
        <v>0</v>
      </c>
      <c r="E10" s="151">
        <f>summary!E52*$D$29*$E$29</f>
        <v>0</v>
      </c>
    </row>
    <row r="11" spans="1:7" x14ac:dyDescent="0.25">
      <c r="B11" s="152" t="s">
        <v>634</v>
      </c>
      <c r="C11" s="150" t="s">
        <v>69</v>
      </c>
      <c r="D11" s="208">
        <f>(summary!D55+summary!D56+summary!D57)*$D$30*$E$30-u_budget!D77-u_budget!D81-u_budget!D274-u_budget!D278-u_budget!D289-u_budget!D302-u_budget!D317-u_budget!D325</f>
        <v>16232.327157869411</v>
      </c>
      <c r="E11" s="208">
        <f>(summary!E55+summary!E56+summary!E57)*$D$30*$E$30+u_budget!D77+u_budget!D81+u_budget!D274+u_budget!D278+u_budget!D289+u_budget!D302+u_budget!D317+u_budget!D325</f>
        <v>20342.370761359343</v>
      </c>
      <c r="G11" s="209" t="s">
        <v>1148</v>
      </c>
    </row>
    <row r="12" spans="1:7" x14ac:dyDescent="0.25">
      <c r="B12" s="149" t="str">
        <f>unit_prices!B9</f>
        <v>Quarry rock</v>
      </c>
      <c r="C12" s="150" t="s">
        <v>69</v>
      </c>
      <c r="D12" s="151">
        <f>ROUNDUP(3/5*summary!D46*$D$25*$E$25+IF(D5-D4&lt;=0,0, D5-D4),-3)</f>
        <v>11000</v>
      </c>
      <c r="E12" s="151">
        <f>ROUNDUP(3/5*summary!E46*$D$25*$E$25+IF(E5-E4&lt;=0,0, E5-E4),-3)</f>
        <v>0</v>
      </c>
      <c r="G12" s="108" t="s">
        <v>882</v>
      </c>
    </row>
    <row r="14" spans="1:7" x14ac:dyDescent="0.25">
      <c r="B14" s="155" t="s">
        <v>775</v>
      </c>
      <c r="C14" s="150" t="s">
        <v>69</v>
      </c>
      <c r="D14" s="151">
        <f>summary!D38</f>
        <v>9300</v>
      </c>
      <c r="E14" s="151">
        <f>summary!E38</f>
        <v>2800</v>
      </c>
    </row>
    <row r="15" spans="1:7" x14ac:dyDescent="0.25">
      <c r="B15" s="155" t="s">
        <v>772</v>
      </c>
      <c r="C15" s="150" t="s">
        <v>69</v>
      </c>
      <c r="D15" s="151">
        <f>SUM(D16:D19)</f>
        <v>880</v>
      </c>
      <c r="E15" s="151">
        <f>SUM(E16:E19)</f>
        <v>440</v>
      </c>
    </row>
    <row r="16" spans="1:7" x14ac:dyDescent="0.25">
      <c r="B16" s="147" t="str">
        <f>B6</f>
        <v>Cofferdam - 1st phase</v>
      </c>
      <c r="C16" s="150" t="s">
        <v>69</v>
      </c>
      <c r="D16" s="151">
        <v>0</v>
      </c>
      <c r="E16" s="151">
        <v>0</v>
      </c>
      <c r="G16" s="108" t="s">
        <v>642</v>
      </c>
    </row>
    <row r="17" spans="2:7" x14ac:dyDescent="0.25">
      <c r="B17" s="147" t="str">
        <f>B7</f>
        <v>Cofferdam - 2nd phase</v>
      </c>
      <c r="C17" s="150" t="s">
        <v>69</v>
      </c>
      <c r="D17" s="151">
        <f>2/3*summary!D47*$D$34*$E$34</f>
        <v>880</v>
      </c>
      <c r="E17" s="151">
        <f>2/3*summary!E47*$D$34*$E$34</f>
        <v>440</v>
      </c>
      <c r="G17" s="108" t="s">
        <v>637</v>
      </c>
    </row>
    <row r="18" spans="2:7" x14ac:dyDescent="0.25">
      <c r="B18" s="152" t="str">
        <f>unit_prices!B15</f>
        <v>Compacted earthfill</v>
      </c>
      <c r="C18" s="150" t="s">
        <v>69</v>
      </c>
      <c r="D18" s="151">
        <f>0.7*summary!D48*$D$35*$E$35</f>
        <v>0</v>
      </c>
      <c r="E18" s="151">
        <f>0.7*summary!E48*$D$35*$E$35</f>
        <v>0</v>
      </c>
      <c r="G18" s="108" t="s">
        <v>884</v>
      </c>
    </row>
    <row r="19" spans="2:7" x14ac:dyDescent="0.25">
      <c r="B19" s="147" t="str">
        <f>unit_prices!B16</f>
        <v>Clay core</v>
      </c>
      <c r="C19" s="150" t="s">
        <v>69</v>
      </c>
      <c r="D19" s="151">
        <v>0</v>
      </c>
      <c r="E19" s="151">
        <v>0</v>
      </c>
      <c r="G19" s="108" t="s">
        <v>883</v>
      </c>
    </row>
    <row r="20" spans="2:7" x14ac:dyDescent="0.25">
      <c r="B20" s="149" t="str">
        <f>unit_prices!B8</f>
        <v>Borrow soil</v>
      </c>
      <c r="C20" s="150" t="s">
        <v>69</v>
      </c>
      <c r="D20" s="151">
        <f>ROUNDUP(2/5*summary!D46*$D$25*$E$25+0.3*summary!D48*D35*E35+IF(D15-D14&lt;=0,0, D15-D14),-3)</f>
        <v>0</v>
      </c>
      <c r="E20" s="151">
        <f>ROUNDUP(2/5*summary!E46*$D$25*$E$25+0.3*summary!E48*E35*F35+IF(E15-E14&lt;=0,0, E15-E14),-3)</f>
        <v>0</v>
      </c>
      <c r="G20" s="108" t="s">
        <v>885</v>
      </c>
    </row>
    <row r="22" spans="2:7" x14ac:dyDescent="0.25">
      <c r="B22" s="154" t="s">
        <v>771</v>
      </c>
    </row>
    <row r="23" spans="2:7" x14ac:dyDescent="0.25">
      <c r="B23" s="63"/>
    </row>
    <row r="24" spans="2:7" x14ac:dyDescent="0.25">
      <c r="B24" s="149" t="s">
        <v>635</v>
      </c>
      <c r="C24" s="146" t="s">
        <v>639</v>
      </c>
      <c r="D24" s="146" t="s">
        <v>770</v>
      </c>
      <c r="E24" s="146" t="s">
        <v>641</v>
      </c>
    </row>
    <row r="25" spans="2:7" x14ac:dyDescent="0.25">
      <c r="B25" s="147" t="str">
        <f>B6</f>
        <v>Cofferdam - 1st phase</v>
      </c>
      <c r="C25" s="150" t="s">
        <v>69</v>
      </c>
      <c r="D25" s="148">
        <v>0.8</v>
      </c>
      <c r="E25" s="148">
        <v>1.1000000000000001</v>
      </c>
    </row>
    <row r="26" spans="2:7" x14ac:dyDescent="0.25">
      <c r="B26" s="147" t="str">
        <f t="shared" ref="B26:B30" si="0">B7</f>
        <v>Cofferdam - 2nd phase</v>
      </c>
      <c r="C26" s="150" t="s">
        <v>69</v>
      </c>
      <c r="D26" s="148">
        <v>0.8</v>
      </c>
      <c r="E26" s="148">
        <v>1.1000000000000001</v>
      </c>
    </row>
    <row r="27" spans="2:7" x14ac:dyDescent="0.25">
      <c r="B27" s="147" t="str">
        <f t="shared" si="0"/>
        <v>Rockfill</v>
      </c>
      <c r="C27" s="150" t="s">
        <v>69</v>
      </c>
      <c r="D27" s="148">
        <v>0.85</v>
      </c>
      <c r="E27" s="148">
        <v>1.1000000000000001</v>
      </c>
    </row>
    <row r="28" spans="2:7" x14ac:dyDescent="0.25">
      <c r="B28" s="147" t="str">
        <f>B9</f>
        <v>Filters and transitions</v>
      </c>
      <c r="C28" s="150" t="s">
        <v>69</v>
      </c>
      <c r="D28" s="148">
        <v>0.9</v>
      </c>
      <c r="E28" s="148">
        <v>1.1499999999999999</v>
      </c>
    </row>
    <row r="29" spans="2:7" x14ac:dyDescent="0.25">
      <c r="B29" s="147" t="str">
        <f t="shared" si="0"/>
        <v>Rip-rap or rockfill protection</v>
      </c>
      <c r="C29" s="150" t="s">
        <v>69</v>
      </c>
      <c r="D29" s="148">
        <v>0.85</v>
      </c>
      <c r="E29" s="148">
        <v>1.1499999999999999</v>
      </c>
    </row>
    <row r="30" spans="2:7" x14ac:dyDescent="0.25">
      <c r="B30" s="147" t="str">
        <f t="shared" si="0"/>
        <v>Concrete</v>
      </c>
      <c r="C30" s="150" t="s">
        <v>69</v>
      </c>
      <c r="D30" s="148">
        <v>0.85</v>
      </c>
      <c r="E30" s="148">
        <v>1.1499999999999999</v>
      </c>
    </row>
    <row r="31" spans="2:7" x14ac:dyDescent="0.25">
      <c r="B31" s="118"/>
      <c r="D31" s="124"/>
      <c r="E31" s="124"/>
    </row>
    <row r="32" spans="2:7" x14ac:dyDescent="0.25">
      <c r="B32" s="149" t="s">
        <v>636</v>
      </c>
      <c r="C32" s="146" t="s">
        <v>639</v>
      </c>
      <c r="D32" s="146" t="s">
        <v>770</v>
      </c>
      <c r="E32" s="146" t="s">
        <v>641</v>
      </c>
    </row>
    <row r="33" spans="2:6" x14ac:dyDescent="0.25">
      <c r="B33" s="147" t="str">
        <f>B16</f>
        <v>Cofferdam - 1st phase</v>
      </c>
      <c r="C33" s="150" t="s">
        <v>69</v>
      </c>
      <c r="D33" s="148">
        <v>1.2</v>
      </c>
      <c r="E33" s="148">
        <v>1.1000000000000001</v>
      </c>
    </row>
    <row r="34" spans="2:6" x14ac:dyDescent="0.25">
      <c r="B34" s="147" t="str">
        <f t="shared" ref="B34:B36" si="1">B17</f>
        <v>Cofferdam - 2nd phase</v>
      </c>
      <c r="C34" s="150" t="s">
        <v>69</v>
      </c>
      <c r="D34" s="148">
        <v>1.2</v>
      </c>
      <c r="E34" s="148">
        <v>1.1000000000000001</v>
      </c>
    </row>
    <row r="35" spans="2:6" x14ac:dyDescent="0.25">
      <c r="B35" s="147" t="str">
        <f t="shared" si="1"/>
        <v>Compacted earthfill</v>
      </c>
      <c r="C35" s="150" t="s">
        <v>69</v>
      </c>
      <c r="D35" s="148">
        <v>1.2</v>
      </c>
      <c r="E35" s="148">
        <v>1.1000000000000001</v>
      </c>
    </row>
    <row r="36" spans="2:6" x14ac:dyDescent="0.25">
      <c r="B36" s="147" t="str">
        <f t="shared" si="1"/>
        <v>Clay core</v>
      </c>
      <c r="C36" s="150" t="s">
        <v>69</v>
      </c>
      <c r="D36" s="148">
        <v>1.2</v>
      </c>
      <c r="E36" s="148">
        <v>1.1000000000000001</v>
      </c>
    </row>
    <row r="39" spans="2:6" x14ac:dyDescent="0.25">
      <c r="C39" s="108" t="s">
        <v>285</v>
      </c>
    </row>
    <row r="41" spans="2:6" x14ac:dyDescent="0.25">
      <c r="C41" s="120" t="s">
        <v>280</v>
      </c>
      <c r="D41" s="122" t="s">
        <v>281</v>
      </c>
    </row>
    <row r="42" spans="2:6" x14ac:dyDescent="0.25">
      <c r="C42" s="108"/>
      <c r="D42" s="121"/>
      <c r="E42" s="120" t="s">
        <v>282</v>
      </c>
      <c r="F42" s="108" t="s">
        <v>283</v>
      </c>
    </row>
    <row r="43" spans="2:6" x14ac:dyDescent="0.25">
      <c r="C43" s="119"/>
      <c r="D43" s="123">
        <f>1/1.2</f>
        <v>0.83333333333333337</v>
      </c>
      <c r="E43" s="119">
        <v>1.1499999999999999</v>
      </c>
      <c r="F43" s="108" t="s">
        <v>284</v>
      </c>
    </row>
    <row r="44" spans="2:6" x14ac:dyDescent="0.25">
      <c r="C44" s="117">
        <f>(0.85+0.75)/2</f>
        <v>0.8</v>
      </c>
      <c r="D44" s="121"/>
      <c r="E44" s="124">
        <v>1.1000000000000001</v>
      </c>
    </row>
    <row r="45" spans="2:6" x14ac:dyDescent="0.25">
      <c r="C45" s="117">
        <f>(0.85+0.75)/2</f>
        <v>0.8</v>
      </c>
      <c r="D45" s="121"/>
      <c r="E45" s="124">
        <v>1.1000000000000001</v>
      </c>
    </row>
    <row r="46" spans="2:6" x14ac:dyDescent="0.25">
      <c r="C46" s="117">
        <v>0.85</v>
      </c>
      <c r="D46" s="121"/>
      <c r="E46" s="124">
        <v>1.1000000000000001</v>
      </c>
    </row>
    <row r="47" spans="2:6" x14ac:dyDescent="0.25">
      <c r="C47" s="117">
        <f>(1+0.8)/2</f>
        <v>0.9</v>
      </c>
      <c r="D47" s="121"/>
      <c r="E47" s="124">
        <v>1.1499999999999999</v>
      </c>
    </row>
    <row r="48" spans="2:6" x14ac:dyDescent="0.25">
      <c r="C48">
        <v>0.85</v>
      </c>
      <c r="D48" s="121"/>
      <c r="E48" s="124">
        <v>1.1499999999999999</v>
      </c>
    </row>
    <row r="49" spans="3:5" x14ac:dyDescent="0.25">
      <c r="C49">
        <v>0.85</v>
      </c>
      <c r="D49" s="121"/>
      <c r="E49" s="124">
        <v>1.1499999999999999</v>
      </c>
    </row>
    <row r="50" spans="3:5" x14ac:dyDescent="0.25">
      <c r="D50" s="121"/>
    </row>
    <row r="51" spans="3:5" x14ac:dyDescent="0.25">
      <c r="D51" s="121">
        <v>1.3</v>
      </c>
      <c r="E51" s="124">
        <v>1.1000000000000001</v>
      </c>
    </row>
    <row r="52" spans="3:5" x14ac:dyDescent="0.25">
      <c r="C52" s="117">
        <f>(1.15+1.2)/2</f>
        <v>1.1749999999999998</v>
      </c>
    </row>
    <row r="53" spans="3:5" x14ac:dyDescent="0.25">
      <c r="C53" s="117">
        <f>(1.15+1.2)/2</f>
        <v>1.1749999999999998</v>
      </c>
    </row>
    <row r="54" spans="3:5" x14ac:dyDescent="0.25">
      <c r="C54" s="117">
        <v>1.2</v>
      </c>
    </row>
    <row r="55" spans="3:5" x14ac:dyDescent="0.25">
      <c r="C55" s="117">
        <v>1.2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91"/>
  <sheetViews>
    <sheetView tabSelected="1" topLeftCell="A331" zoomScaleNormal="100" workbookViewId="0">
      <selection activeCell="B345" sqref="B345"/>
    </sheetView>
  </sheetViews>
  <sheetFormatPr defaultColWidth="11.44140625" defaultRowHeight="10.199999999999999" x14ac:dyDescent="0.2"/>
  <cols>
    <col min="1" max="1" width="13.5546875" style="5" customWidth="1"/>
    <col min="2" max="2" width="73.44140625" style="5" bestFit="1" customWidth="1"/>
    <col min="3" max="3" width="12.109375" style="4" customWidth="1"/>
    <col min="4" max="4" width="11.33203125" style="5" customWidth="1"/>
    <col min="5" max="5" width="15.88671875" style="5" bestFit="1" customWidth="1"/>
    <col min="6" max="6" width="14.88671875" style="5" customWidth="1"/>
    <col min="7" max="7" width="6.5546875" style="81" bestFit="1" customWidth="1"/>
    <col min="8" max="8" width="15.44140625" style="74" bestFit="1" customWidth="1"/>
    <col min="9" max="9" width="14.5546875" style="74" customWidth="1"/>
    <col min="10" max="16384" width="11.44140625" style="5"/>
  </cols>
  <sheetData>
    <row r="1" spans="1:9" s="1" customFormat="1" ht="13.2" x14ac:dyDescent="0.25">
      <c r="A1" s="229" t="s">
        <v>457</v>
      </c>
      <c r="B1" s="229"/>
      <c r="C1" s="229"/>
      <c r="D1" s="229"/>
      <c r="E1" s="229"/>
      <c r="F1" s="229"/>
      <c r="G1" s="80"/>
      <c r="H1" s="77"/>
      <c r="I1" s="77"/>
    </row>
    <row r="2" spans="1:9" s="1" customFormat="1" ht="13.2" x14ac:dyDescent="0.25">
      <c r="A2" s="229" t="s">
        <v>1119</v>
      </c>
      <c r="B2" s="229"/>
      <c r="C2" s="229"/>
      <c r="D2" s="229"/>
      <c r="E2" s="229"/>
      <c r="F2" s="229"/>
      <c r="G2" s="80"/>
      <c r="H2" s="77"/>
      <c r="I2" s="77"/>
    </row>
    <row r="3" spans="1:9" ht="13.8" thickBot="1" x14ac:dyDescent="0.3">
      <c r="A3" s="62"/>
      <c r="B3" s="7"/>
      <c r="C3" s="8"/>
      <c r="D3" s="9"/>
      <c r="E3" s="9"/>
      <c r="F3" s="9"/>
      <c r="H3" s="5"/>
      <c r="I3" s="5"/>
    </row>
    <row r="4" spans="1:9" ht="12" customHeight="1" x14ac:dyDescent="0.2">
      <c r="A4" s="230" t="s">
        <v>455</v>
      </c>
      <c r="B4" s="233" t="s">
        <v>0</v>
      </c>
      <c r="C4" s="233" t="s">
        <v>451</v>
      </c>
      <c r="D4" s="236" t="s">
        <v>450</v>
      </c>
      <c r="E4" s="237"/>
      <c r="F4" s="10" t="s">
        <v>458</v>
      </c>
      <c r="G4" s="82"/>
      <c r="H4" s="153" t="s">
        <v>698</v>
      </c>
      <c r="I4" s="5"/>
    </row>
    <row r="5" spans="1:9" ht="12" customHeight="1" x14ac:dyDescent="0.2">
      <c r="A5" s="231"/>
      <c r="B5" s="234"/>
      <c r="C5" s="234"/>
      <c r="D5" s="238" t="s">
        <v>459</v>
      </c>
      <c r="E5" s="239" t="s">
        <v>447</v>
      </c>
      <c r="F5" s="240" t="s">
        <v>448</v>
      </c>
      <c r="G5" s="82"/>
      <c r="H5" s="5"/>
      <c r="I5" s="5"/>
    </row>
    <row r="6" spans="1:9" ht="10.8" thickBot="1" x14ac:dyDescent="0.25">
      <c r="A6" s="232"/>
      <c r="B6" s="235"/>
      <c r="C6" s="235"/>
      <c r="D6" s="235"/>
      <c r="E6" s="235"/>
      <c r="F6" s="241"/>
      <c r="G6" s="83"/>
      <c r="H6" s="5"/>
      <c r="I6" s="5"/>
    </row>
    <row r="7" spans="1:9" s="2" customFormat="1" ht="12" x14ac:dyDescent="0.25">
      <c r="A7" s="85" t="s">
        <v>1</v>
      </c>
      <c r="B7" s="18" t="s">
        <v>643</v>
      </c>
      <c r="C7" s="43"/>
      <c r="D7" s="86"/>
      <c r="E7" s="45"/>
      <c r="F7" s="46">
        <f>IF(SUM(F64:F65)=0,0.1*(F92+F331+F332+F342+F347+F354+F362),SUM(F64:F65)=0)</f>
        <v>14693.902848195605</v>
      </c>
      <c r="G7" s="89"/>
    </row>
    <row r="8" spans="1:9" s="3" customFormat="1" ht="12" x14ac:dyDescent="0.25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9" s="3" customFormat="1" ht="11.4" x14ac:dyDescent="0.25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  <c r="I9" s="74"/>
    </row>
    <row r="10" spans="1:9" s="3" customFormat="1" ht="11.4" x14ac:dyDescent="0.25">
      <c r="A10" s="31" t="s">
        <v>5</v>
      </c>
      <c r="B10" s="58" t="s">
        <v>646</v>
      </c>
      <c r="C10" s="21" t="s">
        <v>1000</v>
      </c>
      <c r="D10" s="88">
        <f>iocosts!B269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  <c r="I10" s="74"/>
    </row>
    <row r="11" spans="1:9" s="3" customFormat="1" ht="11.4" x14ac:dyDescent="0.25">
      <c r="A11" s="31" t="s">
        <v>7</v>
      </c>
      <c r="B11" s="58" t="s">
        <v>647</v>
      </c>
      <c r="C11" s="21" t="s">
        <v>1000</v>
      </c>
      <c r="D11" s="25"/>
      <c r="E11" s="26"/>
      <c r="F11" s="24">
        <f t="shared" si="0"/>
        <v>0</v>
      </c>
      <c r="G11" s="89"/>
      <c r="H11" s="74"/>
      <c r="I11" s="74"/>
    </row>
    <row r="12" spans="1:9" s="3" customFormat="1" ht="11.4" x14ac:dyDescent="0.25">
      <c r="A12" s="31" t="s">
        <v>8</v>
      </c>
      <c r="B12" s="58" t="s">
        <v>648</v>
      </c>
      <c r="C12" s="21" t="s">
        <v>1000</v>
      </c>
      <c r="D12" s="25"/>
      <c r="E12" s="26"/>
      <c r="F12" s="24">
        <f t="shared" si="0"/>
        <v>0</v>
      </c>
      <c r="G12" s="89"/>
      <c r="H12" s="74"/>
      <c r="I12" s="74"/>
    </row>
    <row r="13" spans="1:9" s="3" customFormat="1" ht="11.4" x14ac:dyDescent="0.25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  <c r="I13" s="74"/>
    </row>
    <row r="14" spans="1:9" s="3" customFormat="1" ht="11.4" x14ac:dyDescent="0.25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  <c r="I14" s="74"/>
    </row>
    <row r="15" spans="1:9" s="3" customFormat="1" ht="11.4" x14ac:dyDescent="0.25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  <c r="I15" s="74"/>
    </row>
    <row r="16" spans="1:9" s="3" customFormat="1" ht="11.4" x14ac:dyDescent="0.25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  <c r="I16" s="74"/>
    </row>
    <row r="17" spans="1:9" s="3" customFormat="1" ht="11.4" x14ac:dyDescent="0.25">
      <c r="A17" s="20" t="s">
        <v>14</v>
      </c>
      <c r="B17" s="58" t="s">
        <v>646</v>
      </c>
      <c r="C17" s="21" t="s">
        <v>1000</v>
      </c>
      <c r="D17" s="88">
        <f>iocosts!B268</f>
        <v>0</v>
      </c>
      <c r="E17" s="112">
        <f>unit_prices!H5</f>
        <v>1.56363247863248</v>
      </c>
      <c r="F17" s="24">
        <f t="shared" si="0"/>
        <v>0</v>
      </c>
      <c r="G17" s="89"/>
      <c r="H17" s="74"/>
      <c r="I17" s="74"/>
    </row>
    <row r="18" spans="1:9" s="3" customFormat="1" ht="11.4" x14ac:dyDescent="0.25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  <c r="I18" s="74"/>
    </row>
    <row r="19" spans="1:9" s="2" customFormat="1" ht="11.4" x14ac:dyDescent="0.25">
      <c r="A19" s="20" t="s">
        <v>16</v>
      </c>
      <c r="B19" s="58" t="s">
        <v>648</v>
      </c>
      <c r="C19" s="21" t="s">
        <v>1000</v>
      </c>
      <c r="D19" s="88">
        <f>iocosts!B271</f>
        <v>0</v>
      </c>
      <c r="E19" s="112">
        <f>unit_prices!H7</f>
        <v>1.67461538461538</v>
      </c>
      <c r="F19" s="24">
        <f t="shared" si="0"/>
        <v>0</v>
      </c>
      <c r="G19" s="89"/>
      <c r="H19" s="71"/>
      <c r="I19" s="74"/>
    </row>
    <row r="20" spans="1:9" s="2" customFormat="1" ht="11.4" x14ac:dyDescent="0.25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  <c r="I20" s="71"/>
    </row>
    <row r="21" spans="1:9" s="2" customFormat="1" ht="11.4" x14ac:dyDescent="0.25">
      <c r="A21" s="20" t="s">
        <v>18</v>
      </c>
      <c r="B21" s="58" t="s">
        <v>653</v>
      </c>
      <c r="C21" s="21" t="s">
        <v>1000</v>
      </c>
      <c r="D21" s="25"/>
      <c r="E21" s="26"/>
      <c r="F21" s="24">
        <f t="shared" si="0"/>
        <v>0</v>
      </c>
      <c r="G21" s="89"/>
      <c r="H21" s="71"/>
      <c r="I21" s="71"/>
    </row>
    <row r="22" spans="1:9" s="3" customFormat="1" ht="11.4" x14ac:dyDescent="0.25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  <c r="I22" s="71"/>
    </row>
    <row r="23" spans="1:9" s="3" customFormat="1" ht="11.4" x14ac:dyDescent="0.25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  <c r="I23" s="74"/>
    </row>
    <row r="24" spans="1:9" s="3" customFormat="1" ht="11.4" x14ac:dyDescent="0.25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  <c r="I24" s="74"/>
    </row>
    <row r="25" spans="1:9" s="2" customFormat="1" ht="11.4" x14ac:dyDescent="0.25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  <c r="I25" s="74"/>
    </row>
    <row r="26" spans="1:9" s="3" customFormat="1" ht="11.4" x14ac:dyDescent="0.25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  <c r="I26" s="71"/>
    </row>
    <row r="27" spans="1:9" s="3" customFormat="1" ht="12" x14ac:dyDescent="0.25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  <c r="I27" s="74"/>
    </row>
    <row r="28" spans="1:9" s="3" customFormat="1" ht="11.4" x14ac:dyDescent="0.25">
      <c r="A28" s="20" t="s">
        <v>26</v>
      </c>
      <c r="B28" s="58" t="s">
        <v>658</v>
      </c>
      <c r="C28" s="21" t="s">
        <v>27</v>
      </c>
      <c r="D28" s="88">
        <f>iocosts!B272</f>
        <v>0</v>
      </c>
      <c r="E28" s="112">
        <f>unit_prices!H8</f>
        <v>754647.69107056642</v>
      </c>
      <c r="F28" s="24">
        <f>D28*E28/1000</f>
        <v>0</v>
      </c>
      <c r="G28" s="89"/>
      <c r="H28" s="74"/>
      <c r="I28" s="74"/>
    </row>
    <row r="29" spans="1:9" s="3" customFormat="1" ht="11.4" x14ac:dyDescent="0.25">
      <c r="A29" s="20" t="s">
        <v>28</v>
      </c>
      <c r="B29" s="58" t="s">
        <v>659</v>
      </c>
      <c r="C29" s="21" t="s">
        <v>27</v>
      </c>
      <c r="D29" s="88">
        <f>iocosts!B273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  <c r="I29" s="74"/>
    </row>
    <row r="30" spans="1:9" s="3" customFormat="1" ht="11.4" x14ac:dyDescent="0.25">
      <c r="A30" s="31" t="s">
        <v>29</v>
      </c>
      <c r="B30" s="58" t="s">
        <v>660</v>
      </c>
      <c r="C30" s="21" t="s">
        <v>27</v>
      </c>
      <c r="D30" s="88">
        <f>iocosts!B274</f>
        <v>0</v>
      </c>
      <c r="E30" s="112">
        <f>unit_prices!H10</f>
        <v>42.735042735042697</v>
      </c>
      <c r="F30" s="24">
        <f t="shared" si="1"/>
        <v>0</v>
      </c>
      <c r="G30" s="89"/>
      <c r="H30" s="74"/>
      <c r="I30" s="74"/>
    </row>
    <row r="31" spans="1:9" s="3" customFormat="1" ht="11.4" x14ac:dyDescent="0.25">
      <c r="A31" s="31" t="s">
        <v>30</v>
      </c>
      <c r="B31" s="58" t="s">
        <v>661</v>
      </c>
      <c r="C31" s="21" t="s">
        <v>27</v>
      </c>
      <c r="D31" s="88">
        <f>iocosts!B275</f>
        <v>0</v>
      </c>
      <c r="E31" s="112">
        <f>unit_prices!H11</f>
        <v>170940.17094017094</v>
      </c>
      <c r="F31" s="24">
        <f t="shared" si="1"/>
        <v>0</v>
      </c>
      <c r="G31" s="89"/>
      <c r="H31" s="74"/>
      <c r="I31" s="74"/>
    </row>
    <row r="32" spans="1:9" s="3" customFormat="1" ht="11.4" x14ac:dyDescent="0.25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  <c r="I32" s="74"/>
    </row>
    <row r="33" spans="1:9" s="3" customFormat="1" ht="11.4" x14ac:dyDescent="0.25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  <c r="I33" s="74"/>
    </row>
    <row r="34" spans="1:9" s="3" customFormat="1" ht="11.4" x14ac:dyDescent="0.25">
      <c r="A34" s="31" t="s">
        <v>33</v>
      </c>
      <c r="B34" s="58" t="s">
        <v>892</v>
      </c>
      <c r="C34" s="21" t="s">
        <v>89</v>
      </c>
      <c r="D34" s="88">
        <f>iocosts!B276</f>
        <v>0</v>
      </c>
      <c r="E34" s="112">
        <f>unit_prices!H12</f>
        <v>64102.564102564109</v>
      </c>
      <c r="F34" s="24">
        <f t="shared" ref="F34:F40" si="2">D34*E34/1000</f>
        <v>0</v>
      </c>
      <c r="G34" s="89"/>
      <c r="I34" s="74"/>
    </row>
    <row r="35" spans="1:9" s="3" customFormat="1" ht="11.4" x14ac:dyDescent="0.25">
      <c r="A35" s="31" t="s">
        <v>34</v>
      </c>
      <c r="B35" s="58" t="s">
        <v>893</v>
      </c>
      <c r="C35" s="21" t="s">
        <v>89</v>
      </c>
      <c r="D35" s="25"/>
      <c r="E35" s="26"/>
      <c r="F35" s="24">
        <f t="shared" si="2"/>
        <v>0</v>
      </c>
      <c r="G35" s="89"/>
      <c r="I35" s="74"/>
    </row>
    <row r="36" spans="1:9" s="3" customFormat="1" ht="11.4" x14ac:dyDescent="0.25">
      <c r="A36" s="31" t="s">
        <v>35</v>
      </c>
      <c r="B36" s="58" t="s">
        <v>894</v>
      </c>
      <c r="C36" s="21" t="s">
        <v>89</v>
      </c>
      <c r="D36" s="88">
        <f>iocosts!B277</f>
        <v>0</v>
      </c>
      <c r="E36" s="112">
        <f>unit_prices!H13</f>
        <v>85470.085470085469</v>
      </c>
      <c r="F36" s="24">
        <f t="shared" si="2"/>
        <v>0</v>
      </c>
      <c r="G36" s="89"/>
      <c r="I36" s="74"/>
    </row>
    <row r="37" spans="1:9" s="3" customFormat="1" ht="11.4" x14ac:dyDescent="0.25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  <c r="I37" s="74"/>
    </row>
    <row r="38" spans="1:9" s="3" customFormat="1" ht="11.4" x14ac:dyDescent="0.25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  <c r="I38" s="74"/>
    </row>
    <row r="39" spans="1:9" s="3" customFormat="1" ht="11.4" x14ac:dyDescent="0.25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  <c r="I39" s="74"/>
    </row>
    <row r="40" spans="1:9" s="3" customFormat="1" ht="11.4" x14ac:dyDescent="0.25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  <c r="I40" s="74"/>
    </row>
    <row r="41" spans="1:9" s="3" customFormat="1" ht="12" x14ac:dyDescent="0.25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  <c r="I41" s="74"/>
    </row>
    <row r="42" spans="1:9" s="3" customFormat="1" ht="12" x14ac:dyDescent="0.25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  <c r="I42" s="74"/>
    </row>
    <row r="43" spans="1:9" s="3" customFormat="1" ht="12" x14ac:dyDescent="0.25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  <c r="I43" s="74"/>
    </row>
    <row r="44" spans="1:9" s="3" customFormat="1" ht="11.4" x14ac:dyDescent="0.25">
      <c r="A44" s="33" t="s">
        <v>43</v>
      </c>
      <c r="B44" s="58" t="s">
        <v>668</v>
      </c>
      <c r="C44" s="21" t="s">
        <v>1000</v>
      </c>
      <c r="D44" s="88">
        <f>iocosts!B270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  <c r="I44" s="74"/>
    </row>
    <row r="45" spans="1:9" s="3" customFormat="1" ht="11.4" x14ac:dyDescent="0.25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  <c r="I45" s="74"/>
    </row>
    <row r="46" spans="1:9" s="3" customFormat="1" ht="11.4" x14ac:dyDescent="0.25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  <c r="I46" s="74"/>
    </row>
    <row r="47" spans="1:9" s="3" customFormat="1" ht="11.4" x14ac:dyDescent="0.25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  <c r="I47" s="74"/>
    </row>
    <row r="48" spans="1:9" s="3" customFormat="1" ht="11.4" x14ac:dyDescent="0.25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  <c r="I48" s="74"/>
    </row>
    <row r="49" spans="1:9" s="3" customFormat="1" ht="11.4" x14ac:dyDescent="0.25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  <c r="I49" s="74"/>
    </row>
    <row r="50" spans="1:9" s="3" customFormat="1" ht="11.4" x14ac:dyDescent="0.25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  <c r="I50" s="74"/>
    </row>
    <row r="51" spans="1:9" s="3" customFormat="1" ht="12" x14ac:dyDescent="0.25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  <c r="I51" s="74"/>
    </row>
    <row r="52" spans="1:9" s="3" customFormat="1" ht="11.4" x14ac:dyDescent="0.25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  <c r="I52" s="74"/>
    </row>
    <row r="53" spans="1:9" s="3" customFormat="1" ht="11.4" x14ac:dyDescent="0.25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  <c r="I53" s="74"/>
    </row>
    <row r="54" spans="1:9" s="2" customFormat="1" ht="11.4" x14ac:dyDescent="0.25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  <c r="I54" s="74"/>
    </row>
    <row r="55" spans="1:9" s="3" customFormat="1" ht="11.4" x14ac:dyDescent="0.25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  <c r="I55" s="71"/>
    </row>
    <row r="56" spans="1:9" s="3" customFormat="1" ht="11.4" x14ac:dyDescent="0.25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  <c r="I56" s="74"/>
    </row>
    <row r="57" spans="1:9" s="2" customFormat="1" ht="11.4" x14ac:dyDescent="0.25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  <c r="I57" s="74"/>
    </row>
    <row r="58" spans="1:9" s="3" customFormat="1" ht="12" x14ac:dyDescent="0.25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  <c r="I58" s="71"/>
    </row>
    <row r="59" spans="1:9" s="3" customFormat="1" ht="11.4" x14ac:dyDescent="0.25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  <c r="I59" s="74"/>
    </row>
    <row r="60" spans="1:9" s="3" customFormat="1" ht="11.4" x14ac:dyDescent="0.25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  <c r="I60" s="74"/>
    </row>
    <row r="61" spans="1:9" s="3" customFormat="1" ht="11.4" x14ac:dyDescent="0.25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  <c r="I61" s="74"/>
    </row>
    <row r="62" spans="1:9" s="3" customFormat="1" ht="12" x14ac:dyDescent="0.25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  <c r="I62" s="78"/>
    </row>
    <row r="63" spans="1:9" s="3" customFormat="1" ht="12" x14ac:dyDescent="0.25">
      <c r="A63" s="33" t="s">
        <v>62</v>
      </c>
      <c r="B63" s="57" t="s">
        <v>657</v>
      </c>
      <c r="C63" s="21" t="s">
        <v>23</v>
      </c>
      <c r="D63" s="98">
        <f>iocosts!B174</f>
        <v>30</v>
      </c>
      <c r="E63" s="99">
        <f>(F8+F27+F44)*1000/0.7</f>
        <v>0</v>
      </c>
      <c r="F63" s="24">
        <f>D63/100*E63/1000</f>
        <v>0</v>
      </c>
      <c r="G63" s="89"/>
      <c r="H63" s="75" t="s">
        <v>886</v>
      </c>
      <c r="I63" s="78"/>
    </row>
    <row r="64" spans="1:9" s="3" customFormat="1" ht="11.4" x14ac:dyDescent="0.25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  <c r="I64" s="78"/>
    </row>
    <row r="65" spans="1:9" s="3" customFormat="1" ht="12" x14ac:dyDescent="0.25">
      <c r="A65" s="33" t="s">
        <v>63</v>
      </c>
      <c r="B65" s="57" t="s">
        <v>683</v>
      </c>
      <c r="C65" s="21" t="s">
        <v>23</v>
      </c>
      <c r="D65" s="98">
        <f>iocosts!B177</f>
        <v>20</v>
      </c>
      <c r="E65" s="96">
        <f>F64*1000</f>
        <v>0</v>
      </c>
      <c r="F65" s="24">
        <f>D65/100*E65/1000</f>
        <v>0</v>
      </c>
      <c r="G65" s="89"/>
      <c r="H65" s="74"/>
      <c r="I65" s="74"/>
    </row>
    <row r="66" spans="1:9" s="2" customFormat="1" ht="12" thickBot="1" x14ac:dyDescent="0.3">
      <c r="A66" s="11"/>
      <c r="B66" s="56"/>
      <c r="C66" s="12"/>
      <c r="D66" s="13"/>
      <c r="E66" s="14"/>
      <c r="F66" s="15"/>
      <c r="G66" s="84"/>
      <c r="H66" s="71"/>
      <c r="I66" s="74"/>
    </row>
    <row r="67" spans="1:9" s="2" customFormat="1" ht="12" x14ac:dyDescent="0.25">
      <c r="A67" s="16" t="s">
        <v>64</v>
      </c>
      <c r="B67" s="18" t="s">
        <v>684</v>
      </c>
      <c r="C67" s="17"/>
      <c r="D67" s="18"/>
      <c r="E67" s="18"/>
      <c r="F67" s="19">
        <f>SUM(F92:F93)</f>
        <v>11866.176052127605</v>
      </c>
      <c r="G67" s="89"/>
      <c r="H67" s="71"/>
      <c r="I67" s="71"/>
    </row>
    <row r="68" spans="1:9" s="3" customFormat="1" ht="12" x14ac:dyDescent="0.25">
      <c r="A68" s="85" t="s">
        <v>65</v>
      </c>
      <c r="B68" s="57" t="s">
        <v>685</v>
      </c>
      <c r="C68" s="21" t="s">
        <v>10</v>
      </c>
      <c r="D68" s="97">
        <v>1</v>
      </c>
      <c r="E68" s="196">
        <f>iocosts!B9</f>
        <v>929000</v>
      </c>
      <c r="F68" s="23">
        <f>D68*E68/1000</f>
        <v>929</v>
      </c>
      <c r="G68" s="89"/>
    </row>
    <row r="69" spans="1:9" s="3" customFormat="1" ht="12" x14ac:dyDescent="0.25">
      <c r="A69" s="85" t="s">
        <v>66</v>
      </c>
      <c r="B69" s="57" t="s">
        <v>686</v>
      </c>
      <c r="C69" s="21" t="s">
        <v>10</v>
      </c>
      <c r="D69" s="22"/>
      <c r="E69" s="22"/>
      <c r="F69" s="24">
        <f>SUM(F70,F74:F75,F79,F83)</f>
        <v>3996.2298599010655</v>
      </c>
      <c r="G69" s="89"/>
      <c r="H69" s="75"/>
      <c r="I69" s="94"/>
    </row>
    <row r="70" spans="1:9" s="2" customFormat="1" ht="11.4" x14ac:dyDescent="0.25">
      <c r="A70" s="20" t="s">
        <v>67</v>
      </c>
      <c r="B70" s="58" t="s">
        <v>687</v>
      </c>
      <c r="C70" s="21" t="s">
        <v>10</v>
      </c>
      <c r="D70" s="22"/>
      <c r="E70" s="22"/>
      <c r="F70" s="24">
        <f>SUM(F71:F73)</f>
        <v>120.94486995557581</v>
      </c>
      <c r="G70" s="89"/>
      <c r="H70" s="71"/>
      <c r="I70" s="74"/>
    </row>
    <row r="71" spans="1:9" s="3" customFormat="1" ht="11.4" x14ac:dyDescent="0.25">
      <c r="A71" s="20" t="s">
        <v>68</v>
      </c>
      <c r="B71" s="58" t="s">
        <v>725</v>
      </c>
      <c r="C71" s="21" t="s">
        <v>69</v>
      </c>
      <c r="D71" s="88">
        <f>iocosts!B3</f>
        <v>4000</v>
      </c>
      <c r="E71" s="96">
        <f>unit_prices!D5</f>
        <v>3.8235483014242027</v>
      </c>
      <c r="F71" s="24">
        <f t="shared" ref="F71:F74" si="5">D71*E71/1000</f>
        <v>15.294193205696811</v>
      </c>
      <c r="G71" s="89"/>
      <c r="H71" s="90"/>
      <c r="I71" s="91"/>
    </row>
    <row r="72" spans="1:9" s="2" customFormat="1" ht="11.4" x14ac:dyDescent="0.25">
      <c r="A72" s="20" t="s">
        <v>70</v>
      </c>
      <c r="B72" s="58" t="s">
        <v>689</v>
      </c>
      <c r="C72" s="21" t="s">
        <v>69</v>
      </c>
      <c r="D72" s="88">
        <f>iocosts!B4</f>
        <v>10000</v>
      </c>
      <c r="E72" s="96">
        <f>unit_prices!D6</f>
        <v>10.565067674987899</v>
      </c>
      <c r="F72" s="24">
        <f t="shared" si="5"/>
        <v>105.650676749879</v>
      </c>
      <c r="G72" s="89"/>
      <c r="H72" s="90"/>
      <c r="I72" s="91"/>
    </row>
    <row r="73" spans="1:9" s="3" customFormat="1" ht="11.4" x14ac:dyDescent="0.25">
      <c r="A73" s="20" t="s">
        <v>71</v>
      </c>
      <c r="B73" s="58" t="s">
        <v>688</v>
      </c>
      <c r="C73" s="21" t="s">
        <v>69</v>
      </c>
      <c r="D73" s="88">
        <f>iocosts!B5</f>
        <v>0</v>
      </c>
      <c r="E73" s="96">
        <f>unit_prices!D7</f>
        <v>70.43378449991954</v>
      </c>
      <c r="F73" s="24">
        <f t="shared" si="5"/>
        <v>0</v>
      </c>
      <c r="G73" s="89"/>
      <c r="H73" s="74"/>
      <c r="I73" s="71"/>
    </row>
    <row r="74" spans="1:9" s="3" customFormat="1" ht="11.4" x14ac:dyDescent="0.25">
      <c r="A74" s="20" t="s">
        <v>72</v>
      </c>
      <c r="B74" s="58" t="s">
        <v>690</v>
      </c>
      <c r="C74" s="21" t="s">
        <v>4</v>
      </c>
      <c r="D74" s="95">
        <f>iocosts!B6</f>
        <v>500</v>
      </c>
      <c r="E74" s="96">
        <f>unit_prices!D11</f>
        <v>29.959513335501487</v>
      </c>
      <c r="F74" s="24">
        <f t="shared" si="5"/>
        <v>14.979756667750744</v>
      </c>
      <c r="G74" s="89"/>
      <c r="H74" s="74"/>
      <c r="I74" s="71"/>
    </row>
    <row r="75" spans="1:9" s="3" customFormat="1" ht="11.4" x14ac:dyDescent="0.25">
      <c r="A75" s="20" t="s">
        <v>73</v>
      </c>
      <c r="B75" s="58" t="s">
        <v>691</v>
      </c>
      <c r="C75" s="21" t="s">
        <v>10</v>
      </c>
      <c r="D75" s="22"/>
      <c r="E75" s="22"/>
      <c r="F75" s="24">
        <f>SUM(F76:F78)</f>
        <v>2531.289595234965</v>
      </c>
      <c r="G75" s="89"/>
      <c r="H75" s="73"/>
      <c r="I75" s="71"/>
    </row>
    <row r="76" spans="1:9" s="3" customFormat="1" ht="11.4" x14ac:dyDescent="0.25">
      <c r="A76" s="20" t="s">
        <v>74</v>
      </c>
      <c r="B76" s="58" t="s">
        <v>692</v>
      </c>
      <c r="C76" s="21" t="s">
        <v>75</v>
      </c>
      <c r="D76" s="98">
        <f>D77*H76</f>
        <v>2400</v>
      </c>
      <c r="E76" s="96">
        <f>unit_prices!D21</f>
        <v>175.0782643283714</v>
      </c>
      <c r="F76" s="24">
        <f t="shared" ref="F76:F83" si="6">D76*E76/1000</f>
        <v>420.18783438809135</v>
      </c>
      <c r="G76" s="89"/>
      <c r="H76" s="100">
        <v>0.3</v>
      </c>
    </row>
    <row r="77" spans="1:9" s="3" customFormat="1" ht="11.4" x14ac:dyDescent="0.25">
      <c r="A77" s="20" t="s">
        <v>76</v>
      </c>
      <c r="B77" s="58" t="s">
        <v>693</v>
      </c>
      <c r="C77" s="21" t="s">
        <v>69</v>
      </c>
      <c r="D77" s="88">
        <f>iocosts!B7</f>
        <v>8000</v>
      </c>
      <c r="E77" s="96">
        <f>unit_prices!D22</f>
        <v>100.6196921427422</v>
      </c>
      <c r="F77" s="24">
        <f t="shared" si="6"/>
        <v>804.95753714193756</v>
      </c>
      <c r="G77" s="89"/>
      <c r="H77" s="90"/>
    </row>
    <row r="78" spans="1:9" s="3" customFormat="1" ht="11.4" x14ac:dyDescent="0.25">
      <c r="A78" s="20" t="s">
        <v>77</v>
      </c>
      <c r="B78" s="58" t="s">
        <v>694</v>
      </c>
      <c r="C78" s="21" t="s">
        <v>75</v>
      </c>
      <c r="D78" s="98">
        <f>D77*H78</f>
        <v>600</v>
      </c>
      <c r="E78" s="96">
        <f>unit_prices!D25</f>
        <v>2176.9070395082267</v>
      </c>
      <c r="F78" s="24">
        <f t="shared" si="6"/>
        <v>1306.1442237049359</v>
      </c>
      <c r="G78" s="89"/>
      <c r="H78" s="101">
        <v>7.4999999999999997E-2</v>
      </c>
    </row>
    <row r="79" spans="1:9" s="3" customFormat="1" ht="11.4" x14ac:dyDescent="0.2">
      <c r="A79" s="20" t="s">
        <v>73</v>
      </c>
      <c r="B79" s="58" t="s">
        <v>1127</v>
      </c>
      <c r="C79" s="21" t="s">
        <v>10</v>
      </c>
      <c r="D79" s="5"/>
      <c r="E79" s="5"/>
      <c r="F79" s="24">
        <f>SUM(F80:F82)</f>
        <v>79.015638042774015</v>
      </c>
      <c r="G79" s="217" t="s">
        <v>1143</v>
      </c>
    </row>
    <row r="80" spans="1:9" s="3" customFormat="1" ht="11.4" x14ac:dyDescent="0.25">
      <c r="A80" s="20" t="s">
        <v>74</v>
      </c>
      <c r="B80" s="58" t="s">
        <v>692</v>
      </c>
      <c r="C80" s="21" t="s">
        <v>75</v>
      </c>
      <c r="D80" s="98">
        <f>D81*H80</f>
        <v>60</v>
      </c>
      <c r="E80" s="96">
        <f>unit_prices!D21</f>
        <v>175.0782643283714</v>
      </c>
      <c r="F80" s="24">
        <f>D80*E80/1000</f>
        <v>10.504695859702284</v>
      </c>
      <c r="G80" s="89"/>
      <c r="H80" s="103">
        <v>0.3</v>
      </c>
    </row>
    <row r="81" spans="1:8" s="3" customFormat="1" ht="11.4" x14ac:dyDescent="0.25">
      <c r="A81" s="20" t="s">
        <v>76</v>
      </c>
      <c r="B81" s="58" t="s">
        <v>693</v>
      </c>
      <c r="C81" s="21" t="s">
        <v>69</v>
      </c>
      <c r="D81" s="88">
        <f>iocosts!B8</f>
        <v>200</v>
      </c>
      <c r="E81" s="96">
        <f>unit_prices!D24</f>
        <v>190.17121814978273</v>
      </c>
      <c r="F81" s="24">
        <f t="shared" ref="F81:F82" si="7">D81*E81/1000</f>
        <v>38.034243629956542</v>
      </c>
      <c r="G81" s="89"/>
      <c r="H81" s="93"/>
    </row>
    <row r="82" spans="1:8" s="3" customFormat="1" ht="11.4" x14ac:dyDescent="0.25">
      <c r="A82" s="20" t="s">
        <v>77</v>
      </c>
      <c r="B82" s="58" t="s">
        <v>694</v>
      </c>
      <c r="C82" s="21" t="s">
        <v>75</v>
      </c>
      <c r="D82" s="98">
        <f>D81*H82</f>
        <v>14.000000000000002</v>
      </c>
      <c r="E82" s="96">
        <f>unit_prices!D25</f>
        <v>2176.9070395082267</v>
      </c>
      <c r="F82" s="24">
        <f t="shared" si="7"/>
        <v>30.476698553115178</v>
      </c>
      <c r="G82" s="89"/>
      <c r="H82" s="103">
        <v>7.0000000000000007E-2</v>
      </c>
    </row>
    <row r="83" spans="1:8" s="3" customFormat="1" ht="11.4" x14ac:dyDescent="0.25">
      <c r="A83" s="20" t="s">
        <v>78</v>
      </c>
      <c r="B83" s="58" t="s">
        <v>695</v>
      </c>
      <c r="C83" s="21" t="s">
        <v>10</v>
      </c>
      <c r="D83" s="97">
        <v>1</v>
      </c>
      <c r="E83" s="196">
        <f>iocosts!B10</f>
        <v>1250000</v>
      </c>
      <c r="F83" s="24">
        <f t="shared" si="6"/>
        <v>1250</v>
      </c>
      <c r="G83" s="89"/>
      <c r="H83" s="75"/>
    </row>
    <row r="84" spans="1:8" s="3" customFormat="1" ht="12" x14ac:dyDescent="0.25">
      <c r="A84" s="85" t="s">
        <v>1165</v>
      </c>
      <c r="B84" s="57" t="s">
        <v>1166</v>
      </c>
      <c r="C84" s="21" t="s">
        <v>10</v>
      </c>
      <c r="D84" s="22"/>
      <c r="E84" s="22"/>
      <c r="F84" s="24">
        <f>SUM(F85,F87:F88)</f>
        <v>4963.2501835386056</v>
      </c>
      <c r="G84" s="217" t="s">
        <v>1143</v>
      </c>
      <c r="H84" s="75"/>
    </row>
    <row r="85" spans="1:8" s="3" customFormat="1" ht="11.4" x14ac:dyDescent="0.25">
      <c r="A85" s="20" t="s">
        <v>67</v>
      </c>
      <c r="B85" s="58" t="s">
        <v>687</v>
      </c>
      <c r="C85" s="21" t="s">
        <v>10</v>
      </c>
      <c r="D85" s="22"/>
      <c r="E85" s="22"/>
      <c r="F85" s="24">
        <f>SUM(F86)</f>
        <v>3924.986369746232</v>
      </c>
      <c r="G85" s="89"/>
      <c r="H85" s="75"/>
    </row>
    <row r="86" spans="1:8" s="3" customFormat="1" ht="11.4" x14ac:dyDescent="0.25">
      <c r="A86" s="20" t="s">
        <v>71</v>
      </c>
      <c r="B86" s="58" t="s">
        <v>688</v>
      </c>
      <c r="C86" s="21" t="s">
        <v>69</v>
      </c>
      <c r="D86" s="88">
        <f>iocosts!B93</f>
        <v>55725.904800000004</v>
      </c>
      <c r="E86" s="96">
        <f>unit_prices!D7</f>
        <v>70.43378449991954</v>
      </c>
      <c r="F86" s="24">
        <f t="shared" ref="F86:F87" si="8">D86*E86/1000</f>
        <v>3924.986369746232</v>
      </c>
      <c r="G86" s="89"/>
      <c r="H86" s="75"/>
    </row>
    <row r="87" spans="1:8" s="3" customFormat="1" ht="11.4" x14ac:dyDescent="0.25">
      <c r="A87" s="20" t="s">
        <v>72</v>
      </c>
      <c r="B87" s="58" t="s">
        <v>690</v>
      </c>
      <c r="C87" s="21" t="s">
        <v>4</v>
      </c>
      <c r="D87" s="95">
        <f>iocosts!B92</f>
        <v>6120</v>
      </c>
      <c r="E87" s="96">
        <f>unit_prices!D11</f>
        <v>29.959513335501487</v>
      </c>
      <c r="F87" s="24">
        <f t="shared" si="8"/>
        <v>183.35222161326911</v>
      </c>
      <c r="G87" s="89"/>
      <c r="H87" s="75"/>
    </row>
    <row r="88" spans="1:8" s="3" customFormat="1" ht="11.4" x14ac:dyDescent="0.2">
      <c r="A88" s="20" t="s">
        <v>73</v>
      </c>
      <c r="B88" s="58" t="s">
        <v>1127</v>
      </c>
      <c r="C88" s="21" t="s">
        <v>10</v>
      </c>
      <c r="D88" s="5"/>
      <c r="E88" s="22"/>
      <c r="F88" s="24">
        <f>SUM(F89:F91)</f>
        <v>854.91159217910467</v>
      </c>
      <c r="G88" s="89"/>
      <c r="H88" s="75"/>
    </row>
    <row r="89" spans="1:8" s="3" customFormat="1" ht="11.4" x14ac:dyDescent="0.25">
      <c r="A89" s="20" t="s">
        <v>74</v>
      </c>
      <c r="B89" s="58" t="s">
        <v>692</v>
      </c>
      <c r="C89" s="21" t="s">
        <v>75</v>
      </c>
      <c r="D89" s="98">
        <f>D90*H89</f>
        <v>649.17143999999871</v>
      </c>
      <c r="E89" s="96">
        <f>unit_prices!D21</f>
        <v>175.0782643283714</v>
      </c>
      <c r="F89" s="24">
        <f>D89*E89/1000</f>
        <v>113.65580896674928</v>
      </c>
      <c r="G89" s="89"/>
      <c r="H89" s="103">
        <v>0.3</v>
      </c>
    </row>
    <row r="90" spans="1:8" s="3" customFormat="1" ht="11.4" x14ac:dyDescent="0.25">
      <c r="A90" s="20" t="s">
        <v>76</v>
      </c>
      <c r="B90" s="58" t="s">
        <v>693</v>
      </c>
      <c r="C90" s="21" t="s">
        <v>69</v>
      </c>
      <c r="D90" s="88">
        <f>iocosts!B91</f>
        <v>2163.9047999999957</v>
      </c>
      <c r="E90" s="96">
        <f>unit_prices!D24</f>
        <v>190.17121814978273</v>
      </c>
      <c r="F90" s="24">
        <f t="shared" ref="F90:F91" si="9">D90*E90/1000</f>
        <v>411.51241177616117</v>
      </c>
      <c r="G90" s="89"/>
      <c r="H90" s="93"/>
    </row>
    <row r="91" spans="1:8" s="3" customFormat="1" ht="11.4" x14ac:dyDescent="0.25">
      <c r="A91" s="20" t="s">
        <v>77</v>
      </c>
      <c r="B91" s="58" t="s">
        <v>694</v>
      </c>
      <c r="C91" s="21" t="s">
        <v>75</v>
      </c>
      <c r="D91" s="98">
        <f>D90*H91</f>
        <v>151.4733359999997</v>
      </c>
      <c r="E91" s="96">
        <f>unit_prices!D25</f>
        <v>2176.9070395082267</v>
      </c>
      <c r="F91" s="24">
        <f t="shared" si="9"/>
        <v>329.74337143619431</v>
      </c>
      <c r="G91" s="89"/>
      <c r="H91" s="103">
        <v>7.0000000000000007E-2</v>
      </c>
    </row>
    <row r="92" spans="1:8" s="2" customFormat="1" ht="11.4" x14ac:dyDescent="0.25">
      <c r="A92" s="27"/>
      <c r="B92" s="58" t="s">
        <v>696</v>
      </c>
      <c r="C92" s="21"/>
      <c r="D92" s="22"/>
      <c r="E92" s="22"/>
      <c r="F92" s="24">
        <f>SUM(F68:F69,F84)</f>
        <v>9888.4800434396711</v>
      </c>
      <c r="G92" s="89"/>
      <c r="H92" s="76"/>
    </row>
    <row r="93" spans="1:8" s="3" customFormat="1" ht="12" x14ac:dyDescent="0.25">
      <c r="A93" s="20" t="s">
        <v>79</v>
      </c>
      <c r="B93" s="57" t="s">
        <v>697</v>
      </c>
      <c r="C93" s="21" t="s">
        <v>23</v>
      </c>
      <c r="D93" s="98">
        <f>iocosts!B175</f>
        <v>20</v>
      </c>
      <c r="E93" s="99">
        <f>F92*1000</f>
        <v>9888480.0434396714</v>
      </c>
      <c r="F93" s="24">
        <f>D93/100*E93/1000</f>
        <v>1977.6960086879344</v>
      </c>
      <c r="G93" s="89"/>
      <c r="H93" s="76"/>
    </row>
    <row r="94" spans="1:8" s="3" customFormat="1" ht="12" thickBot="1" x14ac:dyDescent="0.3">
      <c r="A94" s="11"/>
      <c r="B94" s="56"/>
      <c r="C94" s="12"/>
      <c r="D94" s="13"/>
      <c r="E94" s="14"/>
      <c r="F94" s="15"/>
      <c r="G94" s="84"/>
      <c r="H94" s="73"/>
    </row>
    <row r="95" spans="1:8" s="3" customFormat="1" ht="12" x14ac:dyDescent="0.25">
      <c r="A95" s="16" t="s">
        <v>80</v>
      </c>
      <c r="B95" s="18" t="s">
        <v>699</v>
      </c>
      <c r="C95" s="17"/>
      <c r="D95" s="28"/>
      <c r="E95" s="29"/>
      <c r="F95" s="19">
        <f>SUM(F331:F334)</f>
        <v>21026.480477869427</v>
      </c>
      <c r="G95" s="89"/>
      <c r="H95" s="76"/>
    </row>
    <row r="96" spans="1:8" s="2" customFormat="1" ht="12" x14ac:dyDescent="0.25">
      <c r="A96" s="85" t="s">
        <v>81</v>
      </c>
      <c r="B96" s="57" t="s">
        <v>700</v>
      </c>
      <c r="C96" s="21"/>
      <c r="D96" s="22"/>
      <c r="E96" s="30"/>
      <c r="F96" s="24">
        <f>SUM(F97,F105,F127)</f>
        <v>881.41823274585965</v>
      </c>
      <c r="G96" s="89"/>
      <c r="H96" s="76"/>
    </row>
    <row r="97" spans="1:9" s="3" customFormat="1" ht="11.4" x14ac:dyDescent="0.25">
      <c r="A97" s="20" t="s">
        <v>82</v>
      </c>
      <c r="B97" s="58" t="s">
        <v>701</v>
      </c>
      <c r="C97" s="21" t="s">
        <v>10</v>
      </c>
      <c r="D97" s="22"/>
      <c r="E97" s="22"/>
      <c r="F97" s="24">
        <f>SUM(F98:F104)</f>
        <v>3.5694835787637786</v>
      </c>
      <c r="G97" s="89"/>
      <c r="H97" s="76"/>
    </row>
    <row r="98" spans="1:9" s="3" customFormat="1" ht="11.4" x14ac:dyDescent="0.25">
      <c r="A98" s="20" t="s">
        <v>219</v>
      </c>
      <c r="B98" s="58" t="s">
        <v>702</v>
      </c>
      <c r="C98" s="21" t="s">
        <v>10</v>
      </c>
      <c r="D98" s="22"/>
      <c r="E98" s="30"/>
      <c r="F98" s="24">
        <f>D98*E98/1000</f>
        <v>0</v>
      </c>
      <c r="G98" s="89"/>
      <c r="H98" s="90"/>
    </row>
    <row r="99" spans="1:9" s="3" customFormat="1" ht="11.4" x14ac:dyDescent="0.25">
      <c r="A99" s="31" t="s">
        <v>83</v>
      </c>
      <c r="B99" s="58" t="s">
        <v>703</v>
      </c>
      <c r="C99" s="21" t="s">
        <v>69</v>
      </c>
      <c r="D99" s="88">
        <f>iocosts!B188</f>
        <v>0</v>
      </c>
      <c r="E99" s="96">
        <f>unit_prices!D13</f>
        <v>1.9117741507121013</v>
      </c>
      <c r="F99" s="24">
        <f>D99*E99/1000</f>
        <v>0</v>
      </c>
      <c r="G99" s="89"/>
      <c r="H99" s="90"/>
    </row>
    <row r="100" spans="1:9" s="3" customFormat="1" ht="11.4" x14ac:dyDescent="0.25">
      <c r="A100" s="31" t="s">
        <v>83</v>
      </c>
      <c r="B100" s="58" t="s">
        <v>704</v>
      </c>
      <c r="C100" s="21" t="s">
        <v>69</v>
      </c>
      <c r="D100" s="88">
        <f>iocosts!B189</f>
        <v>1000</v>
      </c>
      <c r="E100" s="96">
        <f>unit_prices!D14</f>
        <v>1.6602249203552459</v>
      </c>
      <c r="F100" s="24">
        <f>D100*E100/1000</f>
        <v>1.6602249203552459</v>
      </c>
      <c r="G100" s="89"/>
      <c r="H100" s="90"/>
    </row>
    <row r="101" spans="1:9" ht="11.4" x14ac:dyDescent="0.2">
      <c r="A101" s="31" t="s">
        <v>84</v>
      </c>
      <c r="B101" s="58" t="s">
        <v>705</v>
      </c>
      <c r="C101" s="21" t="s">
        <v>10</v>
      </c>
      <c r="D101" s="22"/>
      <c r="E101" s="30"/>
      <c r="F101" s="24">
        <f t="shared" ref="F101:F104" si="10">D101*E101/1000</f>
        <v>0</v>
      </c>
      <c r="G101" s="89"/>
      <c r="I101" s="5"/>
    </row>
    <row r="102" spans="1:9" ht="11.4" x14ac:dyDescent="0.2">
      <c r="A102" s="31" t="s">
        <v>85</v>
      </c>
      <c r="B102" s="58" t="s">
        <v>706</v>
      </c>
      <c r="C102" s="21" t="s">
        <v>69</v>
      </c>
      <c r="D102" s="88">
        <f>D99+D100/2</f>
        <v>500</v>
      </c>
      <c r="E102" s="96">
        <f>unit_prices!D12</f>
        <v>3.3204498407104919</v>
      </c>
      <c r="F102" s="24">
        <f t="shared" si="10"/>
        <v>1.6602249203552459</v>
      </c>
      <c r="G102" s="89"/>
      <c r="I102" s="5"/>
    </row>
    <row r="103" spans="1:9" ht="11.4" x14ac:dyDescent="0.2">
      <c r="A103" s="31" t="s">
        <v>86</v>
      </c>
      <c r="B103" s="58" t="s">
        <v>707</v>
      </c>
      <c r="C103" s="21" t="s">
        <v>23</v>
      </c>
      <c r="D103" s="98">
        <v>15</v>
      </c>
      <c r="E103" s="96">
        <f>(F99+F100)*1000</f>
        <v>1660.224920355246</v>
      </c>
      <c r="F103" s="24">
        <f>D103/100*E103/1000</f>
        <v>0.24903373805328691</v>
      </c>
      <c r="G103" s="89"/>
      <c r="H103" s="76"/>
      <c r="I103" s="5"/>
    </row>
    <row r="104" spans="1:9" ht="11.4" x14ac:dyDescent="0.2">
      <c r="A104" s="31" t="s">
        <v>87</v>
      </c>
      <c r="B104" s="58" t="s">
        <v>708</v>
      </c>
      <c r="C104" s="21" t="s">
        <v>10</v>
      </c>
      <c r="D104" s="22"/>
      <c r="E104" s="22"/>
      <c r="F104" s="24">
        <f t="shared" si="10"/>
        <v>0</v>
      </c>
      <c r="G104" s="89"/>
      <c r="H104" s="76"/>
      <c r="I104" s="5"/>
    </row>
    <row r="105" spans="1:9" ht="11.4" x14ac:dyDescent="0.2">
      <c r="A105" s="32" t="s">
        <v>88</v>
      </c>
      <c r="B105" s="58" t="s">
        <v>709</v>
      </c>
      <c r="C105" s="21" t="s">
        <v>10</v>
      </c>
      <c r="D105" s="22"/>
      <c r="E105" s="30"/>
      <c r="F105" s="24">
        <f>SUM(F106,F110:F111,F115,F119,F122,F126)</f>
        <v>877.84874916709589</v>
      </c>
      <c r="G105" s="89"/>
      <c r="H105" s="76"/>
      <c r="I105" s="5"/>
    </row>
    <row r="106" spans="1:9" ht="11.4" x14ac:dyDescent="0.2">
      <c r="A106" s="27" t="s">
        <v>233</v>
      </c>
      <c r="B106" s="58" t="s">
        <v>710</v>
      </c>
      <c r="C106" s="21" t="s">
        <v>10</v>
      </c>
      <c r="D106" s="22"/>
      <c r="E106" s="30"/>
      <c r="F106" s="24">
        <f>SUM(F107:F109)</f>
        <v>221.64505785203249</v>
      </c>
      <c r="G106" s="89"/>
      <c r="H106" s="76"/>
      <c r="I106" s="5"/>
    </row>
    <row r="107" spans="1:9" ht="11.4" x14ac:dyDescent="0.2">
      <c r="A107" s="33" t="s">
        <v>234</v>
      </c>
      <c r="B107" s="58" t="s">
        <v>726</v>
      </c>
      <c r="C107" s="21" t="s">
        <v>69</v>
      </c>
      <c r="D107" s="88">
        <f>IF(iocosts!B197&gt;0,iocosts!B190,0)</f>
        <v>1600</v>
      </c>
      <c r="E107" s="96">
        <f>unit_prices!D5</f>
        <v>3.8235483014242027</v>
      </c>
      <c r="F107" s="24">
        <f>D107*E107/1000</f>
        <v>6.1176772822787244</v>
      </c>
      <c r="G107" s="89"/>
      <c r="H107" s="76"/>
      <c r="I107" s="5"/>
    </row>
    <row r="108" spans="1:9" ht="11.4" x14ac:dyDescent="0.2">
      <c r="A108" s="33" t="s">
        <v>235</v>
      </c>
      <c r="B108" s="58" t="s">
        <v>711</v>
      </c>
      <c r="C108" s="21" t="s">
        <v>69</v>
      </c>
      <c r="D108" s="88">
        <f>IF(iocosts!B197&gt;0,iocosts!B191,0)</f>
        <v>400</v>
      </c>
      <c r="E108" s="96">
        <f>unit_prices!D6</f>
        <v>10.565067674987899</v>
      </c>
      <c r="F108" s="24">
        <f>D108*E108/1000</f>
        <v>4.2260270699951601</v>
      </c>
      <c r="G108" s="89"/>
      <c r="H108" s="76"/>
      <c r="I108" s="5"/>
    </row>
    <row r="109" spans="1:9" ht="11.4" x14ac:dyDescent="0.2">
      <c r="A109" s="33" t="s">
        <v>246</v>
      </c>
      <c r="B109" s="58" t="s">
        <v>712</v>
      </c>
      <c r="C109" s="21" t="s">
        <v>69</v>
      </c>
      <c r="D109" s="88">
        <f>iocosts!B193</f>
        <v>3000</v>
      </c>
      <c r="E109" s="96">
        <f>unit_prices!D7</f>
        <v>70.43378449991954</v>
      </c>
      <c r="F109" s="24">
        <f>D109*E109/1000</f>
        <v>211.30135349975862</v>
      </c>
      <c r="G109" s="89"/>
      <c r="H109" s="76"/>
      <c r="I109" s="5"/>
    </row>
    <row r="110" spans="1:9" ht="11.4" x14ac:dyDescent="0.2">
      <c r="A110" s="33" t="s">
        <v>236</v>
      </c>
      <c r="B110" s="58" t="s">
        <v>713</v>
      </c>
      <c r="C110" s="21" t="s">
        <v>4</v>
      </c>
      <c r="D110" s="95">
        <f>iocosts!B194</f>
        <v>100</v>
      </c>
      <c r="E110" s="96">
        <f>unit_prices!D10</f>
        <v>3.7430525477100089</v>
      </c>
      <c r="F110" s="24">
        <f>D110*E110/1000</f>
        <v>0.37430525477100085</v>
      </c>
      <c r="G110" s="89"/>
      <c r="H110" s="90"/>
      <c r="I110" s="5"/>
    </row>
    <row r="111" spans="1:9" ht="11.4" x14ac:dyDescent="0.2">
      <c r="A111" s="33" t="s">
        <v>237</v>
      </c>
      <c r="B111" s="58" t="s">
        <v>714</v>
      </c>
      <c r="C111" s="21" t="s">
        <v>10</v>
      </c>
      <c r="D111" s="22"/>
      <c r="E111" s="30"/>
      <c r="F111" s="24">
        <f>SUM(F112:F114)</f>
        <v>129.51766772613774</v>
      </c>
      <c r="G111" s="89"/>
      <c r="H111" s="72"/>
      <c r="I111" s="5"/>
    </row>
    <row r="112" spans="1:9" ht="11.4" x14ac:dyDescent="0.2">
      <c r="A112" s="33" t="s">
        <v>238</v>
      </c>
      <c r="B112" s="58" t="s">
        <v>715</v>
      </c>
      <c r="C112" s="21" t="s">
        <v>75</v>
      </c>
      <c r="D112" s="98">
        <f>D113*H112</f>
        <v>112.00000000000001</v>
      </c>
      <c r="E112" s="96">
        <f>unit_prices!D21</f>
        <v>175.0782643283714</v>
      </c>
      <c r="F112" s="24">
        <f>D112*E112/1000</f>
        <v>19.608765604777599</v>
      </c>
      <c r="G112" s="89"/>
      <c r="H112" s="103">
        <v>0.28000000000000003</v>
      </c>
      <c r="I112" s="5"/>
    </row>
    <row r="113" spans="1:9" ht="11.4" x14ac:dyDescent="0.2">
      <c r="A113" s="33" t="s">
        <v>239</v>
      </c>
      <c r="B113" s="58" t="s">
        <v>716</v>
      </c>
      <c r="C113" s="21" t="s">
        <v>69</v>
      </c>
      <c r="D113" s="88">
        <f>iocosts!B195</f>
        <v>400</v>
      </c>
      <c r="E113" s="96">
        <f>unit_prices!D22</f>
        <v>100.6196921427422</v>
      </c>
      <c r="F113" s="24">
        <f t="shared" ref="F113:F114" si="11">D113*E113/1000</f>
        <v>40.247876857096877</v>
      </c>
      <c r="G113" s="89"/>
      <c r="H113" s="93"/>
      <c r="I113" s="5"/>
    </row>
    <row r="114" spans="1:9" ht="11.4" x14ac:dyDescent="0.2">
      <c r="A114" s="33" t="s">
        <v>240</v>
      </c>
      <c r="B114" s="58" t="s">
        <v>717</v>
      </c>
      <c r="C114" s="21" t="s">
        <v>75</v>
      </c>
      <c r="D114" s="98">
        <f>D113*H114</f>
        <v>32</v>
      </c>
      <c r="E114" s="96">
        <f>unit_prices!D25</f>
        <v>2176.9070395082267</v>
      </c>
      <c r="F114" s="24">
        <f t="shared" si="11"/>
        <v>69.661025264263259</v>
      </c>
      <c r="G114" s="89"/>
      <c r="H114" s="103">
        <v>0.08</v>
      </c>
      <c r="I114" s="5"/>
    </row>
    <row r="115" spans="1:9" ht="11.4" x14ac:dyDescent="0.2">
      <c r="A115" s="33" t="s">
        <v>237</v>
      </c>
      <c r="B115" s="58" t="s">
        <v>718</v>
      </c>
      <c r="C115" s="21" t="s">
        <v>10</v>
      </c>
      <c r="F115" s="24">
        <f>SUM(F116:F118)</f>
        <v>118.52345706416101</v>
      </c>
      <c r="G115" s="89"/>
      <c r="H115" s="72"/>
      <c r="I115" s="5"/>
    </row>
    <row r="116" spans="1:9" ht="11.4" x14ac:dyDescent="0.2">
      <c r="A116" s="33" t="s">
        <v>238</v>
      </c>
      <c r="B116" s="58" t="s">
        <v>715</v>
      </c>
      <c r="C116" s="21" t="s">
        <v>75</v>
      </c>
      <c r="D116" s="98">
        <f>D117*H116</f>
        <v>90</v>
      </c>
      <c r="E116" s="96">
        <f>unit_prices!D21</f>
        <v>175.0782643283714</v>
      </c>
      <c r="F116" s="24">
        <f>D116*E116/1000</f>
        <v>15.757043789553427</v>
      </c>
      <c r="G116" s="89"/>
      <c r="H116" s="103">
        <v>0.3</v>
      </c>
      <c r="I116" s="5"/>
    </row>
    <row r="117" spans="1:9" ht="11.4" x14ac:dyDescent="0.2">
      <c r="A117" s="33" t="s">
        <v>239</v>
      </c>
      <c r="B117" s="58" t="s">
        <v>716</v>
      </c>
      <c r="C117" s="21" t="s">
        <v>69</v>
      </c>
      <c r="D117" s="88">
        <f>iocosts!B196</f>
        <v>300</v>
      </c>
      <c r="E117" s="96">
        <f>unit_prices!D24</f>
        <v>190.17121814978273</v>
      </c>
      <c r="F117" s="24">
        <f t="shared" ref="F117:F118" si="12">D117*E117/1000</f>
        <v>57.051365444934817</v>
      </c>
      <c r="G117" s="89"/>
      <c r="H117" s="93"/>
      <c r="I117" s="5"/>
    </row>
    <row r="118" spans="1:9" ht="11.4" x14ac:dyDescent="0.2">
      <c r="A118" s="33" t="s">
        <v>240</v>
      </c>
      <c r="B118" s="58" t="s">
        <v>717</v>
      </c>
      <c r="C118" s="21" t="s">
        <v>75</v>
      </c>
      <c r="D118" s="98">
        <f>D117*H118</f>
        <v>21.000000000000004</v>
      </c>
      <c r="E118" s="96">
        <f>unit_prices!D25</f>
        <v>2176.9070395082267</v>
      </c>
      <c r="F118" s="24">
        <f t="shared" si="12"/>
        <v>45.71504782967277</v>
      </c>
      <c r="G118" s="89"/>
      <c r="H118" s="103">
        <v>7.0000000000000007E-2</v>
      </c>
      <c r="I118" s="5"/>
    </row>
    <row r="119" spans="1:9" ht="11.4" x14ac:dyDescent="0.2">
      <c r="A119" s="33" t="s">
        <v>237</v>
      </c>
      <c r="B119" s="58" t="s">
        <v>853</v>
      </c>
      <c r="C119" s="21" t="s">
        <v>10</v>
      </c>
      <c r="F119" s="24">
        <f>SUM(F120:F121)</f>
        <v>41.555932854952523</v>
      </c>
      <c r="G119" s="89"/>
      <c r="H119" s="90"/>
      <c r="I119" s="5"/>
    </row>
    <row r="120" spans="1:9" ht="11.4" x14ac:dyDescent="0.2">
      <c r="A120" s="33" t="s">
        <v>238</v>
      </c>
      <c r="B120" s="58" t="s">
        <v>715</v>
      </c>
      <c r="C120" s="21" t="s">
        <v>75</v>
      </c>
      <c r="D120" s="98">
        <f>D121*H120</f>
        <v>75</v>
      </c>
      <c r="E120" s="96">
        <f>unit_prices!D21</f>
        <v>175.0782643283714</v>
      </c>
      <c r="F120" s="24">
        <f>D120*E120/1000</f>
        <v>13.130869824627855</v>
      </c>
      <c r="G120" s="89"/>
      <c r="H120" s="103">
        <v>0.15</v>
      </c>
      <c r="I120" s="5"/>
    </row>
    <row r="121" spans="1:9" ht="11.4" x14ac:dyDescent="0.2">
      <c r="A121" s="33" t="s">
        <v>239</v>
      </c>
      <c r="B121" s="58" t="s">
        <v>716</v>
      </c>
      <c r="C121" s="21" t="s">
        <v>69</v>
      </c>
      <c r="D121" s="88">
        <f>IF(iocosts!B197&gt;0,iocosts!B192,0)</f>
        <v>500</v>
      </c>
      <c r="E121" s="96">
        <f>unit_prices!D23</f>
        <v>56.850126060649337</v>
      </c>
      <c r="F121" s="24">
        <f t="shared" ref="F121" si="13">D121*E121/1000</f>
        <v>28.425063030324669</v>
      </c>
      <c r="G121" s="89"/>
      <c r="H121" s="90"/>
      <c r="I121" s="5"/>
    </row>
    <row r="122" spans="1:9" ht="11.4" x14ac:dyDescent="0.2">
      <c r="A122" s="33" t="s">
        <v>241</v>
      </c>
      <c r="B122" s="58" t="s">
        <v>720</v>
      </c>
      <c r="C122" s="21" t="s">
        <v>10</v>
      </c>
      <c r="D122" s="22"/>
      <c r="E122" s="22"/>
      <c r="F122" s="24">
        <f>SUM(F123:F125)</f>
        <v>356</v>
      </c>
      <c r="G122" s="89"/>
      <c r="H122" s="90"/>
      <c r="I122" s="5"/>
    </row>
    <row r="123" spans="1:9" ht="11.4" x14ac:dyDescent="0.2">
      <c r="A123" s="33" t="s">
        <v>242</v>
      </c>
      <c r="B123" s="58" t="s">
        <v>762</v>
      </c>
      <c r="C123" s="21" t="s">
        <v>89</v>
      </c>
      <c r="D123" s="104">
        <f>iocosts!B197</f>
        <v>1</v>
      </c>
      <c r="E123" s="104">
        <f>ROUNDUP(IF(iocosts!B117=0,iocosts!B198*unit_prices!L8,iocosts!B199)*(1+(iocosts!B168+iocosts!B169+iocosts!B170)/100),-3)</f>
        <v>198000</v>
      </c>
      <c r="F123" s="24">
        <f>D123*E123/1000</f>
        <v>198</v>
      </c>
      <c r="G123" s="195" t="s">
        <v>1097</v>
      </c>
      <c r="H123" s="90"/>
      <c r="I123" s="5"/>
    </row>
    <row r="124" spans="1:9" ht="11.4" x14ac:dyDescent="0.2">
      <c r="A124" s="20" t="s">
        <v>243</v>
      </c>
      <c r="B124" s="58" t="s">
        <v>721</v>
      </c>
      <c r="C124" s="21" t="s">
        <v>89</v>
      </c>
      <c r="D124" s="104">
        <f>iocosts!B200</f>
        <v>1</v>
      </c>
      <c r="E124" s="104">
        <f>ROUNDUP(IF(iocosts!B117=0,iocosts!B201*unit_prices!L9,iocosts!B202)*(1+(iocosts!B168+iocosts!B169+iocosts!B170)/100),-3)</f>
        <v>136000</v>
      </c>
      <c r="F124" s="24">
        <f>D124*E124/1000</f>
        <v>136</v>
      </c>
      <c r="G124" s="195" t="s">
        <v>1097</v>
      </c>
      <c r="H124" s="72"/>
      <c r="I124" s="5"/>
    </row>
    <row r="125" spans="1:9" ht="11.4" x14ac:dyDescent="0.2">
      <c r="A125" s="33" t="s">
        <v>244</v>
      </c>
      <c r="B125" s="58" t="s">
        <v>722</v>
      </c>
      <c r="C125" s="21" t="s">
        <v>89</v>
      </c>
      <c r="D125" s="98">
        <v>1</v>
      </c>
      <c r="E125" s="104">
        <f>ROUNDUP(IF(iocosts!B117=0,iocosts!B203*unit_prices!L13,iocosts!B204)*(1+(iocosts!B168+iocosts!B169+iocosts!B170)/100),-3)</f>
        <v>22000</v>
      </c>
      <c r="F125" s="24">
        <f>D125*E125/1000</f>
        <v>22</v>
      </c>
      <c r="G125" s="195" t="s">
        <v>1097</v>
      </c>
      <c r="H125" s="72"/>
      <c r="I125" s="5"/>
    </row>
    <row r="126" spans="1:9" ht="11.4" x14ac:dyDescent="0.2">
      <c r="A126" s="20" t="s">
        <v>245</v>
      </c>
      <c r="B126" s="58" t="s">
        <v>719</v>
      </c>
      <c r="C126" s="21" t="s">
        <v>23</v>
      </c>
      <c r="D126" s="102">
        <f>iocosts!B173</f>
        <v>2</v>
      </c>
      <c r="E126" s="30">
        <f>SUM(F106,F110:F111,F115,F119)*1000</f>
        <v>511616.42075205478</v>
      </c>
      <c r="F126" s="24">
        <f>D126/100*E126/1000</f>
        <v>10.232328415041096</v>
      </c>
      <c r="G126" s="89"/>
      <c r="H126" s="76"/>
      <c r="I126" s="5"/>
    </row>
    <row r="127" spans="1:9" ht="11.4" x14ac:dyDescent="0.2">
      <c r="A127" s="20" t="s">
        <v>215</v>
      </c>
      <c r="B127" s="58" t="s">
        <v>724</v>
      </c>
      <c r="C127" s="21" t="s">
        <v>10</v>
      </c>
      <c r="D127" s="22"/>
      <c r="E127" s="30"/>
      <c r="F127" s="24">
        <f>SUM(F128,F131:F132,F136,F139,F144)</f>
        <v>0</v>
      </c>
      <c r="G127" s="89"/>
      <c r="H127" s="76"/>
      <c r="I127" s="5"/>
    </row>
    <row r="128" spans="1:9" ht="11.4" x14ac:dyDescent="0.2">
      <c r="A128" s="27" t="s">
        <v>247</v>
      </c>
      <c r="B128" s="58" t="s">
        <v>710</v>
      </c>
      <c r="C128" s="21" t="s">
        <v>10</v>
      </c>
      <c r="D128" s="22"/>
      <c r="E128" s="30"/>
      <c r="F128" s="24">
        <f>SUM(F129:F130)</f>
        <v>0</v>
      </c>
      <c r="G128" s="89"/>
      <c r="H128" s="5"/>
      <c r="I128" s="5"/>
    </row>
    <row r="129" spans="1:9" ht="11.4" x14ac:dyDescent="0.2">
      <c r="A129" s="33" t="s">
        <v>248</v>
      </c>
      <c r="B129" s="58" t="s">
        <v>726</v>
      </c>
      <c r="C129" s="21" t="s">
        <v>69</v>
      </c>
      <c r="D129" s="88">
        <f>IF(iocosts!B197&gt;0,0,iocosts!B190)</f>
        <v>0</v>
      </c>
      <c r="E129" s="96">
        <f>unit_prices!D5</f>
        <v>3.8235483014242027</v>
      </c>
      <c r="F129" s="24">
        <f>D129*E129/1000</f>
        <v>0</v>
      </c>
      <c r="G129" s="89"/>
      <c r="I129" s="5"/>
    </row>
    <row r="130" spans="1:9" ht="11.4" x14ac:dyDescent="0.2">
      <c r="A130" s="33" t="s">
        <v>249</v>
      </c>
      <c r="B130" s="58" t="s">
        <v>711</v>
      </c>
      <c r="C130" s="21" t="s">
        <v>69</v>
      </c>
      <c r="D130" s="88">
        <f>IF(iocosts!B197&gt;0,0,iocosts!B191)+iocosts!B205+iocosts!B208</f>
        <v>0</v>
      </c>
      <c r="E130" s="96">
        <f>unit_prices!D6</f>
        <v>10.565067674987899</v>
      </c>
      <c r="F130" s="24">
        <f>D130*E130/1000</f>
        <v>0</v>
      </c>
      <c r="G130" s="89"/>
      <c r="H130" s="93"/>
      <c r="I130" s="5"/>
    </row>
    <row r="131" spans="1:9" ht="11.4" x14ac:dyDescent="0.2">
      <c r="A131" s="33" t="s">
        <v>250</v>
      </c>
      <c r="B131" s="58" t="s">
        <v>713</v>
      </c>
      <c r="C131" s="21" t="s">
        <v>4</v>
      </c>
      <c r="D131" s="88">
        <f>iocosts!B206+iocosts!B209</f>
        <v>0</v>
      </c>
      <c r="E131" s="96">
        <f>unit_prices!D11</f>
        <v>29.959513335501487</v>
      </c>
      <c r="F131" s="24">
        <f>D131*E131/1000</f>
        <v>0</v>
      </c>
      <c r="G131" s="89"/>
      <c r="H131" s="76"/>
      <c r="I131" s="5"/>
    </row>
    <row r="132" spans="1:9" ht="11.4" x14ac:dyDescent="0.2">
      <c r="A132" s="33" t="s">
        <v>251</v>
      </c>
      <c r="B132" s="58" t="s">
        <v>714</v>
      </c>
      <c r="C132" s="21" t="s">
        <v>10</v>
      </c>
      <c r="D132" s="22"/>
      <c r="E132" s="30"/>
      <c r="F132" s="24">
        <f>SUM(F133:F135)</f>
        <v>0</v>
      </c>
      <c r="G132" s="89"/>
      <c r="I132" s="5"/>
    </row>
    <row r="133" spans="1:9" ht="11.4" x14ac:dyDescent="0.2">
      <c r="A133" s="33" t="s">
        <v>252</v>
      </c>
      <c r="B133" s="58" t="s">
        <v>715</v>
      </c>
      <c r="C133" s="21" t="s">
        <v>75</v>
      </c>
      <c r="D133" s="98">
        <f>D134*H133</f>
        <v>0</v>
      </c>
      <c r="E133" s="96">
        <f>unit_prices!D21</f>
        <v>175.0782643283714</v>
      </c>
      <c r="F133" s="24">
        <f>D133*E133/1000</f>
        <v>0</v>
      </c>
      <c r="G133" s="89"/>
      <c r="H133" s="103">
        <v>0.28000000000000003</v>
      </c>
      <c r="I133" s="5"/>
    </row>
    <row r="134" spans="1:9" ht="11.4" x14ac:dyDescent="0.2">
      <c r="A134" s="33" t="s">
        <v>253</v>
      </c>
      <c r="B134" s="58" t="s">
        <v>716</v>
      </c>
      <c r="C134" s="21" t="s">
        <v>69</v>
      </c>
      <c r="D134" s="88">
        <f>iocosts!B207+iocosts!B210</f>
        <v>0</v>
      </c>
      <c r="E134" s="96">
        <f>unit_prices!D22</f>
        <v>100.6196921427422</v>
      </c>
      <c r="F134" s="24">
        <f t="shared" ref="F134:F135" si="14">D134*E134/1000</f>
        <v>0</v>
      </c>
      <c r="G134" s="89"/>
      <c r="H134" s="93"/>
      <c r="I134" s="5"/>
    </row>
    <row r="135" spans="1:9" ht="11.4" x14ac:dyDescent="0.2">
      <c r="A135" s="33" t="s">
        <v>254</v>
      </c>
      <c r="B135" s="58" t="s">
        <v>717</v>
      </c>
      <c r="C135" s="21" t="s">
        <v>75</v>
      </c>
      <c r="D135" s="98">
        <f>D134*H135</f>
        <v>0</v>
      </c>
      <c r="E135" s="96">
        <f>unit_prices!D25</f>
        <v>2176.9070395082267</v>
      </c>
      <c r="F135" s="24">
        <f t="shared" si="14"/>
        <v>0</v>
      </c>
      <c r="G135" s="89"/>
      <c r="H135" s="103">
        <v>0.08</v>
      </c>
      <c r="I135" s="5"/>
    </row>
    <row r="136" spans="1:9" ht="11.4" x14ac:dyDescent="0.2">
      <c r="A136" s="33" t="s">
        <v>251</v>
      </c>
      <c r="B136" s="58" t="s">
        <v>853</v>
      </c>
      <c r="C136" s="21" t="s">
        <v>10</v>
      </c>
      <c r="F136" s="24">
        <f>SUM(F137:F138)</f>
        <v>0</v>
      </c>
      <c r="G136" s="89"/>
      <c r="H136" s="90"/>
      <c r="I136" s="5"/>
    </row>
    <row r="137" spans="1:9" ht="11.4" x14ac:dyDescent="0.2">
      <c r="A137" s="33" t="s">
        <v>252</v>
      </c>
      <c r="B137" s="58" t="s">
        <v>715</v>
      </c>
      <c r="C137" s="21" t="s">
        <v>75</v>
      </c>
      <c r="D137" s="98">
        <f>D138*H137</f>
        <v>0</v>
      </c>
      <c r="E137" s="96">
        <f>unit_prices!D21</f>
        <v>175.0782643283714</v>
      </c>
      <c r="F137" s="24">
        <f>D137*E137/1000</f>
        <v>0</v>
      </c>
      <c r="G137" s="89"/>
      <c r="H137" s="103">
        <v>0.15</v>
      </c>
      <c r="I137" s="5"/>
    </row>
    <row r="138" spans="1:9" ht="11.4" x14ac:dyDescent="0.2">
      <c r="A138" s="33" t="s">
        <v>253</v>
      </c>
      <c r="B138" s="58" t="s">
        <v>716</v>
      </c>
      <c r="C138" s="21" t="s">
        <v>69</v>
      </c>
      <c r="D138" s="88">
        <f>IF(iocosts!B197&gt;0,0,iocosts!B192)</f>
        <v>0</v>
      </c>
      <c r="E138" s="96">
        <f>unit_prices!D23</f>
        <v>56.850126060649337</v>
      </c>
      <c r="F138" s="24">
        <f t="shared" ref="F138" si="15">D138*E138/1000</f>
        <v>0</v>
      </c>
      <c r="G138" s="89"/>
      <c r="H138" s="90"/>
      <c r="I138" s="5"/>
    </row>
    <row r="139" spans="1:9" ht="11.4" x14ac:dyDescent="0.2">
      <c r="A139" s="33" t="s">
        <v>255</v>
      </c>
      <c r="B139" s="58" t="s">
        <v>720</v>
      </c>
      <c r="C139" s="21" t="s">
        <v>10</v>
      </c>
      <c r="D139" s="22"/>
      <c r="E139" s="22"/>
      <c r="F139" s="24">
        <f>SUM(F140:F143)</f>
        <v>0</v>
      </c>
      <c r="G139" s="89"/>
      <c r="H139" s="5"/>
      <c r="I139" s="5"/>
    </row>
    <row r="140" spans="1:9" ht="11.4" x14ac:dyDescent="0.2">
      <c r="A140" s="33" t="s">
        <v>256</v>
      </c>
      <c r="B140" s="58" t="s">
        <v>762</v>
      </c>
      <c r="C140" s="21" t="s">
        <v>89</v>
      </c>
      <c r="D140" s="104">
        <f>iocosts!B211</f>
        <v>0</v>
      </c>
      <c r="E140" s="104">
        <f>ROUNDUP(IF(iocosts!B117=0,iocosts!B212*unit_prices!L8,iocosts!B213)*(1+(iocosts!B168+iocosts!B169+iocosts!B170)/100),-3)</f>
        <v>0</v>
      </c>
      <c r="F140" s="24">
        <f t="shared" ref="F140:F143" si="16">D140*E140/1000</f>
        <v>0</v>
      </c>
      <c r="G140" s="195" t="s">
        <v>1097</v>
      </c>
      <c r="H140" s="5"/>
      <c r="I140" s="5"/>
    </row>
    <row r="141" spans="1:9" ht="11.4" x14ac:dyDescent="0.2">
      <c r="A141" s="20" t="s">
        <v>258</v>
      </c>
      <c r="B141" s="58" t="s">
        <v>721</v>
      </c>
      <c r="C141" s="21" t="s">
        <v>89</v>
      </c>
      <c r="D141" s="104">
        <f>iocosts!B214</f>
        <v>0</v>
      </c>
      <c r="E141" s="104">
        <f>ROUNDUP(IF(iocosts!B117=0,iocosts!B215*unit_prices!L9,iocosts!B216)*(1+(iocosts!B168+iocosts!B169+iocosts!B170)/100),-3)</f>
        <v>0</v>
      </c>
      <c r="F141" s="24">
        <f t="shared" si="16"/>
        <v>0</v>
      </c>
      <c r="G141" s="195" t="s">
        <v>1097</v>
      </c>
      <c r="H141" s="5"/>
      <c r="I141" s="5"/>
    </row>
    <row r="142" spans="1:9" ht="11.4" x14ac:dyDescent="0.2">
      <c r="A142" s="20" t="s">
        <v>258</v>
      </c>
      <c r="B142" s="58" t="s">
        <v>723</v>
      </c>
      <c r="C142" s="21" t="s">
        <v>89</v>
      </c>
      <c r="D142" s="104">
        <f>iocosts!B217</f>
        <v>0</v>
      </c>
      <c r="E142" s="104">
        <f>ROUNDUP(IF(iocosts!B117=0,iocosts!B218*unit_prices!L9,iocosts!B219)*(1+(iocosts!B168+iocosts!B169+iocosts!B170)/100),-3)</f>
        <v>0</v>
      </c>
      <c r="F142" s="24">
        <f t="shared" si="16"/>
        <v>0</v>
      </c>
      <c r="G142" s="195" t="s">
        <v>1097</v>
      </c>
      <c r="H142" s="5"/>
      <c r="I142" s="5"/>
    </row>
    <row r="143" spans="1:9" ht="11.4" x14ac:dyDescent="0.2">
      <c r="A143" s="33" t="s">
        <v>257</v>
      </c>
      <c r="B143" s="58" t="s">
        <v>722</v>
      </c>
      <c r="C143" s="21" t="s">
        <v>89</v>
      </c>
      <c r="D143" s="98">
        <v>1</v>
      </c>
      <c r="E143" s="104">
        <f>ROUNDUP(IF(iocosts!B117=0,iocosts!B220*unit_prices!L13,iocosts!B221)*(1+(iocosts!B168+iocosts!B169+iocosts!B170)/100),-3)</f>
        <v>0</v>
      </c>
      <c r="F143" s="24">
        <f t="shared" si="16"/>
        <v>0</v>
      </c>
      <c r="G143" s="195" t="s">
        <v>1097</v>
      </c>
      <c r="H143" s="5"/>
      <c r="I143" s="5"/>
    </row>
    <row r="144" spans="1:9" ht="11.4" x14ac:dyDescent="0.2">
      <c r="A144" s="20" t="s">
        <v>259</v>
      </c>
      <c r="B144" s="58" t="s">
        <v>719</v>
      </c>
      <c r="C144" s="21" t="s">
        <v>23</v>
      </c>
      <c r="D144" s="102">
        <f>iocosts!B173</f>
        <v>2</v>
      </c>
      <c r="E144" s="30">
        <f>SUM(F128,F131:F132,F136)*1000</f>
        <v>0</v>
      </c>
      <c r="F144" s="24">
        <f>D144/100*E144/1000</f>
        <v>0</v>
      </c>
      <c r="G144" s="89"/>
      <c r="H144" s="5"/>
      <c r="I144" s="5"/>
    </row>
    <row r="145" spans="1:9" ht="12" x14ac:dyDescent="0.2">
      <c r="A145" s="42" t="s">
        <v>90</v>
      </c>
      <c r="B145" s="57" t="s">
        <v>1114</v>
      </c>
      <c r="C145" s="21"/>
      <c r="D145" s="22"/>
      <c r="E145" s="30"/>
      <c r="F145" s="24">
        <f>SUM(F146,F166,F179)</f>
        <v>955.65353705058737</v>
      </c>
      <c r="G145" s="89"/>
      <c r="H145" s="5"/>
      <c r="I145" s="5"/>
    </row>
    <row r="146" spans="1:9" ht="11.4" x14ac:dyDescent="0.2">
      <c r="A146" s="31" t="s">
        <v>91</v>
      </c>
      <c r="B146" s="58" t="s">
        <v>1115</v>
      </c>
      <c r="C146" s="21" t="s">
        <v>10</v>
      </c>
      <c r="D146" s="22"/>
      <c r="E146" s="30"/>
      <c r="F146" s="24">
        <f>SUM(F147,F152:F156,F157,F161,F165)</f>
        <v>251.81295456996162</v>
      </c>
      <c r="G146" s="89"/>
      <c r="H146" s="5"/>
      <c r="I146" s="5"/>
    </row>
    <row r="147" spans="1:9" ht="11.4" x14ac:dyDescent="0.2">
      <c r="A147" s="31" t="s">
        <v>92</v>
      </c>
      <c r="B147" s="58" t="s">
        <v>687</v>
      </c>
      <c r="C147" s="21" t="s">
        <v>10</v>
      </c>
      <c r="D147" s="22"/>
      <c r="E147" s="30"/>
      <c r="F147" s="24">
        <f>SUM(F148:F151)</f>
        <v>118.48471848268608</v>
      </c>
      <c r="G147" s="89"/>
      <c r="H147" s="5"/>
      <c r="I147" s="5"/>
    </row>
    <row r="148" spans="1:9" ht="11.4" x14ac:dyDescent="0.2">
      <c r="A148" s="31" t="s">
        <v>93</v>
      </c>
      <c r="B148" s="58" t="s">
        <v>725</v>
      </c>
      <c r="C148" s="21" t="s">
        <v>69</v>
      </c>
      <c r="D148" s="88">
        <f>iocosts!B222+iocosts!B224</f>
        <v>0</v>
      </c>
      <c r="E148" s="96">
        <f>unit_prices!D5</f>
        <v>3.8235483014242027</v>
      </c>
      <c r="F148" s="24">
        <f>D148*E148/1000</f>
        <v>0</v>
      </c>
      <c r="G148" s="89"/>
      <c r="H148" s="5"/>
      <c r="I148" s="5"/>
    </row>
    <row r="149" spans="1:9" ht="11.4" x14ac:dyDescent="0.2">
      <c r="A149" s="31" t="s">
        <v>93</v>
      </c>
      <c r="B149" s="58" t="s">
        <v>740</v>
      </c>
      <c r="C149" s="21" t="s">
        <v>69</v>
      </c>
      <c r="D149" s="88">
        <f>balance!D20</f>
        <v>0</v>
      </c>
      <c r="E149" s="96">
        <f>unit_prices!D8</f>
        <v>7.8684599255624397</v>
      </c>
      <c r="F149" s="24">
        <f t="shared" ref="F149" si="17">D149*E149/1000</f>
        <v>0</v>
      </c>
      <c r="G149" s="89"/>
      <c r="H149" s="5"/>
      <c r="I149" s="5"/>
    </row>
    <row r="150" spans="1:9" ht="11.4" x14ac:dyDescent="0.2">
      <c r="A150" s="31" t="s">
        <v>94</v>
      </c>
      <c r="B150" s="58" t="s">
        <v>727</v>
      </c>
      <c r="C150" s="21" t="s">
        <v>69</v>
      </c>
      <c r="D150" s="88">
        <v>0</v>
      </c>
      <c r="E150" s="96">
        <f>unit_prices!D6</f>
        <v>10.565067674987899</v>
      </c>
      <c r="F150" s="24">
        <f>D150*E150/1000</f>
        <v>0</v>
      </c>
      <c r="G150" s="89"/>
      <c r="H150" s="5"/>
      <c r="I150" s="5"/>
    </row>
    <row r="151" spans="1:9" ht="11.4" x14ac:dyDescent="0.2">
      <c r="A151" s="31" t="s">
        <v>94</v>
      </c>
      <c r="B151" s="58" t="s">
        <v>741</v>
      </c>
      <c r="C151" s="21" t="s">
        <v>69</v>
      </c>
      <c r="D151" s="88">
        <f>balance!D12</f>
        <v>11000</v>
      </c>
      <c r="E151" s="96">
        <f>unit_prices!D9</f>
        <v>10.771338043880553</v>
      </c>
      <c r="F151" s="24">
        <f>D151*E151/1000</f>
        <v>118.48471848268608</v>
      </c>
      <c r="G151" s="89"/>
      <c r="H151" s="5"/>
      <c r="I151" s="5"/>
    </row>
    <row r="152" spans="1:9" ht="11.4" x14ac:dyDescent="0.2">
      <c r="A152" s="31" t="s">
        <v>95</v>
      </c>
      <c r="B152" s="58" t="s">
        <v>729</v>
      </c>
      <c r="C152" s="21" t="s">
        <v>4</v>
      </c>
      <c r="D152" s="88">
        <f>iocosts!B223+iocosts!B225</f>
        <v>0</v>
      </c>
      <c r="E152" s="96">
        <f>unit_prices!D10</f>
        <v>3.7430525477100089</v>
      </c>
      <c r="F152" s="23">
        <f>D152*E152/1000</f>
        <v>0</v>
      </c>
      <c r="G152" s="89"/>
      <c r="H152" s="5"/>
      <c r="I152" s="5"/>
    </row>
    <row r="153" spans="1:9" ht="11.4" x14ac:dyDescent="0.2">
      <c r="A153" s="31" t="s">
        <v>96</v>
      </c>
      <c r="B153" s="58" t="s">
        <v>738</v>
      </c>
      <c r="C153" s="21" t="s">
        <v>69</v>
      </c>
      <c r="D153" s="88">
        <f>iocosts!B226</f>
        <v>0</v>
      </c>
      <c r="E153" s="96">
        <f>unit_prices!D15</f>
        <v>1.3533348593198822</v>
      </c>
      <c r="F153" s="24">
        <f t="shared" ref="F153:F156" si="18">D153*E153/1000</f>
        <v>0</v>
      </c>
      <c r="G153" s="89"/>
      <c r="H153" s="5"/>
      <c r="I153" s="5"/>
    </row>
    <row r="154" spans="1:9" ht="11.4" x14ac:dyDescent="0.2">
      <c r="A154" s="31" t="s">
        <v>97</v>
      </c>
      <c r="B154" s="58" t="s">
        <v>737</v>
      </c>
      <c r="C154" s="21" t="s">
        <v>69</v>
      </c>
      <c r="D154" s="88">
        <f>iocosts!B227</f>
        <v>16000</v>
      </c>
      <c r="E154" s="96">
        <f>unit_prices!D17</f>
        <v>5.2322239914225941</v>
      </c>
      <c r="F154" s="24">
        <f t="shared" si="18"/>
        <v>83.715583862761505</v>
      </c>
      <c r="G154" s="89"/>
      <c r="H154" s="5"/>
      <c r="I154" s="5"/>
    </row>
    <row r="155" spans="1:9" ht="11.4" x14ac:dyDescent="0.2">
      <c r="A155" s="31" t="s">
        <v>98</v>
      </c>
      <c r="B155" s="58" t="s">
        <v>739</v>
      </c>
      <c r="C155" s="21" t="s">
        <v>69</v>
      </c>
      <c r="D155" s="88">
        <f>iocosts!B228</f>
        <v>8000</v>
      </c>
      <c r="E155" s="96">
        <f>unit_prices!D16</f>
        <v>5.5843929139221915</v>
      </c>
      <c r="F155" s="24">
        <f t="shared" si="18"/>
        <v>44.675143311377532</v>
      </c>
      <c r="G155" s="89"/>
      <c r="H155" s="5"/>
      <c r="I155" s="5"/>
    </row>
    <row r="156" spans="1:9" ht="11.4" x14ac:dyDescent="0.2">
      <c r="A156" s="33" t="s">
        <v>99</v>
      </c>
      <c r="B156" s="58" t="s">
        <v>742</v>
      </c>
      <c r="C156" s="21" t="s">
        <v>69</v>
      </c>
      <c r="D156" s="88">
        <f>iocosts!B229+iocosts!B230</f>
        <v>0</v>
      </c>
      <c r="E156" s="96">
        <f>unit_prices!D18</f>
        <v>13.080559978556485</v>
      </c>
      <c r="F156" s="24">
        <f t="shared" si="18"/>
        <v>0</v>
      </c>
      <c r="G156" s="89"/>
      <c r="H156" s="93"/>
      <c r="I156" s="5"/>
    </row>
    <row r="157" spans="1:9" ht="11.4" x14ac:dyDescent="0.2">
      <c r="A157" s="31" t="s">
        <v>100</v>
      </c>
      <c r="B157" s="58" t="s">
        <v>743</v>
      </c>
      <c r="C157" s="21" t="s">
        <v>10</v>
      </c>
      <c r="D157" s="22"/>
      <c r="E157" s="30"/>
      <c r="F157" s="24">
        <f>SUM(F158:F160)</f>
        <v>0</v>
      </c>
      <c r="G157" s="89"/>
      <c r="H157" s="5"/>
      <c r="I157" s="5"/>
    </row>
    <row r="158" spans="1:9" ht="11.4" x14ac:dyDescent="0.2">
      <c r="A158" s="31" t="s">
        <v>101</v>
      </c>
      <c r="B158" s="58" t="s">
        <v>692</v>
      </c>
      <c r="C158" s="21" t="s">
        <v>75</v>
      </c>
      <c r="D158" s="98">
        <f>D159*H158</f>
        <v>0</v>
      </c>
      <c r="E158" s="96">
        <f>unit_prices!D21</f>
        <v>175.0782643283714</v>
      </c>
      <c r="F158" s="24">
        <f>D158*E158/1000</f>
        <v>0</v>
      </c>
      <c r="G158" s="89"/>
      <c r="H158" s="103">
        <v>0.25</v>
      </c>
      <c r="I158" s="5"/>
    </row>
    <row r="159" spans="1:9" ht="11.4" x14ac:dyDescent="0.2">
      <c r="A159" s="31" t="s">
        <v>102</v>
      </c>
      <c r="B159" s="58" t="s">
        <v>732</v>
      </c>
      <c r="C159" s="21" t="s">
        <v>69</v>
      </c>
      <c r="D159" s="88">
        <f>iocosts!B231</f>
        <v>0</v>
      </c>
      <c r="E159" s="96">
        <f>unit_prices!D22</f>
        <v>100.6196921427422</v>
      </c>
      <c r="F159" s="24">
        <f t="shared" ref="F159:F160" si="19">D159*E159/1000</f>
        <v>0</v>
      </c>
      <c r="G159" s="89"/>
      <c r="H159" s="76"/>
      <c r="I159" s="5"/>
    </row>
    <row r="160" spans="1:9" ht="11.4" x14ac:dyDescent="0.2">
      <c r="A160" s="31" t="s">
        <v>232</v>
      </c>
      <c r="B160" s="58" t="s">
        <v>734</v>
      </c>
      <c r="C160" s="21" t="s">
        <v>75</v>
      </c>
      <c r="D160" s="98">
        <f>D159*H160</f>
        <v>0</v>
      </c>
      <c r="E160" s="96">
        <f>unit_prices!D25</f>
        <v>2176.9070395082267</v>
      </c>
      <c r="F160" s="24">
        <f t="shared" si="19"/>
        <v>0</v>
      </c>
      <c r="G160" s="89"/>
      <c r="H160" s="103">
        <v>0.08</v>
      </c>
      <c r="I160" s="5"/>
    </row>
    <row r="161" spans="1:9" ht="11.4" x14ac:dyDescent="0.2">
      <c r="A161" s="33" t="s">
        <v>103</v>
      </c>
      <c r="B161" s="58" t="s">
        <v>744</v>
      </c>
      <c r="C161" s="21" t="s">
        <v>10</v>
      </c>
      <c r="D161" s="22"/>
      <c r="E161" s="30"/>
      <c r="F161" s="24">
        <f>SUM(F162:F163)</f>
        <v>0</v>
      </c>
      <c r="G161" s="89"/>
      <c r="H161" s="93"/>
      <c r="I161" s="5"/>
    </row>
    <row r="162" spans="1:9" ht="13.2" x14ac:dyDescent="0.2">
      <c r="A162" s="33" t="s">
        <v>104</v>
      </c>
      <c r="B162" s="58" t="s">
        <v>746</v>
      </c>
      <c r="C162" s="21" t="s">
        <v>213</v>
      </c>
      <c r="D162" s="88">
        <f>iocosts!B232</f>
        <v>0</v>
      </c>
      <c r="E162" s="96">
        <f>unit_prices!D19</f>
        <v>6.4899701432068717</v>
      </c>
      <c r="F162" s="24">
        <f>D162*E162/1000</f>
        <v>0</v>
      </c>
      <c r="G162" s="89"/>
      <c r="I162" s="5"/>
    </row>
    <row r="163" spans="1:9" ht="13.2" x14ac:dyDescent="0.2">
      <c r="A163" s="33" t="s">
        <v>105</v>
      </c>
      <c r="B163" s="58" t="s">
        <v>745</v>
      </c>
      <c r="C163" s="34" t="s">
        <v>214</v>
      </c>
      <c r="D163" s="88">
        <f>iocosts!B233</f>
        <v>0</v>
      </c>
      <c r="E163" s="96">
        <f>unit_prices!D20</f>
        <v>2.9682809182108949</v>
      </c>
      <c r="F163" s="24">
        <f t="shared" ref="F163:F164" si="20">D163*E163/1000</f>
        <v>0</v>
      </c>
      <c r="G163" s="89"/>
      <c r="I163" s="5"/>
    </row>
    <row r="164" spans="1:9" ht="13.2" x14ac:dyDescent="0.2">
      <c r="A164" s="33" t="s">
        <v>1163</v>
      </c>
      <c r="B164" s="58" t="s">
        <v>1164</v>
      </c>
      <c r="C164" s="34" t="s">
        <v>214</v>
      </c>
      <c r="D164" s="88">
        <f>iocosts!B234</f>
        <v>0</v>
      </c>
      <c r="E164" s="96">
        <f>iocosts!B234</f>
        <v>0</v>
      </c>
      <c r="F164" s="24">
        <f t="shared" si="20"/>
        <v>0</v>
      </c>
      <c r="G164" s="191"/>
      <c r="I164" s="5"/>
    </row>
    <row r="165" spans="1:9" ht="11.4" x14ac:dyDescent="0.2">
      <c r="A165" s="33" t="s">
        <v>106</v>
      </c>
      <c r="B165" s="58" t="s">
        <v>651</v>
      </c>
      <c r="C165" s="21" t="s">
        <v>23</v>
      </c>
      <c r="D165" s="102">
        <f>iocosts!B173</f>
        <v>2</v>
      </c>
      <c r="E165" s="99">
        <f>SUM(F147,F152:F156,F161,F157)*1000</f>
        <v>246875.44565682512</v>
      </c>
      <c r="F165" s="24">
        <f>D165/100*E165/1000</f>
        <v>4.9375089131365018</v>
      </c>
      <c r="G165" s="89"/>
      <c r="H165" s="90"/>
      <c r="I165" s="5"/>
    </row>
    <row r="166" spans="1:9" ht="11.4" x14ac:dyDescent="0.2">
      <c r="A166" s="33" t="s">
        <v>107</v>
      </c>
      <c r="B166" s="58" t="s">
        <v>747</v>
      </c>
      <c r="C166" s="21" t="s">
        <v>10</v>
      </c>
      <c r="D166" s="22"/>
      <c r="E166" s="30"/>
      <c r="F166" s="24">
        <f>SUM(F167,F170:F171,F175,F178)</f>
        <v>0</v>
      </c>
      <c r="G166" s="89"/>
      <c r="H166" s="90"/>
      <c r="I166" s="5"/>
    </row>
    <row r="167" spans="1:9" ht="11.4" x14ac:dyDescent="0.2">
      <c r="A167" s="27" t="s">
        <v>220</v>
      </c>
      <c r="B167" s="58" t="s">
        <v>687</v>
      </c>
      <c r="C167" s="21" t="s">
        <v>10</v>
      </c>
      <c r="D167" s="22"/>
      <c r="E167" s="30"/>
      <c r="F167" s="24">
        <f>SUM(F168:F169)</f>
        <v>0</v>
      </c>
      <c r="G167" s="89"/>
      <c r="H167" s="76"/>
      <c r="I167" s="5"/>
    </row>
    <row r="168" spans="1:9" ht="11.4" x14ac:dyDescent="0.2">
      <c r="A168" s="20" t="s">
        <v>221</v>
      </c>
      <c r="B168" s="58" t="s">
        <v>725</v>
      </c>
      <c r="C168" s="21" t="s">
        <v>69</v>
      </c>
      <c r="D168" s="88">
        <f>iocosts!B235</f>
        <v>0</v>
      </c>
      <c r="E168" s="96">
        <f>unit_prices!D5</f>
        <v>3.8235483014242027</v>
      </c>
      <c r="F168" s="24">
        <f>D168*E168/1000</f>
        <v>0</v>
      </c>
      <c r="G168" s="89"/>
      <c r="H168" s="71"/>
      <c r="I168" s="5"/>
    </row>
    <row r="169" spans="1:9" ht="11.4" x14ac:dyDescent="0.2">
      <c r="A169" s="20" t="s">
        <v>222</v>
      </c>
      <c r="B169" s="58" t="s">
        <v>727</v>
      </c>
      <c r="C169" s="21" t="s">
        <v>69</v>
      </c>
      <c r="D169" s="88">
        <f>iocosts!B236</f>
        <v>0</v>
      </c>
      <c r="E169" s="96">
        <f>unit_prices!D6</f>
        <v>10.565067674987899</v>
      </c>
      <c r="F169" s="24">
        <f t="shared" ref="F169" si="21">D169*E169/1000</f>
        <v>0</v>
      </c>
      <c r="G169" s="89"/>
      <c r="H169" s="5"/>
      <c r="I169" s="5"/>
    </row>
    <row r="170" spans="1:9" ht="11.4" x14ac:dyDescent="0.2">
      <c r="A170" s="31" t="s">
        <v>223</v>
      </c>
      <c r="B170" s="58" t="s">
        <v>729</v>
      </c>
      <c r="C170" s="21" t="s">
        <v>4</v>
      </c>
      <c r="D170" s="88">
        <f>iocosts!B237</f>
        <v>0</v>
      </c>
      <c r="E170" s="96">
        <f>unit_prices!D11</f>
        <v>29.959513335501487</v>
      </c>
      <c r="F170" s="23">
        <f>D170*E170/1000</f>
        <v>0</v>
      </c>
      <c r="G170" s="89"/>
      <c r="H170" s="5"/>
      <c r="I170" s="5"/>
    </row>
    <row r="171" spans="1:9" ht="11.4" x14ac:dyDescent="0.2">
      <c r="A171" s="31" t="s">
        <v>224</v>
      </c>
      <c r="B171" s="58" t="s">
        <v>691</v>
      </c>
      <c r="C171" s="21" t="s">
        <v>10</v>
      </c>
      <c r="D171" s="22"/>
      <c r="E171" s="30"/>
      <c r="F171" s="24">
        <f>SUM(F172:F174)</f>
        <v>0</v>
      </c>
      <c r="G171" s="89"/>
      <c r="H171" s="5"/>
      <c r="I171" s="5"/>
    </row>
    <row r="172" spans="1:9" ht="11.4" x14ac:dyDescent="0.2">
      <c r="A172" s="31" t="s">
        <v>225</v>
      </c>
      <c r="B172" s="58" t="s">
        <v>692</v>
      </c>
      <c r="C172" s="21" t="s">
        <v>75</v>
      </c>
      <c r="D172" s="98">
        <f>D173*H172</f>
        <v>0</v>
      </c>
      <c r="E172" s="96">
        <f>unit_prices!D21</f>
        <v>175.0782643283714</v>
      </c>
      <c r="F172" s="24">
        <f>D172*E172/1000</f>
        <v>0</v>
      </c>
      <c r="G172" s="89"/>
      <c r="H172" s="103">
        <v>0.25</v>
      </c>
      <c r="I172" s="5"/>
    </row>
    <row r="173" spans="1:9" ht="11.4" x14ac:dyDescent="0.2">
      <c r="A173" s="31" t="s">
        <v>226</v>
      </c>
      <c r="B173" s="58" t="s">
        <v>732</v>
      </c>
      <c r="C173" s="21" t="s">
        <v>69</v>
      </c>
      <c r="D173" s="88">
        <f>iocosts!B238</f>
        <v>0</v>
      </c>
      <c r="E173" s="96">
        <f>unit_prices!D22</f>
        <v>100.6196921427422</v>
      </c>
      <c r="F173" s="24">
        <f t="shared" ref="F173:F174" si="22">D173*E173/1000</f>
        <v>0</v>
      </c>
      <c r="G173" s="89"/>
      <c r="H173" s="93"/>
      <c r="I173" s="5"/>
    </row>
    <row r="174" spans="1:9" ht="11.4" x14ac:dyDescent="0.2">
      <c r="A174" s="31" t="s">
        <v>227</v>
      </c>
      <c r="B174" s="58" t="s">
        <v>734</v>
      </c>
      <c r="C174" s="21" t="s">
        <v>75</v>
      </c>
      <c r="D174" s="98">
        <f>D173*H174</f>
        <v>0</v>
      </c>
      <c r="E174" s="96">
        <f>unit_prices!D25</f>
        <v>2176.9070395082267</v>
      </c>
      <c r="F174" s="24">
        <f t="shared" si="22"/>
        <v>0</v>
      </c>
      <c r="G174" s="89"/>
      <c r="H174" s="103">
        <v>0.01</v>
      </c>
      <c r="I174" s="5"/>
    </row>
    <row r="175" spans="1:9" ht="11.4" x14ac:dyDescent="0.2">
      <c r="A175" s="31" t="s">
        <v>229</v>
      </c>
      <c r="B175" s="58" t="s">
        <v>748</v>
      </c>
      <c r="C175" s="21" t="s">
        <v>10</v>
      </c>
      <c r="D175" s="22"/>
      <c r="E175" s="30"/>
      <c r="F175" s="24">
        <f>SUM(F176:F177)</f>
        <v>0</v>
      </c>
      <c r="G175" s="89"/>
      <c r="H175" s="76"/>
      <c r="I175" s="5"/>
    </row>
    <row r="176" spans="1:9" ht="11.4" x14ac:dyDescent="0.2">
      <c r="A176" s="31" t="s">
        <v>230</v>
      </c>
      <c r="B176" s="58" t="s">
        <v>692</v>
      </c>
      <c r="C176" s="21" t="s">
        <v>75</v>
      </c>
      <c r="D176" s="98">
        <f>D177*H176</f>
        <v>0</v>
      </c>
      <c r="E176" s="96">
        <f>unit_prices!D21</f>
        <v>175.0782643283714</v>
      </c>
      <c r="F176" s="24">
        <f>D176*E176/1000</f>
        <v>0</v>
      </c>
      <c r="G176" s="89"/>
      <c r="H176" s="103">
        <v>0.1</v>
      </c>
      <c r="I176" s="5"/>
    </row>
    <row r="177" spans="1:9" ht="11.4" x14ac:dyDescent="0.2">
      <c r="A177" s="31" t="s">
        <v>231</v>
      </c>
      <c r="B177" s="58" t="s">
        <v>732</v>
      </c>
      <c r="C177" s="21" t="s">
        <v>69</v>
      </c>
      <c r="D177" s="88">
        <f>iocosts!B239</f>
        <v>0</v>
      </c>
      <c r="E177" s="96">
        <f>unit_prices!D23</f>
        <v>56.850126060649337</v>
      </c>
      <c r="F177" s="24">
        <f t="shared" ref="F177" si="23">D177*E177/1000</f>
        <v>0</v>
      </c>
      <c r="G177" s="89"/>
      <c r="H177" s="90"/>
      <c r="I177" s="5"/>
    </row>
    <row r="178" spans="1:9" ht="11.4" x14ac:dyDescent="0.2">
      <c r="A178" s="32" t="s">
        <v>228</v>
      </c>
      <c r="B178" s="58" t="s">
        <v>651</v>
      </c>
      <c r="C178" s="21" t="s">
        <v>23</v>
      </c>
      <c r="D178" s="102">
        <f>iocosts!B173</f>
        <v>2</v>
      </c>
      <c r="E178" s="99">
        <f>SUM(F167,F170:F171,F175)*1000</f>
        <v>0</v>
      </c>
      <c r="F178" s="24">
        <f>D178/100*E178/1000</f>
        <v>0</v>
      </c>
      <c r="G178" s="89"/>
      <c r="I178" s="5"/>
    </row>
    <row r="179" spans="1:9" ht="11.4" x14ac:dyDescent="0.2">
      <c r="A179" s="33" t="s">
        <v>108</v>
      </c>
      <c r="B179" s="58" t="s">
        <v>749</v>
      </c>
      <c r="C179" s="21" t="s">
        <v>10</v>
      </c>
      <c r="D179" s="22"/>
      <c r="E179" s="30"/>
      <c r="F179" s="24">
        <f>SUM(F180,F183:F184,F188)</f>
        <v>703.84058248062581</v>
      </c>
      <c r="G179" s="89"/>
      <c r="H179" s="92"/>
      <c r="I179" s="5"/>
    </row>
    <row r="180" spans="1:9" ht="11.4" x14ac:dyDescent="0.2">
      <c r="A180" s="27" t="s">
        <v>109</v>
      </c>
      <c r="B180" s="58" t="s">
        <v>687</v>
      </c>
      <c r="C180" s="21" t="s">
        <v>10</v>
      </c>
      <c r="D180" s="22"/>
      <c r="E180" s="30"/>
      <c r="F180" s="24">
        <f>SUM(F181:F182)</f>
        <v>35.5187513263879</v>
      </c>
      <c r="G180" s="89"/>
      <c r="H180" s="92"/>
      <c r="I180" s="5"/>
    </row>
    <row r="181" spans="1:9" ht="11.4" x14ac:dyDescent="0.2">
      <c r="A181" s="20" t="s">
        <v>110</v>
      </c>
      <c r="B181" s="58" t="s">
        <v>725</v>
      </c>
      <c r="C181" s="21" t="s">
        <v>69</v>
      </c>
      <c r="D181" s="88">
        <f>iocosts!B240</f>
        <v>1000</v>
      </c>
      <c r="E181" s="96">
        <f>unit_prices!D5</f>
        <v>3.8235483014242027</v>
      </c>
      <c r="F181" s="24">
        <f>D181*E181/1000</f>
        <v>3.8235483014242027</v>
      </c>
      <c r="G181" s="89"/>
      <c r="H181" s="73"/>
      <c r="I181" s="5"/>
    </row>
    <row r="182" spans="1:9" ht="11.4" x14ac:dyDescent="0.2">
      <c r="A182" s="20" t="s">
        <v>111</v>
      </c>
      <c r="B182" s="58" t="s">
        <v>727</v>
      </c>
      <c r="C182" s="21" t="s">
        <v>69</v>
      </c>
      <c r="D182" s="88">
        <f>iocosts!B241</f>
        <v>3000</v>
      </c>
      <c r="E182" s="96">
        <f>unit_prices!D6</f>
        <v>10.565067674987899</v>
      </c>
      <c r="F182" s="24">
        <f t="shared" ref="F182" si="24">D182*E182/1000</f>
        <v>31.6952030249637</v>
      </c>
      <c r="G182" s="89"/>
      <c r="H182" s="5"/>
      <c r="I182" s="5"/>
    </row>
    <row r="183" spans="1:9" ht="11.4" x14ac:dyDescent="0.2">
      <c r="A183" s="31" t="s">
        <v>112</v>
      </c>
      <c r="B183" s="58" t="s">
        <v>729</v>
      </c>
      <c r="C183" s="21" t="s">
        <v>4</v>
      </c>
      <c r="D183" s="88">
        <f>iocosts!B242</f>
        <v>2000</v>
      </c>
      <c r="E183" s="96">
        <f>unit_prices!D11</f>
        <v>29.959513335501487</v>
      </c>
      <c r="F183" s="23">
        <f>D183*E183/1000</f>
        <v>59.919026671002975</v>
      </c>
      <c r="G183" s="89"/>
      <c r="H183" s="5"/>
      <c r="I183" s="5"/>
    </row>
    <row r="184" spans="1:9" ht="11.4" x14ac:dyDescent="0.2">
      <c r="A184" s="31" t="s">
        <v>113</v>
      </c>
      <c r="B184" s="58" t="s">
        <v>691</v>
      </c>
      <c r="C184" s="21" t="s">
        <v>10</v>
      </c>
      <c r="D184" s="22"/>
      <c r="E184" s="30"/>
      <c r="F184" s="24">
        <f>SUM(F185:F187)</f>
        <v>594.60200874832071</v>
      </c>
      <c r="G184" s="89"/>
      <c r="H184" s="5"/>
      <c r="I184" s="5"/>
    </row>
    <row r="185" spans="1:9" ht="11.4" x14ac:dyDescent="0.2">
      <c r="A185" s="31" t="s">
        <v>114</v>
      </c>
      <c r="B185" s="58" t="s">
        <v>692</v>
      </c>
      <c r="C185" s="21" t="s">
        <v>75</v>
      </c>
      <c r="D185" s="98">
        <f>D186*H185</f>
        <v>600</v>
      </c>
      <c r="E185" s="96">
        <f>unit_prices!D21</f>
        <v>175.0782643283714</v>
      </c>
      <c r="F185" s="24">
        <f>D185*E185/1000</f>
        <v>105.04695859702284</v>
      </c>
      <c r="G185" s="89"/>
      <c r="H185" s="103">
        <v>0.15</v>
      </c>
      <c r="I185" s="5"/>
    </row>
    <row r="186" spans="1:9" ht="11.4" x14ac:dyDescent="0.2">
      <c r="A186" s="31" t="s">
        <v>115</v>
      </c>
      <c r="B186" s="58" t="s">
        <v>732</v>
      </c>
      <c r="C186" s="21" t="s">
        <v>69</v>
      </c>
      <c r="D186" s="88">
        <f>iocosts!B243</f>
        <v>4000</v>
      </c>
      <c r="E186" s="96">
        <f>unit_prices!D22</f>
        <v>100.6196921427422</v>
      </c>
      <c r="F186" s="24">
        <f t="shared" ref="F186:F187" si="25">D186*E186/1000</f>
        <v>402.47876857096878</v>
      </c>
      <c r="G186" s="89"/>
      <c r="H186" s="93"/>
      <c r="I186" s="5"/>
    </row>
    <row r="187" spans="1:9" ht="11.4" x14ac:dyDescent="0.2">
      <c r="A187" s="31" t="s">
        <v>116</v>
      </c>
      <c r="B187" s="58" t="s">
        <v>734</v>
      </c>
      <c r="C187" s="21" t="s">
        <v>75</v>
      </c>
      <c r="D187" s="98">
        <f>D186*H187</f>
        <v>40</v>
      </c>
      <c r="E187" s="96">
        <f>unit_prices!D25</f>
        <v>2176.9070395082267</v>
      </c>
      <c r="F187" s="24">
        <f t="shared" si="25"/>
        <v>87.076281580329066</v>
      </c>
      <c r="G187" s="89"/>
      <c r="H187" s="103">
        <v>0.01</v>
      </c>
      <c r="I187" s="5"/>
    </row>
    <row r="188" spans="1:9" ht="11.4" x14ac:dyDescent="0.2">
      <c r="A188" s="32" t="s">
        <v>117</v>
      </c>
      <c r="B188" s="58" t="s">
        <v>651</v>
      </c>
      <c r="C188" s="21" t="s">
        <v>23</v>
      </c>
      <c r="D188" s="102">
        <f>iocosts!B173</f>
        <v>2</v>
      </c>
      <c r="E188" s="30">
        <f>SUM(F180,F183:F184)*1000</f>
        <v>690039.78674571158</v>
      </c>
      <c r="F188" s="24">
        <f>D188/100*E188/1000</f>
        <v>13.800795734914233</v>
      </c>
      <c r="G188" s="89"/>
      <c r="H188" s="5"/>
      <c r="I188" s="5"/>
    </row>
    <row r="189" spans="1:9" ht="12" x14ac:dyDescent="0.2">
      <c r="A189" s="42" t="s">
        <v>118</v>
      </c>
      <c r="B189" s="57" t="s">
        <v>750</v>
      </c>
      <c r="C189" s="21"/>
      <c r="D189" s="22"/>
      <c r="E189" s="30"/>
      <c r="F189" s="24">
        <f>SUM(F190,F208)</f>
        <v>4465.4541207763104</v>
      </c>
      <c r="G189" s="89"/>
      <c r="H189" s="5"/>
      <c r="I189" s="5"/>
    </row>
    <row r="190" spans="1:9" ht="11.4" x14ac:dyDescent="0.2">
      <c r="A190" s="20" t="s">
        <v>119</v>
      </c>
      <c r="B190" s="58" t="s">
        <v>751</v>
      </c>
      <c r="C190" s="21" t="s">
        <v>10</v>
      </c>
      <c r="D190" s="22"/>
      <c r="E190" s="30"/>
      <c r="F190" s="24">
        <f>SUM(F191,F194:F195,F199,F202,F207)</f>
        <v>4465.4541207763104</v>
      </c>
      <c r="G190" s="89"/>
      <c r="H190" s="76"/>
      <c r="I190" s="5"/>
    </row>
    <row r="191" spans="1:9" ht="11.4" x14ac:dyDescent="0.2">
      <c r="A191" s="20" t="s">
        <v>120</v>
      </c>
      <c r="B191" s="58" t="s">
        <v>687</v>
      </c>
      <c r="C191" s="21" t="s">
        <v>10</v>
      </c>
      <c r="D191" s="22"/>
      <c r="E191" s="30"/>
      <c r="F191" s="24">
        <f>SUM(F192:F193)</f>
        <v>53.27812698958185</v>
      </c>
      <c r="G191" s="89"/>
      <c r="H191" s="76"/>
      <c r="I191" s="5"/>
    </row>
    <row r="192" spans="1:9" ht="11.4" x14ac:dyDescent="0.2">
      <c r="A192" s="20" t="s">
        <v>121</v>
      </c>
      <c r="B192" s="58" t="s">
        <v>725</v>
      </c>
      <c r="C192" s="21" t="s">
        <v>69</v>
      </c>
      <c r="D192" s="88">
        <f>iocosts!B250+iocosts!B244+iocosts!B247</f>
        <v>1500</v>
      </c>
      <c r="E192" s="96">
        <f>unit_prices!D5</f>
        <v>3.8235483014242027</v>
      </c>
      <c r="F192" s="24">
        <f>D192*E192/1000</f>
        <v>5.7353224521363035</v>
      </c>
      <c r="G192" s="89"/>
      <c r="H192" s="76"/>
      <c r="I192" s="5"/>
    </row>
    <row r="193" spans="1:9" ht="11.4" x14ac:dyDescent="0.2">
      <c r="A193" s="20" t="s">
        <v>122</v>
      </c>
      <c r="B193" s="58" t="s">
        <v>727</v>
      </c>
      <c r="C193" s="21" t="s">
        <v>69</v>
      </c>
      <c r="D193" s="88">
        <f>iocosts!B251+iocosts!B245+iocosts!B248</f>
        <v>4500</v>
      </c>
      <c r="E193" s="96">
        <f>unit_prices!D6</f>
        <v>10.565067674987899</v>
      </c>
      <c r="F193" s="24">
        <f>D193*E193/1000</f>
        <v>47.542804537445548</v>
      </c>
      <c r="G193" s="89"/>
      <c r="H193" s="76"/>
      <c r="I193" s="5"/>
    </row>
    <row r="194" spans="1:9" ht="11.4" x14ac:dyDescent="0.2">
      <c r="A194" s="20" t="s">
        <v>123</v>
      </c>
      <c r="B194" s="58" t="s">
        <v>729</v>
      </c>
      <c r="C194" s="21" t="s">
        <v>4</v>
      </c>
      <c r="D194" s="88">
        <f>iocosts!B252</f>
        <v>2000</v>
      </c>
      <c r="E194" s="96">
        <f>unit_prices!D11</f>
        <v>29.959513335501487</v>
      </c>
      <c r="F194" s="24">
        <f>D194*E194/1000</f>
        <v>59.919026671002975</v>
      </c>
      <c r="G194" s="89"/>
      <c r="H194" s="92"/>
      <c r="I194" s="5"/>
    </row>
    <row r="195" spans="1:9" ht="11.4" x14ac:dyDescent="0.2">
      <c r="A195" s="20" t="s">
        <v>124</v>
      </c>
      <c r="B195" s="58" t="s">
        <v>691</v>
      </c>
      <c r="C195" s="21" t="s">
        <v>10</v>
      </c>
      <c r="D195" s="22"/>
      <c r="E195" s="22"/>
      <c r="F195" s="24">
        <f>SUM(F196:F198)</f>
        <v>2532.3461020024642</v>
      </c>
      <c r="G195" s="89"/>
      <c r="H195" s="73"/>
      <c r="I195" s="5"/>
    </row>
    <row r="196" spans="1:9" ht="11.4" x14ac:dyDescent="0.2">
      <c r="A196" s="20" t="s">
        <v>125</v>
      </c>
      <c r="B196" s="58" t="s">
        <v>692</v>
      </c>
      <c r="C196" s="21" t="s">
        <v>75</v>
      </c>
      <c r="D196" s="98">
        <f>D197*H196</f>
        <v>2500</v>
      </c>
      <c r="E196" s="96">
        <f>unit_prices!D21</f>
        <v>175.0782643283714</v>
      </c>
      <c r="F196" s="24">
        <f>D196*E196/1000</f>
        <v>437.69566082092854</v>
      </c>
      <c r="G196" s="89"/>
      <c r="H196" s="103">
        <v>0.25</v>
      </c>
      <c r="I196" s="5"/>
    </row>
    <row r="197" spans="1:9" ht="11.4" x14ac:dyDescent="0.2">
      <c r="A197" s="20" t="s">
        <v>126</v>
      </c>
      <c r="B197" s="58" t="s">
        <v>732</v>
      </c>
      <c r="C197" s="21" t="s">
        <v>69</v>
      </c>
      <c r="D197" s="88">
        <f>iocosts!B253</f>
        <v>10000</v>
      </c>
      <c r="E197" s="96">
        <f>unit_prices!D22</f>
        <v>100.6196921427422</v>
      </c>
      <c r="F197" s="24">
        <f>D197*E197/1000</f>
        <v>1006.196921427422</v>
      </c>
      <c r="G197" s="89"/>
      <c r="H197" s="93"/>
      <c r="I197" s="5"/>
    </row>
    <row r="198" spans="1:9" ht="11.4" x14ac:dyDescent="0.2">
      <c r="A198" s="20" t="s">
        <v>127</v>
      </c>
      <c r="B198" s="58" t="s">
        <v>734</v>
      </c>
      <c r="C198" s="21" t="s">
        <v>75</v>
      </c>
      <c r="D198" s="98">
        <f>D197*H198</f>
        <v>500</v>
      </c>
      <c r="E198" s="96">
        <f>unit_prices!D25</f>
        <v>2176.9070395082267</v>
      </c>
      <c r="F198" s="24">
        <f>D198*E198/1000</f>
        <v>1088.4535197541134</v>
      </c>
      <c r="G198" s="89"/>
      <c r="H198" s="103">
        <v>0.05</v>
      </c>
      <c r="I198" s="5"/>
    </row>
    <row r="199" spans="1:9" ht="11.4" x14ac:dyDescent="0.2">
      <c r="A199" s="33" t="s">
        <v>854</v>
      </c>
      <c r="B199" s="159" t="s">
        <v>857</v>
      </c>
      <c r="C199" s="21" t="s">
        <v>10</v>
      </c>
      <c r="F199" s="24">
        <f>SUM(F200:F201)</f>
        <v>0</v>
      </c>
      <c r="G199" s="89"/>
      <c r="H199" s="90"/>
      <c r="I199" s="5"/>
    </row>
    <row r="200" spans="1:9" ht="11.4" x14ac:dyDescent="0.2">
      <c r="A200" s="33" t="s">
        <v>855</v>
      </c>
      <c r="B200" s="159" t="s">
        <v>692</v>
      </c>
      <c r="C200" s="21" t="s">
        <v>75</v>
      </c>
      <c r="D200" s="98">
        <f>D201*H200</f>
        <v>0</v>
      </c>
      <c r="E200" s="96">
        <f>unit_prices!D21</f>
        <v>175.0782643283714</v>
      </c>
      <c r="F200" s="24">
        <f>D200*E200/1000</f>
        <v>0</v>
      </c>
      <c r="G200" s="89"/>
      <c r="H200" s="103">
        <v>0.15</v>
      </c>
      <c r="I200" s="5"/>
    </row>
    <row r="201" spans="1:9" ht="11.4" x14ac:dyDescent="0.2">
      <c r="A201" s="33" t="s">
        <v>856</v>
      </c>
      <c r="B201" s="159" t="s">
        <v>693</v>
      </c>
      <c r="C201" s="21" t="s">
        <v>69</v>
      </c>
      <c r="D201" s="88">
        <f>iocosts!B246+iocosts!B249</f>
        <v>0</v>
      </c>
      <c r="E201" s="96">
        <f>unit_prices!D23</f>
        <v>56.850126060649337</v>
      </c>
      <c r="F201" s="24">
        <f t="shared" ref="F201" si="26">D201*E201/1000</f>
        <v>0</v>
      </c>
      <c r="G201" s="89"/>
      <c r="H201" s="90"/>
      <c r="I201" s="5"/>
    </row>
    <row r="202" spans="1:9" ht="11.4" x14ac:dyDescent="0.2">
      <c r="A202" s="20" t="s">
        <v>128</v>
      </c>
      <c r="B202" s="58" t="s">
        <v>736</v>
      </c>
      <c r="C202" s="21" t="s">
        <v>10</v>
      </c>
      <c r="D202" s="22"/>
      <c r="E202" s="22"/>
      <c r="F202" s="24">
        <f>SUM(F203:F206)</f>
        <v>1767</v>
      </c>
      <c r="G202" s="89"/>
      <c r="H202" s="5"/>
      <c r="I202" s="5"/>
    </row>
    <row r="203" spans="1:9" ht="11.4" x14ac:dyDescent="0.2">
      <c r="A203" s="20" t="s">
        <v>129</v>
      </c>
      <c r="B203" s="58" t="s">
        <v>756</v>
      </c>
      <c r="C203" s="21" t="s">
        <v>89</v>
      </c>
      <c r="D203" s="104">
        <f>iocosts!B254</f>
        <v>2</v>
      </c>
      <c r="E203" s="104">
        <f>ROUNDUP(IF(iocosts!B117=0,iocosts!B255*unit_prices!L7,iocosts!B256)*(1+(iocosts!B168+iocosts!B169+iocosts!B170)/100),-3)</f>
        <v>635000</v>
      </c>
      <c r="F203" s="24">
        <f>D203*E203/1000</f>
        <v>1270</v>
      </c>
      <c r="G203" s="195" t="s">
        <v>1097</v>
      </c>
      <c r="H203" s="5"/>
      <c r="I203" s="5"/>
    </row>
    <row r="204" spans="1:9" ht="11.4" x14ac:dyDescent="0.2">
      <c r="A204" s="20" t="s">
        <v>131</v>
      </c>
      <c r="B204" s="58" t="s">
        <v>752</v>
      </c>
      <c r="C204" s="21" t="s">
        <v>89</v>
      </c>
      <c r="D204" s="104">
        <f>iocosts!B257</f>
        <v>1</v>
      </c>
      <c r="E204" s="104">
        <f>ROUNDUP(IF(iocosts!B117=0,iocosts!B258*unit_prices!L9,iocosts!B259)*(1+(iocosts!B168+iocosts!B169+iocosts!B170)/100),-3)</f>
        <v>204000</v>
      </c>
      <c r="F204" s="24">
        <f t="shared" ref="F204:F206" si="27">D204*E204/1000</f>
        <v>204</v>
      </c>
      <c r="G204" s="195" t="s">
        <v>1097</v>
      </c>
      <c r="H204" s="5"/>
      <c r="I204" s="5"/>
    </row>
    <row r="205" spans="1:9" ht="11.4" x14ac:dyDescent="0.2">
      <c r="A205" s="20" t="s">
        <v>132</v>
      </c>
      <c r="B205" s="58" t="s">
        <v>755</v>
      </c>
      <c r="C205" s="21" t="s">
        <v>89</v>
      </c>
      <c r="D205" s="98">
        <v>1</v>
      </c>
      <c r="E205" s="104">
        <f>ROUNDUP(IF(iocosts!B117=0,iocosts!B260*unit_prices!L12,iocosts!B261)*(1+(iocosts!B168+iocosts!B169+iocosts!B170)/100),-3)</f>
        <v>271000</v>
      </c>
      <c r="F205" s="24">
        <f t="shared" si="27"/>
        <v>271</v>
      </c>
      <c r="G205" s="195" t="s">
        <v>1097</v>
      </c>
      <c r="H205" s="5"/>
      <c r="I205" s="5"/>
    </row>
    <row r="206" spans="1:9" ht="11.4" x14ac:dyDescent="0.2">
      <c r="A206" s="20" t="s">
        <v>130</v>
      </c>
      <c r="B206" s="58" t="s">
        <v>753</v>
      </c>
      <c r="C206" s="21" t="s">
        <v>89</v>
      </c>
      <c r="D206" s="98">
        <v>1</v>
      </c>
      <c r="E206" s="104">
        <f>ROUNDUP(IF(iocosts!B117=0,iocosts!B262*unit_prices!L13,iocosts!B263)*(1+(iocosts!B168+iocosts!B169+iocosts!B170)/100),-3)</f>
        <v>22000</v>
      </c>
      <c r="F206" s="24">
        <f t="shared" si="27"/>
        <v>22</v>
      </c>
      <c r="G206" s="195" t="s">
        <v>1097</v>
      </c>
      <c r="H206" s="5"/>
      <c r="I206" s="5"/>
    </row>
    <row r="207" spans="1:9" ht="11.4" x14ac:dyDescent="0.2">
      <c r="A207" s="31" t="s">
        <v>133</v>
      </c>
      <c r="B207" s="58" t="s">
        <v>651</v>
      </c>
      <c r="C207" s="21" t="s">
        <v>23</v>
      </c>
      <c r="D207" s="102">
        <f>iocosts!B173</f>
        <v>2</v>
      </c>
      <c r="E207" s="30">
        <f>SUM(F191,F194:F195,F199)*1000</f>
        <v>2645543.2556630489</v>
      </c>
      <c r="F207" s="24">
        <f>D207/100*E207/1000</f>
        <v>52.910865113260982</v>
      </c>
      <c r="G207" s="89"/>
      <c r="H207" s="5"/>
      <c r="I207" s="5"/>
    </row>
    <row r="208" spans="1:9" ht="11.4" x14ac:dyDescent="0.2">
      <c r="A208" s="33" t="s">
        <v>134</v>
      </c>
      <c r="B208" s="58" t="s">
        <v>757</v>
      </c>
      <c r="C208" s="21" t="s">
        <v>10</v>
      </c>
      <c r="D208" s="22"/>
      <c r="E208" s="30"/>
      <c r="F208" s="24">
        <f>SUM(F209,F212:F213,F217,F222)</f>
        <v>0</v>
      </c>
      <c r="G208" s="89"/>
      <c r="H208" s="5"/>
      <c r="I208" s="5"/>
    </row>
    <row r="209" spans="1:9" ht="11.4" x14ac:dyDescent="0.2">
      <c r="A209" s="20" t="s">
        <v>260</v>
      </c>
      <c r="B209" s="58" t="s">
        <v>687</v>
      </c>
      <c r="C209" s="21" t="s">
        <v>10</v>
      </c>
      <c r="D209" s="22"/>
      <c r="E209" s="30"/>
      <c r="F209" s="24">
        <f>SUM(F210:F211)</f>
        <v>0</v>
      </c>
      <c r="G209" s="89"/>
      <c r="H209" s="76"/>
      <c r="I209" s="5"/>
    </row>
    <row r="210" spans="1:9" ht="11.4" x14ac:dyDescent="0.2">
      <c r="A210" s="20" t="s">
        <v>261</v>
      </c>
      <c r="B210" s="58" t="s">
        <v>725</v>
      </c>
      <c r="C210" s="21" t="s">
        <v>69</v>
      </c>
      <c r="D210" s="88">
        <v>0</v>
      </c>
      <c r="E210" s="96">
        <f>unit_prices!D5</f>
        <v>3.8235483014242027</v>
      </c>
      <c r="F210" s="24">
        <f>D210*E210/1000</f>
        <v>0</v>
      </c>
      <c r="G210" s="89"/>
      <c r="H210" s="76"/>
      <c r="I210" s="5"/>
    </row>
    <row r="211" spans="1:9" ht="11.4" x14ac:dyDescent="0.2">
      <c r="A211" s="20" t="s">
        <v>262</v>
      </c>
      <c r="B211" s="58" t="s">
        <v>727</v>
      </c>
      <c r="C211" s="21" t="s">
        <v>69</v>
      </c>
      <c r="D211" s="88">
        <v>0</v>
      </c>
      <c r="E211" s="96">
        <f>unit_prices!D6</f>
        <v>10.565067674987899</v>
      </c>
      <c r="F211" s="24">
        <f>D211*E211/1000</f>
        <v>0</v>
      </c>
      <c r="G211" s="89"/>
      <c r="H211" s="76"/>
      <c r="I211" s="5"/>
    </row>
    <row r="212" spans="1:9" ht="11.4" x14ac:dyDescent="0.2">
      <c r="A212" s="20" t="s">
        <v>263</v>
      </c>
      <c r="B212" s="58" t="s">
        <v>729</v>
      </c>
      <c r="C212" s="21" t="s">
        <v>4</v>
      </c>
      <c r="D212" s="88">
        <v>0</v>
      </c>
      <c r="E212" s="96">
        <f>unit_prices!D11</f>
        <v>29.959513335501487</v>
      </c>
      <c r="F212" s="24">
        <f>D212*E212/1000</f>
        <v>0</v>
      </c>
      <c r="G212" s="89"/>
      <c r="H212" s="92"/>
      <c r="I212" s="5"/>
    </row>
    <row r="213" spans="1:9" ht="11.4" x14ac:dyDescent="0.2">
      <c r="A213" s="20" t="s">
        <v>264</v>
      </c>
      <c r="B213" s="58" t="s">
        <v>691</v>
      </c>
      <c r="C213" s="21" t="s">
        <v>10</v>
      </c>
      <c r="D213" s="22"/>
      <c r="E213" s="22"/>
      <c r="F213" s="24">
        <f>SUM(F214:F216)</f>
        <v>0</v>
      </c>
      <c r="G213" s="89"/>
      <c r="H213" s="73"/>
      <c r="I213" s="5"/>
    </row>
    <row r="214" spans="1:9" ht="11.4" x14ac:dyDescent="0.2">
      <c r="A214" s="20" t="s">
        <v>265</v>
      </c>
      <c r="B214" s="58" t="s">
        <v>692</v>
      </c>
      <c r="C214" s="21" t="s">
        <v>75</v>
      </c>
      <c r="D214" s="98">
        <f>D215*H214</f>
        <v>0</v>
      </c>
      <c r="E214" s="96">
        <f>unit_prices!D21</f>
        <v>175.0782643283714</v>
      </c>
      <c r="F214" s="24">
        <f>D214*E214/1000</f>
        <v>0</v>
      </c>
      <c r="G214" s="89"/>
      <c r="H214" s="103">
        <v>0.25</v>
      </c>
      <c r="I214" s="5"/>
    </row>
    <row r="215" spans="1:9" ht="11.4" x14ac:dyDescent="0.2">
      <c r="A215" s="20" t="s">
        <v>266</v>
      </c>
      <c r="B215" s="58" t="s">
        <v>732</v>
      </c>
      <c r="C215" s="21" t="s">
        <v>69</v>
      </c>
      <c r="D215" s="88">
        <v>0</v>
      </c>
      <c r="E215" s="96">
        <f>unit_prices!D22</f>
        <v>100.6196921427422</v>
      </c>
      <c r="F215" s="24">
        <f>D215*E215/1000</f>
        <v>0</v>
      </c>
      <c r="G215" s="89"/>
      <c r="H215" s="93"/>
      <c r="I215" s="5"/>
    </row>
    <row r="216" spans="1:9" ht="11.4" x14ac:dyDescent="0.2">
      <c r="A216" s="20" t="s">
        <v>267</v>
      </c>
      <c r="B216" s="58" t="s">
        <v>734</v>
      </c>
      <c r="C216" s="21" t="s">
        <v>75</v>
      </c>
      <c r="D216" s="98">
        <f>D215*H216</f>
        <v>0</v>
      </c>
      <c r="E216" s="96">
        <f>unit_prices!D25</f>
        <v>2176.9070395082267</v>
      </c>
      <c r="F216" s="24">
        <f>D216*E216/1000</f>
        <v>0</v>
      </c>
      <c r="G216" s="89"/>
      <c r="H216" s="103">
        <v>0.05</v>
      </c>
      <c r="I216" s="5"/>
    </row>
    <row r="217" spans="1:9" ht="11.4" x14ac:dyDescent="0.2">
      <c r="A217" s="20" t="s">
        <v>268</v>
      </c>
      <c r="B217" s="58" t="s">
        <v>736</v>
      </c>
      <c r="C217" s="21" t="s">
        <v>10</v>
      </c>
      <c r="D217" s="22"/>
      <c r="E217" s="22"/>
      <c r="F217" s="24">
        <f>SUM(F218:F221)</f>
        <v>0</v>
      </c>
      <c r="G217" s="89"/>
      <c r="H217" s="5"/>
      <c r="I217" s="5"/>
    </row>
    <row r="218" spans="1:9" ht="11.4" x14ac:dyDescent="0.2">
      <c r="A218" s="20" t="s">
        <v>269</v>
      </c>
      <c r="B218" s="58" t="s">
        <v>761</v>
      </c>
      <c r="C218" s="21" t="s">
        <v>89</v>
      </c>
      <c r="D218" s="104"/>
      <c r="E218" s="104"/>
      <c r="F218" s="24">
        <f>D218*E218/1000</f>
        <v>0</v>
      </c>
      <c r="G218" s="89"/>
      <c r="H218" s="5"/>
      <c r="I218" s="5"/>
    </row>
    <row r="219" spans="1:9" ht="11.4" x14ac:dyDescent="0.2">
      <c r="A219" s="20" t="s">
        <v>270</v>
      </c>
      <c r="B219" s="58" t="s">
        <v>752</v>
      </c>
      <c r="C219" s="21" t="s">
        <v>89</v>
      </c>
      <c r="D219" s="104"/>
      <c r="E219" s="104"/>
      <c r="F219" s="24">
        <f t="shared" ref="F219:F221" si="28">D219*E219/1000</f>
        <v>0</v>
      </c>
      <c r="G219" s="89"/>
      <c r="H219" s="5"/>
      <c r="I219" s="5"/>
    </row>
    <row r="220" spans="1:9" ht="11.4" x14ac:dyDescent="0.2">
      <c r="A220" s="20" t="s">
        <v>271</v>
      </c>
      <c r="B220" s="58" t="s">
        <v>755</v>
      </c>
      <c r="C220" s="21" t="s">
        <v>89</v>
      </c>
      <c r="D220" s="98">
        <v>1</v>
      </c>
      <c r="E220" s="104"/>
      <c r="F220" s="24">
        <f t="shared" si="28"/>
        <v>0</v>
      </c>
      <c r="G220" s="89"/>
      <c r="H220" s="5"/>
      <c r="I220" s="5"/>
    </row>
    <row r="221" spans="1:9" ht="11.4" x14ac:dyDescent="0.2">
      <c r="A221" s="20" t="s">
        <v>272</v>
      </c>
      <c r="B221" s="58" t="s">
        <v>753</v>
      </c>
      <c r="C221" s="21" t="s">
        <v>89</v>
      </c>
      <c r="D221" s="98">
        <v>1</v>
      </c>
      <c r="E221" s="104"/>
      <c r="F221" s="24">
        <f t="shared" si="28"/>
        <v>0</v>
      </c>
      <c r="G221" s="89"/>
      <c r="H221" s="5"/>
      <c r="I221" s="5"/>
    </row>
    <row r="222" spans="1:9" ht="11.4" x14ac:dyDescent="0.2">
      <c r="A222" s="31" t="s">
        <v>273</v>
      </c>
      <c r="B222" s="58" t="s">
        <v>651</v>
      </c>
      <c r="C222" s="21" t="s">
        <v>23</v>
      </c>
      <c r="D222" s="102">
        <f>iocosts!B173</f>
        <v>2</v>
      </c>
      <c r="E222" s="30">
        <f>SUM(F209,F212:F213)*1000</f>
        <v>0</v>
      </c>
      <c r="F222" s="24">
        <f>D222/100*E222/1000</f>
        <v>0</v>
      </c>
      <c r="G222" s="89"/>
      <c r="H222" s="5"/>
      <c r="I222" s="5"/>
    </row>
    <row r="223" spans="1:9" ht="12" x14ac:dyDescent="0.2">
      <c r="A223" s="107" t="s">
        <v>135</v>
      </c>
      <c r="B223" s="57" t="s">
        <v>758</v>
      </c>
      <c r="C223" s="21"/>
      <c r="D223" s="22"/>
      <c r="E223" s="30"/>
      <c r="F223" s="24">
        <f>SUM(F224,F243,F266,F281,F294,F309)</f>
        <v>11219.54117431843</v>
      </c>
      <c r="G223" s="89"/>
      <c r="H223" s="5"/>
      <c r="I223" s="5"/>
    </row>
    <row r="224" spans="1:9" ht="11.4" x14ac:dyDescent="0.2">
      <c r="A224" s="33" t="s">
        <v>136</v>
      </c>
      <c r="B224" s="58" t="s">
        <v>759</v>
      </c>
      <c r="C224" s="21" t="s">
        <v>10</v>
      </c>
      <c r="D224" s="22"/>
      <c r="E224" s="30"/>
      <c r="F224" s="24">
        <f>SUM(F225,F228,F229,F233,F236,F242)</f>
        <v>2278.1211888429148</v>
      </c>
      <c r="G224" s="89"/>
      <c r="H224" s="76"/>
      <c r="I224" s="5"/>
    </row>
    <row r="225" spans="1:9" ht="11.4" x14ac:dyDescent="0.2">
      <c r="A225" s="27" t="s">
        <v>137</v>
      </c>
      <c r="B225" s="58" t="s">
        <v>710</v>
      </c>
      <c r="C225" s="21" t="s">
        <v>10</v>
      </c>
      <c r="D225" s="22"/>
      <c r="E225" s="30"/>
      <c r="F225" s="24">
        <f>SUM(F226:F227)</f>
        <v>8.9249666930612097</v>
      </c>
      <c r="G225" s="89"/>
      <c r="H225" s="76"/>
      <c r="I225" s="5"/>
    </row>
    <row r="226" spans="1:9" ht="11.4" x14ac:dyDescent="0.2">
      <c r="A226" s="33" t="s">
        <v>138</v>
      </c>
      <c r="B226" s="58" t="s">
        <v>726</v>
      </c>
      <c r="C226" s="21" t="s">
        <v>69</v>
      </c>
      <c r="D226" s="88">
        <f>iocosts!B29+iocosts!B44+iocosts!B111</f>
        <v>400</v>
      </c>
      <c r="E226" s="96">
        <f>unit_prices!D5</f>
        <v>3.8235483014242027</v>
      </c>
      <c r="F226" s="24">
        <f>D226*E226/1000</f>
        <v>1.5294193205696811</v>
      </c>
      <c r="G226" s="217" t="s">
        <v>1149</v>
      </c>
      <c r="H226" s="90"/>
      <c r="I226" s="5"/>
    </row>
    <row r="227" spans="1:9" ht="11.4" x14ac:dyDescent="0.2">
      <c r="A227" s="33" t="s">
        <v>139</v>
      </c>
      <c r="B227" s="58" t="s">
        <v>728</v>
      </c>
      <c r="C227" s="21" t="s">
        <v>69</v>
      </c>
      <c r="D227" s="88">
        <f>iocosts!B30+iocosts!B45+iocosts!B112</f>
        <v>700</v>
      </c>
      <c r="E227" s="96">
        <f>unit_prices!D6</f>
        <v>10.565067674987899</v>
      </c>
      <c r="F227" s="24">
        <f>D227*E227/1000</f>
        <v>7.3955473724915288</v>
      </c>
      <c r="G227" s="217" t="s">
        <v>1149</v>
      </c>
      <c r="H227" s="90"/>
      <c r="I227" s="5"/>
    </row>
    <row r="228" spans="1:9" ht="11.4" x14ac:dyDescent="0.2">
      <c r="A228" s="33" t="s">
        <v>140</v>
      </c>
      <c r="B228" s="58" t="s">
        <v>730</v>
      </c>
      <c r="C228" s="21" t="s">
        <v>4</v>
      </c>
      <c r="D228" s="88">
        <f>iocosts!B46+iocosts!B113</f>
        <v>100</v>
      </c>
      <c r="E228" s="96">
        <f>unit_prices!D11</f>
        <v>29.959513335501487</v>
      </c>
      <c r="F228" s="24">
        <f>D228*E228/1000</f>
        <v>2.9959513335501486</v>
      </c>
      <c r="G228" s="217" t="s">
        <v>1149</v>
      </c>
      <c r="H228" s="76"/>
      <c r="I228" s="5"/>
    </row>
    <row r="229" spans="1:9" ht="11.4" x14ac:dyDescent="0.2">
      <c r="A229" s="33" t="s">
        <v>141</v>
      </c>
      <c r="B229" s="58" t="s">
        <v>714</v>
      </c>
      <c r="C229" s="21" t="s">
        <v>10</v>
      </c>
      <c r="F229" s="24">
        <f>SUM(F230:F232)</f>
        <v>483.29593378016784</v>
      </c>
      <c r="G229" s="89"/>
      <c r="I229" s="5"/>
    </row>
    <row r="230" spans="1:9" ht="11.4" x14ac:dyDescent="0.2">
      <c r="A230" s="33" t="s">
        <v>142</v>
      </c>
      <c r="B230" s="58" t="s">
        <v>715</v>
      </c>
      <c r="C230" s="21" t="s">
        <v>75</v>
      </c>
      <c r="D230" s="98">
        <f>D231*H230</f>
        <v>510.96</v>
      </c>
      <c r="E230" s="96">
        <f>unit_prices!D21</f>
        <v>175.0782643283714</v>
      </c>
      <c r="F230" s="24">
        <f>D230*E230/1000</f>
        <v>89.457989941224639</v>
      </c>
      <c r="G230" s="89"/>
      <c r="H230" s="103">
        <v>0.3</v>
      </c>
      <c r="I230" s="5"/>
    </row>
    <row r="231" spans="1:9" ht="11.4" x14ac:dyDescent="0.2">
      <c r="A231" s="33" t="s">
        <v>143</v>
      </c>
      <c r="B231" s="58" t="s">
        <v>733</v>
      </c>
      <c r="C231" s="21" t="s">
        <v>69</v>
      </c>
      <c r="D231" s="88">
        <f>iocosts!B47+iocosts!B114</f>
        <v>1703.2</v>
      </c>
      <c r="E231" s="96">
        <f>unit_prices!D22</f>
        <v>100.6196921427422</v>
      </c>
      <c r="F231" s="24">
        <f t="shared" ref="F231:F232" si="29">D231*E231/1000</f>
        <v>171.37545965751852</v>
      </c>
      <c r="G231" s="217" t="s">
        <v>1149</v>
      </c>
      <c r="H231" s="93"/>
      <c r="I231" s="5"/>
    </row>
    <row r="232" spans="1:9" ht="11.4" x14ac:dyDescent="0.2">
      <c r="A232" s="33" t="s">
        <v>144</v>
      </c>
      <c r="B232" s="58" t="s">
        <v>735</v>
      </c>
      <c r="C232" s="21" t="s">
        <v>75</v>
      </c>
      <c r="D232" s="98">
        <f>D231*H232</f>
        <v>102.19199999999999</v>
      </c>
      <c r="E232" s="96">
        <f>unit_prices!D25</f>
        <v>2176.9070395082267</v>
      </c>
      <c r="F232" s="24">
        <f t="shared" si="29"/>
        <v>222.46248418142468</v>
      </c>
      <c r="G232" s="84"/>
      <c r="H232" s="103">
        <v>0.06</v>
      </c>
      <c r="I232" s="5"/>
    </row>
    <row r="233" spans="1:9" ht="11.4" x14ac:dyDescent="0.2">
      <c r="A233" s="33" t="s">
        <v>858</v>
      </c>
      <c r="B233" s="58" t="s">
        <v>853</v>
      </c>
      <c r="C233" s="21" t="s">
        <v>10</v>
      </c>
      <c r="F233" s="24">
        <f>SUM(F234:F235)</f>
        <v>0</v>
      </c>
      <c r="G233" s="89"/>
      <c r="H233" s="90"/>
      <c r="I233" s="5"/>
    </row>
    <row r="234" spans="1:9" ht="11.4" x14ac:dyDescent="0.2">
      <c r="A234" s="33" t="s">
        <v>859</v>
      </c>
      <c r="B234" s="58" t="s">
        <v>715</v>
      </c>
      <c r="C234" s="21" t="s">
        <v>75</v>
      </c>
      <c r="D234" s="98">
        <f>D235*H234</f>
        <v>0</v>
      </c>
      <c r="E234" s="96">
        <f>unit_prices!D21</f>
        <v>175.0782643283714</v>
      </c>
      <c r="F234" s="24">
        <f>D234*E234/1000</f>
        <v>0</v>
      </c>
      <c r="G234" s="89"/>
      <c r="H234" s="103">
        <v>0.15</v>
      </c>
      <c r="I234" s="5"/>
    </row>
    <row r="235" spans="1:9" ht="11.4" x14ac:dyDescent="0.2">
      <c r="A235" s="33" t="s">
        <v>860</v>
      </c>
      <c r="B235" s="58" t="s">
        <v>716</v>
      </c>
      <c r="C235" s="21" t="s">
        <v>69</v>
      </c>
      <c r="D235" s="88">
        <f>iocosts!B31</f>
        <v>0</v>
      </c>
      <c r="E235" s="96">
        <f>unit_prices!D23</f>
        <v>56.850126060649337</v>
      </c>
      <c r="F235" s="24">
        <f t="shared" ref="F235" si="30">D235*E235/1000</f>
        <v>0</v>
      </c>
      <c r="G235" s="89"/>
      <c r="H235" s="90"/>
      <c r="I235" s="5"/>
    </row>
    <row r="236" spans="1:9" ht="11.4" x14ac:dyDescent="0.2">
      <c r="A236" s="33" t="s">
        <v>145</v>
      </c>
      <c r="B236" s="58" t="s">
        <v>720</v>
      </c>
      <c r="C236" s="21" t="s">
        <v>10</v>
      </c>
      <c r="D236" s="22"/>
      <c r="E236" s="22"/>
      <c r="F236" s="24">
        <f>SUM(F237:F241)</f>
        <v>1773</v>
      </c>
      <c r="G236" s="89"/>
      <c r="H236" s="5"/>
      <c r="I236" s="5"/>
    </row>
    <row r="237" spans="1:9" ht="11.4" x14ac:dyDescent="0.2">
      <c r="A237" s="33" t="s">
        <v>146</v>
      </c>
      <c r="B237" s="58" t="s">
        <v>762</v>
      </c>
      <c r="C237" s="21" t="s">
        <v>89</v>
      </c>
      <c r="D237" s="104">
        <f>iocosts!B48</f>
        <v>2</v>
      </c>
      <c r="E237" s="104">
        <f>ROUNDUP(IF(iocosts!B117=0,iocosts!B49*unit_prices!L8,iocosts!B50)*(1+(iocosts!B168+iocosts!B169+iocosts!B170)/100),-3)</f>
        <v>198000</v>
      </c>
      <c r="F237" s="24">
        <f>D237*E237/1000</f>
        <v>396</v>
      </c>
      <c r="G237" s="195" t="s">
        <v>1097</v>
      </c>
      <c r="H237" s="5"/>
      <c r="I237" s="5"/>
    </row>
    <row r="238" spans="1:9" ht="11.4" x14ac:dyDescent="0.2">
      <c r="A238" s="20" t="s">
        <v>147</v>
      </c>
      <c r="B238" s="58" t="s">
        <v>721</v>
      </c>
      <c r="C238" s="21" t="s">
        <v>89</v>
      </c>
      <c r="D238" s="104">
        <f>iocosts!B51</f>
        <v>1</v>
      </c>
      <c r="E238" s="104">
        <f>ROUNDUP(IF(iocosts!B117=0,iocosts!B52*unit_prices!L9,iocosts!B53)*(1+(iocosts!B168+iocosts!B169+iocosts!B170)/100),-3)</f>
        <v>113000</v>
      </c>
      <c r="F238" s="24">
        <f>D238*E238/1000</f>
        <v>113</v>
      </c>
      <c r="G238" s="195" t="s">
        <v>1097</v>
      </c>
      <c r="H238" s="5"/>
      <c r="I238" s="5"/>
    </row>
    <row r="239" spans="1:9" ht="11.4" x14ac:dyDescent="0.2">
      <c r="A239" s="33" t="s">
        <v>148</v>
      </c>
      <c r="B239" s="58" t="s">
        <v>722</v>
      </c>
      <c r="C239" s="21" t="s">
        <v>89</v>
      </c>
      <c r="D239" s="98">
        <v>1</v>
      </c>
      <c r="E239" s="104">
        <f>ROUNDUP(IF(iocosts!B117=0,iocosts!B58*unit_prices!L13,iocosts!B59)*(1+(iocosts!B168+iocosts!B169+iocosts!B170)/100),-3)</f>
        <v>22000</v>
      </c>
      <c r="F239" s="24">
        <f>D239*E239/1000</f>
        <v>22</v>
      </c>
      <c r="G239" s="195" t="s">
        <v>1097</v>
      </c>
      <c r="H239" s="5"/>
      <c r="I239" s="5"/>
    </row>
    <row r="240" spans="1:9" ht="11.4" x14ac:dyDescent="0.2">
      <c r="A240" s="20" t="s">
        <v>149</v>
      </c>
      <c r="B240" s="58" t="s">
        <v>760</v>
      </c>
      <c r="C240" s="21" t="s">
        <v>89</v>
      </c>
      <c r="D240" s="98">
        <v>1</v>
      </c>
      <c r="E240" s="104">
        <f>ROUNDUP(IF(iocosts!B117=0,iocosts!B54*unit_prices!L12,iocosts!B55)*(1+(iocosts!B168+iocosts!B169+iocosts!B170)/100),-3)</f>
        <v>226000</v>
      </c>
      <c r="F240" s="24">
        <f>D240*E240/1000</f>
        <v>226</v>
      </c>
      <c r="G240" s="195" t="s">
        <v>1097</v>
      </c>
      <c r="H240" s="5"/>
      <c r="I240" s="5"/>
    </row>
    <row r="241" spans="1:9" ht="11.4" x14ac:dyDescent="0.2">
      <c r="A241" s="20" t="s">
        <v>150</v>
      </c>
      <c r="B241" s="58" t="s">
        <v>880</v>
      </c>
      <c r="C241" s="21" t="s">
        <v>89</v>
      </c>
      <c r="D241" s="98">
        <v>1</v>
      </c>
      <c r="E241" s="104">
        <f>ROUNDUP(IF(iocosts!B117=0,iocosts!B56*unit_prices!L10,iocosts!B57)*(1+(iocosts!B168+iocosts!B169+iocosts!B170)/100),-3)+ROUNDUP(IF(iocosts!B117=0,iocosts!B115*unit_prices!L10,iocosts!B116)*(1+(iocosts!B168+iocosts!B169+iocosts!B170)/100),-3)</f>
        <v>1016000</v>
      </c>
      <c r="F241" s="24">
        <f>D241*E241/1000</f>
        <v>1016</v>
      </c>
      <c r="G241" s="195" t="s">
        <v>1097</v>
      </c>
      <c r="H241" s="217" t="s">
        <v>1149</v>
      </c>
      <c r="I241" s="5"/>
    </row>
    <row r="242" spans="1:9" ht="11.4" x14ac:dyDescent="0.2">
      <c r="A242" s="20" t="s">
        <v>151</v>
      </c>
      <c r="B242" s="58" t="s">
        <v>719</v>
      </c>
      <c r="C242" s="21" t="s">
        <v>23</v>
      </c>
      <c r="D242" s="102">
        <f>iocosts!B173</f>
        <v>2</v>
      </c>
      <c r="E242" s="30">
        <f>SUM(F225,F228:F229,F233)*1000</f>
        <v>495216.85180677916</v>
      </c>
      <c r="F242" s="24">
        <f>D242/100*E242/1000</f>
        <v>9.9043370361355834</v>
      </c>
      <c r="G242" s="89"/>
      <c r="H242" s="5"/>
      <c r="I242" s="5"/>
    </row>
    <row r="243" spans="1:9" ht="11.4" x14ac:dyDescent="0.2">
      <c r="A243" s="20" t="s">
        <v>152</v>
      </c>
      <c r="B243" s="58" t="s">
        <v>764</v>
      </c>
      <c r="C243" s="21" t="s">
        <v>10</v>
      </c>
      <c r="D243" s="22"/>
      <c r="E243" s="30"/>
      <c r="F243" s="24">
        <f>SUM(F244,F247:F248,F252,F256,F259,F265)</f>
        <v>1059.9864229678583</v>
      </c>
      <c r="G243" s="89"/>
      <c r="H243" s="5"/>
      <c r="I243" s="5"/>
    </row>
    <row r="244" spans="1:9" ht="11.4" x14ac:dyDescent="0.2">
      <c r="A244" s="20" t="s">
        <v>153</v>
      </c>
      <c r="B244" s="58" t="s">
        <v>710</v>
      </c>
      <c r="C244" s="21" t="s">
        <v>10</v>
      </c>
      <c r="D244" s="22"/>
      <c r="E244" s="30"/>
      <c r="F244" s="24">
        <f>SUM(F245:F246)</f>
        <v>0</v>
      </c>
      <c r="G244" s="89"/>
      <c r="H244" s="5"/>
      <c r="I244" s="5"/>
    </row>
    <row r="245" spans="1:9" ht="11.4" x14ac:dyDescent="0.2">
      <c r="A245" s="20" t="s">
        <v>154</v>
      </c>
      <c r="B245" s="58" t="s">
        <v>726</v>
      </c>
      <c r="C245" s="21" t="s">
        <v>69</v>
      </c>
      <c r="D245" s="88">
        <f>iocosts!B60+iocosts!B61</f>
        <v>0</v>
      </c>
      <c r="E245" s="96">
        <f>unit_prices!D5</f>
        <v>3.8235483014242027</v>
      </c>
      <c r="F245" s="24">
        <f>D245*E245/1000</f>
        <v>0</v>
      </c>
      <c r="G245" s="84"/>
      <c r="H245" s="5"/>
      <c r="I245" s="5"/>
    </row>
    <row r="246" spans="1:9" ht="11.4" x14ac:dyDescent="0.2">
      <c r="A246" s="20" t="s">
        <v>155</v>
      </c>
      <c r="B246" s="58" t="s">
        <v>728</v>
      </c>
      <c r="C246" s="21" t="s">
        <v>69</v>
      </c>
      <c r="D246" s="88">
        <f>iocosts!B63+iocosts!B64</f>
        <v>0</v>
      </c>
      <c r="E246" s="96">
        <f>unit_prices!D6</f>
        <v>10.565067674987899</v>
      </c>
      <c r="F246" s="24">
        <f>D246*E246/1000</f>
        <v>0</v>
      </c>
      <c r="G246" s="89"/>
      <c r="H246" s="5"/>
      <c r="I246" s="5"/>
    </row>
    <row r="247" spans="1:9" ht="11.4" x14ac:dyDescent="0.2">
      <c r="A247" s="20" t="s">
        <v>156</v>
      </c>
      <c r="B247" s="58" t="s">
        <v>730</v>
      </c>
      <c r="C247" s="21" t="s">
        <v>4</v>
      </c>
      <c r="D247" s="88">
        <f>iocosts!B65+iocosts!B66</f>
        <v>10550</v>
      </c>
      <c r="E247" s="96">
        <f>IF(iocosts!B65+iocosts!B66=0,0,(unit_prices!D10*iocosts!B65+unit_prices!D11*iocosts!B66)/(iocosts!B65+iocosts!B66))</f>
        <v>5.1097874702962951</v>
      </c>
      <c r="F247" s="24">
        <f>D247*E247/1000</f>
        <v>53.908257811625909</v>
      </c>
      <c r="G247" s="89"/>
      <c r="H247" s="160"/>
      <c r="I247" s="5"/>
    </row>
    <row r="248" spans="1:9" ht="11.4" x14ac:dyDescent="0.2">
      <c r="A248" s="20" t="s">
        <v>157</v>
      </c>
      <c r="B248" s="58" t="s">
        <v>714</v>
      </c>
      <c r="C248" s="21" t="s">
        <v>10</v>
      </c>
      <c r="D248" s="22"/>
      <c r="E248" s="30"/>
      <c r="F248" s="24">
        <f>SUM(F249:F251)</f>
        <v>0</v>
      </c>
      <c r="G248" s="89"/>
      <c r="H248" s="5"/>
      <c r="I248" s="5"/>
    </row>
    <row r="249" spans="1:9" ht="11.4" x14ac:dyDescent="0.2">
      <c r="A249" s="20" t="s">
        <v>158</v>
      </c>
      <c r="B249" s="58" t="s">
        <v>715</v>
      </c>
      <c r="C249" s="21" t="s">
        <v>75</v>
      </c>
      <c r="D249" s="98">
        <f>D250*H249</f>
        <v>0</v>
      </c>
      <c r="E249" s="96">
        <f>unit_prices!D21</f>
        <v>175.0782643283714</v>
      </c>
      <c r="F249" s="24">
        <f>D249*E249/1000</f>
        <v>0</v>
      </c>
      <c r="G249" s="89"/>
      <c r="H249" s="103">
        <v>0.25</v>
      </c>
      <c r="I249" s="5"/>
    </row>
    <row r="250" spans="1:9" ht="11.4" x14ac:dyDescent="0.2">
      <c r="A250" s="20" t="s">
        <v>159</v>
      </c>
      <c r="B250" s="58" t="s">
        <v>716</v>
      </c>
      <c r="C250" s="21" t="s">
        <v>69</v>
      </c>
      <c r="D250" s="88">
        <f>iocosts!B67+iocosts!B68</f>
        <v>0</v>
      </c>
      <c r="E250" s="96">
        <f>unit_prices!D22</f>
        <v>100.6196921427422</v>
      </c>
      <c r="F250" s="24">
        <f>D250*E250/1000</f>
        <v>0</v>
      </c>
      <c r="G250" s="89"/>
      <c r="H250" s="93"/>
      <c r="I250" s="5"/>
    </row>
    <row r="251" spans="1:9" ht="11.4" x14ac:dyDescent="0.2">
      <c r="A251" s="20" t="s">
        <v>160</v>
      </c>
      <c r="B251" s="58" t="s">
        <v>735</v>
      </c>
      <c r="C251" s="21" t="s">
        <v>75</v>
      </c>
      <c r="D251" s="98">
        <f>D250*H251</f>
        <v>0</v>
      </c>
      <c r="E251" s="96">
        <f>unit_prices!D25</f>
        <v>2176.9070395082267</v>
      </c>
      <c r="F251" s="24">
        <f>D251*E251/1000</f>
        <v>0</v>
      </c>
      <c r="G251" s="89"/>
      <c r="H251" s="103">
        <v>0.05</v>
      </c>
      <c r="I251" s="5"/>
    </row>
    <row r="252" spans="1:9" ht="11.4" x14ac:dyDescent="0.2">
      <c r="A252" s="20" t="s">
        <v>157</v>
      </c>
      <c r="B252" s="58" t="s">
        <v>718</v>
      </c>
      <c r="C252" s="21" t="s">
        <v>10</v>
      </c>
      <c r="F252" s="24">
        <f>SUM(F253:F255)</f>
        <v>0</v>
      </c>
      <c r="G252" s="89"/>
      <c r="H252" s="93"/>
      <c r="I252" s="5"/>
    </row>
    <row r="253" spans="1:9" ht="11.4" x14ac:dyDescent="0.2">
      <c r="A253" s="20" t="s">
        <v>158</v>
      </c>
      <c r="B253" s="58" t="s">
        <v>715</v>
      </c>
      <c r="C253" s="21" t="s">
        <v>75</v>
      </c>
      <c r="D253" s="98">
        <f>D254*H253</f>
        <v>0</v>
      </c>
      <c r="E253" s="96">
        <f>unit_prices!D21</f>
        <v>175.0782643283714</v>
      </c>
      <c r="F253" s="24">
        <f>D253*E253/1000</f>
        <v>0</v>
      </c>
      <c r="G253" s="89"/>
      <c r="H253" s="103">
        <v>0.3</v>
      </c>
      <c r="I253" s="5"/>
    </row>
    <row r="254" spans="1:9" ht="11.4" x14ac:dyDescent="0.2">
      <c r="A254" s="20" t="s">
        <v>159</v>
      </c>
      <c r="B254" s="58" t="s">
        <v>733</v>
      </c>
      <c r="C254" s="21" t="s">
        <v>69</v>
      </c>
      <c r="D254" s="88">
        <f>iocosts!B69</f>
        <v>0</v>
      </c>
      <c r="E254" s="96">
        <f>unit_prices!D24</f>
        <v>190.17121814978273</v>
      </c>
      <c r="F254" s="24">
        <f t="shared" ref="F254:F255" si="31">D254*E254/1000</f>
        <v>0</v>
      </c>
      <c r="G254" s="89"/>
      <c r="H254" s="93"/>
      <c r="I254" s="5"/>
    </row>
    <row r="255" spans="1:9" ht="11.4" x14ac:dyDescent="0.2">
      <c r="A255" s="20" t="s">
        <v>160</v>
      </c>
      <c r="B255" s="58" t="s">
        <v>735</v>
      </c>
      <c r="C255" s="21" t="s">
        <v>75</v>
      </c>
      <c r="D255" s="98">
        <f>D254*H255</f>
        <v>0</v>
      </c>
      <c r="E255" s="96">
        <f>unit_prices!D25</f>
        <v>2176.9070395082267</v>
      </c>
      <c r="F255" s="24">
        <f t="shared" si="31"/>
        <v>0</v>
      </c>
      <c r="G255" s="89"/>
      <c r="H255" s="103">
        <v>7.0000000000000007E-2</v>
      </c>
      <c r="I255" s="5"/>
    </row>
    <row r="256" spans="1:9" ht="11.4" x14ac:dyDescent="0.2">
      <c r="A256" s="33" t="s">
        <v>157</v>
      </c>
      <c r="B256" s="58" t="s">
        <v>853</v>
      </c>
      <c r="C256" s="21" t="s">
        <v>10</v>
      </c>
      <c r="F256" s="24">
        <f>SUM(F257:F258)</f>
        <v>0</v>
      </c>
      <c r="G256" s="89"/>
      <c r="H256" s="90"/>
      <c r="I256" s="5"/>
    </row>
    <row r="257" spans="1:9" ht="11.4" x14ac:dyDescent="0.2">
      <c r="A257" s="33" t="s">
        <v>158</v>
      </c>
      <c r="B257" s="58" t="s">
        <v>715</v>
      </c>
      <c r="C257" s="21" t="s">
        <v>75</v>
      </c>
      <c r="D257" s="98">
        <f>D258*H257</f>
        <v>0</v>
      </c>
      <c r="E257" s="96">
        <f>unit_prices!D21</f>
        <v>175.0782643283714</v>
      </c>
      <c r="F257" s="24">
        <f>D257*E257/1000</f>
        <v>0</v>
      </c>
      <c r="G257" s="89"/>
      <c r="H257" s="103">
        <v>0.15</v>
      </c>
      <c r="I257" s="5"/>
    </row>
    <row r="258" spans="1:9" ht="11.4" x14ac:dyDescent="0.2">
      <c r="A258" s="33" t="s">
        <v>159</v>
      </c>
      <c r="B258" s="58" t="s">
        <v>716</v>
      </c>
      <c r="C258" s="21" t="s">
        <v>69</v>
      </c>
      <c r="D258" s="88">
        <f>iocosts!B62</f>
        <v>0</v>
      </c>
      <c r="E258" s="96">
        <f>unit_prices!D23</f>
        <v>56.850126060649337</v>
      </c>
      <c r="F258" s="24">
        <f t="shared" ref="F258" si="32">D258*E258/1000</f>
        <v>0</v>
      </c>
      <c r="G258" s="89"/>
      <c r="H258" s="90"/>
      <c r="I258" s="5"/>
    </row>
    <row r="259" spans="1:9" ht="11.4" x14ac:dyDescent="0.2">
      <c r="A259" s="33" t="s">
        <v>847</v>
      </c>
      <c r="B259" s="58" t="s">
        <v>720</v>
      </c>
      <c r="C259" s="21" t="s">
        <v>10</v>
      </c>
      <c r="D259" s="22"/>
      <c r="E259" s="22"/>
      <c r="F259" s="24">
        <f>SUM(F260:F264)</f>
        <v>1005</v>
      </c>
      <c r="G259" s="89"/>
      <c r="H259" s="5"/>
      <c r="I259" s="5"/>
    </row>
    <row r="260" spans="1:9" ht="11.4" x14ac:dyDescent="0.2">
      <c r="A260" s="33" t="s">
        <v>848</v>
      </c>
      <c r="B260" s="58" t="s">
        <v>762</v>
      </c>
      <c r="C260" s="21" t="s">
        <v>89</v>
      </c>
      <c r="D260" s="104">
        <f>iocosts!B32</f>
        <v>2</v>
      </c>
      <c r="E260" s="104">
        <f>ROUNDUP(IF(iocosts!B117=0,iocosts!B33*unit_prices!L8,iocosts!B34)*(1+(iocosts!B168+iocosts!B169+iocosts!B170)/100),-3)</f>
        <v>237000</v>
      </c>
      <c r="F260" s="24">
        <f>D260*E260/1000</f>
        <v>474</v>
      </c>
      <c r="G260" s="195" t="s">
        <v>1097</v>
      </c>
      <c r="H260" s="5"/>
      <c r="I260" s="5"/>
    </row>
    <row r="261" spans="1:9" ht="11.4" x14ac:dyDescent="0.2">
      <c r="A261" s="20" t="s">
        <v>849</v>
      </c>
      <c r="B261" s="58" t="s">
        <v>721</v>
      </c>
      <c r="C261" s="21" t="s">
        <v>89</v>
      </c>
      <c r="D261" s="104">
        <f>iocosts!B35</f>
        <v>1</v>
      </c>
      <c r="E261" s="104">
        <f>ROUNDUP(IF(iocosts!B117=0,iocosts!B36*unit_prices!L9,iocosts!B37)*(1+(iocosts!B168+iocosts!B169+iocosts!B170)/100),-3)</f>
        <v>113000</v>
      </c>
      <c r="F261" s="24">
        <f>D261*E261/1000</f>
        <v>113</v>
      </c>
      <c r="G261" s="195" t="s">
        <v>1097</v>
      </c>
      <c r="H261" s="5"/>
      <c r="I261" s="5"/>
    </row>
    <row r="262" spans="1:9" ht="11.4" x14ac:dyDescent="0.2">
      <c r="A262" s="33" t="s">
        <v>850</v>
      </c>
      <c r="B262" s="58" t="s">
        <v>722</v>
      </c>
      <c r="C262" s="21" t="s">
        <v>89</v>
      </c>
      <c r="D262" s="98">
        <v>1</v>
      </c>
      <c r="E262" s="104">
        <f>ROUNDUP(IF(iocosts!B117=0,iocosts!B42*unit_prices!L13,iocosts!B43)*(1+(iocosts!B168+iocosts!B169+iocosts!B170)/100),-3)</f>
        <v>22000</v>
      </c>
      <c r="F262" s="24">
        <f>D262*E262/1000</f>
        <v>22</v>
      </c>
      <c r="G262" s="195" t="s">
        <v>1097</v>
      </c>
      <c r="H262" s="5"/>
      <c r="I262" s="5"/>
    </row>
    <row r="263" spans="1:9" ht="11.4" x14ac:dyDescent="0.2">
      <c r="A263" s="20" t="s">
        <v>851</v>
      </c>
      <c r="B263" s="58" t="s">
        <v>760</v>
      </c>
      <c r="C263" s="21" t="s">
        <v>89</v>
      </c>
      <c r="D263" s="98">
        <v>1</v>
      </c>
      <c r="E263" s="104">
        <f>ROUNDUP(IF(iocosts!B117=0,iocosts!B38*unit_prices!L12,iocosts!B39)*(1+(iocosts!B168+iocosts!B169+iocosts!B170)/100),-3)</f>
        <v>226000</v>
      </c>
      <c r="F263" s="24">
        <f>D263*E263/1000</f>
        <v>226</v>
      </c>
      <c r="G263" s="195" t="s">
        <v>1097</v>
      </c>
      <c r="H263" s="5"/>
      <c r="I263" s="5"/>
    </row>
    <row r="264" spans="1:9" ht="11.4" x14ac:dyDescent="0.2">
      <c r="A264" s="20" t="s">
        <v>852</v>
      </c>
      <c r="B264" s="58" t="s">
        <v>880</v>
      </c>
      <c r="C264" s="21" t="s">
        <v>89</v>
      </c>
      <c r="D264" s="98">
        <v>1</v>
      </c>
      <c r="E264" s="104">
        <f>ROUNDUP(IF(iocosts!B117=0,iocosts!B40*unit_prices!L10,iocosts!B41)*(1+(iocosts!B168+iocosts!B169+iocosts!B170)/100),-3)</f>
        <v>170000</v>
      </c>
      <c r="F264" s="24">
        <f>D264*E264/1000</f>
        <v>170</v>
      </c>
      <c r="G264" s="195" t="s">
        <v>1097</v>
      </c>
      <c r="H264" s="5"/>
      <c r="I264" s="5"/>
    </row>
    <row r="265" spans="1:9" ht="11.4" x14ac:dyDescent="0.2">
      <c r="A265" s="20" t="s">
        <v>161</v>
      </c>
      <c r="B265" s="58" t="s">
        <v>719</v>
      </c>
      <c r="C265" s="21" t="s">
        <v>23</v>
      </c>
      <c r="D265" s="102">
        <f>iocosts!B173</f>
        <v>2</v>
      </c>
      <c r="E265" s="30">
        <f>SUM(F244,F247:F248,F252,F256)*1000</f>
        <v>53908.25781162591</v>
      </c>
      <c r="F265" s="24">
        <f>D265/100*E265/1000</f>
        <v>1.0781651562325183</v>
      </c>
      <c r="G265" s="89"/>
      <c r="H265" s="5"/>
      <c r="I265" s="5"/>
    </row>
    <row r="266" spans="1:9" ht="11.4" x14ac:dyDescent="0.2">
      <c r="A266" s="20" t="s">
        <v>162</v>
      </c>
      <c r="B266" s="58" t="s">
        <v>765</v>
      </c>
      <c r="C266" s="21" t="s">
        <v>10</v>
      </c>
      <c r="D266" s="22"/>
      <c r="E266" s="30"/>
      <c r="F266" s="24">
        <f>SUM(F267,F271:F272,F276,F280)</f>
        <v>1090.9349422299226</v>
      </c>
      <c r="G266" s="84"/>
      <c r="H266" s="5"/>
      <c r="I266" s="5"/>
    </row>
    <row r="267" spans="1:9" ht="11.4" x14ac:dyDescent="0.2">
      <c r="A267" s="20" t="s">
        <v>153</v>
      </c>
      <c r="B267" s="58" t="s">
        <v>710</v>
      </c>
      <c r="C267" s="21" t="s">
        <v>10</v>
      </c>
      <c r="D267" s="22"/>
      <c r="E267" s="30"/>
      <c r="F267" s="24">
        <f>SUM(F268:F270)</f>
        <v>281.73513799967816</v>
      </c>
      <c r="G267" s="89"/>
      <c r="H267" s="5"/>
      <c r="I267" s="5"/>
    </row>
    <row r="268" spans="1:9" ht="11.4" x14ac:dyDescent="0.2">
      <c r="A268" s="20" t="s">
        <v>154</v>
      </c>
      <c r="B268" s="58" t="s">
        <v>726</v>
      </c>
      <c r="C268" s="21" t="s">
        <v>69</v>
      </c>
      <c r="D268" s="88">
        <f>iocosts!B70</f>
        <v>0</v>
      </c>
      <c r="E268" s="96">
        <f>unit_prices!D5</f>
        <v>3.8235483014242027</v>
      </c>
      <c r="F268" s="24">
        <f>D268*E268/1000</f>
        <v>0</v>
      </c>
      <c r="G268" s="84"/>
      <c r="H268" s="5"/>
      <c r="I268" s="5"/>
    </row>
    <row r="269" spans="1:9" ht="11.4" x14ac:dyDescent="0.2">
      <c r="A269" s="20" t="s">
        <v>155</v>
      </c>
      <c r="B269" s="58" t="s">
        <v>728</v>
      </c>
      <c r="C269" s="21" t="s">
        <v>69</v>
      </c>
      <c r="D269" s="88">
        <f>iocosts!B71</f>
        <v>0</v>
      </c>
      <c r="E269" s="96">
        <f>unit_prices!D6</f>
        <v>10.565067674987899</v>
      </c>
      <c r="F269" s="24">
        <f>D269*E269/1000</f>
        <v>0</v>
      </c>
      <c r="G269" s="89"/>
      <c r="H269" s="5"/>
      <c r="I269" s="5"/>
    </row>
    <row r="270" spans="1:9" ht="11.4" x14ac:dyDescent="0.2">
      <c r="A270" s="20" t="s">
        <v>274</v>
      </c>
      <c r="B270" s="58" t="s">
        <v>731</v>
      </c>
      <c r="C270" s="21" t="s">
        <v>69</v>
      </c>
      <c r="D270" s="88">
        <f>iocosts!B72</f>
        <v>4000</v>
      </c>
      <c r="E270" s="96">
        <f>unit_prices!D7</f>
        <v>70.43378449991954</v>
      </c>
      <c r="F270" s="24">
        <f>D270*E270/1000</f>
        <v>281.73513799967816</v>
      </c>
      <c r="G270" s="89"/>
      <c r="H270" s="5"/>
      <c r="I270" s="5"/>
    </row>
    <row r="271" spans="1:9" ht="11.4" x14ac:dyDescent="0.2">
      <c r="A271" s="20" t="s">
        <v>156</v>
      </c>
      <c r="B271" s="58" t="s">
        <v>730</v>
      </c>
      <c r="C271" s="21" t="s">
        <v>4</v>
      </c>
      <c r="D271" s="88">
        <f>iocosts!B73+iocosts!B74</f>
        <v>1000</v>
      </c>
      <c r="E271" s="96">
        <f>IF(iocosts!B73+iocosts!B74=0,0,(unit_prices!D10*iocosts!B73+unit_prices!D11*iocosts!B74)/(iocosts!B73+iocosts!B74))</f>
        <v>3.7430525477100089</v>
      </c>
      <c r="F271" s="24">
        <f>D271*E271/1000</f>
        <v>3.7430525477100089</v>
      </c>
      <c r="G271" s="89"/>
      <c r="H271" s="160"/>
      <c r="I271" s="5"/>
    </row>
    <row r="272" spans="1:9" ht="11.4" x14ac:dyDescent="0.2">
      <c r="A272" s="20" t="s">
        <v>157</v>
      </c>
      <c r="B272" s="58" t="s">
        <v>714</v>
      </c>
      <c r="C272" s="21" t="s">
        <v>10</v>
      </c>
      <c r="D272" s="25"/>
      <c r="E272" s="26"/>
      <c r="F272" s="24">
        <f>SUM(F273:F275)</f>
        <v>151.94076612014783</v>
      </c>
      <c r="G272" s="89"/>
      <c r="H272" s="5"/>
      <c r="I272" s="5"/>
    </row>
    <row r="273" spans="1:9" ht="11.4" x14ac:dyDescent="0.2">
      <c r="A273" s="20" t="s">
        <v>158</v>
      </c>
      <c r="B273" s="58" t="s">
        <v>715</v>
      </c>
      <c r="C273" s="21" t="s">
        <v>75</v>
      </c>
      <c r="D273" s="98">
        <f>D274*H273</f>
        <v>150</v>
      </c>
      <c r="E273" s="96">
        <f>unit_prices!D21</f>
        <v>175.0782643283714</v>
      </c>
      <c r="F273" s="24">
        <f>D273*E273/1000</f>
        <v>26.261739649255709</v>
      </c>
      <c r="G273" s="89"/>
      <c r="H273" s="103">
        <f>IF(iocosts!B75+iocosts!B76=0,0,(0.25*iocosts!B75+0.27*iocosts!B76)/(iocosts!B75+iocosts!B76))</f>
        <v>0.25</v>
      </c>
      <c r="I273" s="5"/>
    </row>
    <row r="274" spans="1:9" ht="11.4" x14ac:dyDescent="0.2">
      <c r="A274" s="20" t="s">
        <v>159</v>
      </c>
      <c r="B274" s="58" t="s">
        <v>733</v>
      </c>
      <c r="C274" s="21" t="s">
        <v>69</v>
      </c>
      <c r="D274" s="88">
        <f>iocosts!B75+iocosts!B76</f>
        <v>600</v>
      </c>
      <c r="E274" s="96">
        <f>unit_prices!D22</f>
        <v>100.6196921427422</v>
      </c>
      <c r="F274" s="24">
        <f t="shared" ref="F274:F275" si="33">D274*E274/1000</f>
        <v>60.371815285645319</v>
      </c>
      <c r="G274" s="89"/>
      <c r="H274" s="93"/>
      <c r="I274" s="5"/>
    </row>
    <row r="275" spans="1:9" ht="11.4" x14ac:dyDescent="0.2">
      <c r="A275" s="20" t="s">
        <v>160</v>
      </c>
      <c r="B275" s="58" t="s">
        <v>735</v>
      </c>
      <c r="C275" s="21" t="s">
        <v>75</v>
      </c>
      <c r="D275" s="98">
        <f>D274*H275</f>
        <v>30</v>
      </c>
      <c r="E275" s="96">
        <f>unit_prices!D25</f>
        <v>2176.9070395082267</v>
      </c>
      <c r="F275" s="24">
        <f t="shared" si="33"/>
        <v>65.3072111852468</v>
      </c>
      <c r="G275" s="89"/>
      <c r="H275" s="103">
        <f>IF(iocosts!B75+iocosts!B76=0,0,(0.05*iocosts!B75+0.07*iocosts!B76)/(iocosts!B75+iocosts!B76))</f>
        <v>0.05</v>
      </c>
      <c r="I275" s="5"/>
    </row>
    <row r="276" spans="1:9" ht="11.4" x14ac:dyDescent="0.2">
      <c r="A276" s="20" t="s">
        <v>157</v>
      </c>
      <c r="B276" s="58" t="s">
        <v>718</v>
      </c>
      <c r="C276" s="21" t="s">
        <v>10</v>
      </c>
      <c r="D276" s="25"/>
      <c r="E276" s="26"/>
      <c r="F276" s="24">
        <f>SUM(F277:F279)</f>
        <v>632.12510434219212</v>
      </c>
      <c r="G276" s="89"/>
      <c r="H276" s="72"/>
      <c r="I276" s="5"/>
    </row>
    <row r="277" spans="1:9" ht="11.4" x14ac:dyDescent="0.2">
      <c r="A277" s="20" t="s">
        <v>158</v>
      </c>
      <c r="B277" s="58" t="s">
        <v>715</v>
      </c>
      <c r="C277" s="21" t="s">
        <v>75</v>
      </c>
      <c r="D277" s="98">
        <f>D278*H277</f>
        <v>480</v>
      </c>
      <c r="E277" s="96">
        <f>unit_prices!D21</f>
        <v>175.0782643283714</v>
      </c>
      <c r="F277" s="24">
        <f>D277*E277/1000</f>
        <v>84.037566877618275</v>
      </c>
      <c r="G277" s="89"/>
      <c r="H277" s="103">
        <v>0.3</v>
      </c>
      <c r="I277" s="5"/>
    </row>
    <row r="278" spans="1:9" ht="11.4" x14ac:dyDescent="0.2">
      <c r="A278" s="20" t="s">
        <v>159</v>
      </c>
      <c r="B278" s="58" t="s">
        <v>733</v>
      </c>
      <c r="C278" s="21" t="s">
        <v>69</v>
      </c>
      <c r="D278" s="88">
        <f>iocosts!B77</f>
        <v>1600</v>
      </c>
      <c r="E278" s="96">
        <f>unit_prices!D24</f>
        <v>190.17121814978273</v>
      </c>
      <c r="F278" s="24">
        <f t="shared" ref="F278:F279" si="34">D278*E278/1000</f>
        <v>304.27394903965234</v>
      </c>
      <c r="G278" s="89"/>
      <c r="H278" s="93"/>
      <c r="I278" s="5"/>
    </row>
    <row r="279" spans="1:9" ht="11.4" x14ac:dyDescent="0.2">
      <c r="A279" s="20" t="s">
        <v>160</v>
      </c>
      <c r="B279" s="58" t="s">
        <v>735</v>
      </c>
      <c r="C279" s="21" t="s">
        <v>75</v>
      </c>
      <c r="D279" s="98">
        <f>D278*H279</f>
        <v>112.00000000000001</v>
      </c>
      <c r="E279" s="96">
        <f>unit_prices!D25</f>
        <v>2176.9070395082267</v>
      </c>
      <c r="F279" s="24">
        <f t="shared" si="34"/>
        <v>243.81358842492142</v>
      </c>
      <c r="G279" s="89"/>
      <c r="H279" s="103">
        <v>7.0000000000000007E-2</v>
      </c>
      <c r="I279" s="5"/>
    </row>
    <row r="280" spans="1:9" ht="11.4" x14ac:dyDescent="0.2">
      <c r="A280" s="20" t="s">
        <v>161</v>
      </c>
      <c r="B280" s="58" t="s">
        <v>719</v>
      </c>
      <c r="C280" s="21" t="s">
        <v>23</v>
      </c>
      <c r="D280" s="102">
        <f>iocosts!B173</f>
        <v>2</v>
      </c>
      <c r="E280" s="30">
        <f>SUM(F267,F271:F272,F276)*1000</f>
        <v>1069544.0610097281</v>
      </c>
      <c r="F280" s="24">
        <f>D280/100*E280/1000</f>
        <v>21.390881220194562</v>
      </c>
      <c r="G280" s="89"/>
      <c r="H280" s="5"/>
      <c r="I280" s="5"/>
    </row>
    <row r="281" spans="1:9" ht="11.4" x14ac:dyDescent="0.2">
      <c r="A281" s="31" t="s">
        <v>163</v>
      </c>
      <c r="B281" s="58" t="s">
        <v>763</v>
      </c>
      <c r="C281" s="21" t="s">
        <v>10</v>
      </c>
      <c r="D281" s="22"/>
      <c r="E281" s="30"/>
      <c r="F281" s="24">
        <f>SUM(F282,F286:F287,F291,F293)</f>
        <v>735.58379064164103</v>
      </c>
      <c r="G281" s="89"/>
      <c r="I281" s="5"/>
    </row>
    <row r="282" spans="1:9" ht="11.4" x14ac:dyDescent="0.2">
      <c r="A282" s="20" t="s">
        <v>153</v>
      </c>
      <c r="B282" s="58" t="s">
        <v>710</v>
      </c>
      <c r="C282" s="21" t="s">
        <v>10</v>
      </c>
      <c r="D282" s="22"/>
      <c r="E282" s="30"/>
      <c r="F282" s="24">
        <f>SUM(F283:F285)</f>
        <v>167.14403969865512</v>
      </c>
      <c r="G282" s="89"/>
      <c r="H282" s="5"/>
      <c r="I282" s="5"/>
    </row>
    <row r="283" spans="1:9" ht="11.4" x14ac:dyDescent="0.2">
      <c r="A283" s="20" t="s">
        <v>154</v>
      </c>
      <c r="B283" s="58" t="s">
        <v>726</v>
      </c>
      <c r="C283" s="21" t="s">
        <v>69</v>
      </c>
      <c r="D283" s="88">
        <f>iocosts!B78</f>
        <v>200</v>
      </c>
      <c r="E283" s="96">
        <f>unit_prices!D5</f>
        <v>3.8235483014242027</v>
      </c>
      <c r="F283" s="24">
        <f>D283*E283/1000</f>
        <v>0.76470966028484055</v>
      </c>
      <c r="G283" s="84"/>
      <c r="H283" s="5"/>
      <c r="I283" s="5"/>
    </row>
    <row r="284" spans="1:9" ht="11.4" x14ac:dyDescent="0.2">
      <c r="A284" s="20" t="s">
        <v>155</v>
      </c>
      <c r="B284" s="58" t="s">
        <v>728</v>
      </c>
      <c r="C284" s="21" t="s">
        <v>69</v>
      </c>
      <c r="D284" s="88">
        <f>iocosts!B79</f>
        <v>400</v>
      </c>
      <c r="E284" s="96">
        <f>unit_prices!D6</f>
        <v>10.565067674987899</v>
      </c>
      <c r="F284" s="24">
        <f>D284*E284/1000</f>
        <v>4.2260270699951601</v>
      </c>
      <c r="G284" s="89"/>
      <c r="H284" s="5"/>
      <c r="I284" s="5"/>
    </row>
    <row r="285" spans="1:9" ht="11.4" x14ac:dyDescent="0.2">
      <c r="A285" s="20" t="s">
        <v>274</v>
      </c>
      <c r="B285" s="58" t="s">
        <v>731</v>
      </c>
      <c r="C285" s="21" t="s">
        <v>69</v>
      </c>
      <c r="D285" s="88">
        <f>iocosts!B80+iocosts!B108</f>
        <v>2302.2091474945573</v>
      </c>
      <c r="E285" s="96">
        <f>unit_prices!D7</f>
        <v>70.43378449991954</v>
      </c>
      <c r="F285" s="24">
        <f>D285*E285/1000</f>
        <v>162.15330296837513</v>
      </c>
      <c r="G285" s="217" t="s">
        <v>1150</v>
      </c>
      <c r="H285" s="5"/>
      <c r="I285" s="5"/>
    </row>
    <row r="286" spans="1:9" ht="11.4" x14ac:dyDescent="0.2">
      <c r="A286" s="20" t="s">
        <v>156</v>
      </c>
      <c r="B286" s="58" t="s">
        <v>730</v>
      </c>
      <c r="C286" s="21" t="s">
        <v>4</v>
      </c>
      <c r="D286" s="88">
        <f>iocosts!B81+iocosts!B109</f>
        <v>1474.0352730643308</v>
      </c>
      <c r="E286" s="96">
        <f>unit_prices!D11</f>
        <v>29.959513335501487</v>
      </c>
      <c r="F286" s="24">
        <f>D286*E286/1000</f>
        <v>44.161379420370395</v>
      </c>
      <c r="G286" s="217" t="s">
        <v>1150</v>
      </c>
      <c r="H286" s="5"/>
      <c r="I286" s="5"/>
    </row>
    <row r="287" spans="1:9" ht="11.4" x14ac:dyDescent="0.2">
      <c r="A287" s="20" t="s">
        <v>157</v>
      </c>
      <c r="B287" s="58" t="s">
        <v>714</v>
      </c>
      <c r="C287" s="21" t="s">
        <v>10</v>
      </c>
      <c r="D287" s="25"/>
      <c r="E287" s="26"/>
      <c r="F287" s="24">
        <f>SUM(F288:F290)</f>
        <v>509.8551599414069</v>
      </c>
      <c r="G287" s="89"/>
      <c r="H287" s="5"/>
      <c r="I287" s="5"/>
    </row>
    <row r="288" spans="1:9" ht="11.4" x14ac:dyDescent="0.2">
      <c r="A288" s="20" t="s">
        <v>158</v>
      </c>
      <c r="B288" s="58" t="s">
        <v>715</v>
      </c>
      <c r="C288" s="21" t="s">
        <v>75</v>
      </c>
      <c r="D288" s="98">
        <f>D289*H288</f>
        <v>503.34269033983617</v>
      </c>
      <c r="E288" s="96">
        <f>unit_prices!D21</f>
        <v>175.0782643283714</v>
      </c>
      <c r="F288" s="24">
        <f>D288*E288/1000</f>
        <v>88.12436458707144</v>
      </c>
      <c r="G288" s="89"/>
      <c r="H288" s="103">
        <v>0.25</v>
      </c>
      <c r="I288" s="5"/>
    </row>
    <row r="289" spans="1:9" ht="11.4" x14ac:dyDescent="0.2">
      <c r="A289" s="20" t="s">
        <v>159</v>
      </c>
      <c r="B289" s="58" t="s">
        <v>733</v>
      </c>
      <c r="C289" s="21" t="s">
        <v>69</v>
      </c>
      <c r="D289" s="88">
        <f>iocosts!B77+iocosts!B110</f>
        <v>2013.3707613593447</v>
      </c>
      <c r="E289" s="96">
        <f>unit_prices!D22</f>
        <v>100.6196921427422</v>
      </c>
      <c r="F289" s="24">
        <f t="shared" ref="F289:F290" si="35">D289*E289/1000</f>
        <v>202.58474617717573</v>
      </c>
      <c r="G289" s="217" t="s">
        <v>1150</v>
      </c>
      <c r="H289" s="93"/>
      <c r="I289" s="5"/>
    </row>
    <row r="290" spans="1:9" ht="11.4" x14ac:dyDescent="0.2">
      <c r="A290" s="20" t="s">
        <v>160</v>
      </c>
      <c r="B290" s="58" t="s">
        <v>735</v>
      </c>
      <c r="C290" s="21" t="s">
        <v>75</v>
      </c>
      <c r="D290" s="98">
        <f>D289*H290</f>
        <v>100.66853806796723</v>
      </c>
      <c r="E290" s="96">
        <f>unit_prices!D25</f>
        <v>2176.9070395082267</v>
      </c>
      <c r="F290" s="24">
        <f t="shared" si="35"/>
        <v>219.14604917715977</v>
      </c>
      <c r="G290" s="89"/>
      <c r="H290" s="103">
        <v>0.05</v>
      </c>
      <c r="I290" s="5"/>
    </row>
    <row r="291" spans="1:9" ht="11.4" x14ac:dyDescent="0.2">
      <c r="A291" s="33" t="s">
        <v>145</v>
      </c>
      <c r="B291" s="58" t="s">
        <v>720</v>
      </c>
      <c r="C291" s="21" t="s">
        <v>10</v>
      </c>
      <c r="D291" s="22"/>
      <c r="E291" s="22"/>
      <c r="F291" s="24">
        <f>SUM(F292)</f>
        <v>0</v>
      </c>
      <c r="G291" s="89"/>
      <c r="H291" s="5"/>
      <c r="I291" s="5"/>
    </row>
    <row r="292" spans="1:9" ht="11.4" x14ac:dyDescent="0.2">
      <c r="A292" s="33" t="s">
        <v>275</v>
      </c>
      <c r="B292" s="58" t="s">
        <v>768</v>
      </c>
      <c r="C292" s="21" t="s">
        <v>75</v>
      </c>
      <c r="D292" s="104">
        <f>iocosts!B83</f>
        <v>0</v>
      </c>
      <c r="E292" s="105">
        <f>unit_prices!L14</f>
        <v>3004.1769933828173</v>
      </c>
      <c r="F292" s="24">
        <f>D292*E292/1000</f>
        <v>0</v>
      </c>
      <c r="G292" s="218"/>
      <c r="H292" s="5"/>
      <c r="I292" s="5"/>
    </row>
    <row r="293" spans="1:9" ht="11.4" x14ac:dyDescent="0.2">
      <c r="A293" s="20" t="s">
        <v>161</v>
      </c>
      <c r="B293" s="58" t="s">
        <v>719</v>
      </c>
      <c r="C293" s="21" t="s">
        <v>23</v>
      </c>
      <c r="D293" s="102">
        <f>iocosts!B173</f>
        <v>2</v>
      </c>
      <c r="E293" s="30">
        <f>SUM(F282,F286:F287)*1000</f>
        <v>721160.57906043238</v>
      </c>
      <c r="F293" s="24">
        <f>D293/100*E293/1000</f>
        <v>14.423211581208649</v>
      </c>
      <c r="G293" s="89"/>
      <c r="H293" s="5"/>
      <c r="I293" s="5"/>
    </row>
    <row r="294" spans="1:9" ht="11.4" x14ac:dyDescent="0.2">
      <c r="A294" s="20" t="s">
        <v>216</v>
      </c>
      <c r="B294" s="58" t="s">
        <v>767</v>
      </c>
      <c r="C294" s="21" t="s">
        <v>10</v>
      </c>
      <c r="D294" s="22"/>
      <c r="E294" s="30"/>
      <c r="F294" s="24">
        <f>SUM(F295,F299:F300,F304,F308)</f>
        <v>5281.049126318575</v>
      </c>
      <c r="G294" s="84"/>
      <c r="I294" s="5"/>
    </row>
    <row r="295" spans="1:9" ht="11.4" x14ac:dyDescent="0.2">
      <c r="A295" s="20" t="s">
        <v>153</v>
      </c>
      <c r="B295" s="58" t="s">
        <v>710</v>
      </c>
      <c r="C295" s="21" t="s">
        <v>10</v>
      </c>
      <c r="D295" s="22"/>
      <c r="E295" s="30"/>
      <c r="F295" s="24">
        <f>SUM(F296:F298)</f>
        <v>233.96090817030409</v>
      </c>
      <c r="G295" s="89"/>
      <c r="H295" s="5"/>
      <c r="I295" s="5"/>
    </row>
    <row r="296" spans="1:9" ht="11.4" x14ac:dyDescent="0.2">
      <c r="A296" s="20" t="s">
        <v>154</v>
      </c>
      <c r="B296" s="58" t="s">
        <v>726</v>
      </c>
      <c r="C296" s="21" t="s">
        <v>69</v>
      </c>
      <c r="D296" s="88">
        <f>iocosts!B84</f>
        <v>400</v>
      </c>
      <c r="E296" s="96">
        <f>unit_prices!D5</f>
        <v>3.8235483014242027</v>
      </c>
      <c r="F296" s="24">
        <f>D296*E296/1000</f>
        <v>1.5294193205696811</v>
      </c>
      <c r="G296" s="84"/>
      <c r="H296" s="5"/>
      <c r="I296" s="5"/>
    </row>
    <row r="297" spans="1:9" ht="11.4" x14ac:dyDescent="0.2">
      <c r="A297" s="20" t="s">
        <v>155</v>
      </c>
      <c r="B297" s="58" t="s">
        <v>728</v>
      </c>
      <c r="C297" s="21" t="s">
        <v>69</v>
      </c>
      <c r="D297" s="88">
        <f>iocosts!B85</f>
        <v>2000</v>
      </c>
      <c r="E297" s="96">
        <f>unit_prices!D6</f>
        <v>10.565067674987899</v>
      </c>
      <c r="F297" s="24">
        <f>D297*E297/1000</f>
        <v>21.130135349975799</v>
      </c>
      <c r="G297" s="89"/>
      <c r="H297" s="5"/>
      <c r="I297" s="5"/>
    </row>
    <row r="298" spans="1:9" ht="11.4" x14ac:dyDescent="0.2">
      <c r="A298" s="20" t="s">
        <v>274</v>
      </c>
      <c r="B298" s="58" t="s">
        <v>731</v>
      </c>
      <c r="C298" s="21" t="s">
        <v>69</v>
      </c>
      <c r="D298" s="88">
        <f>iocosts!B86</f>
        <v>3000</v>
      </c>
      <c r="E298" s="96">
        <f>unit_prices!D7</f>
        <v>70.43378449991954</v>
      </c>
      <c r="F298" s="24">
        <f>D298*E298/1000</f>
        <v>211.30135349975862</v>
      </c>
      <c r="G298" s="89"/>
      <c r="H298" s="5"/>
      <c r="I298" s="5"/>
    </row>
    <row r="299" spans="1:9" ht="11.4" x14ac:dyDescent="0.2">
      <c r="A299" s="20" t="s">
        <v>156</v>
      </c>
      <c r="B299" s="58" t="s">
        <v>730</v>
      </c>
      <c r="C299" s="21" t="s">
        <v>4</v>
      </c>
      <c r="D299" s="88">
        <f>iocosts!B87+iocosts!B88</f>
        <v>11000</v>
      </c>
      <c r="E299" s="96">
        <f>IF(iocosts!B87+iocosts!B88=0,0,(unit_prices!D10*iocosts!B87+unit_prices!D11*iocosts!B88)/(iocosts!B87+iocosts!B88))</f>
        <v>27.576198718429538</v>
      </c>
      <c r="F299" s="24">
        <f>D299*E299/1000</f>
        <v>303.33818590272489</v>
      </c>
      <c r="G299" s="89"/>
      <c r="H299" s="160"/>
      <c r="I299" s="5"/>
    </row>
    <row r="300" spans="1:9" ht="11.4" x14ac:dyDescent="0.2">
      <c r="A300" s="20" t="s">
        <v>157</v>
      </c>
      <c r="B300" s="58" t="s">
        <v>714</v>
      </c>
      <c r="C300" s="21" t="s">
        <v>10</v>
      </c>
      <c r="D300" s="25"/>
      <c r="E300" s="26"/>
      <c r="F300" s="24">
        <f>SUM(F301:F303)</f>
        <v>140.72921692314279</v>
      </c>
      <c r="G300" s="89"/>
      <c r="H300" s="5"/>
      <c r="I300" s="5"/>
    </row>
    <row r="301" spans="1:9" ht="11.4" x14ac:dyDescent="0.2">
      <c r="A301" s="20" t="s">
        <v>158</v>
      </c>
      <c r="B301" s="58" t="s">
        <v>715</v>
      </c>
      <c r="C301" s="21" t="s">
        <v>75</v>
      </c>
      <c r="D301" s="98">
        <f>D302*H301</f>
        <v>131</v>
      </c>
      <c r="E301" s="96">
        <f>unit_prices!D21</f>
        <v>175.0782643283714</v>
      </c>
      <c r="F301" s="24">
        <f>D301*E301/1000</f>
        <v>22.935252627016652</v>
      </c>
      <c r="G301" s="89"/>
      <c r="H301" s="103">
        <f>IF(iocosts!B89+iocosts!B90=0,0,(0.25*iocosts!B89+0.27*iocosts!B90)/(iocosts!B89+iocosts!B90))</f>
        <v>0.26200000000000001</v>
      </c>
      <c r="I301" s="5"/>
    </row>
    <row r="302" spans="1:9" ht="11.4" x14ac:dyDescent="0.2">
      <c r="A302" s="20" t="s">
        <v>159</v>
      </c>
      <c r="B302" s="58" t="s">
        <v>733</v>
      </c>
      <c r="C302" s="21" t="s">
        <v>69</v>
      </c>
      <c r="D302" s="88">
        <f>iocosts!B89+iocosts!B90</f>
        <v>500</v>
      </c>
      <c r="E302" s="96">
        <f>unit_prices!D22</f>
        <v>100.6196921427422</v>
      </c>
      <c r="F302" s="24">
        <f t="shared" ref="F302:F303" si="36">D302*E302/1000</f>
        <v>50.309846071371098</v>
      </c>
      <c r="G302" s="89"/>
      <c r="H302" s="93"/>
      <c r="I302" s="5"/>
    </row>
    <row r="303" spans="1:9" ht="11.4" x14ac:dyDescent="0.2">
      <c r="A303" s="20" t="s">
        <v>160</v>
      </c>
      <c r="B303" s="58" t="s">
        <v>735</v>
      </c>
      <c r="C303" s="21" t="s">
        <v>75</v>
      </c>
      <c r="D303" s="98">
        <f>D302*H303</f>
        <v>31.000000000000004</v>
      </c>
      <c r="E303" s="96">
        <f>unit_prices!D25</f>
        <v>2176.9070395082267</v>
      </c>
      <c r="F303" s="24">
        <f t="shared" si="36"/>
        <v>67.484118224755036</v>
      </c>
      <c r="G303" s="89"/>
      <c r="H303" s="103">
        <f>IF(iocosts!B89+iocosts!B90=0,0,(0.05*iocosts!B89+0.07*iocosts!B90)/(iocosts!B89+iocosts!B90))</f>
        <v>6.2000000000000006E-2</v>
      </c>
      <c r="I303" s="5"/>
    </row>
    <row r="304" spans="1:9" ht="11.4" x14ac:dyDescent="0.2">
      <c r="A304" s="33" t="s">
        <v>145</v>
      </c>
      <c r="B304" s="58" t="s">
        <v>720</v>
      </c>
      <c r="C304" s="21" t="s">
        <v>10</v>
      </c>
      <c r="D304" s="22"/>
      <c r="E304" s="22"/>
      <c r="F304" s="24">
        <f>SUM(F305:F307)</f>
        <v>4589.4602491024798</v>
      </c>
      <c r="G304" s="89"/>
      <c r="H304" s="5"/>
      <c r="I304" s="5"/>
    </row>
    <row r="305" spans="1:9" ht="11.4" x14ac:dyDescent="0.2">
      <c r="A305" s="33" t="s">
        <v>275</v>
      </c>
      <c r="B305" s="58" t="s">
        <v>768</v>
      </c>
      <c r="C305" s="21" t="s">
        <v>75</v>
      </c>
      <c r="D305" s="104">
        <f>iocosts!B94</f>
        <v>589</v>
      </c>
      <c r="E305" s="105">
        <f>unit_prices!L14</f>
        <v>3004.1769933828173</v>
      </c>
      <c r="F305" s="24">
        <f>D305*E305/1000</f>
        <v>1769.4602491024793</v>
      </c>
      <c r="G305" s="191"/>
      <c r="H305" s="5"/>
      <c r="I305" s="5"/>
    </row>
    <row r="306" spans="1:9" ht="11.4" x14ac:dyDescent="0.2">
      <c r="A306" s="33" t="s">
        <v>276</v>
      </c>
      <c r="B306" s="58" t="s">
        <v>766</v>
      </c>
      <c r="C306" s="21" t="s">
        <v>89</v>
      </c>
      <c r="D306" s="104">
        <f>iocosts!B95</f>
        <v>2</v>
      </c>
      <c r="E306" s="104">
        <f>ROUNDUP(IF(iocosts!B117=0,iocosts!B96*unit_prices!L15,iocosts!B97)*(1+(iocosts!B168+iocosts!B169+iocosts!B170)/100),-4)</f>
        <v>1410000</v>
      </c>
      <c r="F306" s="24">
        <f t="shared" ref="F306:F307" si="37">D306*E306/1000</f>
        <v>2820</v>
      </c>
      <c r="G306" s="195" t="s">
        <v>1097</v>
      </c>
      <c r="H306" s="5"/>
      <c r="I306" s="5"/>
    </row>
    <row r="307" spans="1:9" ht="11.4" x14ac:dyDescent="0.2">
      <c r="A307" s="33" t="s">
        <v>276</v>
      </c>
      <c r="B307" s="58" t="s">
        <v>769</v>
      </c>
      <c r="C307" s="21" t="s">
        <v>89</v>
      </c>
      <c r="D307" s="104">
        <f>iocosts!B98</f>
        <v>0</v>
      </c>
      <c r="E307" s="105">
        <f>ROUNDUP(IF(iocosts!B117=0,iocosts!B99*unit_prices!L16,iocosts!B100)*(1+(iocosts!B168+iocosts!B169+iocosts!B170)/100),-4)</f>
        <v>0</v>
      </c>
      <c r="F307" s="24">
        <f t="shared" si="37"/>
        <v>0</v>
      </c>
      <c r="G307" s="195" t="s">
        <v>1097</v>
      </c>
      <c r="H307" s="5"/>
      <c r="I307" s="5"/>
    </row>
    <row r="308" spans="1:9" ht="11.4" x14ac:dyDescent="0.2">
      <c r="A308" s="20" t="s">
        <v>161</v>
      </c>
      <c r="B308" s="58" t="s">
        <v>719</v>
      </c>
      <c r="C308" s="21" t="s">
        <v>23</v>
      </c>
      <c r="D308" s="102">
        <f>iocosts!B173</f>
        <v>2</v>
      </c>
      <c r="E308" s="30">
        <f>SUM(F295,F299:F300)*1000</f>
        <v>678028.31099617179</v>
      </c>
      <c r="F308" s="24">
        <f>D308/100*E308/1000</f>
        <v>13.560566219923436</v>
      </c>
      <c r="G308" s="89"/>
      <c r="H308" s="5"/>
      <c r="I308" s="5"/>
    </row>
    <row r="309" spans="1:9" ht="11.4" x14ac:dyDescent="0.2">
      <c r="A309" s="31" t="s">
        <v>164</v>
      </c>
      <c r="B309" s="58" t="s">
        <v>777</v>
      </c>
      <c r="C309" s="21" t="s">
        <v>10</v>
      </c>
      <c r="D309" s="22"/>
      <c r="E309" s="30"/>
      <c r="F309" s="24">
        <f>SUM(F310,F314:F315,F319,F323,F326)</f>
        <v>773.8657033175183</v>
      </c>
      <c r="G309" s="89"/>
      <c r="I309" s="5"/>
    </row>
    <row r="310" spans="1:9" ht="11.4" x14ac:dyDescent="0.2">
      <c r="A310" s="31" t="s">
        <v>165</v>
      </c>
      <c r="B310" s="58" t="s">
        <v>710</v>
      </c>
      <c r="C310" s="21" t="s">
        <v>10</v>
      </c>
      <c r="D310" s="22"/>
      <c r="E310" s="30"/>
      <c r="F310" s="24">
        <f>SUM(F311:F313)</f>
        <v>752.70298192123096</v>
      </c>
      <c r="G310" s="89"/>
      <c r="I310" s="5"/>
    </row>
    <row r="311" spans="1:9" ht="11.4" x14ac:dyDescent="0.2">
      <c r="A311" s="33" t="s">
        <v>166</v>
      </c>
      <c r="B311" s="58" t="s">
        <v>726</v>
      </c>
      <c r="C311" s="21" t="s">
        <v>69</v>
      </c>
      <c r="D311" s="88">
        <f>iocosts!B101</f>
        <v>200</v>
      </c>
      <c r="E311" s="96">
        <f>unit_prices!D5</f>
        <v>3.8235483014242027</v>
      </c>
      <c r="F311" s="24">
        <f t="shared" ref="F311:F314" si="38">D311*E311/1000</f>
        <v>0.76470966028484055</v>
      </c>
      <c r="G311" s="89"/>
      <c r="I311" s="5"/>
    </row>
    <row r="312" spans="1:9" ht="11.4" x14ac:dyDescent="0.2">
      <c r="A312" s="33" t="s">
        <v>167</v>
      </c>
      <c r="B312" s="58" t="s">
        <v>728</v>
      </c>
      <c r="C312" s="21" t="s">
        <v>69</v>
      </c>
      <c r="D312" s="88">
        <f>iocosts!B102</f>
        <v>400</v>
      </c>
      <c r="E312" s="96">
        <f>unit_prices!D6</f>
        <v>10.565067674987899</v>
      </c>
      <c r="F312" s="24">
        <f t="shared" si="38"/>
        <v>4.2260270699951601</v>
      </c>
      <c r="G312" s="89"/>
      <c r="I312" s="5"/>
    </row>
    <row r="313" spans="1:9" ht="11.4" x14ac:dyDescent="0.2">
      <c r="A313" s="33" t="s">
        <v>168</v>
      </c>
      <c r="B313" s="58" t="s">
        <v>731</v>
      </c>
      <c r="C313" s="21" t="s">
        <v>69</v>
      </c>
      <c r="D313" s="88">
        <f>iocosts!B103</f>
        <v>10615.818112000003</v>
      </c>
      <c r="E313" s="96">
        <f>unit_prices!D7</f>
        <v>70.43378449991954</v>
      </c>
      <c r="F313" s="24">
        <f t="shared" si="38"/>
        <v>747.71224519095097</v>
      </c>
      <c r="G313" s="89"/>
      <c r="H313" s="91"/>
      <c r="I313" s="5"/>
    </row>
    <row r="314" spans="1:9" ht="11.4" x14ac:dyDescent="0.2">
      <c r="A314" s="33" t="s">
        <v>169</v>
      </c>
      <c r="B314" s="58" t="s">
        <v>730</v>
      </c>
      <c r="C314" s="21" t="s">
        <v>4</v>
      </c>
      <c r="D314" s="88">
        <f>iocosts!B104</f>
        <v>1600</v>
      </c>
      <c r="E314" s="96">
        <f>unit_prices!D10</f>
        <v>3.7430525477100089</v>
      </c>
      <c r="F314" s="24">
        <f t="shared" si="38"/>
        <v>5.9888840763360136</v>
      </c>
      <c r="G314" s="89"/>
      <c r="H314" s="91"/>
      <c r="I314" s="5"/>
    </row>
    <row r="315" spans="1:9" ht="11.4" x14ac:dyDescent="0.2">
      <c r="A315" s="33" t="s">
        <v>170</v>
      </c>
      <c r="B315" s="58" t="s">
        <v>714</v>
      </c>
      <c r="C315" s="21" t="s">
        <v>10</v>
      </c>
      <c r="D315" s="22"/>
      <c r="E315" s="30"/>
      <c r="F315" s="24">
        <f>SUM(F316:F318)</f>
        <v>0</v>
      </c>
      <c r="G315" s="89"/>
      <c r="I315" s="5"/>
    </row>
    <row r="316" spans="1:9" ht="11.4" x14ac:dyDescent="0.2">
      <c r="A316" s="33" t="s">
        <v>171</v>
      </c>
      <c r="B316" s="58" t="s">
        <v>715</v>
      </c>
      <c r="C316" s="21" t="s">
        <v>75</v>
      </c>
      <c r="D316" s="98">
        <f>D317*H316</f>
        <v>0</v>
      </c>
      <c r="E316" s="96">
        <f>unit_prices!D21</f>
        <v>175.0782643283714</v>
      </c>
      <c r="F316" s="24">
        <f>D316*E316/1000</f>
        <v>0</v>
      </c>
      <c r="G316" s="89"/>
      <c r="H316" s="103">
        <v>0.25</v>
      </c>
      <c r="I316" s="5"/>
    </row>
    <row r="317" spans="1:9" ht="11.4" x14ac:dyDescent="0.2">
      <c r="A317" s="33" t="s">
        <v>172</v>
      </c>
      <c r="B317" s="58" t="s">
        <v>733</v>
      </c>
      <c r="C317" s="21" t="s">
        <v>69</v>
      </c>
      <c r="D317" s="88">
        <f>iocosts!B105</f>
        <v>0</v>
      </c>
      <c r="E317" s="96">
        <f>unit_prices!D22</f>
        <v>100.6196921427422</v>
      </c>
      <c r="F317" s="24">
        <f t="shared" ref="F317:F318" si="39">D317*E317/1000</f>
        <v>0</v>
      </c>
      <c r="G317" s="89"/>
      <c r="H317" s="93"/>
      <c r="I317" s="5"/>
    </row>
    <row r="318" spans="1:9" ht="11.4" x14ac:dyDescent="0.2">
      <c r="A318" s="33" t="s">
        <v>173</v>
      </c>
      <c r="B318" s="58" t="s">
        <v>735</v>
      </c>
      <c r="C318" s="21" t="s">
        <v>75</v>
      </c>
      <c r="D318" s="98">
        <f>D317*H318</f>
        <v>0</v>
      </c>
      <c r="E318" s="96">
        <f>unit_prices!D25</f>
        <v>2176.9070395082267</v>
      </c>
      <c r="F318" s="24">
        <f t="shared" si="39"/>
        <v>0</v>
      </c>
      <c r="G318" s="89"/>
      <c r="H318" s="103">
        <v>0.05</v>
      </c>
      <c r="I318" s="5"/>
    </row>
    <row r="319" spans="1:9" ht="11.4" x14ac:dyDescent="0.2">
      <c r="A319" s="33" t="s">
        <v>170</v>
      </c>
      <c r="B319" s="58" t="s">
        <v>718</v>
      </c>
      <c r="C319" s="21" t="s">
        <v>10</v>
      </c>
      <c r="F319" s="24">
        <f>SUM(F320:F322)</f>
        <v>0</v>
      </c>
      <c r="G319" s="217" t="s">
        <v>1143</v>
      </c>
      <c r="H319" s="3"/>
      <c r="I319" s="5"/>
    </row>
    <row r="320" spans="1:9" ht="11.4" x14ac:dyDescent="0.2">
      <c r="A320" s="33" t="s">
        <v>171</v>
      </c>
      <c r="B320" s="58" t="s">
        <v>715</v>
      </c>
      <c r="C320" s="21" t="s">
        <v>75</v>
      </c>
      <c r="D320" s="98">
        <f>D321*H320</f>
        <v>0</v>
      </c>
      <c r="E320" s="96">
        <f>unit_prices!D21</f>
        <v>175.0782643283714</v>
      </c>
      <c r="F320" s="24">
        <f>D320*E320/1000</f>
        <v>0</v>
      </c>
      <c r="G320" s="89"/>
      <c r="H320" s="103">
        <v>0.3</v>
      </c>
      <c r="I320" s="5"/>
    </row>
    <row r="321" spans="1:9" ht="11.4" x14ac:dyDescent="0.2">
      <c r="A321" s="33" t="s">
        <v>172</v>
      </c>
      <c r="B321" s="58" t="s">
        <v>716</v>
      </c>
      <c r="C321" s="21" t="s">
        <v>69</v>
      </c>
      <c r="D321" s="88">
        <f>iocosts!B247</f>
        <v>0</v>
      </c>
      <c r="E321" s="96">
        <f>unit_prices!D24</f>
        <v>190.17121814978273</v>
      </c>
      <c r="F321" s="24">
        <f t="shared" ref="F321:F322" si="40">D321*E321/1000</f>
        <v>0</v>
      </c>
      <c r="G321" s="89"/>
      <c r="H321" s="93"/>
      <c r="I321" s="5"/>
    </row>
    <row r="322" spans="1:9" ht="11.4" x14ac:dyDescent="0.2">
      <c r="A322" s="33" t="s">
        <v>173</v>
      </c>
      <c r="B322" s="58" t="s">
        <v>717</v>
      </c>
      <c r="C322" s="21" t="s">
        <v>75</v>
      </c>
      <c r="D322" s="98">
        <f>D321*H322</f>
        <v>0</v>
      </c>
      <c r="E322" s="96">
        <f>unit_prices!D25</f>
        <v>2176.9070395082267</v>
      </c>
      <c r="F322" s="24">
        <f t="shared" si="40"/>
        <v>0</v>
      </c>
      <c r="G322" s="89"/>
      <c r="H322" s="103">
        <v>7.0000000000000007E-2</v>
      </c>
      <c r="I322" s="5"/>
    </row>
    <row r="323" spans="1:9" ht="11.4" x14ac:dyDescent="0.2">
      <c r="A323" s="33" t="s">
        <v>861</v>
      </c>
      <c r="B323" s="58" t="s">
        <v>853</v>
      </c>
      <c r="C323" s="21" t="s">
        <v>10</v>
      </c>
      <c r="F323" s="24">
        <f>SUM(F324:F325)</f>
        <v>0</v>
      </c>
      <c r="G323" s="89"/>
      <c r="H323" s="90"/>
      <c r="I323" s="5"/>
    </row>
    <row r="324" spans="1:9" ht="11.4" x14ac:dyDescent="0.2">
      <c r="A324" s="33" t="s">
        <v>862</v>
      </c>
      <c r="B324" s="58" t="s">
        <v>715</v>
      </c>
      <c r="C324" s="21" t="s">
        <v>75</v>
      </c>
      <c r="D324" s="98">
        <f>D325*H324</f>
        <v>0</v>
      </c>
      <c r="E324" s="96">
        <f>unit_prices!D21</f>
        <v>175.0782643283714</v>
      </c>
      <c r="F324" s="24">
        <f>D324*E324/1000</f>
        <v>0</v>
      </c>
      <c r="G324" s="89"/>
      <c r="H324" s="103">
        <v>0.15</v>
      </c>
      <c r="I324" s="5"/>
    </row>
    <row r="325" spans="1:9" ht="11.4" x14ac:dyDescent="0.2">
      <c r="A325" s="33" t="s">
        <v>863</v>
      </c>
      <c r="B325" s="58" t="s">
        <v>716</v>
      </c>
      <c r="C325" s="21" t="s">
        <v>69</v>
      </c>
      <c r="D325" s="88">
        <f>iocosts!B107</f>
        <v>0</v>
      </c>
      <c r="E325" s="96">
        <f>unit_prices!D23</f>
        <v>56.850126060649337</v>
      </c>
      <c r="F325" s="24">
        <f t="shared" ref="F325" si="41">D325*E325/1000</f>
        <v>0</v>
      </c>
      <c r="G325" s="89"/>
      <c r="H325" s="90"/>
      <c r="I325" s="5"/>
    </row>
    <row r="326" spans="1:9" ht="11.4" x14ac:dyDescent="0.2">
      <c r="A326" s="33" t="s">
        <v>174</v>
      </c>
      <c r="B326" s="58" t="s">
        <v>719</v>
      </c>
      <c r="C326" s="21" t="s">
        <v>23</v>
      </c>
      <c r="D326" s="102">
        <f>iocosts!B173</f>
        <v>2</v>
      </c>
      <c r="E326" s="30">
        <f>SUM(F310,F314:F315,F323)*1000</f>
        <v>758691.86599756696</v>
      </c>
      <c r="F326" s="24">
        <f>D326/100*E326/1000</f>
        <v>15.173837319951339</v>
      </c>
      <c r="G326" s="89"/>
      <c r="H326" s="76"/>
      <c r="I326" s="5"/>
    </row>
    <row r="327" spans="1:9" ht="12" x14ac:dyDescent="0.2">
      <c r="A327" s="107" t="s">
        <v>175</v>
      </c>
      <c r="B327" s="57" t="s">
        <v>779</v>
      </c>
      <c r="C327" s="21"/>
      <c r="D327" s="22"/>
      <c r="E327" s="30"/>
      <c r="F327" s="24">
        <f>SUM(F328:F329)</f>
        <v>0</v>
      </c>
      <c r="G327" s="89"/>
      <c r="H327" s="76"/>
      <c r="I327" s="5"/>
    </row>
    <row r="328" spans="1:9" ht="11.4" x14ac:dyDescent="0.2">
      <c r="A328" s="33" t="s">
        <v>176</v>
      </c>
      <c r="B328" s="58" t="s">
        <v>778</v>
      </c>
      <c r="C328" s="21" t="s">
        <v>10</v>
      </c>
      <c r="D328" s="98">
        <v>1</v>
      </c>
      <c r="E328" s="114">
        <f>iocosts!B264</f>
        <v>0</v>
      </c>
      <c r="F328" s="24">
        <f t="shared" ref="F328:F329" si="42">D328*E328/1000</f>
        <v>0</v>
      </c>
      <c r="G328" s="84"/>
      <c r="H328" s="76"/>
      <c r="I328" s="5"/>
    </row>
    <row r="329" spans="1:9" ht="11.4" x14ac:dyDescent="0.2">
      <c r="A329" s="33" t="s">
        <v>177</v>
      </c>
      <c r="B329" s="58" t="s">
        <v>881</v>
      </c>
      <c r="C329" s="21" t="s">
        <v>10</v>
      </c>
      <c r="D329" s="98">
        <v>1</v>
      </c>
      <c r="E329" s="114">
        <f>iocosts!B265</f>
        <v>0</v>
      </c>
      <c r="F329" s="24">
        <f t="shared" si="42"/>
        <v>0</v>
      </c>
      <c r="G329" s="89"/>
      <c r="H329" s="76"/>
      <c r="I329" s="5"/>
    </row>
    <row r="330" spans="1:9" ht="11.4" x14ac:dyDescent="0.2">
      <c r="A330" s="27"/>
      <c r="B330" s="58"/>
      <c r="C330" s="21"/>
      <c r="D330" s="22"/>
      <c r="E330" s="30"/>
      <c r="F330" s="24"/>
      <c r="G330" s="84"/>
      <c r="H330" s="76"/>
      <c r="I330" s="5"/>
    </row>
    <row r="331" spans="1:9" ht="11.4" x14ac:dyDescent="0.2">
      <c r="A331" s="20"/>
      <c r="B331" s="58" t="s">
        <v>781</v>
      </c>
      <c r="C331" s="21"/>
      <c r="D331" s="22"/>
      <c r="E331" s="30"/>
      <c r="F331" s="24">
        <f>SUM(F96,F145,F189,F223,F327)-F332</f>
        <v>8031.6068157887075</v>
      </c>
      <c r="G331" s="89"/>
      <c r="H331" s="76"/>
      <c r="I331" s="5"/>
    </row>
    <row r="332" spans="1:9" ht="11.4" x14ac:dyDescent="0.2">
      <c r="A332" s="20"/>
      <c r="B332" s="58" t="s">
        <v>780</v>
      </c>
      <c r="C332" s="21"/>
      <c r="D332" s="22"/>
      <c r="E332" s="30"/>
      <c r="F332" s="24">
        <f>SUM(F122,F139,F202,F217,F236,F259,F291,F304)</f>
        <v>9490.4602491024798</v>
      </c>
      <c r="G332" s="84"/>
      <c r="I332" s="5"/>
    </row>
    <row r="333" spans="1:9" ht="12" x14ac:dyDescent="0.2">
      <c r="A333" s="31" t="s">
        <v>178</v>
      </c>
      <c r="B333" s="57" t="s">
        <v>782</v>
      </c>
      <c r="C333" s="21" t="s">
        <v>23</v>
      </c>
      <c r="D333" s="98">
        <f>iocosts!B175</f>
        <v>20</v>
      </c>
      <c r="E333" s="30">
        <f>F331*1000</f>
        <v>8031606.8157887077</v>
      </c>
      <c r="F333" s="24">
        <f>D333/100*E333/1000</f>
        <v>1606.3213631577416</v>
      </c>
      <c r="G333" s="89"/>
      <c r="I333" s="5"/>
    </row>
    <row r="334" spans="1:9" ht="12" x14ac:dyDescent="0.2">
      <c r="A334" s="31" t="s">
        <v>179</v>
      </c>
      <c r="B334" s="57" t="s">
        <v>783</v>
      </c>
      <c r="C334" s="21" t="s">
        <v>23</v>
      </c>
      <c r="D334" s="98">
        <f>iocosts!B176</f>
        <v>20</v>
      </c>
      <c r="E334" s="30">
        <f>F332*1000</f>
        <v>9490460.2491024807</v>
      </c>
      <c r="F334" s="24">
        <f>D334/100*E334/1000</f>
        <v>1898.0920498204962</v>
      </c>
      <c r="G334" s="84"/>
      <c r="I334" s="5"/>
    </row>
    <row r="335" spans="1:9" ht="12" thickBot="1" x14ac:dyDescent="0.25">
      <c r="A335" s="37"/>
      <c r="B335" s="59"/>
      <c r="C335" s="38"/>
      <c r="D335" s="39"/>
      <c r="E335" s="40"/>
      <c r="F335" s="41"/>
      <c r="G335" s="89"/>
      <c r="H335" s="79"/>
      <c r="I335" s="5"/>
    </row>
    <row r="336" spans="1:9" ht="12" x14ac:dyDescent="0.2">
      <c r="A336" s="42" t="s">
        <v>180</v>
      </c>
      <c r="B336" s="18" t="s">
        <v>784</v>
      </c>
      <c r="C336" s="43"/>
      <c r="D336" s="44"/>
      <c r="E336" s="45"/>
      <c r="F336" s="46">
        <f>SUM(F342:F343)</f>
        <v>105688.8</v>
      </c>
      <c r="G336" s="167"/>
      <c r="H336" s="79"/>
      <c r="I336" s="5"/>
    </row>
    <row r="337" spans="1:9" ht="11.4" x14ac:dyDescent="0.2">
      <c r="A337" s="32" t="s">
        <v>181</v>
      </c>
      <c r="B337" s="60" t="s">
        <v>789</v>
      </c>
      <c r="C337" s="21" t="s">
        <v>89</v>
      </c>
      <c r="D337" s="104">
        <f>IF(iocosts!B17&lt;&gt;0,iocosts!B17,iocosts!B20)</f>
        <v>2</v>
      </c>
      <c r="E337" s="104">
        <f>ROUNDUP(IF(iocosts!B117=0,IF(iocosts!B17&lt;&gt;0,iocosts!B18*unit_prices!L9,iocosts!B21*unit_prices!L8),IF(iocosts!B17&lt;&gt;0,iocosts!B19,iocosts!B22))*(1+(iocosts!B168+iocosts!B169+iocosts!B170)/100),-3)</f>
        <v>226000</v>
      </c>
      <c r="F337" s="24">
        <f>D337*E337/1000</f>
        <v>452</v>
      </c>
      <c r="G337" s="195" t="s">
        <v>1097</v>
      </c>
      <c r="I337" s="5"/>
    </row>
    <row r="338" spans="1:9" ht="11.4" x14ac:dyDescent="0.2">
      <c r="A338" s="20" t="s">
        <v>182</v>
      </c>
      <c r="B338" s="60" t="s">
        <v>788</v>
      </c>
      <c r="C338" s="21" t="s">
        <v>89</v>
      </c>
      <c r="D338" s="25"/>
      <c r="E338" s="25"/>
      <c r="F338" s="24">
        <f t="shared" ref="F338:F341" si="43">D338*E338/1000</f>
        <v>0</v>
      </c>
      <c r="G338" s="167"/>
      <c r="I338" s="5"/>
    </row>
    <row r="339" spans="1:9" ht="11.4" x14ac:dyDescent="0.2">
      <c r="A339" s="31" t="s">
        <v>183</v>
      </c>
      <c r="B339" s="242" t="s">
        <v>1173</v>
      </c>
      <c r="C339" s="21" t="s">
        <v>89</v>
      </c>
      <c r="D339" s="104">
        <f>iocosts!B11</f>
        <v>2</v>
      </c>
      <c r="E339" s="104">
        <f>ROUNDUP(IF(iocosts!B117=0,iocosts!B12*unit_prices!L5,iocosts!B13)*(1+(iocosts!B168+iocosts!B169+iocosts!B170)/100),-5)</f>
        <v>14100000</v>
      </c>
      <c r="F339" s="24">
        <f t="shared" si="43"/>
        <v>28200</v>
      </c>
      <c r="G339" s="195" t="s">
        <v>1097</v>
      </c>
      <c r="I339" s="5"/>
    </row>
    <row r="340" spans="1:9" ht="11.4" x14ac:dyDescent="0.2">
      <c r="A340" s="20" t="s">
        <v>184</v>
      </c>
      <c r="B340" s="242" t="s">
        <v>1174</v>
      </c>
      <c r="C340" s="21" t="s">
        <v>89</v>
      </c>
      <c r="D340" s="104">
        <f>iocosts!B14</f>
        <v>2</v>
      </c>
      <c r="E340" s="104">
        <f>ROUNDUP(IF(iocosts!B117=0,iocosts!B15*unit_prices!L6,iocosts!B16)*(1+(iocosts!B168+iocosts!B169+iocosts!B170)/100),-5)</f>
        <v>29700000</v>
      </c>
      <c r="F340" s="24">
        <f t="shared" si="43"/>
        <v>59400</v>
      </c>
      <c r="G340" s="195" t="s">
        <v>1097</v>
      </c>
      <c r="I340" s="5"/>
    </row>
    <row r="341" spans="1:9" ht="11.4" x14ac:dyDescent="0.2">
      <c r="A341" s="20" t="s">
        <v>185</v>
      </c>
      <c r="B341" s="60" t="s">
        <v>754</v>
      </c>
      <c r="C341" s="21" t="s">
        <v>10</v>
      </c>
      <c r="D341" s="98">
        <v>1</v>
      </c>
      <c r="E341" s="104">
        <f>ROUNDUP(IF(iocosts!B117=0,iocosts!B27*unit_prices!L13,iocosts!B28)*(1+(iocosts!B168+iocosts!B169+iocosts!B170)/100),-3)</f>
        <v>22000</v>
      </c>
      <c r="F341" s="24">
        <f t="shared" si="43"/>
        <v>22</v>
      </c>
      <c r="G341" s="195" t="s">
        <v>1097</v>
      </c>
      <c r="I341" s="5"/>
    </row>
    <row r="342" spans="1:9" ht="11.4" x14ac:dyDescent="0.2">
      <c r="A342" s="31"/>
      <c r="B342" s="60" t="s">
        <v>785</v>
      </c>
      <c r="C342" s="21"/>
      <c r="D342" s="22"/>
      <c r="E342" s="30"/>
      <c r="F342" s="24">
        <f>SUM(F337:F341)</f>
        <v>88074</v>
      </c>
      <c r="I342" s="5"/>
    </row>
    <row r="343" spans="1:9" ht="12" x14ac:dyDescent="0.2">
      <c r="A343" s="31" t="s">
        <v>186</v>
      </c>
      <c r="B343" s="61" t="s">
        <v>888</v>
      </c>
      <c r="C343" s="21" t="s">
        <v>23</v>
      </c>
      <c r="D343" s="98">
        <f>iocosts!B176</f>
        <v>20</v>
      </c>
      <c r="E343" s="30">
        <f>F342*1000</f>
        <v>88074000</v>
      </c>
      <c r="F343" s="24">
        <f>D343/100*E343/1000</f>
        <v>17614.8</v>
      </c>
      <c r="I343" s="5"/>
    </row>
    <row r="344" spans="1:9" ht="12" thickBot="1" x14ac:dyDescent="0.25">
      <c r="A344" s="37"/>
      <c r="B344" s="59"/>
      <c r="C344" s="38"/>
      <c r="D344" s="39"/>
      <c r="E344" s="40"/>
      <c r="F344" s="41"/>
      <c r="I344" s="5"/>
    </row>
    <row r="345" spans="1:9" ht="12" x14ac:dyDescent="0.2">
      <c r="A345" s="42" t="s">
        <v>187</v>
      </c>
      <c r="B345" s="18" t="s">
        <v>887</v>
      </c>
      <c r="C345" s="43"/>
      <c r="D345" s="44"/>
      <c r="E345" s="45"/>
      <c r="F345" s="46">
        <f>SUM(F347:F348)</f>
        <v>22828.7808</v>
      </c>
      <c r="I345" s="5"/>
    </row>
    <row r="346" spans="1:9" ht="11.4" x14ac:dyDescent="0.2">
      <c r="A346" s="31" t="s">
        <v>188</v>
      </c>
      <c r="B346" s="60" t="s">
        <v>793</v>
      </c>
      <c r="C346" s="21" t="s">
        <v>23</v>
      </c>
      <c r="D346" s="98">
        <f>iocosts!B172</f>
        <v>18</v>
      </c>
      <c r="E346" s="30">
        <f>F336*1000</f>
        <v>105688800</v>
      </c>
      <c r="F346" s="24">
        <f>D346/100*E346/1000</f>
        <v>19023.984</v>
      </c>
      <c r="G346" s="190"/>
      <c r="I346" s="5"/>
    </row>
    <row r="347" spans="1:9" ht="11.4" x14ac:dyDescent="0.2">
      <c r="A347" s="32"/>
      <c r="B347" s="60" t="s">
        <v>787</v>
      </c>
      <c r="C347" s="21"/>
      <c r="D347" s="22"/>
      <c r="E347" s="30"/>
      <c r="F347" s="24">
        <f>SUM(F346)</f>
        <v>19023.984</v>
      </c>
      <c r="I347" s="5"/>
    </row>
    <row r="348" spans="1:9" ht="12" x14ac:dyDescent="0.2">
      <c r="A348" s="31" t="s">
        <v>189</v>
      </c>
      <c r="B348" s="61" t="s">
        <v>786</v>
      </c>
      <c r="C348" s="21" t="s">
        <v>23</v>
      </c>
      <c r="D348" s="98">
        <f>iocosts!B176</f>
        <v>20</v>
      </c>
      <c r="E348" s="30">
        <f>F347*1000</f>
        <v>19023984</v>
      </c>
      <c r="F348" s="24">
        <f>D348/100*E348/1000</f>
        <v>3804.7968000000001</v>
      </c>
      <c r="I348" s="5"/>
    </row>
    <row r="349" spans="1:9" ht="12" thickBot="1" x14ac:dyDescent="0.25">
      <c r="A349" s="47"/>
      <c r="B349" s="59"/>
      <c r="C349" s="38"/>
      <c r="D349" s="39"/>
      <c r="E349" s="40"/>
      <c r="F349" s="41"/>
      <c r="I349" s="5"/>
    </row>
    <row r="350" spans="1:9" ht="12" x14ac:dyDescent="0.2">
      <c r="A350" s="42" t="s">
        <v>190</v>
      </c>
      <c r="B350" s="18" t="s">
        <v>889</v>
      </c>
      <c r="C350" s="43"/>
      <c r="D350" s="44"/>
      <c r="E350" s="45"/>
      <c r="F350" s="46">
        <f>SUM(F354:F355)</f>
        <v>11376.393600000001</v>
      </c>
      <c r="I350" s="5"/>
    </row>
    <row r="351" spans="1:9" ht="11.4" x14ac:dyDescent="0.2">
      <c r="A351" s="31" t="s">
        <v>191</v>
      </c>
      <c r="B351" s="60" t="s">
        <v>792</v>
      </c>
      <c r="C351" s="21" t="s">
        <v>89</v>
      </c>
      <c r="D351" s="98">
        <v>1</v>
      </c>
      <c r="E351" s="104">
        <f>ROUNDUP(IF(iocosts!B117=0,iocosts!B23*unit_prices!L11,iocosts!B24)*(1+(iocosts!B168+iocosts!B169+iocosts!B170)/100),-5)</f>
        <v>2800000</v>
      </c>
      <c r="F351" s="24">
        <f t="shared" ref="F351:F352" si="44">D351*E351/1000</f>
        <v>2800</v>
      </c>
      <c r="G351" s="195" t="s">
        <v>1097</v>
      </c>
      <c r="I351" s="5"/>
    </row>
    <row r="352" spans="1:9" ht="11.4" x14ac:dyDescent="0.2">
      <c r="A352" s="32" t="s">
        <v>191</v>
      </c>
      <c r="B352" s="60" t="s">
        <v>794</v>
      </c>
      <c r="C352" s="21" t="s">
        <v>89</v>
      </c>
      <c r="D352" s="98">
        <v>1</v>
      </c>
      <c r="E352" s="104">
        <f>ROUNDUP(IF(iocosts!B117=0,iocosts!B25*unit_prices!L12,iocosts!B26)*(1+(iocosts!B168+iocosts!B169+iocosts!B170)/100),-3)</f>
        <v>339000</v>
      </c>
      <c r="F352" s="24">
        <f t="shared" si="44"/>
        <v>339</v>
      </c>
      <c r="G352" s="195" t="s">
        <v>1097</v>
      </c>
      <c r="I352" s="5"/>
    </row>
    <row r="353" spans="1:9" ht="11.4" x14ac:dyDescent="0.2">
      <c r="A353" s="20" t="s">
        <v>192</v>
      </c>
      <c r="B353" s="60" t="s">
        <v>795</v>
      </c>
      <c r="C353" s="21" t="s">
        <v>23</v>
      </c>
      <c r="D353" s="98">
        <f>iocosts!B171</f>
        <v>6</v>
      </c>
      <c r="E353" s="30">
        <f>F336*1000</f>
        <v>105688800</v>
      </c>
      <c r="F353" s="24">
        <f>D353/100*E353/1000</f>
        <v>6341.3280000000004</v>
      </c>
      <c r="G353" s="190"/>
      <c r="I353" s="5"/>
    </row>
    <row r="354" spans="1:9" ht="11.4" x14ac:dyDescent="0.2">
      <c r="A354" s="20"/>
      <c r="B354" s="60" t="s">
        <v>790</v>
      </c>
      <c r="C354" s="21"/>
      <c r="D354" s="22"/>
      <c r="E354" s="30"/>
      <c r="F354" s="24">
        <f>SUM(F351:F353)</f>
        <v>9480.3280000000013</v>
      </c>
      <c r="I354" s="5"/>
    </row>
    <row r="355" spans="1:9" ht="12" x14ac:dyDescent="0.2">
      <c r="A355" s="20" t="s">
        <v>193</v>
      </c>
      <c r="B355" s="61" t="s">
        <v>791</v>
      </c>
      <c r="C355" s="21" t="s">
        <v>23</v>
      </c>
      <c r="D355" s="98">
        <f>iocosts!B176</f>
        <v>20</v>
      </c>
      <c r="E355" s="30">
        <f>F354*1000</f>
        <v>9480328.0000000019</v>
      </c>
      <c r="F355" s="24">
        <f>D355/100*E355/1000</f>
        <v>1896.0656000000006</v>
      </c>
      <c r="I355" s="5"/>
    </row>
    <row r="356" spans="1:9" ht="12" thickBot="1" x14ac:dyDescent="0.25">
      <c r="A356" s="37"/>
      <c r="B356" s="59"/>
      <c r="C356" s="38"/>
      <c r="D356" s="39"/>
      <c r="E356" s="40"/>
      <c r="F356" s="41"/>
      <c r="I356" s="5"/>
    </row>
    <row r="357" spans="1:9" ht="12" x14ac:dyDescent="0.2">
      <c r="A357" s="42" t="s">
        <v>194</v>
      </c>
      <c r="B357" s="18" t="s">
        <v>796</v>
      </c>
      <c r="C357" s="43"/>
      <c r="D357" s="44"/>
      <c r="E357" s="45"/>
      <c r="F357" s="46">
        <f>SUM(F362:F363)</f>
        <v>3540.2032483502412</v>
      </c>
      <c r="I357" s="5"/>
    </row>
    <row r="358" spans="1:9" ht="11.4" x14ac:dyDescent="0.2">
      <c r="A358" s="32" t="s">
        <v>195</v>
      </c>
      <c r="B358" s="60" t="s">
        <v>797</v>
      </c>
      <c r="C358" s="21" t="s">
        <v>27</v>
      </c>
      <c r="D358" s="111">
        <f>iocosts!B266</f>
        <v>2</v>
      </c>
      <c r="E358" s="88">
        <f>unit_prices!D26</f>
        <v>217338.53502832312</v>
      </c>
      <c r="F358" s="24">
        <f t="shared" ref="F358:F361" si="45">D358*E358/1000</f>
        <v>434.67707005664624</v>
      </c>
      <c r="I358" s="5"/>
    </row>
    <row r="359" spans="1:9" ht="11.4" x14ac:dyDescent="0.2">
      <c r="A359" s="20" t="s">
        <v>196</v>
      </c>
      <c r="B359" s="60" t="s">
        <v>798</v>
      </c>
      <c r="C359" s="21" t="s">
        <v>27</v>
      </c>
      <c r="D359" s="110"/>
      <c r="E359" s="25"/>
      <c r="F359" s="24">
        <f t="shared" si="45"/>
        <v>0</v>
      </c>
      <c r="I359" s="5"/>
    </row>
    <row r="360" spans="1:9" ht="11.4" x14ac:dyDescent="0.2">
      <c r="A360" s="20" t="s">
        <v>197</v>
      </c>
      <c r="B360" s="60" t="s">
        <v>799</v>
      </c>
      <c r="C360" s="21" t="s">
        <v>279</v>
      </c>
      <c r="D360" s="111">
        <f>iocosts!B267</f>
        <v>100</v>
      </c>
      <c r="E360" s="88">
        <f>unit_prices!D27</f>
        <v>25154.923035685548</v>
      </c>
      <c r="F360" s="24">
        <f t="shared" si="45"/>
        <v>2515.4923035685547</v>
      </c>
      <c r="I360" s="5"/>
    </row>
    <row r="361" spans="1:9" ht="11.4" x14ac:dyDescent="0.2">
      <c r="A361" s="20" t="s">
        <v>198</v>
      </c>
      <c r="B361" s="60" t="s">
        <v>877</v>
      </c>
      <c r="C361" s="21" t="s">
        <v>27</v>
      </c>
      <c r="D361" s="110"/>
      <c r="E361" s="25"/>
      <c r="F361" s="24">
        <f t="shared" si="45"/>
        <v>0</v>
      </c>
      <c r="I361" s="5"/>
    </row>
    <row r="362" spans="1:9" ht="11.4" x14ac:dyDescent="0.2">
      <c r="A362" s="31"/>
      <c r="B362" s="60" t="s">
        <v>800</v>
      </c>
      <c r="C362" s="21"/>
      <c r="D362" s="22"/>
      <c r="E362" s="30"/>
      <c r="F362" s="24">
        <f>SUM(F358:F361)</f>
        <v>2950.1693736252009</v>
      </c>
      <c r="I362" s="5"/>
    </row>
    <row r="363" spans="1:9" ht="12" x14ac:dyDescent="0.2">
      <c r="A363" s="31" t="s">
        <v>199</v>
      </c>
      <c r="B363" s="61" t="s">
        <v>801</v>
      </c>
      <c r="C363" s="21" t="s">
        <v>23</v>
      </c>
      <c r="D363" s="98">
        <f>iocosts!B175</f>
        <v>20</v>
      </c>
      <c r="E363" s="30">
        <f>F362*1000</f>
        <v>2950169.3736252007</v>
      </c>
      <c r="F363" s="24">
        <f>D363/100*E363/1000</f>
        <v>590.03387472504016</v>
      </c>
      <c r="I363" s="5"/>
    </row>
    <row r="364" spans="1:9" ht="11.4" x14ac:dyDescent="0.2">
      <c r="A364" s="32"/>
      <c r="B364" s="60"/>
      <c r="C364" s="21"/>
      <c r="D364" s="22"/>
      <c r="E364" s="30"/>
      <c r="F364" s="24"/>
      <c r="I364" s="5"/>
    </row>
    <row r="365" spans="1:9" ht="12" x14ac:dyDescent="0.2">
      <c r="A365" s="20"/>
      <c r="B365" s="61" t="s">
        <v>802</v>
      </c>
      <c r="C365" s="21"/>
      <c r="D365" s="22"/>
      <c r="E365" s="30"/>
      <c r="F365" s="24">
        <f>SUM(F357,F350,F345,F336,F95,F67,F7)</f>
        <v>191020.73702654289</v>
      </c>
      <c r="I365" s="5"/>
    </row>
    <row r="366" spans="1:9" ht="12" thickBot="1" x14ac:dyDescent="0.25">
      <c r="A366" s="37"/>
      <c r="B366" s="59"/>
      <c r="C366" s="38"/>
      <c r="D366" s="39"/>
      <c r="E366" s="40"/>
      <c r="F366" s="41"/>
      <c r="I366" s="5"/>
    </row>
    <row r="367" spans="1:9" ht="12" x14ac:dyDescent="0.2">
      <c r="A367" s="42" t="s">
        <v>200</v>
      </c>
      <c r="B367" s="18" t="s">
        <v>803</v>
      </c>
      <c r="C367" s="43"/>
      <c r="D367" s="44"/>
      <c r="E367" s="45"/>
      <c r="F367" s="46">
        <f>SUM(F377:F378)</f>
        <v>25214.73728750366</v>
      </c>
      <c r="I367" s="5"/>
    </row>
    <row r="368" spans="1:9" ht="12" x14ac:dyDescent="0.2">
      <c r="A368" s="32" t="s">
        <v>201</v>
      </c>
      <c r="B368" s="61" t="s">
        <v>804</v>
      </c>
      <c r="C368" s="21"/>
      <c r="D368" s="22"/>
      <c r="E368" s="30"/>
      <c r="F368" s="24">
        <f>SUM(F369:F370)</f>
        <v>7640.8294810617163</v>
      </c>
      <c r="I368" s="5"/>
    </row>
    <row r="369" spans="1:9" ht="11.4" x14ac:dyDescent="0.2">
      <c r="A369" s="20" t="s">
        <v>202</v>
      </c>
      <c r="B369" s="60" t="s">
        <v>806</v>
      </c>
      <c r="C369" s="21" t="s">
        <v>23</v>
      </c>
      <c r="D369" s="102">
        <f>iocosts!B179</f>
        <v>2</v>
      </c>
      <c r="E369" s="30">
        <f>F365*1000</f>
        <v>191020737.0265429</v>
      </c>
      <c r="F369" s="24">
        <f>D369/100*E369/1000</f>
        <v>3820.4147405308581</v>
      </c>
      <c r="I369" s="5"/>
    </row>
    <row r="370" spans="1:9" ht="11.4" x14ac:dyDescent="0.2">
      <c r="A370" s="20" t="s">
        <v>203</v>
      </c>
      <c r="B370" s="60" t="s">
        <v>805</v>
      </c>
      <c r="C370" s="21" t="s">
        <v>23</v>
      </c>
      <c r="D370" s="102">
        <f>iocosts!B180</f>
        <v>2</v>
      </c>
      <c r="E370" s="30">
        <f>F365*1000</f>
        <v>191020737.0265429</v>
      </c>
      <c r="F370" s="24">
        <f>D370/100*E370/1000</f>
        <v>3820.4147405308581</v>
      </c>
      <c r="I370" s="5"/>
    </row>
    <row r="371" spans="1:9" ht="12" x14ac:dyDescent="0.2">
      <c r="A371" s="20" t="s">
        <v>204</v>
      </c>
      <c r="B371" s="61" t="s">
        <v>878</v>
      </c>
      <c r="C371" s="21"/>
      <c r="D371" s="36"/>
      <c r="E371" s="30"/>
      <c r="F371" s="24">
        <f>SUM(F372,F376)</f>
        <v>15281.658962123431</v>
      </c>
      <c r="I371" s="5"/>
    </row>
    <row r="372" spans="1:9" ht="11.4" x14ac:dyDescent="0.2">
      <c r="A372" s="31" t="s">
        <v>205</v>
      </c>
      <c r="B372" s="60" t="s">
        <v>807</v>
      </c>
      <c r="C372" s="21" t="s">
        <v>10</v>
      </c>
      <c r="D372" s="35"/>
      <c r="E372" s="30"/>
      <c r="F372" s="24">
        <f>SUM(F373:F375)</f>
        <v>12416.347906725288</v>
      </c>
      <c r="I372" s="5"/>
    </row>
    <row r="373" spans="1:9" ht="11.4" x14ac:dyDescent="0.2">
      <c r="A373" s="48" t="s">
        <v>206</v>
      </c>
      <c r="B373" s="60" t="s">
        <v>808</v>
      </c>
      <c r="C373" s="49" t="s">
        <v>23</v>
      </c>
      <c r="D373" s="102">
        <f>iocosts!B181</f>
        <v>4</v>
      </c>
      <c r="E373" s="30">
        <f>$F$365*1000</f>
        <v>191020737.0265429</v>
      </c>
      <c r="F373" s="24">
        <f>D373/100*E373/1000</f>
        <v>7640.8294810617163</v>
      </c>
      <c r="I373" s="5"/>
    </row>
    <row r="374" spans="1:9" ht="11.4" x14ac:dyDescent="0.2">
      <c r="A374" s="50" t="s">
        <v>207</v>
      </c>
      <c r="B374" s="60" t="s">
        <v>809</v>
      </c>
      <c r="C374" s="49" t="s">
        <v>23</v>
      </c>
      <c r="D374" s="102">
        <f>iocosts!B182</f>
        <v>1</v>
      </c>
      <c r="E374" s="30">
        <f>$F$365*1000</f>
        <v>191020737.0265429</v>
      </c>
      <c r="F374" s="24">
        <f t="shared" ref="F374:F375" si="46">D374/100*E374/1000</f>
        <v>1910.2073702654291</v>
      </c>
      <c r="I374" s="5"/>
    </row>
    <row r="375" spans="1:9" ht="11.4" x14ac:dyDescent="0.2">
      <c r="A375" s="51" t="s">
        <v>208</v>
      </c>
      <c r="B375" s="60" t="s">
        <v>810</v>
      </c>
      <c r="C375" s="49" t="s">
        <v>23</v>
      </c>
      <c r="D375" s="102">
        <f>iocosts!B183</f>
        <v>1.5</v>
      </c>
      <c r="E375" s="30">
        <f>$F$365*1000</f>
        <v>191020737.0265429</v>
      </c>
      <c r="F375" s="24">
        <f t="shared" si="46"/>
        <v>2865.3110553981433</v>
      </c>
      <c r="I375" s="5"/>
    </row>
    <row r="376" spans="1:9" ht="11.4" x14ac:dyDescent="0.2">
      <c r="A376" s="20" t="s">
        <v>209</v>
      </c>
      <c r="B376" s="60" t="s">
        <v>811</v>
      </c>
      <c r="C376" s="21" t="s">
        <v>23</v>
      </c>
      <c r="D376" s="102">
        <f>iocosts!B184</f>
        <v>1.5</v>
      </c>
      <c r="E376" s="30">
        <f>$F$365*1000</f>
        <v>191020737.0265429</v>
      </c>
      <c r="F376" s="24">
        <f>D376/100*E376/1000</f>
        <v>2865.3110553981433</v>
      </c>
      <c r="I376" s="5"/>
    </row>
    <row r="377" spans="1:9" ht="11.4" x14ac:dyDescent="0.2">
      <c r="A377" s="20"/>
      <c r="B377" s="60" t="s">
        <v>812</v>
      </c>
      <c r="C377" s="21"/>
      <c r="D377" s="36"/>
      <c r="E377" s="30"/>
      <c r="F377" s="24">
        <f>SUM(F368,F371)</f>
        <v>22922.488443185146</v>
      </c>
      <c r="I377" s="5"/>
    </row>
    <row r="378" spans="1:9" ht="12" x14ac:dyDescent="0.2">
      <c r="A378" s="32" t="s">
        <v>210</v>
      </c>
      <c r="B378" s="61" t="s">
        <v>813</v>
      </c>
      <c r="C378" s="21" t="s">
        <v>23</v>
      </c>
      <c r="D378" s="98">
        <f>iocosts!B178</f>
        <v>10</v>
      </c>
      <c r="E378" s="30">
        <f>F377*1000</f>
        <v>22922488.443185147</v>
      </c>
      <c r="F378" s="24">
        <f>D378/100*E378/1000</f>
        <v>2292.2488443185148</v>
      </c>
      <c r="I378" s="5"/>
    </row>
    <row r="379" spans="1:9" ht="11.4" x14ac:dyDescent="0.2">
      <c r="A379" s="20"/>
      <c r="B379" s="60"/>
      <c r="C379" s="21"/>
      <c r="D379" s="22"/>
      <c r="E379" s="30"/>
      <c r="F379" s="24"/>
      <c r="I379" s="5"/>
    </row>
    <row r="380" spans="1:9" ht="12" x14ac:dyDescent="0.2">
      <c r="A380" s="20"/>
      <c r="B380" s="61" t="s">
        <v>814</v>
      </c>
      <c r="C380" s="21"/>
      <c r="D380" s="22"/>
      <c r="E380" s="30"/>
      <c r="F380" s="24">
        <f>SUM(F365,F367)</f>
        <v>216235.47431404656</v>
      </c>
      <c r="I380" s="5"/>
    </row>
    <row r="381" spans="1:9" ht="12" thickBot="1" x14ac:dyDescent="0.25">
      <c r="A381" s="47"/>
      <c r="B381" s="59"/>
      <c r="C381" s="38"/>
      <c r="D381" s="39"/>
      <c r="E381" s="40"/>
      <c r="F381" s="41"/>
      <c r="I381" s="5"/>
    </row>
    <row r="382" spans="1:9" ht="12" x14ac:dyDescent="0.2">
      <c r="A382" s="42" t="s">
        <v>211</v>
      </c>
      <c r="B382" s="18" t="s">
        <v>815</v>
      </c>
      <c r="C382" s="43" t="s">
        <v>23</v>
      </c>
      <c r="D382" s="145">
        <f>iocosts!B185</f>
        <v>12</v>
      </c>
      <c r="E382" s="45">
        <f>F380*1000</f>
        <v>216235474.31404656</v>
      </c>
      <c r="F382" s="46">
        <f>D382/100*E382/1000</f>
        <v>25948.256917685587</v>
      </c>
      <c r="I382" s="5"/>
    </row>
    <row r="383" spans="1:9" ht="11.4" x14ac:dyDescent="0.2">
      <c r="A383" s="32"/>
      <c r="B383" s="60"/>
      <c r="C383" s="21"/>
      <c r="D383" s="22"/>
      <c r="E383" s="30"/>
      <c r="F383" s="24"/>
      <c r="I383" s="5"/>
    </row>
    <row r="384" spans="1:9" ht="12" x14ac:dyDescent="0.2">
      <c r="A384" s="20"/>
      <c r="B384" s="61" t="s">
        <v>816</v>
      </c>
      <c r="C384" s="43"/>
      <c r="D384" s="44"/>
      <c r="E384" s="45"/>
      <c r="F384" s="46">
        <f>SUM(F380,F382)</f>
        <v>242183.73123173215</v>
      </c>
      <c r="I384" s="5"/>
    </row>
    <row r="385" spans="1:9" ht="11.4" x14ac:dyDescent="0.2">
      <c r="A385" s="20"/>
      <c r="B385" s="60" t="s">
        <v>817</v>
      </c>
      <c r="C385" s="21" t="s">
        <v>212</v>
      </c>
      <c r="D385" s="109">
        <f>iocosts!B2*1000</f>
        <v>100000</v>
      </c>
      <c r="E385" s="30"/>
      <c r="F385" s="24"/>
      <c r="I385" s="5"/>
    </row>
    <row r="386" spans="1:9" ht="12" thickBot="1" x14ac:dyDescent="0.25">
      <c r="A386" s="52"/>
      <c r="B386" s="56" t="s">
        <v>879</v>
      </c>
      <c r="C386" s="53"/>
      <c r="D386" s="54"/>
      <c r="E386" s="54"/>
      <c r="F386" s="55">
        <f>F384*1000/D385</f>
        <v>2421.8373123173214</v>
      </c>
      <c r="I386" s="5"/>
    </row>
    <row r="387" spans="1:9" x14ac:dyDescent="0.2">
      <c r="F387" s="6"/>
    </row>
    <row r="388" spans="1:9" x14ac:dyDescent="0.2">
      <c r="D388" s="116"/>
    </row>
    <row r="389" spans="1:9" x14ac:dyDescent="0.2">
      <c r="F389" s="6"/>
    </row>
    <row r="390" spans="1:9" x14ac:dyDescent="0.2">
      <c r="F390" s="6"/>
    </row>
    <row r="391" spans="1:9" x14ac:dyDescent="0.2">
      <c r="F391" s="6"/>
    </row>
  </sheetData>
  <autoFilter ref="A4:F386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honeticPr fontId="50" type="noConversion"/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4B81-77EF-4F8B-B90F-AF71116F417B}">
  <sheetPr>
    <pageSetUpPr fitToPage="1"/>
  </sheetPr>
  <dimension ref="A1:I239"/>
  <sheetViews>
    <sheetView topLeftCell="A8" zoomScaleNormal="100" workbookViewId="0">
      <selection activeCell="F8" sqref="F8"/>
    </sheetView>
  </sheetViews>
  <sheetFormatPr defaultColWidth="11.44140625" defaultRowHeight="10.199999999999999" x14ac:dyDescent="0.2"/>
  <cols>
    <col min="1" max="1" width="13.5546875" style="5" customWidth="1"/>
    <col min="2" max="2" width="73.44140625" style="5" bestFit="1" customWidth="1"/>
    <col min="3" max="3" width="12.109375" style="4" customWidth="1"/>
    <col min="4" max="4" width="11.33203125" style="5" customWidth="1"/>
    <col min="5" max="5" width="15.88671875" style="5" bestFit="1" customWidth="1"/>
    <col min="6" max="6" width="14.88671875" style="5" customWidth="1"/>
    <col min="7" max="7" width="4.88671875" style="81" bestFit="1" customWidth="1"/>
    <col min="8" max="8" width="15.44140625" style="74" bestFit="1" customWidth="1"/>
    <col min="9" max="9" width="14.5546875" style="74" customWidth="1"/>
    <col min="10" max="16384" width="11.44140625" style="5"/>
  </cols>
  <sheetData>
    <row r="1" spans="1:8" s="1" customFormat="1" ht="13.2" x14ac:dyDescent="0.25">
      <c r="A1" s="229" t="s">
        <v>457</v>
      </c>
      <c r="B1" s="229"/>
      <c r="C1" s="229"/>
      <c r="D1" s="229"/>
      <c r="E1" s="229"/>
      <c r="F1" s="229"/>
      <c r="G1" s="80"/>
      <c r="H1" s="77"/>
    </row>
    <row r="2" spans="1:8" s="1" customFormat="1" ht="13.2" x14ac:dyDescent="0.25">
      <c r="A2" s="229" t="s">
        <v>1120</v>
      </c>
      <c r="B2" s="229"/>
      <c r="C2" s="229"/>
      <c r="D2" s="229"/>
      <c r="E2" s="229"/>
      <c r="F2" s="229"/>
      <c r="G2" s="80"/>
      <c r="H2" s="77"/>
    </row>
    <row r="3" spans="1:8" ht="13.8" thickBot="1" x14ac:dyDescent="0.3">
      <c r="A3" s="62"/>
      <c r="B3" s="7"/>
      <c r="C3" s="8"/>
      <c r="D3" s="9"/>
      <c r="E3" s="9"/>
      <c r="F3" s="9"/>
      <c r="H3" s="5"/>
    </row>
    <row r="4" spans="1:8" ht="12" customHeight="1" x14ac:dyDescent="0.2">
      <c r="A4" s="230" t="s">
        <v>455</v>
      </c>
      <c r="B4" s="233" t="s">
        <v>0</v>
      </c>
      <c r="C4" s="233" t="s">
        <v>451</v>
      </c>
      <c r="D4" s="236" t="s">
        <v>450</v>
      </c>
      <c r="E4" s="237"/>
      <c r="F4" s="10" t="s">
        <v>458</v>
      </c>
      <c r="G4" s="82"/>
      <c r="H4" s="153" t="s">
        <v>698</v>
      </c>
    </row>
    <row r="5" spans="1:8" ht="12" customHeight="1" x14ac:dyDescent="0.2">
      <c r="A5" s="231"/>
      <c r="B5" s="234"/>
      <c r="C5" s="234"/>
      <c r="D5" s="238" t="s">
        <v>459</v>
      </c>
      <c r="E5" s="239" t="s">
        <v>447</v>
      </c>
      <c r="F5" s="240" t="s">
        <v>448</v>
      </c>
      <c r="G5" s="82"/>
      <c r="H5" s="5"/>
    </row>
    <row r="6" spans="1:8" ht="10.8" thickBot="1" x14ac:dyDescent="0.25">
      <c r="A6" s="232"/>
      <c r="B6" s="235"/>
      <c r="C6" s="235"/>
      <c r="D6" s="235"/>
      <c r="E6" s="235"/>
      <c r="F6" s="241"/>
      <c r="G6" s="83"/>
      <c r="H6" s="5"/>
    </row>
    <row r="7" spans="1:8" s="2" customFormat="1" ht="12" x14ac:dyDescent="0.25">
      <c r="A7" s="85" t="s">
        <v>1</v>
      </c>
      <c r="B7" s="18" t="s">
        <v>643</v>
      </c>
      <c r="C7" s="43"/>
      <c r="D7" s="86"/>
      <c r="E7" s="45"/>
      <c r="F7" s="46">
        <f>IF(SUM(F64:F65)=0,0.1*(F199+F200+F209),SUM(F64:F65))</f>
        <v>482.20395323805207</v>
      </c>
      <c r="G7" s="89"/>
    </row>
    <row r="8" spans="1:8" s="3" customFormat="1" ht="12" x14ac:dyDescent="0.25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8" s="3" customFormat="1" ht="11.4" x14ac:dyDescent="0.25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</row>
    <row r="10" spans="1:8" s="3" customFormat="1" ht="11.4" x14ac:dyDescent="0.25">
      <c r="A10" s="31" t="s">
        <v>5</v>
      </c>
      <c r="B10" s="58" t="s">
        <v>646</v>
      </c>
      <c r="C10" s="21" t="s">
        <v>1000</v>
      </c>
      <c r="D10" s="88">
        <f>iocosts!B361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</row>
    <row r="11" spans="1:8" s="3" customFormat="1" ht="11.4" x14ac:dyDescent="0.25">
      <c r="A11" s="31" t="s">
        <v>7</v>
      </c>
      <c r="B11" s="58" t="s">
        <v>647</v>
      </c>
      <c r="C11" s="21" t="s">
        <v>1000</v>
      </c>
      <c r="D11" s="25"/>
      <c r="E11" s="26"/>
      <c r="F11" s="24">
        <f t="shared" si="0"/>
        <v>0</v>
      </c>
      <c r="G11" s="89"/>
      <c r="H11" s="74"/>
    </row>
    <row r="12" spans="1:8" s="3" customFormat="1" ht="11.4" x14ac:dyDescent="0.25">
      <c r="A12" s="31" t="s">
        <v>8</v>
      </c>
      <c r="B12" s="58" t="s">
        <v>648</v>
      </c>
      <c r="C12" s="21" t="s">
        <v>1000</v>
      </c>
      <c r="D12" s="25"/>
      <c r="E12" s="26"/>
      <c r="F12" s="24">
        <f t="shared" si="0"/>
        <v>0</v>
      </c>
      <c r="G12" s="89"/>
      <c r="H12" s="74"/>
    </row>
    <row r="13" spans="1:8" s="3" customFormat="1" ht="11.4" x14ac:dyDescent="0.25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</row>
    <row r="14" spans="1:8" s="3" customFormat="1" ht="11.4" x14ac:dyDescent="0.25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</row>
    <row r="15" spans="1:8" s="3" customFormat="1" ht="11.4" x14ac:dyDescent="0.25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</row>
    <row r="16" spans="1:8" s="3" customFormat="1" ht="11.4" x14ac:dyDescent="0.25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</row>
    <row r="17" spans="1:8" s="3" customFormat="1" ht="11.4" x14ac:dyDescent="0.25">
      <c r="A17" s="20" t="s">
        <v>14</v>
      </c>
      <c r="B17" s="58" t="s">
        <v>646</v>
      </c>
      <c r="C17" s="21" t="s">
        <v>1000</v>
      </c>
      <c r="D17" s="88">
        <f>iocosts!B360</f>
        <v>0</v>
      </c>
      <c r="E17" s="112">
        <f>unit_prices!H5</f>
        <v>1.56363247863248</v>
      </c>
      <c r="F17" s="24">
        <f t="shared" si="0"/>
        <v>0</v>
      </c>
      <c r="G17" s="89"/>
      <c r="H17" s="74"/>
    </row>
    <row r="18" spans="1:8" s="3" customFormat="1" ht="11.4" x14ac:dyDescent="0.25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</row>
    <row r="19" spans="1:8" s="2" customFormat="1" ht="11.4" x14ac:dyDescent="0.25">
      <c r="A19" s="20" t="s">
        <v>16</v>
      </c>
      <c r="B19" s="58" t="s">
        <v>648</v>
      </c>
      <c r="C19" s="21" t="s">
        <v>1000</v>
      </c>
      <c r="D19" s="88">
        <f>iocosts!B363</f>
        <v>0</v>
      </c>
      <c r="E19" s="112">
        <f>unit_prices!H7</f>
        <v>1.67461538461538</v>
      </c>
      <c r="F19" s="24">
        <f t="shared" si="0"/>
        <v>0</v>
      </c>
      <c r="G19" s="89"/>
      <c r="H19" s="71"/>
    </row>
    <row r="20" spans="1:8" s="2" customFormat="1" ht="11.4" x14ac:dyDescent="0.25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</row>
    <row r="21" spans="1:8" s="2" customFormat="1" ht="11.4" x14ac:dyDescent="0.25">
      <c r="A21" s="20" t="s">
        <v>18</v>
      </c>
      <c r="B21" s="58" t="s">
        <v>653</v>
      </c>
      <c r="C21" s="21" t="s">
        <v>1000</v>
      </c>
      <c r="D21" s="25"/>
      <c r="E21" s="26"/>
      <c r="F21" s="24">
        <f t="shared" si="0"/>
        <v>0</v>
      </c>
      <c r="G21" s="89"/>
      <c r="H21" s="71"/>
    </row>
    <row r="22" spans="1:8" s="3" customFormat="1" ht="11.4" x14ac:dyDescent="0.25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</row>
    <row r="23" spans="1:8" s="3" customFormat="1" ht="11.4" x14ac:dyDescent="0.25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</row>
    <row r="24" spans="1:8" s="3" customFormat="1" ht="11.4" x14ac:dyDescent="0.25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</row>
    <row r="25" spans="1:8" s="2" customFormat="1" ht="11.4" x14ac:dyDescent="0.25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</row>
    <row r="26" spans="1:8" s="3" customFormat="1" ht="11.4" x14ac:dyDescent="0.25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</row>
    <row r="27" spans="1:8" s="3" customFormat="1" ht="12" x14ac:dyDescent="0.25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</row>
    <row r="28" spans="1:8" s="3" customFormat="1" ht="11.4" x14ac:dyDescent="0.25">
      <c r="A28" s="20" t="s">
        <v>26</v>
      </c>
      <c r="B28" s="58" t="s">
        <v>658</v>
      </c>
      <c r="C28" s="21" t="s">
        <v>27</v>
      </c>
      <c r="D28" s="88">
        <f>iocosts!B364</f>
        <v>0</v>
      </c>
      <c r="E28" s="112">
        <f>unit_prices!H8</f>
        <v>754647.69107056642</v>
      </c>
      <c r="F28" s="24">
        <f>D28*E28/1000</f>
        <v>0</v>
      </c>
      <c r="G28" s="89"/>
      <c r="H28" s="74"/>
    </row>
    <row r="29" spans="1:8" s="3" customFormat="1" ht="11.4" x14ac:dyDescent="0.25">
      <c r="A29" s="20" t="s">
        <v>28</v>
      </c>
      <c r="B29" s="58" t="s">
        <v>659</v>
      </c>
      <c r="C29" s="21" t="s">
        <v>27</v>
      </c>
      <c r="D29" s="88">
        <f>iocosts!B365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</row>
    <row r="30" spans="1:8" s="3" customFormat="1" ht="11.4" x14ac:dyDescent="0.25">
      <c r="A30" s="31" t="s">
        <v>29</v>
      </c>
      <c r="B30" s="58" t="s">
        <v>660</v>
      </c>
      <c r="C30" s="21" t="s">
        <v>27</v>
      </c>
      <c r="D30" s="88">
        <f>iocosts!B366</f>
        <v>0</v>
      </c>
      <c r="E30" s="112">
        <f>unit_prices!H10</f>
        <v>42.735042735042697</v>
      </c>
      <c r="F30" s="24">
        <f t="shared" si="1"/>
        <v>0</v>
      </c>
      <c r="G30" s="89"/>
      <c r="H30" s="74"/>
    </row>
    <row r="31" spans="1:8" s="3" customFormat="1" ht="11.4" x14ac:dyDescent="0.25">
      <c r="A31" s="31" t="s">
        <v>30</v>
      </c>
      <c r="B31" s="58" t="s">
        <v>661</v>
      </c>
      <c r="C31" s="21" t="s">
        <v>27</v>
      </c>
      <c r="D31" s="88">
        <f>iocosts!B367</f>
        <v>0</v>
      </c>
      <c r="E31" s="112">
        <f>unit_prices!H11</f>
        <v>170940.17094017094</v>
      </c>
      <c r="F31" s="24">
        <f t="shared" si="1"/>
        <v>0</v>
      </c>
      <c r="G31" s="89"/>
      <c r="H31" s="74"/>
    </row>
    <row r="32" spans="1:8" s="3" customFormat="1" ht="11.4" x14ac:dyDescent="0.25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</row>
    <row r="33" spans="1:8" s="3" customFormat="1" ht="11.4" x14ac:dyDescent="0.25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</row>
    <row r="34" spans="1:8" s="3" customFormat="1" ht="11.4" x14ac:dyDescent="0.25">
      <c r="A34" s="31" t="s">
        <v>33</v>
      </c>
      <c r="B34" s="58" t="s">
        <v>892</v>
      </c>
      <c r="C34" s="21" t="s">
        <v>89</v>
      </c>
      <c r="D34" s="88">
        <f>iocosts!B368</f>
        <v>0</v>
      </c>
      <c r="E34" s="112">
        <f>unit_prices!H12</f>
        <v>64102.564102564109</v>
      </c>
      <c r="F34" s="24">
        <f t="shared" ref="F34:F40" si="2">D34*E34/1000</f>
        <v>0</v>
      </c>
      <c r="G34" s="89"/>
    </row>
    <row r="35" spans="1:8" s="3" customFormat="1" ht="11.4" x14ac:dyDescent="0.25">
      <c r="A35" s="31" t="s">
        <v>34</v>
      </c>
      <c r="B35" s="58" t="s">
        <v>893</v>
      </c>
      <c r="C35" s="21" t="s">
        <v>89</v>
      </c>
      <c r="D35" s="25"/>
      <c r="E35" s="26"/>
      <c r="F35" s="24">
        <f t="shared" si="2"/>
        <v>0</v>
      </c>
      <c r="G35" s="89"/>
    </row>
    <row r="36" spans="1:8" s="3" customFormat="1" ht="11.4" x14ac:dyDescent="0.25">
      <c r="A36" s="31" t="s">
        <v>35</v>
      </c>
      <c r="B36" s="58" t="s">
        <v>894</v>
      </c>
      <c r="C36" s="21" t="s">
        <v>89</v>
      </c>
      <c r="D36" s="88">
        <f>iocosts!B369</f>
        <v>0</v>
      </c>
      <c r="E36" s="112">
        <f>unit_prices!H13</f>
        <v>85470.085470085469</v>
      </c>
      <c r="F36" s="24">
        <f t="shared" si="2"/>
        <v>0</v>
      </c>
      <c r="G36" s="89"/>
    </row>
    <row r="37" spans="1:8" s="3" customFormat="1" ht="11.4" x14ac:dyDescent="0.25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</row>
    <row r="38" spans="1:8" s="3" customFormat="1" ht="11.4" x14ac:dyDescent="0.25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</row>
    <row r="39" spans="1:8" s="3" customFormat="1" ht="11.4" x14ac:dyDescent="0.25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</row>
    <row r="40" spans="1:8" s="3" customFormat="1" ht="11.4" x14ac:dyDescent="0.25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</row>
    <row r="41" spans="1:8" s="3" customFormat="1" ht="12" x14ac:dyDescent="0.25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</row>
    <row r="42" spans="1:8" s="3" customFormat="1" ht="12" x14ac:dyDescent="0.25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</row>
    <row r="43" spans="1:8" s="3" customFormat="1" ht="12" x14ac:dyDescent="0.25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</row>
    <row r="44" spans="1:8" s="3" customFormat="1" ht="11.4" x14ac:dyDescent="0.25">
      <c r="A44" s="33" t="s">
        <v>43</v>
      </c>
      <c r="B44" s="58" t="s">
        <v>668</v>
      </c>
      <c r="C44" s="21" t="s">
        <v>1000</v>
      </c>
      <c r="D44" s="88">
        <f>iocosts!B362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</row>
    <row r="45" spans="1:8" s="3" customFormat="1" ht="11.4" x14ac:dyDescent="0.25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</row>
    <row r="46" spans="1:8" s="3" customFormat="1" ht="11.4" x14ac:dyDescent="0.25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</row>
    <row r="47" spans="1:8" s="3" customFormat="1" ht="11.4" x14ac:dyDescent="0.25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</row>
    <row r="48" spans="1:8" s="3" customFormat="1" ht="11.4" x14ac:dyDescent="0.25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</row>
    <row r="49" spans="1:8" s="3" customFormat="1" ht="11.4" x14ac:dyDescent="0.25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</row>
    <row r="50" spans="1:8" s="3" customFormat="1" ht="11.4" x14ac:dyDescent="0.25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</row>
    <row r="51" spans="1:8" s="3" customFormat="1" ht="12" x14ac:dyDescent="0.25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</row>
    <row r="52" spans="1:8" s="3" customFormat="1" ht="11.4" x14ac:dyDescent="0.25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</row>
    <row r="53" spans="1:8" s="3" customFormat="1" ht="11.4" x14ac:dyDescent="0.25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</row>
    <row r="54" spans="1:8" s="2" customFormat="1" ht="11.4" x14ac:dyDescent="0.25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</row>
    <row r="55" spans="1:8" s="3" customFormat="1" ht="11.4" x14ac:dyDescent="0.25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</row>
    <row r="56" spans="1:8" s="3" customFormat="1" ht="11.4" x14ac:dyDescent="0.25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</row>
    <row r="57" spans="1:8" s="2" customFormat="1" ht="11.4" x14ac:dyDescent="0.25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</row>
    <row r="58" spans="1:8" s="3" customFormat="1" ht="12" x14ac:dyDescent="0.25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</row>
    <row r="59" spans="1:8" s="3" customFormat="1" ht="11.4" x14ac:dyDescent="0.25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</row>
    <row r="60" spans="1:8" s="3" customFormat="1" ht="11.4" x14ac:dyDescent="0.25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</row>
    <row r="61" spans="1:8" s="3" customFormat="1" ht="11.4" x14ac:dyDescent="0.25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</row>
    <row r="62" spans="1:8" s="3" customFormat="1" ht="12" x14ac:dyDescent="0.25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</row>
    <row r="63" spans="1:8" s="3" customFormat="1" ht="12" x14ac:dyDescent="0.25">
      <c r="A63" s="33" t="s">
        <v>62</v>
      </c>
      <c r="B63" s="57" t="s">
        <v>657</v>
      </c>
      <c r="C63" s="21" t="s">
        <v>23</v>
      </c>
      <c r="D63" s="98">
        <f>iocosts!B174</f>
        <v>30</v>
      </c>
      <c r="E63" s="99">
        <f>(F8+F27+F44)*1000/0.7</f>
        <v>0</v>
      </c>
      <c r="F63" s="24">
        <f>D63/100*E63/1000</f>
        <v>0</v>
      </c>
      <c r="G63" s="89"/>
      <c r="H63" s="75" t="s">
        <v>886</v>
      </c>
    </row>
    <row r="64" spans="1:8" s="3" customFormat="1" ht="11.4" x14ac:dyDescent="0.25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</row>
    <row r="65" spans="1:8" s="3" customFormat="1" ht="12" x14ac:dyDescent="0.25">
      <c r="A65" s="33" t="s">
        <v>63</v>
      </c>
      <c r="B65" s="57" t="s">
        <v>683</v>
      </c>
      <c r="C65" s="21" t="s">
        <v>23</v>
      </c>
      <c r="D65" s="98">
        <f>iocosts!B177</f>
        <v>20</v>
      </c>
      <c r="E65" s="96">
        <f>F64*1000</f>
        <v>0</v>
      </c>
      <c r="F65" s="24">
        <f>D65/100*E65/1000</f>
        <v>0</v>
      </c>
      <c r="G65" s="89"/>
      <c r="H65" s="74"/>
    </row>
    <row r="66" spans="1:8" s="2" customFormat="1" ht="12" thickBot="1" x14ac:dyDescent="0.3">
      <c r="A66" s="11"/>
      <c r="B66" s="56"/>
      <c r="C66" s="12"/>
      <c r="D66" s="13"/>
      <c r="E66" s="14"/>
      <c r="F66" s="15"/>
      <c r="G66" s="84"/>
      <c r="H66" s="71"/>
    </row>
    <row r="67" spans="1:8" s="2" customFormat="1" ht="12" x14ac:dyDescent="0.25">
      <c r="A67" s="16" t="s">
        <v>80</v>
      </c>
      <c r="B67" s="18" t="s">
        <v>699</v>
      </c>
      <c r="C67" s="17"/>
      <c r="D67" s="28"/>
      <c r="E67" s="29"/>
      <c r="F67" s="19">
        <f>SUM(F199:F202)</f>
        <v>4016.3458146815042</v>
      </c>
      <c r="G67" s="89"/>
      <c r="H67" s="76"/>
    </row>
    <row r="68" spans="1:8" s="3" customFormat="1" ht="12" x14ac:dyDescent="0.25">
      <c r="A68" s="85" t="s">
        <v>81</v>
      </c>
      <c r="B68" s="57" t="s">
        <v>700</v>
      </c>
      <c r="C68" s="21"/>
      <c r="D68" s="22"/>
      <c r="E68" s="30"/>
      <c r="F68" s="24">
        <f>SUM(F69,F77,F99)</f>
        <v>519.70911637292977</v>
      </c>
      <c r="G68" s="89"/>
      <c r="H68" s="76"/>
    </row>
    <row r="69" spans="1:8" s="3" customFormat="1" ht="11.4" x14ac:dyDescent="0.25">
      <c r="A69" s="20" t="s">
        <v>82</v>
      </c>
      <c r="B69" s="58" t="s">
        <v>701</v>
      </c>
      <c r="C69" s="21" t="s">
        <v>10</v>
      </c>
      <c r="D69" s="22"/>
      <c r="E69" s="22"/>
      <c r="F69" s="24">
        <f>SUM(F70:F76)</f>
        <v>1.7847417893818893</v>
      </c>
      <c r="G69" s="89"/>
      <c r="H69" s="76"/>
    </row>
    <row r="70" spans="1:8" s="2" customFormat="1" ht="11.4" x14ac:dyDescent="0.25">
      <c r="A70" s="20" t="s">
        <v>219</v>
      </c>
      <c r="B70" s="58" t="s">
        <v>702</v>
      </c>
      <c r="C70" s="21" t="s">
        <v>10</v>
      </c>
      <c r="D70" s="22"/>
      <c r="E70" s="30"/>
      <c r="F70" s="24">
        <f>D70*E70/1000</f>
        <v>0</v>
      </c>
      <c r="G70" s="89"/>
      <c r="H70" s="90"/>
    </row>
    <row r="71" spans="1:8" s="3" customFormat="1" ht="11.4" x14ac:dyDescent="0.25">
      <c r="A71" s="31" t="s">
        <v>83</v>
      </c>
      <c r="B71" s="58" t="s">
        <v>703</v>
      </c>
      <c r="C71" s="21" t="s">
        <v>69</v>
      </c>
      <c r="D71" s="88">
        <f>iocosts!B280</f>
        <v>0</v>
      </c>
      <c r="E71" s="96">
        <f>unit_prices!D13</f>
        <v>1.9117741507121013</v>
      </c>
      <c r="F71" s="24">
        <f>D71*E71/1000</f>
        <v>0</v>
      </c>
      <c r="G71" s="89"/>
      <c r="H71" s="90"/>
    </row>
    <row r="72" spans="1:8" s="2" customFormat="1" ht="11.4" x14ac:dyDescent="0.25">
      <c r="A72" s="31" t="s">
        <v>83</v>
      </c>
      <c r="B72" s="58" t="s">
        <v>704</v>
      </c>
      <c r="C72" s="21" t="s">
        <v>69</v>
      </c>
      <c r="D72" s="88">
        <f>iocosts!B281</f>
        <v>500</v>
      </c>
      <c r="E72" s="96">
        <f>unit_prices!D14</f>
        <v>1.6602249203552459</v>
      </c>
      <c r="F72" s="24">
        <f>D72*E72/1000</f>
        <v>0.83011246017762297</v>
      </c>
      <c r="G72" s="89"/>
      <c r="H72" s="90"/>
    </row>
    <row r="73" spans="1:8" s="3" customFormat="1" ht="11.4" x14ac:dyDescent="0.25">
      <c r="A73" s="31" t="s">
        <v>84</v>
      </c>
      <c r="B73" s="58" t="s">
        <v>705</v>
      </c>
      <c r="C73" s="21" t="s">
        <v>10</v>
      </c>
      <c r="D73" s="22"/>
      <c r="E73" s="30"/>
      <c r="F73" s="24">
        <f t="shared" ref="F73:F76" si="5">D73*E73/1000</f>
        <v>0</v>
      </c>
      <c r="G73" s="89"/>
      <c r="H73" s="74"/>
    </row>
    <row r="74" spans="1:8" s="3" customFormat="1" ht="11.4" x14ac:dyDescent="0.25">
      <c r="A74" s="31" t="s">
        <v>85</v>
      </c>
      <c r="B74" s="58" t="s">
        <v>706</v>
      </c>
      <c r="C74" s="21" t="s">
        <v>69</v>
      </c>
      <c r="D74" s="88">
        <f>D71+D72/2</f>
        <v>250</v>
      </c>
      <c r="E74" s="96">
        <f>unit_prices!D12</f>
        <v>3.3204498407104919</v>
      </c>
      <c r="F74" s="24">
        <f t="shared" si="5"/>
        <v>0.83011246017762297</v>
      </c>
      <c r="G74" s="89"/>
      <c r="H74" s="74"/>
    </row>
    <row r="75" spans="1:8" s="3" customFormat="1" ht="11.4" x14ac:dyDescent="0.25">
      <c r="A75" s="31" t="s">
        <v>86</v>
      </c>
      <c r="B75" s="58" t="s">
        <v>707</v>
      </c>
      <c r="C75" s="21" t="s">
        <v>23</v>
      </c>
      <c r="D75" s="98">
        <v>15</v>
      </c>
      <c r="E75" s="96">
        <f>(F71+F72)*1000</f>
        <v>830.11246017762301</v>
      </c>
      <c r="F75" s="24">
        <f>D75/100*E75/1000</f>
        <v>0.12451686902664345</v>
      </c>
      <c r="G75" s="89"/>
      <c r="H75" s="76"/>
    </row>
    <row r="76" spans="1:8" s="3" customFormat="1" ht="11.4" x14ac:dyDescent="0.25">
      <c r="A76" s="31" t="s">
        <v>87</v>
      </c>
      <c r="B76" s="58" t="s">
        <v>708</v>
      </c>
      <c r="C76" s="21" t="s">
        <v>10</v>
      </c>
      <c r="D76" s="22"/>
      <c r="E76" s="22"/>
      <c r="F76" s="24">
        <f t="shared" si="5"/>
        <v>0</v>
      </c>
      <c r="G76" s="89"/>
      <c r="H76" s="76"/>
    </row>
    <row r="77" spans="1:8" s="3" customFormat="1" ht="11.4" x14ac:dyDescent="0.25">
      <c r="A77" s="32" t="s">
        <v>88</v>
      </c>
      <c r="B77" s="58" t="s">
        <v>709</v>
      </c>
      <c r="C77" s="21" t="s">
        <v>10</v>
      </c>
      <c r="D77" s="22"/>
      <c r="E77" s="30"/>
      <c r="F77" s="24">
        <f>SUM(F78,F82:F83,F87,F91,F94,F98)</f>
        <v>517.92437458354789</v>
      </c>
      <c r="G77" s="89"/>
      <c r="H77" s="76"/>
    </row>
    <row r="78" spans="1:8" s="3" customFormat="1" ht="11.4" x14ac:dyDescent="0.25">
      <c r="A78" s="27" t="s">
        <v>233</v>
      </c>
      <c r="B78" s="58" t="s">
        <v>710</v>
      </c>
      <c r="C78" s="21" t="s">
        <v>10</v>
      </c>
      <c r="D78" s="22"/>
      <c r="E78" s="30"/>
      <c r="F78" s="24">
        <f>SUM(F79:F81)</f>
        <v>110.82252892601625</v>
      </c>
      <c r="G78" s="89"/>
      <c r="H78" s="76"/>
    </row>
    <row r="79" spans="1:8" s="3" customFormat="1" ht="11.4" x14ac:dyDescent="0.25">
      <c r="A79" s="33" t="s">
        <v>234</v>
      </c>
      <c r="B79" s="58" t="s">
        <v>726</v>
      </c>
      <c r="C79" s="21" t="s">
        <v>69</v>
      </c>
      <c r="D79" s="88">
        <f>IF(iocosts!B289&gt;0,iocosts!B282,0)</f>
        <v>800</v>
      </c>
      <c r="E79" s="96">
        <f>unit_prices!D5</f>
        <v>3.8235483014242027</v>
      </c>
      <c r="F79" s="24">
        <f>D79*E79/1000</f>
        <v>3.0588386411393622</v>
      </c>
      <c r="G79" s="89"/>
      <c r="H79" s="76"/>
    </row>
    <row r="80" spans="1:8" s="2" customFormat="1" ht="11.4" x14ac:dyDescent="0.25">
      <c r="A80" s="33" t="s">
        <v>235</v>
      </c>
      <c r="B80" s="58" t="s">
        <v>711</v>
      </c>
      <c r="C80" s="21" t="s">
        <v>69</v>
      </c>
      <c r="D80" s="88">
        <f>IF(iocosts!B289&gt;0,iocosts!B283,0)</f>
        <v>200</v>
      </c>
      <c r="E80" s="96">
        <f>unit_prices!D6</f>
        <v>10.565067674987899</v>
      </c>
      <c r="F80" s="24">
        <f>D80*E80/1000</f>
        <v>2.11301353499758</v>
      </c>
      <c r="G80" s="89"/>
      <c r="H80" s="76"/>
    </row>
    <row r="81" spans="1:8" s="3" customFormat="1" ht="11.4" x14ac:dyDescent="0.25">
      <c r="A81" s="33" t="s">
        <v>246</v>
      </c>
      <c r="B81" s="58" t="s">
        <v>712</v>
      </c>
      <c r="C81" s="21" t="s">
        <v>69</v>
      </c>
      <c r="D81" s="88">
        <f>iocosts!B285</f>
        <v>1500</v>
      </c>
      <c r="E81" s="96">
        <f>unit_prices!D7</f>
        <v>70.43378449991954</v>
      </c>
      <c r="F81" s="24">
        <f>D81*E81/1000</f>
        <v>105.65067674987931</v>
      </c>
      <c r="G81" s="89"/>
      <c r="H81" s="76"/>
    </row>
    <row r="82" spans="1:8" s="3" customFormat="1" ht="11.4" x14ac:dyDescent="0.25">
      <c r="A82" s="33" t="s">
        <v>236</v>
      </c>
      <c r="B82" s="58" t="s">
        <v>713</v>
      </c>
      <c r="C82" s="21" t="s">
        <v>4</v>
      </c>
      <c r="D82" s="95">
        <f>iocosts!B286</f>
        <v>50</v>
      </c>
      <c r="E82" s="96">
        <f>unit_prices!D10</f>
        <v>3.7430525477100089</v>
      </c>
      <c r="F82" s="24">
        <f>D82*E82/1000</f>
        <v>0.18715262738550043</v>
      </c>
      <c r="G82" s="89"/>
      <c r="H82" s="90"/>
    </row>
    <row r="83" spans="1:8" s="3" customFormat="1" ht="11.4" x14ac:dyDescent="0.25">
      <c r="A83" s="33" t="s">
        <v>237</v>
      </c>
      <c r="B83" s="58" t="s">
        <v>714</v>
      </c>
      <c r="C83" s="21" t="s">
        <v>10</v>
      </c>
      <c r="D83" s="22"/>
      <c r="E83" s="30"/>
      <c r="F83" s="24">
        <f>SUM(F84:F86)</f>
        <v>64.758833863068872</v>
      </c>
      <c r="G83" s="89"/>
      <c r="H83" s="72"/>
    </row>
    <row r="84" spans="1:8" s="2" customFormat="1" ht="11.4" x14ac:dyDescent="0.25">
      <c r="A84" s="33" t="s">
        <v>238</v>
      </c>
      <c r="B84" s="58" t="s">
        <v>715</v>
      </c>
      <c r="C84" s="21" t="s">
        <v>75</v>
      </c>
      <c r="D84" s="98">
        <f>D85*H84</f>
        <v>56.000000000000007</v>
      </c>
      <c r="E84" s="96">
        <f>unit_prices!D21</f>
        <v>175.0782643283714</v>
      </c>
      <c r="F84" s="24">
        <f>D84*E84/1000</f>
        <v>9.8043828023887993</v>
      </c>
      <c r="G84" s="89"/>
      <c r="H84" s="103">
        <v>0.28000000000000003</v>
      </c>
    </row>
    <row r="85" spans="1:8" s="3" customFormat="1" ht="11.4" x14ac:dyDescent="0.25">
      <c r="A85" s="33" t="s">
        <v>239</v>
      </c>
      <c r="B85" s="58" t="s">
        <v>716</v>
      </c>
      <c r="C85" s="21" t="s">
        <v>69</v>
      </c>
      <c r="D85" s="88">
        <f>iocosts!B287</f>
        <v>200</v>
      </c>
      <c r="E85" s="96">
        <f>unit_prices!D22</f>
        <v>100.6196921427422</v>
      </c>
      <c r="F85" s="24">
        <f t="shared" ref="F85:F86" si="6">D85*E85/1000</f>
        <v>20.123938428548438</v>
      </c>
      <c r="G85" s="89"/>
      <c r="H85" s="93"/>
    </row>
    <row r="86" spans="1:8" s="3" customFormat="1" ht="11.4" x14ac:dyDescent="0.25">
      <c r="A86" s="33" t="s">
        <v>240</v>
      </c>
      <c r="B86" s="58" t="s">
        <v>717</v>
      </c>
      <c r="C86" s="21" t="s">
        <v>75</v>
      </c>
      <c r="D86" s="98">
        <f>D85*H86</f>
        <v>16</v>
      </c>
      <c r="E86" s="96">
        <f>unit_prices!D25</f>
        <v>2176.9070395082267</v>
      </c>
      <c r="F86" s="24">
        <f t="shared" si="6"/>
        <v>34.830512632131629</v>
      </c>
      <c r="G86" s="89"/>
      <c r="H86" s="103">
        <v>0.08</v>
      </c>
    </row>
    <row r="87" spans="1:8" s="3" customFormat="1" ht="11.4" x14ac:dyDescent="0.2">
      <c r="A87" s="33" t="s">
        <v>237</v>
      </c>
      <c r="B87" s="58" t="s">
        <v>718</v>
      </c>
      <c r="C87" s="21" t="s">
        <v>10</v>
      </c>
      <c r="D87" s="5"/>
      <c r="E87" s="5"/>
      <c r="F87" s="24">
        <f>SUM(F88:F90)</f>
        <v>59.261728532080504</v>
      </c>
      <c r="G87" s="89"/>
      <c r="H87" s="72"/>
    </row>
    <row r="88" spans="1:8" s="3" customFormat="1" ht="11.4" x14ac:dyDescent="0.25">
      <c r="A88" s="33" t="s">
        <v>238</v>
      </c>
      <c r="B88" s="58" t="s">
        <v>715</v>
      </c>
      <c r="C88" s="21" t="s">
        <v>75</v>
      </c>
      <c r="D88" s="98">
        <f>D89*H88</f>
        <v>45</v>
      </c>
      <c r="E88" s="96">
        <f>unit_prices!D21</f>
        <v>175.0782643283714</v>
      </c>
      <c r="F88" s="24">
        <f>D88*E88/1000</f>
        <v>7.8785218947767133</v>
      </c>
      <c r="G88" s="89"/>
      <c r="H88" s="103">
        <v>0.3</v>
      </c>
    </row>
    <row r="89" spans="1:8" ht="11.4" x14ac:dyDescent="0.2">
      <c r="A89" s="33" t="s">
        <v>239</v>
      </c>
      <c r="B89" s="58" t="s">
        <v>716</v>
      </c>
      <c r="C89" s="21" t="s">
        <v>69</v>
      </c>
      <c r="D89" s="88">
        <f>iocosts!B288</f>
        <v>150</v>
      </c>
      <c r="E89" s="96">
        <f>unit_prices!D24</f>
        <v>190.17121814978273</v>
      </c>
      <c r="F89" s="24">
        <f t="shared" ref="F89:F90" si="7">D89*E89/1000</f>
        <v>28.525682722467408</v>
      </c>
      <c r="G89" s="89"/>
      <c r="H89" s="93"/>
    </row>
    <row r="90" spans="1:8" ht="11.4" x14ac:dyDescent="0.2">
      <c r="A90" s="33" t="s">
        <v>240</v>
      </c>
      <c r="B90" s="58" t="s">
        <v>717</v>
      </c>
      <c r="C90" s="21" t="s">
        <v>75</v>
      </c>
      <c r="D90" s="98">
        <f>D89*H90</f>
        <v>10.500000000000002</v>
      </c>
      <c r="E90" s="96">
        <f>unit_prices!D25</f>
        <v>2176.9070395082267</v>
      </c>
      <c r="F90" s="24">
        <f t="shared" si="7"/>
        <v>22.857523914836385</v>
      </c>
      <c r="G90" s="89"/>
      <c r="H90" s="103">
        <v>7.0000000000000007E-2</v>
      </c>
    </row>
    <row r="91" spans="1:8" ht="11.4" x14ac:dyDescent="0.2">
      <c r="A91" s="33" t="s">
        <v>237</v>
      </c>
      <c r="B91" s="58" t="s">
        <v>853</v>
      </c>
      <c r="C91" s="21" t="s">
        <v>10</v>
      </c>
      <c r="F91" s="24">
        <f>SUM(F92:F93)</f>
        <v>20.777966427476262</v>
      </c>
      <c r="G91" s="89"/>
      <c r="H91" s="90"/>
    </row>
    <row r="92" spans="1:8" ht="11.4" x14ac:dyDescent="0.2">
      <c r="A92" s="33" t="s">
        <v>238</v>
      </c>
      <c r="B92" s="58" t="s">
        <v>715</v>
      </c>
      <c r="C92" s="21" t="s">
        <v>75</v>
      </c>
      <c r="D92" s="98">
        <f>D93*H92</f>
        <v>37.5</v>
      </c>
      <c r="E92" s="96">
        <f>unit_prices!D21</f>
        <v>175.0782643283714</v>
      </c>
      <c r="F92" s="24">
        <f>D92*E92/1000</f>
        <v>6.5654349123139273</v>
      </c>
      <c r="G92" s="89"/>
      <c r="H92" s="103">
        <v>0.15</v>
      </c>
    </row>
    <row r="93" spans="1:8" ht="11.4" x14ac:dyDescent="0.2">
      <c r="A93" s="33" t="s">
        <v>239</v>
      </c>
      <c r="B93" s="58" t="s">
        <v>716</v>
      </c>
      <c r="C93" s="21" t="s">
        <v>69</v>
      </c>
      <c r="D93" s="88">
        <f>IF(iocosts!B289&gt;0,iocosts!B284,0)</f>
        <v>250</v>
      </c>
      <c r="E93" s="96">
        <f>unit_prices!D23</f>
        <v>56.850126060649337</v>
      </c>
      <c r="F93" s="24">
        <f t="shared" ref="F93" si="8">D93*E93/1000</f>
        <v>14.212531515162334</v>
      </c>
      <c r="G93" s="89"/>
      <c r="H93" s="90"/>
    </row>
    <row r="94" spans="1:8" ht="11.4" x14ac:dyDescent="0.2">
      <c r="A94" s="33" t="s">
        <v>241</v>
      </c>
      <c r="B94" s="58" t="s">
        <v>720</v>
      </c>
      <c r="C94" s="21" t="s">
        <v>10</v>
      </c>
      <c r="D94" s="22"/>
      <c r="E94" s="22"/>
      <c r="F94" s="24">
        <f>SUM(F95:F97)</f>
        <v>257</v>
      </c>
      <c r="G94" s="89"/>
      <c r="H94" s="90"/>
    </row>
    <row r="95" spans="1:8" ht="11.4" x14ac:dyDescent="0.2">
      <c r="A95" s="33" t="s">
        <v>242</v>
      </c>
      <c r="B95" s="58" t="s">
        <v>762</v>
      </c>
      <c r="C95" s="21" t="s">
        <v>89</v>
      </c>
      <c r="D95" s="104">
        <f>iocosts!B289</f>
        <v>1</v>
      </c>
      <c r="E95" s="104">
        <f>ROUNDUP(IF(iocosts!B117=0,iocosts!B290*unit_prices!L8,iocosts!B291)*(1+(iocosts!B168+iocosts!B169+iocosts!B170)/100),-3)</f>
        <v>99000</v>
      </c>
      <c r="F95" s="24">
        <f>D95*E95/1000</f>
        <v>99</v>
      </c>
      <c r="G95" s="195" t="s">
        <v>1097</v>
      </c>
      <c r="H95" s="90"/>
    </row>
    <row r="96" spans="1:8" ht="11.4" x14ac:dyDescent="0.2">
      <c r="A96" s="20" t="s">
        <v>243</v>
      </c>
      <c r="B96" s="58" t="s">
        <v>721</v>
      </c>
      <c r="C96" s="21" t="s">
        <v>89</v>
      </c>
      <c r="D96" s="104">
        <f>iocosts!B292</f>
        <v>1</v>
      </c>
      <c r="E96" s="104">
        <f>ROUNDUP(IF(iocosts!B117=0,iocosts!B293*unit_prices!L9,iocosts!B294)*(1+(iocosts!B168+iocosts!B169+iocosts!B170)/100),-3)</f>
        <v>136000</v>
      </c>
      <c r="F96" s="24">
        <f>D96*E96/1000</f>
        <v>136</v>
      </c>
      <c r="G96" s="195" t="s">
        <v>1097</v>
      </c>
      <c r="H96" s="72"/>
    </row>
    <row r="97" spans="1:8" ht="11.4" x14ac:dyDescent="0.2">
      <c r="A97" s="33" t="s">
        <v>244</v>
      </c>
      <c r="B97" s="58" t="s">
        <v>722</v>
      </c>
      <c r="C97" s="21" t="s">
        <v>89</v>
      </c>
      <c r="D97" s="98">
        <v>1</v>
      </c>
      <c r="E97" s="104">
        <f>ROUNDUP(IF(iocosts!B117=0,iocosts!B295*unit_prices!L13,iocosts!B296)*(1+(iocosts!B168+iocosts!B169+iocosts!B170)/100),-3)</f>
        <v>22000</v>
      </c>
      <c r="F97" s="24">
        <f>D97*E97/1000</f>
        <v>22</v>
      </c>
      <c r="G97" s="195" t="s">
        <v>1097</v>
      </c>
      <c r="H97" s="72"/>
    </row>
    <row r="98" spans="1:8" ht="11.4" x14ac:dyDescent="0.2">
      <c r="A98" s="20" t="s">
        <v>245</v>
      </c>
      <c r="B98" s="58" t="s">
        <v>719</v>
      </c>
      <c r="C98" s="21" t="s">
        <v>23</v>
      </c>
      <c r="D98" s="102">
        <f>iocosts!B173</f>
        <v>2</v>
      </c>
      <c r="E98" s="30">
        <f>SUM(F78,F82:F83,F87,F91)*1000</f>
        <v>255808.21037602739</v>
      </c>
      <c r="F98" s="24">
        <f>D98/100*E98/1000</f>
        <v>5.1161642075205478</v>
      </c>
      <c r="G98" s="89"/>
      <c r="H98" s="76"/>
    </row>
    <row r="99" spans="1:8" ht="11.4" x14ac:dyDescent="0.2">
      <c r="A99" s="20" t="s">
        <v>215</v>
      </c>
      <c r="B99" s="58" t="s">
        <v>724</v>
      </c>
      <c r="C99" s="21" t="s">
        <v>10</v>
      </c>
      <c r="D99" s="22"/>
      <c r="E99" s="30"/>
      <c r="F99" s="24">
        <f>SUM(F100,F103:F104,F108,F111,F116)</f>
        <v>0</v>
      </c>
      <c r="G99" s="89"/>
      <c r="H99" s="76"/>
    </row>
    <row r="100" spans="1:8" ht="11.4" x14ac:dyDescent="0.2">
      <c r="A100" s="27" t="s">
        <v>247</v>
      </c>
      <c r="B100" s="58" t="s">
        <v>710</v>
      </c>
      <c r="C100" s="21" t="s">
        <v>10</v>
      </c>
      <c r="D100" s="22"/>
      <c r="E100" s="30"/>
      <c r="F100" s="24">
        <f>SUM(F101:F102)</f>
        <v>0</v>
      </c>
      <c r="G100" s="89"/>
      <c r="H100" s="5"/>
    </row>
    <row r="101" spans="1:8" ht="11.4" x14ac:dyDescent="0.2">
      <c r="A101" s="33" t="s">
        <v>248</v>
      </c>
      <c r="B101" s="58" t="s">
        <v>726</v>
      </c>
      <c r="C101" s="21" t="s">
        <v>69</v>
      </c>
      <c r="D101" s="88">
        <f>IF(iocosts!B289&gt;0,0,iocosts!B282)</f>
        <v>0</v>
      </c>
      <c r="E101" s="96">
        <f>unit_prices!D5</f>
        <v>3.8235483014242027</v>
      </c>
      <c r="F101" s="24">
        <f>D101*E101/1000</f>
        <v>0</v>
      </c>
      <c r="G101" s="89"/>
    </row>
    <row r="102" spans="1:8" ht="11.4" x14ac:dyDescent="0.2">
      <c r="A102" s="33" t="s">
        <v>249</v>
      </c>
      <c r="B102" s="58" t="s">
        <v>711</v>
      </c>
      <c r="C102" s="21" t="s">
        <v>69</v>
      </c>
      <c r="D102" s="88">
        <f>IF(iocosts!B289&gt;0,0,iocosts!B283)+iocosts!B297+iocosts!B300</f>
        <v>0</v>
      </c>
      <c r="E102" s="96">
        <f>unit_prices!D6</f>
        <v>10.565067674987899</v>
      </c>
      <c r="F102" s="24">
        <f>D102*E102/1000</f>
        <v>0</v>
      </c>
      <c r="G102" s="89"/>
      <c r="H102" s="93"/>
    </row>
    <row r="103" spans="1:8" ht="11.4" x14ac:dyDescent="0.2">
      <c r="A103" s="33" t="s">
        <v>250</v>
      </c>
      <c r="B103" s="58" t="s">
        <v>713</v>
      </c>
      <c r="C103" s="21" t="s">
        <v>4</v>
      </c>
      <c r="D103" s="88">
        <f>iocosts!B298+iocosts!B301</f>
        <v>0</v>
      </c>
      <c r="E103" s="96">
        <f>unit_prices!D11</f>
        <v>29.959513335501487</v>
      </c>
      <c r="F103" s="24">
        <f>D103*E103/1000</f>
        <v>0</v>
      </c>
      <c r="G103" s="89"/>
      <c r="H103" s="76"/>
    </row>
    <row r="104" spans="1:8" ht="11.4" x14ac:dyDescent="0.2">
      <c r="A104" s="33" t="s">
        <v>251</v>
      </c>
      <c r="B104" s="58" t="s">
        <v>714</v>
      </c>
      <c r="C104" s="21" t="s">
        <v>10</v>
      </c>
      <c r="D104" s="22"/>
      <c r="E104" s="30"/>
      <c r="F104" s="24">
        <f>SUM(F105:F107)</f>
        <v>0</v>
      </c>
      <c r="G104" s="89"/>
    </row>
    <row r="105" spans="1:8" ht="11.4" x14ac:dyDescent="0.2">
      <c r="A105" s="33" t="s">
        <v>252</v>
      </c>
      <c r="B105" s="58" t="s">
        <v>715</v>
      </c>
      <c r="C105" s="21" t="s">
        <v>75</v>
      </c>
      <c r="D105" s="98">
        <f>D106*H105</f>
        <v>0</v>
      </c>
      <c r="E105" s="96">
        <f>unit_prices!D21</f>
        <v>175.0782643283714</v>
      </c>
      <c r="F105" s="24">
        <f>D105*E105/1000</f>
        <v>0</v>
      </c>
      <c r="G105" s="89"/>
      <c r="H105" s="103">
        <v>0.28000000000000003</v>
      </c>
    </row>
    <row r="106" spans="1:8" ht="11.4" x14ac:dyDescent="0.2">
      <c r="A106" s="33" t="s">
        <v>253</v>
      </c>
      <c r="B106" s="58" t="s">
        <v>716</v>
      </c>
      <c r="C106" s="21" t="s">
        <v>69</v>
      </c>
      <c r="D106" s="88">
        <f>iocosts!B299+iocosts!B302</f>
        <v>0</v>
      </c>
      <c r="E106" s="96">
        <f>unit_prices!D22</f>
        <v>100.6196921427422</v>
      </c>
      <c r="F106" s="24">
        <f t="shared" ref="F106:F107" si="9">D106*E106/1000</f>
        <v>0</v>
      </c>
      <c r="G106" s="89"/>
      <c r="H106" s="93"/>
    </row>
    <row r="107" spans="1:8" ht="11.4" x14ac:dyDescent="0.2">
      <c r="A107" s="33" t="s">
        <v>254</v>
      </c>
      <c r="B107" s="58" t="s">
        <v>717</v>
      </c>
      <c r="C107" s="21" t="s">
        <v>75</v>
      </c>
      <c r="D107" s="98">
        <f>D106*H107</f>
        <v>0</v>
      </c>
      <c r="E107" s="96">
        <f>unit_prices!D25</f>
        <v>2176.9070395082267</v>
      </c>
      <c r="F107" s="24">
        <f t="shared" si="9"/>
        <v>0</v>
      </c>
      <c r="G107" s="89"/>
      <c r="H107" s="103">
        <v>0.08</v>
      </c>
    </row>
    <row r="108" spans="1:8" ht="11.4" x14ac:dyDescent="0.2">
      <c r="A108" s="33" t="s">
        <v>251</v>
      </c>
      <c r="B108" s="58" t="s">
        <v>853</v>
      </c>
      <c r="C108" s="21" t="s">
        <v>10</v>
      </c>
      <c r="F108" s="24">
        <f>SUM(F109:F110)</f>
        <v>0</v>
      </c>
      <c r="G108" s="89"/>
      <c r="H108" s="90"/>
    </row>
    <row r="109" spans="1:8" ht="11.4" x14ac:dyDescent="0.2">
      <c r="A109" s="33" t="s">
        <v>252</v>
      </c>
      <c r="B109" s="58" t="s">
        <v>715</v>
      </c>
      <c r="C109" s="21" t="s">
        <v>75</v>
      </c>
      <c r="D109" s="98">
        <f>D110*H109</f>
        <v>0</v>
      </c>
      <c r="E109" s="96">
        <f>unit_prices!D21</f>
        <v>175.0782643283714</v>
      </c>
      <c r="F109" s="24">
        <f>D109*E109/1000</f>
        <v>0</v>
      </c>
      <c r="G109" s="89"/>
      <c r="H109" s="103">
        <v>0.15</v>
      </c>
    </row>
    <row r="110" spans="1:8" ht="11.4" x14ac:dyDescent="0.2">
      <c r="A110" s="33" t="s">
        <v>253</v>
      </c>
      <c r="B110" s="58" t="s">
        <v>716</v>
      </c>
      <c r="C110" s="21" t="s">
        <v>69</v>
      </c>
      <c r="D110" s="88">
        <f>IF(iocosts!B289&gt;0,0,iocosts!B284)</f>
        <v>0</v>
      </c>
      <c r="E110" s="96">
        <f>unit_prices!D23</f>
        <v>56.850126060649337</v>
      </c>
      <c r="F110" s="24">
        <f t="shared" ref="F110" si="10">D110*E110/1000</f>
        <v>0</v>
      </c>
      <c r="G110" s="89"/>
      <c r="H110" s="90"/>
    </row>
    <row r="111" spans="1:8" ht="11.4" x14ac:dyDescent="0.2">
      <c r="A111" s="33" t="s">
        <v>255</v>
      </c>
      <c r="B111" s="58" t="s">
        <v>720</v>
      </c>
      <c r="C111" s="21" t="s">
        <v>10</v>
      </c>
      <c r="D111" s="22"/>
      <c r="E111" s="22"/>
      <c r="F111" s="24">
        <f>SUM(F112:F115)</f>
        <v>0</v>
      </c>
      <c r="G111" s="89"/>
      <c r="H111" s="5"/>
    </row>
    <row r="112" spans="1:8" ht="11.4" x14ac:dyDescent="0.2">
      <c r="A112" s="33" t="s">
        <v>256</v>
      </c>
      <c r="B112" s="58" t="s">
        <v>762</v>
      </c>
      <c r="C112" s="21" t="s">
        <v>89</v>
      </c>
      <c r="D112" s="104">
        <f>iocosts!B303</f>
        <v>0</v>
      </c>
      <c r="E112" s="104">
        <f>ROUNDUP(IF(iocosts!B117=0,iocosts!B304*unit_prices!L8,iocosts!B305)*(1+(iocosts!B168+iocosts!B169+iocosts!B170)/100),-3)</f>
        <v>0</v>
      </c>
      <c r="F112" s="24">
        <f t="shared" ref="F112:F115" si="11">D112*E112/1000</f>
        <v>0</v>
      </c>
      <c r="G112" s="195" t="s">
        <v>1097</v>
      </c>
      <c r="H112" s="5"/>
    </row>
    <row r="113" spans="1:8" ht="11.4" x14ac:dyDescent="0.2">
      <c r="A113" s="20" t="s">
        <v>258</v>
      </c>
      <c r="B113" s="58" t="s">
        <v>721</v>
      </c>
      <c r="C113" s="21" t="s">
        <v>89</v>
      </c>
      <c r="D113" s="104">
        <f>iocosts!B306</f>
        <v>0</v>
      </c>
      <c r="E113" s="104">
        <f>ROUNDUP(IF(iocosts!B117=0,iocosts!B307*unit_prices!L9,iocosts!B308)*(1+(iocosts!B168+iocosts!B169+iocosts!B170)/100),-3)</f>
        <v>0</v>
      </c>
      <c r="F113" s="24">
        <f t="shared" si="11"/>
        <v>0</v>
      </c>
      <c r="G113" s="195" t="s">
        <v>1097</v>
      </c>
      <c r="H113" s="5"/>
    </row>
    <row r="114" spans="1:8" ht="11.4" x14ac:dyDescent="0.2">
      <c r="A114" s="20" t="s">
        <v>258</v>
      </c>
      <c r="B114" s="58" t="s">
        <v>723</v>
      </c>
      <c r="C114" s="21" t="s">
        <v>89</v>
      </c>
      <c r="D114" s="104">
        <f>iocosts!B309</f>
        <v>0</v>
      </c>
      <c r="E114" s="104">
        <f>ROUNDUP(IF(iocosts!B117=0,iocosts!B310*unit_prices!L9,iocosts!B311)*(1+(iocosts!B168+iocosts!B169+iocosts!B170)/100),-3)</f>
        <v>0</v>
      </c>
      <c r="F114" s="24">
        <f t="shared" si="11"/>
        <v>0</v>
      </c>
      <c r="G114" s="195" t="s">
        <v>1097</v>
      </c>
      <c r="H114" s="5"/>
    </row>
    <row r="115" spans="1:8" ht="11.4" x14ac:dyDescent="0.2">
      <c r="A115" s="33" t="s">
        <v>257</v>
      </c>
      <c r="B115" s="58" t="s">
        <v>722</v>
      </c>
      <c r="C115" s="21" t="s">
        <v>89</v>
      </c>
      <c r="D115" s="98">
        <v>1</v>
      </c>
      <c r="E115" s="104">
        <f>ROUNDUP(IF(iocosts!B117=0,iocosts!B312*unit_prices!L13,iocosts!B313)*(1+(iocosts!B168+iocosts!B169+iocosts!B170)/100),-3)</f>
        <v>0</v>
      </c>
      <c r="F115" s="24">
        <f t="shared" si="11"/>
        <v>0</v>
      </c>
      <c r="G115" s="195" t="s">
        <v>1097</v>
      </c>
      <c r="H115" s="5"/>
    </row>
    <row r="116" spans="1:8" ht="11.4" x14ac:dyDescent="0.2">
      <c r="A116" s="20" t="s">
        <v>259</v>
      </c>
      <c r="B116" s="58" t="s">
        <v>719</v>
      </c>
      <c r="C116" s="21" t="s">
        <v>23</v>
      </c>
      <c r="D116" s="102">
        <f>iocosts!B173</f>
        <v>2</v>
      </c>
      <c r="E116" s="30">
        <f>SUM(F100,F103:F104,F108)*1000</f>
        <v>0</v>
      </c>
      <c r="F116" s="24">
        <f>D116/100*E116/1000</f>
        <v>0</v>
      </c>
      <c r="G116" s="89"/>
      <c r="H116" s="5"/>
    </row>
    <row r="117" spans="1:8" ht="12" x14ac:dyDescent="0.2">
      <c r="A117" s="42" t="s">
        <v>90</v>
      </c>
      <c r="B117" s="57" t="s">
        <v>1114</v>
      </c>
      <c r="C117" s="21"/>
      <c r="D117" s="22"/>
      <c r="E117" s="30"/>
      <c r="F117" s="24">
        <f>SUM(F118,F138,F151)</f>
        <v>417.39956209912384</v>
      </c>
      <c r="G117" s="89"/>
      <c r="H117" s="5"/>
    </row>
    <row r="118" spans="1:8" ht="11.4" x14ac:dyDescent="0.2">
      <c r="A118" s="31" t="s">
        <v>91</v>
      </c>
      <c r="B118" s="58" t="s">
        <v>1115</v>
      </c>
      <c r="C118" s="21" t="s">
        <v>10</v>
      </c>
      <c r="D118" s="22"/>
      <c r="E118" s="30"/>
      <c r="F118" s="24">
        <f>SUM(F119,F124:F128,F129,F133,F137)</f>
        <v>65.479270858810906</v>
      </c>
      <c r="G118" s="89"/>
      <c r="H118" s="5"/>
    </row>
    <row r="119" spans="1:8" ht="11.4" x14ac:dyDescent="0.2">
      <c r="A119" s="31" t="s">
        <v>92</v>
      </c>
      <c r="B119" s="58" t="s">
        <v>687</v>
      </c>
      <c r="C119" s="21" t="s">
        <v>10</v>
      </c>
      <c r="D119" s="22"/>
      <c r="E119" s="30"/>
      <c r="F119" s="24">
        <f>SUM(F120:F123)</f>
        <v>0</v>
      </c>
      <c r="G119" s="89"/>
      <c r="H119" s="5"/>
    </row>
    <row r="120" spans="1:8" ht="11.4" x14ac:dyDescent="0.2">
      <c r="A120" s="31" t="s">
        <v>93</v>
      </c>
      <c r="B120" s="58" t="s">
        <v>725</v>
      </c>
      <c r="C120" s="21" t="s">
        <v>69</v>
      </c>
      <c r="D120" s="88">
        <f>iocosts!B314+iocosts!B316</f>
        <v>0</v>
      </c>
      <c r="E120" s="96">
        <f>unit_prices!D5</f>
        <v>3.8235483014242027</v>
      </c>
      <c r="F120" s="24">
        <f>D120*E120/1000</f>
        <v>0</v>
      </c>
      <c r="G120" s="89"/>
      <c r="H120" s="5"/>
    </row>
    <row r="121" spans="1:8" ht="11.4" x14ac:dyDescent="0.2">
      <c r="A121" s="31" t="s">
        <v>93</v>
      </c>
      <c r="B121" s="58" t="s">
        <v>740</v>
      </c>
      <c r="C121" s="21" t="s">
        <v>69</v>
      </c>
      <c r="D121" s="88">
        <f>balance!E20</f>
        <v>0</v>
      </c>
      <c r="E121" s="96">
        <f>unit_prices!D8</f>
        <v>7.8684599255624397</v>
      </c>
      <c r="F121" s="24">
        <f t="shared" ref="F121" si="12">D121*E121/1000</f>
        <v>0</v>
      </c>
      <c r="G121" s="89"/>
      <c r="H121" s="5"/>
    </row>
    <row r="122" spans="1:8" ht="11.4" x14ac:dyDescent="0.2">
      <c r="A122" s="31" t="s">
        <v>94</v>
      </c>
      <c r="B122" s="58" t="s">
        <v>727</v>
      </c>
      <c r="C122" s="21" t="s">
        <v>69</v>
      </c>
      <c r="D122" s="88">
        <v>0</v>
      </c>
      <c r="E122" s="96">
        <f>unit_prices!D6</f>
        <v>10.565067674987899</v>
      </c>
      <c r="F122" s="24">
        <f>D122*E122/1000</f>
        <v>0</v>
      </c>
      <c r="G122" s="89"/>
      <c r="H122" s="5"/>
    </row>
    <row r="123" spans="1:8" ht="11.4" x14ac:dyDescent="0.2">
      <c r="A123" s="31" t="s">
        <v>94</v>
      </c>
      <c r="B123" s="58" t="s">
        <v>741</v>
      </c>
      <c r="C123" s="21" t="s">
        <v>69</v>
      </c>
      <c r="D123" s="88">
        <f>balance!E12</f>
        <v>0</v>
      </c>
      <c r="E123" s="96">
        <f>unit_prices!D9</f>
        <v>10.771338043880553</v>
      </c>
      <c r="F123" s="24">
        <f>D123*E123/1000</f>
        <v>0</v>
      </c>
      <c r="G123" s="89"/>
      <c r="H123" s="5"/>
    </row>
    <row r="124" spans="1:8" ht="11.4" x14ac:dyDescent="0.2">
      <c r="A124" s="31" t="s">
        <v>95</v>
      </c>
      <c r="B124" s="58" t="s">
        <v>729</v>
      </c>
      <c r="C124" s="21" t="s">
        <v>4</v>
      </c>
      <c r="D124" s="88">
        <f>iocosts!B315+iocosts!B317</f>
        <v>0</v>
      </c>
      <c r="E124" s="96">
        <f>unit_prices!D10</f>
        <v>3.7430525477100089</v>
      </c>
      <c r="F124" s="23">
        <f>D124*E124/1000</f>
        <v>0</v>
      </c>
      <c r="G124" s="89"/>
      <c r="H124" s="5"/>
    </row>
    <row r="125" spans="1:8" ht="11.4" x14ac:dyDescent="0.2">
      <c r="A125" s="31" t="s">
        <v>96</v>
      </c>
      <c r="B125" s="58" t="s">
        <v>738</v>
      </c>
      <c r="C125" s="21" t="s">
        <v>69</v>
      </c>
      <c r="D125" s="88">
        <f>iocosts!B318</f>
        <v>0</v>
      </c>
      <c r="E125" s="96">
        <f>unit_prices!D15</f>
        <v>1.3533348593198822</v>
      </c>
      <c r="F125" s="24">
        <f t="shared" ref="F125:F128" si="13">D125*E125/1000</f>
        <v>0</v>
      </c>
      <c r="G125" s="89"/>
      <c r="H125" s="5"/>
    </row>
    <row r="126" spans="1:8" ht="11.4" x14ac:dyDescent="0.2">
      <c r="A126" s="31" t="s">
        <v>97</v>
      </c>
      <c r="B126" s="58" t="s">
        <v>737</v>
      </c>
      <c r="C126" s="21" t="s">
        <v>69</v>
      </c>
      <c r="D126" s="88">
        <f>iocosts!B319</f>
        <v>8000</v>
      </c>
      <c r="E126" s="96">
        <f>unit_prices!D17</f>
        <v>5.2322239914225941</v>
      </c>
      <c r="F126" s="24">
        <f t="shared" si="13"/>
        <v>41.857791931380753</v>
      </c>
      <c r="G126" s="89"/>
      <c r="H126" s="5"/>
    </row>
    <row r="127" spans="1:8" ht="11.4" x14ac:dyDescent="0.2">
      <c r="A127" s="31" t="s">
        <v>98</v>
      </c>
      <c r="B127" s="58" t="s">
        <v>739</v>
      </c>
      <c r="C127" s="21" t="s">
        <v>69</v>
      </c>
      <c r="D127" s="88">
        <f>iocosts!B320</f>
        <v>4000</v>
      </c>
      <c r="E127" s="96">
        <f>unit_prices!D16</f>
        <v>5.5843929139221915</v>
      </c>
      <c r="F127" s="24">
        <f t="shared" si="13"/>
        <v>22.337571655688766</v>
      </c>
      <c r="G127" s="89"/>
      <c r="H127" s="5"/>
    </row>
    <row r="128" spans="1:8" ht="11.4" x14ac:dyDescent="0.2">
      <c r="A128" s="33" t="s">
        <v>99</v>
      </c>
      <c r="B128" s="58" t="s">
        <v>742</v>
      </c>
      <c r="C128" s="21" t="s">
        <v>69</v>
      </c>
      <c r="D128" s="88">
        <f>iocosts!B321+iocosts!B322</f>
        <v>0</v>
      </c>
      <c r="E128" s="96">
        <f>unit_prices!D18</f>
        <v>13.080559978556485</v>
      </c>
      <c r="F128" s="24">
        <f t="shared" si="13"/>
        <v>0</v>
      </c>
      <c r="G128" s="89"/>
      <c r="H128" s="93"/>
    </row>
    <row r="129" spans="1:8" ht="11.4" x14ac:dyDescent="0.2">
      <c r="A129" s="31" t="s">
        <v>100</v>
      </c>
      <c r="B129" s="58" t="s">
        <v>743</v>
      </c>
      <c r="C129" s="21" t="s">
        <v>10</v>
      </c>
      <c r="D129" s="22"/>
      <c r="E129" s="30"/>
      <c r="F129" s="24">
        <f>SUM(F130:F132)</f>
        <v>0</v>
      </c>
      <c r="G129" s="89"/>
      <c r="H129" s="5"/>
    </row>
    <row r="130" spans="1:8" ht="11.4" x14ac:dyDescent="0.2">
      <c r="A130" s="31" t="s">
        <v>101</v>
      </c>
      <c r="B130" s="58" t="s">
        <v>692</v>
      </c>
      <c r="C130" s="21" t="s">
        <v>75</v>
      </c>
      <c r="D130" s="98">
        <f>D131*H130</f>
        <v>0</v>
      </c>
      <c r="E130" s="96">
        <f>unit_prices!D21</f>
        <v>175.0782643283714</v>
      </c>
      <c r="F130" s="24">
        <f>D130*E130/1000</f>
        <v>0</v>
      </c>
      <c r="G130" s="89"/>
      <c r="H130" s="103">
        <v>0.25</v>
      </c>
    </row>
    <row r="131" spans="1:8" ht="11.4" x14ac:dyDescent="0.2">
      <c r="A131" s="31" t="s">
        <v>102</v>
      </c>
      <c r="B131" s="58" t="s">
        <v>732</v>
      </c>
      <c r="C131" s="21" t="s">
        <v>69</v>
      </c>
      <c r="D131" s="88">
        <f>iocosts!B323</f>
        <v>0</v>
      </c>
      <c r="E131" s="96">
        <f>unit_prices!D22</f>
        <v>100.6196921427422</v>
      </c>
      <c r="F131" s="24">
        <f t="shared" ref="F131:F132" si="14">D131*E131/1000</f>
        <v>0</v>
      </c>
      <c r="G131" s="89"/>
      <c r="H131" s="76"/>
    </row>
    <row r="132" spans="1:8" ht="11.4" x14ac:dyDescent="0.2">
      <c r="A132" s="31" t="s">
        <v>232</v>
      </c>
      <c r="B132" s="58" t="s">
        <v>734</v>
      </c>
      <c r="C132" s="21" t="s">
        <v>75</v>
      </c>
      <c r="D132" s="98">
        <f>D131*H132</f>
        <v>0</v>
      </c>
      <c r="E132" s="96">
        <f>unit_prices!D25</f>
        <v>2176.9070395082267</v>
      </c>
      <c r="F132" s="24">
        <f t="shared" si="14"/>
        <v>0</v>
      </c>
      <c r="G132" s="89"/>
      <c r="H132" s="103">
        <v>0.08</v>
      </c>
    </row>
    <row r="133" spans="1:8" ht="11.4" x14ac:dyDescent="0.2">
      <c r="A133" s="33" t="s">
        <v>103</v>
      </c>
      <c r="B133" s="58" t="s">
        <v>744</v>
      </c>
      <c r="C133" s="21" t="s">
        <v>10</v>
      </c>
      <c r="D133" s="22"/>
      <c r="E133" s="30"/>
      <c r="F133" s="24">
        <f>SUM(F134:F135)</f>
        <v>0</v>
      </c>
      <c r="G133" s="89"/>
      <c r="H133" s="93"/>
    </row>
    <row r="134" spans="1:8" ht="13.2" x14ac:dyDescent="0.2">
      <c r="A134" s="33" t="s">
        <v>104</v>
      </c>
      <c r="B134" s="58" t="s">
        <v>746</v>
      </c>
      <c r="C134" s="21" t="s">
        <v>213</v>
      </c>
      <c r="D134" s="88">
        <f>iocosts!B324</f>
        <v>0</v>
      </c>
      <c r="E134" s="96">
        <f>unit_prices!D19</f>
        <v>6.4899701432068717</v>
      </c>
      <c r="F134" s="24">
        <f>D134*E134/1000</f>
        <v>0</v>
      </c>
      <c r="G134" s="89"/>
    </row>
    <row r="135" spans="1:8" ht="13.2" x14ac:dyDescent="0.2">
      <c r="A135" s="33" t="s">
        <v>105</v>
      </c>
      <c r="B135" s="58" t="s">
        <v>745</v>
      </c>
      <c r="C135" s="34" t="s">
        <v>214</v>
      </c>
      <c r="D135" s="88">
        <f>iocosts!B325</f>
        <v>0</v>
      </c>
      <c r="E135" s="96">
        <f>unit_prices!D20</f>
        <v>2.9682809182108949</v>
      </c>
      <c r="F135" s="24">
        <f t="shared" ref="F135:F136" si="15">D135*E135/1000</f>
        <v>0</v>
      </c>
      <c r="G135" s="89"/>
    </row>
    <row r="136" spans="1:8" ht="13.2" x14ac:dyDescent="0.2">
      <c r="A136" s="33" t="s">
        <v>1163</v>
      </c>
      <c r="B136" s="58" t="s">
        <v>1164</v>
      </c>
      <c r="C136" s="34" t="s">
        <v>214</v>
      </c>
      <c r="D136" s="88">
        <f>iocosts!B326</f>
        <v>0</v>
      </c>
      <c r="E136" s="96">
        <f>iocosts!B234</f>
        <v>0</v>
      </c>
      <c r="F136" s="24">
        <f t="shared" si="15"/>
        <v>0</v>
      </c>
      <c r="G136" s="191"/>
    </row>
    <row r="137" spans="1:8" ht="11.4" x14ac:dyDescent="0.2">
      <c r="A137" s="33" t="s">
        <v>106</v>
      </c>
      <c r="B137" s="58" t="s">
        <v>651</v>
      </c>
      <c r="C137" s="21" t="s">
        <v>23</v>
      </c>
      <c r="D137" s="102">
        <f>iocosts!B173</f>
        <v>2</v>
      </c>
      <c r="E137" s="99">
        <f>SUM(F119,F124:F128,F133,F129)*1000</f>
        <v>64195.363587069522</v>
      </c>
      <c r="F137" s="24">
        <f>D137/100*E137/1000</f>
        <v>1.2839072717413906</v>
      </c>
      <c r="G137" s="89"/>
      <c r="H137" s="90"/>
    </row>
    <row r="138" spans="1:8" ht="11.4" x14ac:dyDescent="0.2">
      <c r="A138" s="33" t="s">
        <v>107</v>
      </c>
      <c r="B138" s="58" t="s">
        <v>747</v>
      </c>
      <c r="C138" s="21" t="s">
        <v>10</v>
      </c>
      <c r="D138" s="22"/>
      <c r="E138" s="30"/>
      <c r="F138" s="24">
        <f>SUM(F139,F142:F143,F147,F150)</f>
        <v>0</v>
      </c>
      <c r="G138" s="89"/>
      <c r="H138" s="90"/>
    </row>
    <row r="139" spans="1:8" ht="11.4" x14ac:dyDescent="0.2">
      <c r="A139" s="27" t="s">
        <v>220</v>
      </c>
      <c r="B139" s="58" t="s">
        <v>687</v>
      </c>
      <c r="C139" s="21" t="s">
        <v>10</v>
      </c>
      <c r="D139" s="22"/>
      <c r="E139" s="30"/>
      <c r="F139" s="24">
        <f>SUM(F140:F141)</f>
        <v>0</v>
      </c>
      <c r="G139" s="89"/>
      <c r="H139" s="76"/>
    </row>
    <row r="140" spans="1:8" ht="11.4" x14ac:dyDescent="0.2">
      <c r="A140" s="20" t="s">
        <v>221</v>
      </c>
      <c r="B140" s="58" t="s">
        <v>725</v>
      </c>
      <c r="C140" s="21" t="s">
        <v>69</v>
      </c>
      <c r="D140" s="88">
        <f>iocosts!B327</f>
        <v>0</v>
      </c>
      <c r="E140" s="96">
        <f>unit_prices!D5</f>
        <v>3.8235483014242027</v>
      </c>
      <c r="F140" s="24">
        <f>D140*E140/1000</f>
        <v>0</v>
      </c>
      <c r="G140" s="89"/>
      <c r="H140" s="71"/>
    </row>
    <row r="141" spans="1:8" ht="11.4" x14ac:dyDescent="0.2">
      <c r="A141" s="20" t="s">
        <v>222</v>
      </c>
      <c r="B141" s="58" t="s">
        <v>727</v>
      </c>
      <c r="C141" s="21" t="s">
        <v>69</v>
      </c>
      <c r="D141" s="88">
        <f>iocosts!B328</f>
        <v>0</v>
      </c>
      <c r="E141" s="96">
        <f>unit_prices!D6</f>
        <v>10.565067674987899</v>
      </c>
      <c r="F141" s="24">
        <f t="shared" ref="F141" si="16">D141*E141/1000</f>
        <v>0</v>
      </c>
      <c r="G141" s="89"/>
      <c r="H141" s="5"/>
    </row>
    <row r="142" spans="1:8" ht="11.4" x14ac:dyDescent="0.2">
      <c r="A142" s="31" t="s">
        <v>223</v>
      </c>
      <c r="B142" s="58" t="s">
        <v>729</v>
      </c>
      <c r="C142" s="21" t="s">
        <v>4</v>
      </c>
      <c r="D142" s="88">
        <f>iocosts!B329</f>
        <v>0</v>
      </c>
      <c r="E142" s="96">
        <f>unit_prices!D11</f>
        <v>29.959513335501487</v>
      </c>
      <c r="F142" s="23">
        <f>D142*E142/1000</f>
        <v>0</v>
      </c>
      <c r="G142" s="89"/>
      <c r="H142" s="5"/>
    </row>
    <row r="143" spans="1:8" ht="11.4" x14ac:dyDescent="0.2">
      <c r="A143" s="31" t="s">
        <v>224</v>
      </c>
      <c r="B143" s="58" t="s">
        <v>691</v>
      </c>
      <c r="C143" s="21" t="s">
        <v>10</v>
      </c>
      <c r="D143" s="22"/>
      <c r="E143" s="30"/>
      <c r="F143" s="24">
        <f>SUM(F144:F146)</f>
        <v>0</v>
      </c>
      <c r="G143" s="89"/>
      <c r="H143" s="5"/>
    </row>
    <row r="144" spans="1:8" ht="11.4" x14ac:dyDescent="0.2">
      <c r="A144" s="31" t="s">
        <v>225</v>
      </c>
      <c r="B144" s="58" t="s">
        <v>692</v>
      </c>
      <c r="C144" s="21" t="s">
        <v>75</v>
      </c>
      <c r="D144" s="98">
        <f>D145*H144</f>
        <v>0</v>
      </c>
      <c r="E144" s="96">
        <f>unit_prices!D21</f>
        <v>175.0782643283714</v>
      </c>
      <c r="F144" s="24">
        <f>D144*E144/1000</f>
        <v>0</v>
      </c>
      <c r="G144" s="89"/>
      <c r="H144" s="103">
        <v>0.25</v>
      </c>
    </row>
    <row r="145" spans="1:8" ht="11.4" x14ac:dyDescent="0.2">
      <c r="A145" s="31" t="s">
        <v>226</v>
      </c>
      <c r="B145" s="58" t="s">
        <v>732</v>
      </c>
      <c r="C145" s="21" t="s">
        <v>69</v>
      </c>
      <c r="D145" s="88">
        <f>iocosts!B330</f>
        <v>0</v>
      </c>
      <c r="E145" s="96">
        <f>unit_prices!D22</f>
        <v>100.6196921427422</v>
      </c>
      <c r="F145" s="24">
        <f t="shared" ref="F145:F146" si="17">D145*E145/1000</f>
        <v>0</v>
      </c>
      <c r="G145" s="89"/>
      <c r="H145" s="93"/>
    </row>
    <row r="146" spans="1:8" ht="11.4" x14ac:dyDescent="0.2">
      <c r="A146" s="31" t="s">
        <v>227</v>
      </c>
      <c r="B146" s="58" t="s">
        <v>734</v>
      </c>
      <c r="C146" s="21" t="s">
        <v>75</v>
      </c>
      <c r="D146" s="98">
        <f>D145*H146</f>
        <v>0</v>
      </c>
      <c r="E146" s="96">
        <f>unit_prices!D25</f>
        <v>2176.9070395082267</v>
      </c>
      <c r="F146" s="24">
        <f t="shared" si="17"/>
        <v>0</v>
      </c>
      <c r="G146" s="89"/>
      <c r="H146" s="103">
        <v>0.01</v>
      </c>
    </row>
    <row r="147" spans="1:8" ht="11.4" x14ac:dyDescent="0.2">
      <c r="A147" s="31" t="s">
        <v>229</v>
      </c>
      <c r="B147" s="58" t="s">
        <v>748</v>
      </c>
      <c r="C147" s="21" t="s">
        <v>10</v>
      </c>
      <c r="D147" s="22"/>
      <c r="E147" s="30"/>
      <c r="F147" s="24">
        <f>SUM(F148:F149)</f>
        <v>0</v>
      </c>
      <c r="G147" s="89"/>
      <c r="H147" s="76"/>
    </row>
    <row r="148" spans="1:8" ht="11.4" x14ac:dyDescent="0.2">
      <c r="A148" s="31" t="s">
        <v>230</v>
      </c>
      <c r="B148" s="58" t="s">
        <v>692</v>
      </c>
      <c r="C148" s="21" t="s">
        <v>75</v>
      </c>
      <c r="D148" s="98">
        <f>D149*H148</f>
        <v>0</v>
      </c>
      <c r="E148" s="96">
        <f>unit_prices!D21</f>
        <v>175.0782643283714</v>
      </c>
      <c r="F148" s="24">
        <f>D148*E148/1000</f>
        <v>0</v>
      </c>
      <c r="G148" s="89"/>
      <c r="H148" s="103">
        <v>0.1</v>
      </c>
    </row>
    <row r="149" spans="1:8" ht="11.4" x14ac:dyDescent="0.2">
      <c r="A149" s="31" t="s">
        <v>231</v>
      </c>
      <c r="B149" s="58" t="s">
        <v>732</v>
      </c>
      <c r="C149" s="21" t="s">
        <v>69</v>
      </c>
      <c r="D149" s="88">
        <f>iocosts!B331</f>
        <v>0</v>
      </c>
      <c r="E149" s="96">
        <f>unit_prices!D23</f>
        <v>56.850126060649337</v>
      </c>
      <c r="F149" s="24">
        <f t="shared" ref="F149" si="18">D149*E149/1000</f>
        <v>0</v>
      </c>
      <c r="G149" s="89"/>
      <c r="H149" s="90"/>
    </row>
    <row r="150" spans="1:8" ht="11.4" x14ac:dyDescent="0.2">
      <c r="A150" s="32" t="s">
        <v>228</v>
      </c>
      <c r="B150" s="58" t="s">
        <v>651</v>
      </c>
      <c r="C150" s="21" t="s">
        <v>23</v>
      </c>
      <c r="D150" s="102">
        <f>iocosts!B173</f>
        <v>2</v>
      </c>
      <c r="E150" s="99">
        <f>SUM(F139,F142:F143,F147)*1000</f>
        <v>0</v>
      </c>
      <c r="F150" s="24">
        <f>D150/100*E150/1000</f>
        <v>0</v>
      </c>
      <c r="G150" s="89"/>
    </row>
    <row r="151" spans="1:8" ht="11.4" x14ac:dyDescent="0.2">
      <c r="A151" s="33" t="s">
        <v>108</v>
      </c>
      <c r="B151" s="58" t="s">
        <v>749</v>
      </c>
      <c r="C151" s="21" t="s">
        <v>10</v>
      </c>
      <c r="D151" s="22"/>
      <c r="E151" s="30"/>
      <c r="F151" s="24">
        <f>SUM(F152,F155:F156,F160)</f>
        <v>351.92029124031291</v>
      </c>
      <c r="G151" s="89"/>
      <c r="H151" s="92"/>
    </row>
    <row r="152" spans="1:8" ht="11.4" x14ac:dyDescent="0.2">
      <c r="A152" s="27" t="s">
        <v>109</v>
      </c>
      <c r="B152" s="58" t="s">
        <v>687</v>
      </c>
      <c r="C152" s="21" t="s">
        <v>10</v>
      </c>
      <c r="D152" s="22"/>
      <c r="E152" s="30"/>
      <c r="F152" s="24">
        <f>SUM(F153:F154)</f>
        <v>17.75937566319395</v>
      </c>
      <c r="G152" s="89"/>
      <c r="H152" s="92"/>
    </row>
    <row r="153" spans="1:8" ht="11.4" x14ac:dyDescent="0.2">
      <c r="A153" s="20" t="s">
        <v>110</v>
      </c>
      <c r="B153" s="58" t="s">
        <v>725</v>
      </c>
      <c r="C153" s="21" t="s">
        <v>69</v>
      </c>
      <c r="D153" s="88">
        <f>iocosts!B332</f>
        <v>500</v>
      </c>
      <c r="E153" s="96">
        <f>unit_prices!D5</f>
        <v>3.8235483014242027</v>
      </c>
      <c r="F153" s="24">
        <f>D153*E153/1000</f>
        <v>1.9117741507121013</v>
      </c>
      <c r="G153" s="89"/>
      <c r="H153" s="73"/>
    </row>
    <row r="154" spans="1:8" ht="11.4" x14ac:dyDescent="0.2">
      <c r="A154" s="20" t="s">
        <v>111</v>
      </c>
      <c r="B154" s="58" t="s">
        <v>727</v>
      </c>
      <c r="C154" s="21" t="s">
        <v>69</v>
      </c>
      <c r="D154" s="88">
        <f>iocosts!B333</f>
        <v>1500</v>
      </c>
      <c r="E154" s="96">
        <f>unit_prices!D6</f>
        <v>10.565067674987899</v>
      </c>
      <c r="F154" s="24">
        <f t="shared" ref="F154" si="19">D154*E154/1000</f>
        <v>15.84760151248185</v>
      </c>
      <c r="G154" s="89"/>
      <c r="H154" s="5"/>
    </row>
    <row r="155" spans="1:8" ht="11.4" x14ac:dyDescent="0.2">
      <c r="A155" s="31" t="s">
        <v>112</v>
      </c>
      <c r="B155" s="58" t="s">
        <v>729</v>
      </c>
      <c r="C155" s="21" t="s">
        <v>4</v>
      </c>
      <c r="D155" s="88">
        <f>iocosts!B334</f>
        <v>1000</v>
      </c>
      <c r="E155" s="96">
        <f>unit_prices!D11</f>
        <v>29.959513335501487</v>
      </c>
      <c r="F155" s="23">
        <f>D155*E155/1000</f>
        <v>29.959513335501487</v>
      </c>
      <c r="G155" s="89"/>
      <c r="H155" s="5"/>
    </row>
    <row r="156" spans="1:8" ht="11.4" x14ac:dyDescent="0.2">
      <c r="A156" s="31" t="s">
        <v>113</v>
      </c>
      <c r="B156" s="58" t="s">
        <v>691</v>
      </c>
      <c r="C156" s="21" t="s">
        <v>10</v>
      </c>
      <c r="D156" s="22"/>
      <c r="E156" s="30"/>
      <c r="F156" s="24">
        <f>SUM(F157:F159)</f>
        <v>297.30100437416036</v>
      </c>
      <c r="G156" s="89"/>
      <c r="H156" s="5"/>
    </row>
    <row r="157" spans="1:8" ht="11.4" x14ac:dyDescent="0.2">
      <c r="A157" s="31" t="s">
        <v>114</v>
      </c>
      <c r="B157" s="58" t="s">
        <v>692</v>
      </c>
      <c r="C157" s="21" t="s">
        <v>75</v>
      </c>
      <c r="D157" s="98">
        <f>D158*H157</f>
        <v>300</v>
      </c>
      <c r="E157" s="96">
        <f>unit_prices!D21</f>
        <v>175.0782643283714</v>
      </c>
      <c r="F157" s="24">
        <f>D157*E157/1000</f>
        <v>52.523479298511418</v>
      </c>
      <c r="G157" s="89"/>
      <c r="H157" s="103">
        <v>0.15</v>
      </c>
    </row>
    <row r="158" spans="1:8" ht="11.4" x14ac:dyDescent="0.2">
      <c r="A158" s="31" t="s">
        <v>115</v>
      </c>
      <c r="B158" s="58" t="s">
        <v>732</v>
      </c>
      <c r="C158" s="21" t="s">
        <v>69</v>
      </c>
      <c r="D158" s="88">
        <f>iocosts!B335</f>
        <v>2000</v>
      </c>
      <c r="E158" s="96">
        <f>unit_prices!D22</f>
        <v>100.6196921427422</v>
      </c>
      <c r="F158" s="24">
        <f t="shared" ref="F158:F159" si="20">D158*E158/1000</f>
        <v>201.23938428548439</v>
      </c>
      <c r="G158" s="89"/>
      <c r="H158" s="93"/>
    </row>
    <row r="159" spans="1:8" ht="11.4" x14ac:dyDescent="0.2">
      <c r="A159" s="31" t="s">
        <v>116</v>
      </c>
      <c r="B159" s="58" t="s">
        <v>734</v>
      </c>
      <c r="C159" s="21" t="s">
        <v>75</v>
      </c>
      <c r="D159" s="98">
        <f>D158*H159</f>
        <v>20</v>
      </c>
      <c r="E159" s="96">
        <f>unit_prices!D25</f>
        <v>2176.9070395082267</v>
      </c>
      <c r="F159" s="24">
        <f t="shared" si="20"/>
        <v>43.538140790164533</v>
      </c>
      <c r="G159" s="89"/>
      <c r="H159" s="103">
        <v>0.01</v>
      </c>
    </row>
    <row r="160" spans="1:8" ht="11.4" x14ac:dyDescent="0.2">
      <c r="A160" s="32" t="s">
        <v>117</v>
      </c>
      <c r="B160" s="58" t="s">
        <v>651</v>
      </c>
      <c r="C160" s="21" t="s">
        <v>23</v>
      </c>
      <c r="D160" s="102">
        <f>iocosts!B173</f>
        <v>2</v>
      </c>
      <c r="E160" s="30">
        <f>SUM(F152,F155:F156)*1000</f>
        <v>345019.89337285579</v>
      </c>
      <c r="F160" s="24">
        <f>D160/100*E160/1000</f>
        <v>6.9003978674571167</v>
      </c>
      <c r="G160" s="89"/>
      <c r="H160" s="5"/>
    </row>
    <row r="161" spans="1:8" ht="12" x14ac:dyDescent="0.2">
      <c r="A161" s="42" t="s">
        <v>118</v>
      </c>
      <c r="B161" s="57" t="s">
        <v>750</v>
      </c>
      <c r="C161" s="21"/>
      <c r="D161" s="22"/>
      <c r="E161" s="30"/>
      <c r="F161" s="24">
        <f>SUM(F162,F180)</f>
        <v>2409.8461670958663</v>
      </c>
      <c r="G161" s="89"/>
      <c r="H161" s="5"/>
    </row>
    <row r="162" spans="1:8" ht="11.4" x14ac:dyDescent="0.2">
      <c r="A162" s="20" t="s">
        <v>119</v>
      </c>
      <c r="B162" s="58" t="s">
        <v>751</v>
      </c>
      <c r="C162" s="21" t="s">
        <v>10</v>
      </c>
      <c r="D162" s="22"/>
      <c r="E162" s="30"/>
      <c r="F162" s="24">
        <f>SUM(F163,F166:F167,F171,F174,F179)</f>
        <v>2409.8461670958663</v>
      </c>
      <c r="G162" s="89"/>
      <c r="H162" s="76"/>
    </row>
    <row r="163" spans="1:8" ht="11.4" x14ac:dyDescent="0.2">
      <c r="A163" s="20" t="s">
        <v>120</v>
      </c>
      <c r="B163" s="58" t="s">
        <v>687</v>
      </c>
      <c r="C163" s="21" t="s">
        <v>10</v>
      </c>
      <c r="D163" s="22"/>
      <c r="E163" s="30"/>
      <c r="F163" s="24">
        <f>SUM(F164:F165)</f>
        <v>32.147991639606055</v>
      </c>
      <c r="G163" s="89"/>
      <c r="H163" s="76"/>
    </row>
    <row r="164" spans="1:8" ht="11.4" x14ac:dyDescent="0.2">
      <c r="A164" s="20" t="s">
        <v>121</v>
      </c>
      <c r="B164" s="58" t="s">
        <v>725</v>
      </c>
      <c r="C164" s="21" t="s">
        <v>69</v>
      </c>
      <c r="D164" s="88">
        <f>iocosts!B342+iocosts!B336+iocosts!B339</f>
        <v>1500</v>
      </c>
      <c r="E164" s="96">
        <f>unit_prices!D5</f>
        <v>3.8235483014242027</v>
      </c>
      <c r="F164" s="24">
        <f>D164*E164/1000</f>
        <v>5.7353224521363035</v>
      </c>
      <c r="G164" s="89"/>
      <c r="H164" s="76"/>
    </row>
    <row r="165" spans="1:8" ht="11.4" x14ac:dyDescent="0.2">
      <c r="A165" s="20" t="s">
        <v>122</v>
      </c>
      <c r="B165" s="58" t="s">
        <v>727</v>
      </c>
      <c r="C165" s="21" t="s">
        <v>69</v>
      </c>
      <c r="D165" s="88">
        <f>iocosts!B343+iocosts!B337+iocosts!B340</f>
        <v>2500</v>
      </c>
      <c r="E165" s="96">
        <f>unit_prices!D6</f>
        <v>10.565067674987899</v>
      </c>
      <c r="F165" s="24">
        <f>D165*E165/1000</f>
        <v>26.412669187469749</v>
      </c>
      <c r="G165" s="89"/>
      <c r="H165" s="76"/>
    </row>
    <row r="166" spans="1:8" ht="11.4" x14ac:dyDescent="0.2">
      <c r="A166" s="20" t="s">
        <v>123</v>
      </c>
      <c r="B166" s="58" t="s">
        <v>729</v>
      </c>
      <c r="C166" s="21" t="s">
        <v>4</v>
      </c>
      <c r="D166" s="88">
        <f>iocosts!B344</f>
        <v>1000</v>
      </c>
      <c r="E166" s="96">
        <f>unit_prices!D11</f>
        <v>29.959513335501487</v>
      </c>
      <c r="F166" s="24">
        <f>D166*E166/1000</f>
        <v>29.959513335501487</v>
      </c>
      <c r="G166" s="89"/>
      <c r="H166" s="92"/>
    </row>
    <row r="167" spans="1:8" ht="11.4" x14ac:dyDescent="0.2">
      <c r="A167" s="20" t="s">
        <v>124</v>
      </c>
      <c r="B167" s="58" t="s">
        <v>691</v>
      </c>
      <c r="C167" s="21" t="s">
        <v>10</v>
      </c>
      <c r="D167" s="22"/>
      <c r="E167" s="22"/>
      <c r="F167" s="24">
        <f>SUM(F168:F170)</f>
        <v>1266.1730510012321</v>
      </c>
      <c r="G167" s="89"/>
      <c r="H167" s="73"/>
    </row>
    <row r="168" spans="1:8" ht="11.4" x14ac:dyDescent="0.2">
      <c r="A168" s="20" t="s">
        <v>125</v>
      </c>
      <c r="B168" s="58" t="s">
        <v>692</v>
      </c>
      <c r="C168" s="21" t="s">
        <v>75</v>
      </c>
      <c r="D168" s="98">
        <f>D169*H168</f>
        <v>1250</v>
      </c>
      <c r="E168" s="96">
        <f>unit_prices!D21</f>
        <v>175.0782643283714</v>
      </c>
      <c r="F168" s="24">
        <f>D168*E168/1000</f>
        <v>218.84783041046427</v>
      </c>
      <c r="G168" s="89"/>
      <c r="H168" s="103">
        <v>0.25</v>
      </c>
    </row>
    <row r="169" spans="1:8" ht="11.4" x14ac:dyDescent="0.2">
      <c r="A169" s="20" t="s">
        <v>126</v>
      </c>
      <c r="B169" s="58" t="s">
        <v>732</v>
      </c>
      <c r="C169" s="21" t="s">
        <v>69</v>
      </c>
      <c r="D169" s="88">
        <f>iocosts!B345</f>
        <v>5000</v>
      </c>
      <c r="E169" s="96">
        <f>unit_prices!D22</f>
        <v>100.6196921427422</v>
      </c>
      <c r="F169" s="24">
        <f>D169*E169/1000</f>
        <v>503.09846071371101</v>
      </c>
      <c r="G169" s="89"/>
      <c r="H169" s="93"/>
    </row>
    <row r="170" spans="1:8" ht="11.4" x14ac:dyDescent="0.2">
      <c r="A170" s="20" t="s">
        <v>127</v>
      </c>
      <c r="B170" s="58" t="s">
        <v>734</v>
      </c>
      <c r="C170" s="21" t="s">
        <v>75</v>
      </c>
      <c r="D170" s="98">
        <f>D169*H170</f>
        <v>250</v>
      </c>
      <c r="E170" s="96">
        <f>unit_prices!D25</f>
        <v>2176.9070395082267</v>
      </c>
      <c r="F170" s="24">
        <f>D170*E170/1000</f>
        <v>544.22675987705668</v>
      </c>
      <c r="G170" s="89"/>
      <c r="H170" s="103">
        <v>0.05</v>
      </c>
    </row>
    <row r="171" spans="1:8" ht="11.4" x14ac:dyDescent="0.2">
      <c r="A171" s="33" t="s">
        <v>854</v>
      </c>
      <c r="B171" s="159" t="s">
        <v>857</v>
      </c>
      <c r="C171" s="21" t="s">
        <v>10</v>
      </c>
      <c r="F171" s="24">
        <f>SUM(F172:F173)</f>
        <v>0</v>
      </c>
      <c r="G171" s="89"/>
      <c r="H171" s="90"/>
    </row>
    <row r="172" spans="1:8" ht="11.4" x14ac:dyDescent="0.2">
      <c r="A172" s="33" t="s">
        <v>855</v>
      </c>
      <c r="B172" s="159" t="s">
        <v>692</v>
      </c>
      <c r="C172" s="21" t="s">
        <v>75</v>
      </c>
      <c r="D172" s="98">
        <f>D173*H172</f>
        <v>0</v>
      </c>
      <c r="E172" s="96">
        <f>unit_prices!D21</f>
        <v>175.0782643283714</v>
      </c>
      <c r="F172" s="24">
        <f>D172*E172/1000</f>
        <v>0</v>
      </c>
      <c r="G172" s="89"/>
      <c r="H172" s="103">
        <v>0.15</v>
      </c>
    </row>
    <row r="173" spans="1:8" ht="11.4" x14ac:dyDescent="0.2">
      <c r="A173" s="33" t="s">
        <v>856</v>
      </c>
      <c r="B173" s="159" t="s">
        <v>693</v>
      </c>
      <c r="C173" s="21" t="s">
        <v>69</v>
      </c>
      <c r="D173" s="88">
        <f>iocosts!B338+iocosts!B341</f>
        <v>0</v>
      </c>
      <c r="E173" s="96">
        <f>unit_prices!D23</f>
        <v>56.850126060649337</v>
      </c>
      <c r="F173" s="24">
        <f t="shared" ref="F173" si="21">D173*E173/1000</f>
        <v>0</v>
      </c>
      <c r="G173" s="89"/>
      <c r="H173" s="90"/>
    </row>
    <row r="174" spans="1:8" ht="11.4" x14ac:dyDescent="0.2">
      <c r="A174" s="20" t="s">
        <v>128</v>
      </c>
      <c r="B174" s="58" t="s">
        <v>736</v>
      </c>
      <c r="C174" s="21" t="s">
        <v>10</v>
      </c>
      <c r="D174" s="22"/>
      <c r="E174" s="22"/>
      <c r="F174" s="24">
        <f>SUM(F175:F178)</f>
        <v>1055</v>
      </c>
      <c r="G174" s="89"/>
      <c r="H174" s="5"/>
    </row>
    <row r="175" spans="1:8" ht="11.4" x14ac:dyDescent="0.2">
      <c r="A175" s="20" t="s">
        <v>129</v>
      </c>
      <c r="B175" s="58" t="s">
        <v>756</v>
      </c>
      <c r="C175" s="21" t="s">
        <v>89</v>
      </c>
      <c r="D175" s="104">
        <f>iocosts!B346</f>
        <v>2</v>
      </c>
      <c r="E175" s="104">
        <f>ROUNDUP(IF(iocosts!B117=0,iocosts!B347*unit_prices!L7,iocosts!B348)*(1+(iocosts!B168+iocosts!B169+iocosts!B170)/100),-3)</f>
        <v>330000</v>
      </c>
      <c r="F175" s="24">
        <f>D175*E175/1000</f>
        <v>660</v>
      </c>
      <c r="G175" s="195" t="s">
        <v>1097</v>
      </c>
      <c r="H175" s="5"/>
    </row>
    <row r="176" spans="1:8" ht="11.4" x14ac:dyDescent="0.2">
      <c r="A176" s="20" t="s">
        <v>131</v>
      </c>
      <c r="B176" s="58" t="s">
        <v>752</v>
      </c>
      <c r="C176" s="21" t="s">
        <v>89</v>
      </c>
      <c r="D176" s="104">
        <f>iocosts!B349</f>
        <v>1</v>
      </c>
      <c r="E176" s="104">
        <f>ROUNDUP(IF(iocosts!B117=0,iocosts!B350*unit_prices!L9,iocosts!B351)*(1+(iocosts!B168+iocosts!B169+iocosts!B170)/100),-3)</f>
        <v>102000</v>
      </c>
      <c r="F176" s="24">
        <f t="shared" ref="F176:F178" si="22">D176*E176/1000</f>
        <v>102</v>
      </c>
      <c r="G176" s="195" t="s">
        <v>1097</v>
      </c>
      <c r="H176" s="5"/>
    </row>
    <row r="177" spans="1:9" ht="11.4" x14ac:dyDescent="0.2">
      <c r="A177" s="20" t="s">
        <v>132</v>
      </c>
      <c r="B177" s="58" t="s">
        <v>755</v>
      </c>
      <c r="C177" s="21" t="s">
        <v>89</v>
      </c>
      <c r="D177" s="98">
        <v>1</v>
      </c>
      <c r="E177" s="104">
        <f>ROUNDUP(IF(iocosts!B117=0,iocosts!B352*unit_prices!L12,iocosts!B353)*(1+(iocosts!B168+iocosts!B169+iocosts!B170)/100),-3)</f>
        <v>271000</v>
      </c>
      <c r="F177" s="24">
        <f t="shared" si="22"/>
        <v>271</v>
      </c>
      <c r="G177" s="195" t="s">
        <v>1097</v>
      </c>
      <c r="H177" s="5"/>
    </row>
    <row r="178" spans="1:9" ht="11.4" x14ac:dyDescent="0.2">
      <c r="A178" s="20" t="s">
        <v>130</v>
      </c>
      <c r="B178" s="58" t="s">
        <v>753</v>
      </c>
      <c r="C178" s="21" t="s">
        <v>89</v>
      </c>
      <c r="D178" s="98">
        <v>1</v>
      </c>
      <c r="E178" s="104">
        <f>ROUNDUP(IF(iocosts!B117=0,iocosts!B354*unit_prices!L13,iocosts!B355)*(1+(iocosts!B168+iocosts!B169+iocosts!B170)/100),-3)</f>
        <v>22000</v>
      </c>
      <c r="F178" s="24">
        <f t="shared" si="22"/>
        <v>22</v>
      </c>
      <c r="G178" s="195" t="s">
        <v>1097</v>
      </c>
      <c r="H178" s="5"/>
    </row>
    <row r="179" spans="1:9" ht="11.4" x14ac:dyDescent="0.2">
      <c r="A179" s="31" t="s">
        <v>133</v>
      </c>
      <c r="B179" s="58" t="s">
        <v>651</v>
      </c>
      <c r="C179" s="21" t="s">
        <v>23</v>
      </c>
      <c r="D179" s="102">
        <f>iocosts!B173</f>
        <v>2</v>
      </c>
      <c r="E179" s="30">
        <f>SUM(F163,F166:F167,F171)*1000</f>
        <v>1328280.5559763396</v>
      </c>
      <c r="F179" s="24">
        <f>D179/100*E179/1000</f>
        <v>26.565611119526793</v>
      </c>
      <c r="G179" s="89"/>
      <c r="H179" s="5"/>
    </row>
    <row r="180" spans="1:9" ht="11.4" x14ac:dyDescent="0.2">
      <c r="A180" s="33" t="s">
        <v>134</v>
      </c>
      <c r="B180" s="58" t="s">
        <v>757</v>
      </c>
      <c r="C180" s="21" t="s">
        <v>10</v>
      </c>
      <c r="D180" s="22"/>
      <c r="E180" s="30"/>
      <c r="F180" s="24">
        <f>SUM(F181,F184:F185,F189,F194)</f>
        <v>0</v>
      </c>
      <c r="G180" s="89"/>
      <c r="H180" s="5"/>
    </row>
    <row r="181" spans="1:9" ht="11.4" x14ac:dyDescent="0.2">
      <c r="A181" s="20" t="s">
        <v>260</v>
      </c>
      <c r="B181" s="58" t="s">
        <v>687</v>
      </c>
      <c r="C181" s="21" t="s">
        <v>10</v>
      </c>
      <c r="D181" s="22"/>
      <c r="E181" s="30"/>
      <c r="F181" s="24">
        <f>SUM(F182:F183)</f>
        <v>0</v>
      </c>
      <c r="G181" s="89"/>
      <c r="H181" s="76"/>
    </row>
    <row r="182" spans="1:9" ht="11.4" x14ac:dyDescent="0.2">
      <c r="A182" s="20" t="s">
        <v>261</v>
      </c>
      <c r="B182" s="58" t="s">
        <v>725</v>
      </c>
      <c r="C182" s="21" t="s">
        <v>69</v>
      </c>
      <c r="D182" s="88">
        <v>0</v>
      </c>
      <c r="E182" s="96">
        <f>unit_prices!D5</f>
        <v>3.8235483014242027</v>
      </c>
      <c r="F182" s="24">
        <f>D182*E182/1000</f>
        <v>0</v>
      </c>
      <c r="G182" s="89"/>
      <c r="H182" s="76"/>
    </row>
    <row r="183" spans="1:9" ht="11.4" x14ac:dyDescent="0.2">
      <c r="A183" s="20" t="s">
        <v>262</v>
      </c>
      <c r="B183" s="58" t="s">
        <v>727</v>
      </c>
      <c r="C183" s="21" t="s">
        <v>69</v>
      </c>
      <c r="D183" s="88">
        <v>0</v>
      </c>
      <c r="E183" s="96">
        <f>unit_prices!D6</f>
        <v>10.565067674987899</v>
      </c>
      <c r="F183" s="24">
        <f>D183*E183/1000</f>
        <v>0</v>
      </c>
      <c r="G183" s="89"/>
      <c r="H183" s="76"/>
    </row>
    <row r="184" spans="1:9" ht="11.4" x14ac:dyDescent="0.2">
      <c r="A184" s="20" t="s">
        <v>263</v>
      </c>
      <c r="B184" s="58" t="s">
        <v>729</v>
      </c>
      <c r="C184" s="21" t="s">
        <v>4</v>
      </c>
      <c r="D184" s="88">
        <v>0</v>
      </c>
      <c r="E184" s="96">
        <f>unit_prices!D11</f>
        <v>29.959513335501487</v>
      </c>
      <c r="F184" s="24">
        <f>D184*E184/1000</f>
        <v>0</v>
      </c>
      <c r="G184" s="89"/>
      <c r="H184" s="92"/>
    </row>
    <row r="185" spans="1:9" ht="11.4" x14ac:dyDescent="0.2">
      <c r="A185" s="20" t="s">
        <v>264</v>
      </c>
      <c r="B185" s="58" t="s">
        <v>691</v>
      </c>
      <c r="C185" s="21" t="s">
        <v>10</v>
      </c>
      <c r="D185" s="22"/>
      <c r="E185" s="22"/>
      <c r="F185" s="24">
        <f>SUM(F186:F188)</f>
        <v>0</v>
      </c>
      <c r="G185" s="89"/>
      <c r="H185" s="73"/>
    </row>
    <row r="186" spans="1:9" ht="11.4" x14ac:dyDescent="0.2">
      <c r="A186" s="20" t="s">
        <v>265</v>
      </c>
      <c r="B186" s="58" t="s">
        <v>692</v>
      </c>
      <c r="C186" s="21" t="s">
        <v>75</v>
      </c>
      <c r="D186" s="98">
        <f>D187*H186</f>
        <v>0</v>
      </c>
      <c r="E186" s="96">
        <f>unit_prices!D21</f>
        <v>175.0782643283714</v>
      </c>
      <c r="F186" s="24">
        <f>D186*E186/1000</f>
        <v>0</v>
      </c>
      <c r="G186" s="89"/>
      <c r="H186" s="103">
        <v>0.25</v>
      </c>
    </row>
    <row r="187" spans="1:9" ht="11.4" x14ac:dyDescent="0.2">
      <c r="A187" s="20" t="s">
        <v>266</v>
      </c>
      <c r="B187" s="58" t="s">
        <v>732</v>
      </c>
      <c r="C187" s="21" t="s">
        <v>69</v>
      </c>
      <c r="D187" s="88">
        <v>0</v>
      </c>
      <c r="E187" s="96">
        <f>unit_prices!D22</f>
        <v>100.6196921427422</v>
      </c>
      <c r="F187" s="24">
        <f>D187*E187/1000</f>
        <v>0</v>
      </c>
      <c r="G187" s="89"/>
      <c r="H187" s="93"/>
      <c r="I187" s="5"/>
    </row>
    <row r="188" spans="1:9" ht="11.4" x14ac:dyDescent="0.2">
      <c r="A188" s="20" t="s">
        <v>267</v>
      </c>
      <c r="B188" s="58" t="s">
        <v>734</v>
      </c>
      <c r="C188" s="21" t="s">
        <v>75</v>
      </c>
      <c r="D188" s="98">
        <f>D187*H188</f>
        <v>0</v>
      </c>
      <c r="E188" s="96">
        <f>unit_prices!D25</f>
        <v>2176.9070395082267</v>
      </c>
      <c r="F188" s="24">
        <f>D188*E188/1000</f>
        <v>0</v>
      </c>
      <c r="G188" s="89"/>
      <c r="H188" s="103">
        <v>0.05</v>
      </c>
      <c r="I188" s="5"/>
    </row>
    <row r="189" spans="1:9" ht="11.4" x14ac:dyDescent="0.2">
      <c r="A189" s="20" t="s">
        <v>268</v>
      </c>
      <c r="B189" s="58" t="s">
        <v>736</v>
      </c>
      <c r="C189" s="21" t="s">
        <v>10</v>
      </c>
      <c r="D189" s="22"/>
      <c r="E189" s="22"/>
      <c r="F189" s="24">
        <f>SUM(F190:F193)</f>
        <v>0</v>
      </c>
      <c r="G189" s="89"/>
      <c r="H189" s="5"/>
      <c r="I189" s="5"/>
    </row>
    <row r="190" spans="1:9" ht="11.4" x14ac:dyDescent="0.2">
      <c r="A190" s="20" t="s">
        <v>269</v>
      </c>
      <c r="B190" s="58" t="s">
        <v>761</v>
      </c>
      <c r="C190" s="21" t="s">
        <v>89</v>
      </c>
      <c r="D190" s="104"/>
      <c r="E190" s="104"/>
      <c r="F190" s="24">
        <f>D190*E190/1000</f>
        <v>0</v>
      </c>
      <c r="G190" s="89"/>
      <c r="H190" s="5"/>
      <c r="I190" s="5"/>
    </row>
    <row r="191" spans="1:9" ht="11.4" x14ac:dyDescent="0.2">
      <c r="A191" s="20" t="s">
        <v>270</v>
      </c>
      <c r="B191" s="58" t="s">
        <v>752</v>
      </c>
      <c r="C191" s="21" t="s">
        <v>89</v>
      </c>
      <c r="D191" s="104"/>
      <c r="E191" s="104"/>
      <c r="F191" s="24">
        <f t="shared" ref="F191:F193" si="23">D191*E191/1000</f>
        <v>0</v>
      </c>
      <c r="G191" s="89"/>
      <c r="H191" s="5"/>
      <c r="I191" s="5"/>
    </row>
    <row r="192" spans="1:9" ht="11.4" x14ac:dyDescent="0.2">
      <c r="A192" s="20" t="s">
        <v>271</v>
      </c>
      <c r="B192" s="58" t="s">
        <v>755</v>
      </c>
      <c r="C192" s="21" t="s">
        <v>89</v>
      </c>
      <c r="D192" s="98">
        <v>1</v>
      </c>
      <c r="E192" s="104"/>
      <c r="F192" s="24">
        <f t="shared" si="23"/>
        <v>0</v>
      </c>
      <c r="G192" s="89"/>
      <c r="H192" s="5"/>
      <c r="I192" s="5"/>
    </row>
    <row r="193" spans="1:9" ht="11.4" x14ac:dyDescent="0.2">
      <c r="A193" s="20" t="s">
        <v>272</v>
      </c>
      <c r="B193" s="58" t="s">
        <v>753</v>
      </c>
      <c r="C193" s="21" t="s">
        <v>89</v>
      </c>
      <c r="D193" s="98">
        <v>1</v>
      </c>
      <c r="E193" s="104"/>
      <c r="F193" s="24">
        <f t="shared" si="23"/>
        <v>0</v>
      </c>
      <c r="G193" s="89"/>
      <c r="H193" s="5"/>
      <c r="I193" s="5"/>
    </row>
    <row r="194" spans="1:9" ht="11.4" x14ac:dyDescent="0.2">
      <c r="A194" s="31" t="s">
        <v>273</v>
      </c>
      <c r="B194" s="58" t="s">
        <v>651</v>
      </c>
      <c r="C194" s="21" t="s">
        <v>23</v>
      </c>
      <c r="D194" s="102">
        <f>iocosts!B173</f>
        <v>2</v>
      </c>
      <c r="E194" s="30">
        <f>SUM(F181,F184:F185)*1000</f>
        <v>0</v>
      </c>
      <c r="F194" s="24">
        <f>D194/100*E194/1000</f>
        <v>0</v>
      </c>
      <c r="G194" s="89"/>
      <c r="H194" s="5"/>
      <c r="I194" s="5"/>
    </row>
    <row r="195" spans="1:9" ht="12" x14ac:dyDescent="0.2">
      <c r="A195" s="107" t="s">
        <v>175</v>
      </c>
      <c r="B195" s="57" t="s">
        <v>779</v>
      </c>
      <c r="C195" s="21"/>
      <c r="D195" s="22"/>
      <c r="E195" s="30"/>
      <c r="F195" s="24">
        <f>SUM(F196:F197)</f>
        <v>0</v>
      </c>
      <c r="G195" s="89"/>
      <c r="H195" s="76"/>
      <c r="I195" s="5"/>
    </row>
    <row r="196" spans="1:9" ht="11.4" x14ac:dyDescent="0.2">
      <c r="A196" s="33" t="s">
        <v>176</v>
      </c>
      <c r="B196" s="58" t="s">
        <v>778</v>
      </c>
      <c r="C196" s="21" t="s">
        <v>10</v>
      </c>
      <c r="D196" s="98">
        <v>1</v>
      </c>
      <c r="E196" s="114">
        <f>iocosts!B356</f>
        <v>0</v>
      </c>
      <c r="F196" s="24">
        <f t="shared" ref="F196:F197" si="24">D196*E196/1000</f>
        <v>0</v>
      </c>
      <c r="G196" s="84"/>
      <c r="H196" s="76"/>
      <c r="I196" s="5"/>
    </row>
    <row r="197" spans="1:9" ht="11.4" x14ac:dyDescent="0.2">
      <c r="A197" s="33" t="s">
        <v>177</v>
      </c>
      <c r="B197" s="58" t="s">
        <v>881</v>
      </c>
      <c r="C197" s="21" t="s">
        <v>10</v>
      </c>
      <c r="D197" s="98">
        <v>1</v>
      </c>
      <c r="E197" s="114">
        <f>iocosts!B357</f>
        <v>0</v>
      </c>
      <c r="F197" s="24">
        <f t="shared" si="24"/>
        <v>0</v>
      </c>
      <c r="G197" s="89"/>
      <c r="H197" s="76"/>
      <c r="I197" s="5"/>
    </row>
    <row r="198" spans="1:9" ht="11.4" x14ac:dyDescent="0.2">
      <c r="A198" s="27"/>
      <c r="B198" s="58"/>
      <c r="C198" s="21"/>
      <c r="D198" s="22"/>
      <c r="E198" s="30"/>
      <c r="F198" s="24"/>
      <c r="G198" s="84"/>
      <c r="H198" s="76"/>
      <c r="I198" s="5"/>
    </row>
    <row r="199" spans="1:9" ht="11.4" x14ac:dyDescent="0.2">
      <c r="A199" s="20"/>
      <c r="B199" s="58" t="s">
        <v>781</v>
      </c>
      <c r="C199" s="21"/>
      <c r="D199" s="22"/>
      <c r="E199" s="30"/>
      <c r="F199" s="24">
        <f>SUM(F68,F117,F161,F195)-F200</f>
        <v>2034.9548455679201</v>
      </c>
      <c r="G199" s="89"/>
      <c r="H199" s="76"/>
      <c r="I199" s="5"/>
    </row>
    <row r="200" spans="1:9" ht="11.4" x14ac:dyDescent="0.2">
      <c r="A200" s="20"/>
      <c r="B200" s="58" t="s">
        <v>780</v>
      </c>
      <c r="C200" s="21"/>
      <c r="D200" s="22"/>
      <c r="E200" s="30"/>
      <c r="F200" s="24">
        <f>SUM(F94,F111,F174,F189)</f>
        <v>1312</v>
      </c>
      <c r="G200" s="84"/>
      <c r="I200" s="5"/>
    </row>
    <row r="201" spans="1:9" ht="12" x14ac:dyDescent="0.2">
      <c r="A201" s="31" t="s">
        <v>178</v>
      </c>
      <c r="B201" s="57" t="s">
        <v>782</v>
      </c>
      <c r="C201" s="21" t="s">
        <v>23</v>
      </c>
      <c r="D201" s="98">
        <f>iocosts!B175</f>
        <v>20</v>
      </c>
      <c r="E201" s="30">
        <f>F199*1000</f>
        <v>2034954.84556792</v>
      </c>
      <c r="F201" s="24">
        <f>D201/100*E201/1000</f>
        <v>406.99096911358401</v>
      </c>
      <c r="G201" s="89"/>
      <c r="I201" s="5"/>
    </row>
    <row r="202" spans="1:9" ht="12" x14ac:dyDescent="0.2">
      <c r="A202" s="31" t="s">
        <v>179</v>
      </c>
      <c r="B202" s="57" t="s">
        <v>783</v>
      </c>
      <c r="C202" s="21" t="s">
        <v>23</v>
      </c>
      <c r="D202" s="98">
        <f>iocosts!B176</f>
        <v>20</v>
      </c>
      <c r="E202" s="30">
        <f>F200*1000</f>
        <v>1312000</v>
      </c>
      <c r="F202" s="24">
        <f>D202/100*E202/1000</f>
        <v>262.39999999999998</v>
      </c>
      <c r="G202" s="84"/>
      <c r="I202" s="5"/>
    </row>
    <row r="203" spans="1:9" ht="12" thickBot="1" x14ac:dyDescent="0.25">
      <c r="A203" s="37"/>
      <c r="B203" s="59"/>
      <c r="C203" s="38"/>
      <c r="D203" s="39"/>
      <c r="E203" s="40"/>
      <c r="F203" s="41"/>
      <c r="G203" s="89"/>
      <c r="H203" s="79"/>
      <c r="I203" s="5"/>
    </row>
    <row r="204" spans="1:9" ht="12" x14ac:dyDescent="0.2">
      <c r="A204" s="42" t="s">
        <v>194</v>
      </c>
      <c r="B204" s="18" t="s">
        <v>796</v>
      </c>
      <c r="C204" s="43"/>
      <c r="D204" s="44"/>
      <c r="E204" s="45"/>
      <c r="F204" s="46">
        <f>SUM(F209:F210)</f>
        <v>1770.1016241751206</v>
      </c>
      <c r="I204" s="5"/>
    </row>
    <row r="205" spans="1:9" ht="11.4" x14ac:dyDescent="0.2">
      <c r="A205" s="32" t="s">
        <v>195</v>
      </c>
      <c r="B205" s="60" t="s">
        <v>797</v>
      </c>
      <c r="C205" s="21" t="s">
        <v>27</v>
      </c>
      <c r="D205" s="111">
        <f>iocosts!B358</f>
        <v>1</v>
      </c>
      <c r="E205" s="88">
        <f>unit_prices!D26</f>
        <v>217338.53502832312</v>
      </c>
      <c r="F205" s="24">
        <f t="shared" ref="F205:F208" si="25">D205*E205/1000</f>
        <v>217.33853502832312</v>
      </c>
      <c r="I205" s="5"/>
    </row>
    <row r="206" spans="1:9" ht="11.4" x14ac:dyDescent="0.2">
      <c r="A206" s="20" t="s">
        <v>196</v>
      </c>
      <c r="B206" s="60" t="s">
        <v>798</v>
      </c>
      <c r="C206" s="21" t="s">
        <v>27</v>
      </c>
      <c r="D206" s="110"/>
      <c r="E206" s="25"/>
      <c r="F206" s="24">
        <f t="shared" si="25"/>
        <v>0</v>
      </c>
      <c r="I206" s="5"/>
    </row>
    <row r="207" spans="1:9" ht="11.4" x14ac:dyDescent="0.2">
      <c r="A207" s="20" t="s">
        <v>197</v>
      </c>
      <c r="B207" s="60" t="s">
        <v>799</v>
      </c>
      <c r="C207" s="21" t="s">
        <v>279</v>
      </c>
      <c r="D207" s="111">
        <f>iocosts!B359</f>
        <v>50</v>
      </c>
      <c r="E207" s="88">
        <f>unit_prices!D27</f>
        <v>25154.923035685548</v>
      </c>
      <c r="F207" s="24">
        <f t="shared" si="25"/>
        <v>1257.7461517842773</v>
      </c>
      <c r="I207" s="5"/>
    </row>
    <row r="208" spans="1:9" ht="11.4" x14ac:dyDescent="0.2">
      <c r="A208" s="20" t="s">
        <v>198</v>
      </c>
      <c r="B208" s="60" t="s">
        <v>877</v>
      </c>
      <c r="C208" s="21" t="s">
        <v>27</v>
      </c>
      <c r="D208" s="110"/>
      <c r="E208" s="25"/>
      <c r="F208" s="24">
        <f t="shared" si="25"/>
        <v>0</v>
      </c>
      <c r="I208" s="5"/>
    </row>
    <row r="209" spans="1:9" ht="11.4" x14ac:dyDescent="0.2">
      <c r="A209" s="31"/>
      <c r="B209" s="60" t="s">
        <v>800</v>
      </c>
      <c r="C209" s="21"/>
      <c r="D209" s="22"/>
      <c r="E209" s="30"/>
      <c r="F209" s="24">
        <f>SUM(F205:F208)</f>
        <v>1475.0846868126005</v>
      </c>
      <c r="I209" s="5"/>
    </row>
    <row r="210" spans="1:9" ht="12" x14ac:dyDescent="0.2">
      <c r="A210" s="31" t="s">
        <v>199</v>
      </c>
      <c r="B210" s="61" t="s">
        <v>801</v>
      </c>
      <c r="C210" s="21" t="s">
        <v>23</v>
      </c>
      <c r="D210" s="98">
        <f>iocosts!B175</f>
        <v>20</v>
      </c>
      <c r="E210" s="30">
        <f>F209*1000</f>
        <v>1475084.6868126004</v>
      </c>
      <c r="F210" s="24">
        <f>D210/100*E210/1000</f>
        <v>295.01693736252008</v>
      </c>
      <c r="I210" s="5"/>
    </row>
    <row r="211" spans="1:9" ht="11.4" x14ac:dyDescent="0.2">
      <c r="A211" s="32"/>
      <c r="B211" s="60"/>
      <c r="C211" s="21"/>
      <c r="D211" s="22"/>
      <c r="E211" s="30"/>
      <c r="F211" s="24"/>
      <c r="I211" s="5"/>
    </row>
    <row r="212" spans="1:9" ht="12" x14ac:dyDescent="0.2">
      <c r="A212" s="20"/>
      <c r="B212" s="61" t="s">
        <v>802</v>
      </c>
      <c r="C212" s="21"/>
      <c r="D212" s="22"/>
      <c r="E212" s="30"/>
      <c r="F212" s="24">
        <f>SUM(F204,F67,F7)</f>
        <v>6268.6513920946772</v>
      </c>
      <c r="I212" s="5"/>
    </row>
    <row r="213" spans="1:9" ht="12" thickBot="1" x14ac:dyDescent="0.25">
      <c r="A213" s="37"/>
      <c r="B213" s="59"/>
      <c r="C213" s="38"/>
      <c r="D213" s="39"/>
      <c r="E213" s="40"/>
      <c r="F213" s="41"/>
      <c r="I213" s="5"/>
    </row>
    <row r="214" spans="1:9" ht="12" x14ac:dyDescent="0.2">
      <c r="A214" s="42" t="s">
        <v>200</v>
      </c>
      <c r="B214" s="18" t="s">
        <v>803</v>
      </c>
      <c r="C214" s="43"/>
      <c r="D214" s="44"/>
      <c r="E214" s="45"/>
      <c r="F214" s="46">
        <f>SUM(F224:F225)</f>
        <v>827.46198375649749</v>
      </c>
      <c r="I214" s="5"/>
    </row>
    <row r="215" spans="1:9" ht="12" x14ac:dyDescent="0.2">
      <c r="A215" s="32" t="s">
        <v>201</v>
      </c>
      <c r="B215" s="61" t="s">
        <v>804</v>
      </c>
      <c r="C215" s="21"/>
      <c r="D215" s="22"/>
      <c r="E215" s="30"/>
      <c r="F215" s="24">
        <f>SUM(F216:F217)</f>
        <v>250.74605568378709</v>
      </c>
      <c r="I215" s="5"/>
    </row>
    <row r="216" spans="1:9" ht="11.4" x14ac:dyDescent="0.2">
      <c r="A216" s="20" t="s">
        <v>202</v>
      </c>
      <c r="B216" s="60" t="s">
        <v>806</v>
      </c>
      <c r="C216" s="21" t="s">
        <v>23</v>
      </c>
      <c r="D216" s="102">
        <f>iocosts!B179</f>
        <v>2</v>
      </c>
      <c r="E216" s="30">
        <f>F212*1000</f>
        <v>6268651.3920946773</v>
      </c>
      <c r="F216" s="24">
        <f>D216/100*E216/1000</f>
        <v>125.37302784189355</v>
      </c>
      <c r="I216" s="5"/>
    </row>
    <row r="217" spans="1:9" ht="11.4" x14ac:dyDescent="0.2">
      <c r="A217" s="20" t="s">
        <v>203</v>
      </c>
      <c r="B217" s="60" t="s">
        <v>805</v>
      </c>
      <c r="C217" s="21" t="s">
        <v>23</v>
      </c>
      <c r="D217" s="102">
        <f>iocosts!B180</f>
        <v>2</v>
      </c>
      <c r="E217" s="30">
        <f>F212*1000</f>
        <v>6268651.3920946773</v>
      </c>
      <c r="F217" s="24">
        <f>D217/100*E217/1000</f>
        <v>125.37302784189355</v>
      </c>
      <c r="I217" s="5"/>
    </row>
    <row r="218" spans="1:9" ht="12" x14ac:dyDescent="0.2">
      <c r="A218" s="20" t="s">
        <v>204</v>
      </c>
      <c r="B218" s="61" t="s">
        <v>878</v>
      </c>
      <c r="C218" s="21"/>
      <c r="D218" s="36"/>
      <c r="E218" s="30"/>
      <c r="F218" s="24">
        <f>SUM(F219,F223)</f>
        <v>501.49211136757424</v>
      </c>
      <c r="I218" s="5"/>
    </row>
    <row r="219" spans="1:9" ht="11.4" x14ac:dyDescent="0.2">
      <c r="A219" s="31" t="s">
        <v>205</v>
      </c>
      <c r="B219" s="60" t="s">
        <v>807</v>
      </c>
      <c r="C219" s="21" t="s">
        <v>10</v>
      </c>
      <c r="D219" s="35"/>
      <c r="E219" s="30"/>
      <c r="F219" s="24">
        <f>SUM(F220:F222)</f>
        <v>407.46234048615406</v>
      </c>
      <c r="I219" s="5"/>
    </row>
    <row r="220" spans="1:9" ht="11.4" x14ac:dyDescent="0.2">
      <c r="A220" s="48" t="s">
        <v>206</v>
      </c>
      <c r="B220" s="60" t="s">
        <v>808</v>
      </c>
      <c r="C220" s="49" t="s">
        <v>23</v>
      </c>
      <c r="D220" s="102">
        <f>iocosts!B181</f>
        <v>4</v>
      </c>
      <c r="E220" s="30">
        <f>$F$212*1000</f>
        <v>6268651.3920946773</v>
      </c>
      <c r="F220" s="24">
        <f>D220/100*E220/1000</f>
        <v>250.74605568378709</v>
      </c>
      <c r="I220" s="5"/>
    </row>
    <row r="221" spans="1:9" ht="11.4" x14ac:dyDescent="0.2">
      <c r="A221" s="50" t="s">
        <v>207</v>
      </c>
      <c r="B221" s="60" t="s">
        <v>809</v>
      </c>
      <c r="C221" s="49" t="s">
        <v>23</v>
      </c>
      <c r="D221" s="102">
        <f>iocosts!B182</f>
        <v>1</v>
      </c>
      <c r="E221" s="30">
        <f>$F$212*1000</f>
        <v>6268651.3920946773</v>
      </c>
      <c r="F221" s="24">
        <f t="shared" ref="F221:F222" si="26">D221/100*E221/1000</f>
        <v>62.686513920946773</v>
      </c>
      <c r="I221" s="5"/>
    </row>
    <row r="222" spans="1:9" ht="11.4" x14ac:dyDescent="0.2">
      <c r="A222" s="51" t="s">
        <v>208</v>
      </c>
      <c r="B222" s="60" t="s">
        <v>810</v>
      </c>
      <c r="C222" s="49" t="s">
        <v>23</v>
      </c>
      <c r="D222" s="102">
        <f>iocosts!B183</f>
        <v>1.5</v>
      </c>
      <c r="E222" s="30">
        <f>$F$212*1000</f>
        <v>6268651.3920946773</v>
      </c>
      <c r="F222" s="24">
        <f t="shared" si="26"/>
        <v>94.029770881420163</v>
      </c>
      <c r="I222" s="5"/>
    </row>
    <row r="223" spans="1:9" ht="11.4" x14ac:dyDescent="0.2">
      <c r="A223" s="20" t="s">
        <v>209</v>
      </c>
      <c r="B223" s="60" t="s">
        <v>811</v>
      </c>
      <c r="C223" s="21" t="s">
        <v>23</v>
      </c>
      <c r="D223" s="102">
        <f>iocosts!B184</f>
        <v>1.5</v>
      </c>
      <c r="E223" s="30">
        <f>$F$212*1000</f>
        <v>6268651.3920946773</v>
      </c>
      <c r="F223" s="24">
        <f>D223/100*E223/1000</f>
        <v>94.029770881420163</v>
      </c>
      <c r="I223" s="5"/>
    </row>
    <row r="224" spans="1:9" ht="11.4" x14ac:dyDescent="0.2">
      <c r="A224" s="20"/>
      <c r="B224" s="60" t="s">
        <v>812</v>
      </c>
      <c r="C224" s="21"/>
      <c r="D224" s="36"/>
      <c r="E224" s="30"/>
      <c r="F224" s="24">
        <f>SUM(F215,F218)</f>
        <v>752.2381670513613</v>
      </c>
      <c r="I224" s="5"/>
    </row>
    <row r="225" spans="1:9" ht="12" x14ac:dyDescent="0.2">
      <c r="A225" s="32" t="s">
        <v>210</v>
      </c>
      <c r="B225" s="61" t="s">
        <v>813</v>
      </c>
      <c r="C225" s="21" t="s">
        <v>23</v>
      </c>
      <c r="D225" s="98">
        <f>iocosts!B178</f>
        <v>10</v>
      </c>
      <c r="E225" s="30">
        <f>F224*1000</f>
        <v>752238.16705136129</v>
      </c>
      <c r="F225" s="24">
        <f>D225/100*E225/1000</f>
        <v>75.223816705136144</v>
      </c>
      <c r="I225" s="5"/>
    </row>
    <row r="226" spans="1:9" ht="11.4" x14ac:dyDescent="0.2">
      <c r="A226" s="20"/>
      <c r="B226" s="60"/>
      <c r="C226" s="21"/>
      <c r="D226" s="22"/>
      <c r="E226" s="30"/>
      <c r="F226" s="24"/>
      <c r="I226" s="5"/>
    </row>
    <row r="227" spans="1:9" ht="12" x14ac:dyDescent="0.2">
      <c r="A227" s="20"/>
      <c r="B227" s="61" t="s">
        <v>814</v>
      </c>
      <c r="C227" s="21"/>
      <c r="D227" s="22"/>
      <c r="E227" s="30"/>
      <c r="F227" s="24">
        <f>SUM(F212,F214)</f>
        <v>7096.1133758511751</v>
      </c>
      <c r="I227" s="5"/>
    </row>
    <row r="228" spans="1:9" ht="12" thickBot="1" x14ac:dyDescent="0.25">
      <c r="A228" s="47"/>
      <c r="B228" s="59"/>
      <c r="C228" s="38"/>
      <c r="D228" s="39"/>
      <c r="E228" s="40"/>
      <c r="F228" s="41"/>
      <c r="I228" s="5"/>
    </row>
    <row r="229" spans="1:9" ht="12" x14ac:dyDescent="0.2">
      <c r="A229" s="42" t="s">
        <v>211</v>
      </c>
      <c r="B229" s="18" t="s">
        <v>815</v>
      </c>
      <c r="C229" s="43" t="s">
        <v>23</v>
      </c>
      <c r="D229" s="145">
        <f>iocosts!B185</f>
        <v>12</v>
      </c>
      <c r="E229" s="45">
        <f>F227*1000</f>
        <v>7096113.3758511748</v>
      </c>
      <c r="F229" s="46">
        <f>D229/100*E229/1000</f>
        <v>851.53360510214088</v>
      </c>
      <c r="I229" s="5"/>
    </row>
    <row r="230" spans="1:9" ht="11.4" x14ac:dyDescent="0.2">
      <c r="A230" s="32"/>
      <c r="B230" s="60"/>
      <c r="C230" s="21"/>
      <c r="D230" s="22"/>
      <c r="E230" s="30"/>
      <c r="F230" s="24"/>
      <c r="I230" s="5"/>
    </row>
    <row r="231" spans="1:9" ht="12" x14ac:dyDescent="0.2">
      <c r="A231" s="20"/>
      <c r="B231" s="61" t="s">
        <v>816</v>
      </c>
      <c r="C231" s="43"/>
      <c r="D231" s="44"/>
      <c r="E231" s="45"/>
      <c r="F231" s="46">
        <f>SUM(F227,F229)</f>
        <v>7947.6469809533155</v>
      </c>
      <c r="I231" s="5"/>
    </row>
    <row r="232" spans="1:9" ht="11.4" x14ac:dyDescent="0.2">
      <c r="A232" s="20"/>
      <c r="B232" s="60" t="s">
        <v>817</v>
      </c>
      <c r="C232" s="21" t="s">
        <v>212</v>
      </c>
      <c r="D232" s="109">
        <f>iocosts!B2*1000</f>
        <v>100000</v>
      </c>
      <c r="E232" s="30"/>
      <c r="F232" s="24"/>
      <c r="I232" s="5"/>
    </row>
    <row r="233" spans="1:9" ht="12" thickBot="1" x14ac:dyDescent="0.25">
      <c r="A233" s="52"/>
      <c r="B233" s="56" t="s">
        <v>879</v>
      </c>
      <c r="C233" s="53"/>
      <c r="D233" s="54"/>
      <c r="E233" s="54"/>
      <c r="F233" s="55">
        <f>F231*1000/D232</f>
        <v>79.476469809533157</v>
      </c>
      <c r="I233" s="5"/>
    </row>
    <row r="234" spans="1:9" x14ac:dyDescent="0.2">
      <c r="F234" s="6"/>
      <c r="I234" s="5"/>
    </row>
    <row r="235" spans="1:9" x14ac:dyDescent="0.2">
      <c r="D235" s="116"/>
      <c r="I235" s="5"/>
    </row>
    <row r="236" spans="1:9" x14ac:dyDescent="0.2">
      <c r="F236" s="6"/>
      <c r="I236" s="5"/>
    </row>
    <row r="237" spans="1:9" x14ac:dyDescent="0.2">
      <c r="F237" s="6"/>
      <c r="I237" s="5"/>
    </row>
    <row r="238" spans="1:9" x14ac:dyDescent="0.2">
      <c r="F238" s="6"/>
      <c r="I238" s="5"/>
    </row>
    <row r="239" spans="1:9" x14ac:dyDescent="0.2">
      <c r="I239" s="5"/>
    </row>
  </sheetData>
  <autoFilter ref="A4:F233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iocosts</vt:lpstr>
      <vt:lpstr>unit_prices</vt:lpstr>
      <vt:lpstr>summary</vt:lpstr>
      <vt:lpstr>balance</vt:lpstr>
      <vt:lpstr>u_budget</vt:lpstr>
      <vt:lpstr>l_budget</vt:lpstr>
      <vt:lpstr>l_budget!Area_de_impressao</vt:lpstr>
      <vt:lpstr>u_budget!Area_de_impressao</vt:lpstr>
      <vt:lpstr>l_budget!Titulos_de_impressao</vt:lpstr>
      <vt:lpstr>u_budget!Titulos_de_impressao</vt:lpstr>
    </vt:vector>
  </TitlesOfParts>
  <Company>Hydros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Hydros</dc:creator>
  <cp:lastModifiedBy>Luiz Rodolpho Albuquerque</cp:lastModifiedBy>
  <cp:lastPrinted>2017-07-25T12:33:21Z</cp:lastPrinted>
  <dcterms:created xsi:type="dcterms:W3CDTF">2010-04-20T23:09:45Z</dcterms:created>
  <dcterms:modified xsi:type="dcterms:W3CDTF">2022-09-27T18:41:50Z</dcterms:modified>
</cp:coreProperties>
</file>