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4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drawings/drawing6.xml" ContentType="application/vnd.openxmlformats-officedocument.drawing+xml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dolpho\PSR\UHR\planilhas_io_uhr\v49_tentativo\"/>
    </mc:Choice>
  </mc:AlternateContent>
  <xr:revisionPtr revIDLastSave="0" documentId="13_ncr:1_{BCEC699C-A306-42F8-B1B2-9A8D3B283C73}" xr6:coauthVersionLast="47" xr6:coauthVersionMax="47" xr10:uidLastSave="{00000000-0000-0000-0000-000000000000}"/>
  <bookViews>
    <workbookView xWindow="-108" yWindow="-108" windowWidth="23256" windowHeight="12456" tabRatio="528" activeTab="3" xr2:uid="{00000000-000D-0000-FFFF-FFFF00000000}"/>
  </bookViews>
  <sheets>
    <sheet name="iohsrp2" sheetId="15" r:id="rId1"/>
    <sheet name="hsrp2rout" sheetId="3" r:id="rId2"/>
    <sheet name="hsrp2intk" sheetId="18" r:id="rId3"/>
    <sheet name="hsrp2tunl" sheetId="4" r:id="rId4"/>
    <sheet name="hsrp2stnk" sheetId="19" r:id="rId5"/>
    <sheet name="hsrp2pwh" sheetId="20" r:id="rId6"/>
    <sheet name="hsrp2new" sheetId="17" r:id="rId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0" i="4" l="1"/>
  <c r="D129" i="4"/>
  <c r="I125" i="15"/>
  <c r="I123" i="15"/>
  <c r="I121" i="15"/>
  <c r="I119" i="15"/>
  <c r="I116" i="15"/>
  <c r="I93" i="15"/>
  <c r="I89" i="15" l="1"/>
  <c r="I84" i="15"/>
  <c r="I79" i="15"/>
  <c r="I76" i="15"/>
  <c r="I71" i="15"/>
  <c r="I69" i="15"/>
  <c r="I67" i="15"/>
  <c r="I65" i="15"/>
  <c r="I62" i="15"/>
  <c r="J8" i="17"/>
  <c r="D185" i="20"/>
  <c r="N46" i="20"/>
  <c r="N45" i="20"/>
  <c r="N44" i="20" l="1"/>
  <c r="C31" i="20"/>
  <c r="C20" i="20" l="1"/>
  <c r="C16" i="20"/>
  <c r="C15" i="20"/>
  <c r="C14" i="20"/>
  <c r="C13" i="20"/>
  <c r="D44" i="20" s="1"/>
  <c r="C11" i="20"/>
  <c r="D68" i="20" s="1"/>
  <c r="J508" i="20"/>
  <c r="J497" i="20"/>
  <c r="J494" i="20"/>
  <c r="J493" i="20"/>
  <c r="L432" i="20"/>
  <c r="L395" i="20"/>
  <c r="H294" i="20"/>
  <c r="J294" i="20" s="1"/>
  <c r="F269" i="20"/>
  <c r="H251" i="20"/>
  <c r="H141" i="20"/>
  <c r="H140" i="20"/>
  <c r="D9" i="3"/>
  <c r="B11" i="15"/>
  <c r="B12" i="15" s="1"/>
  <c r="D10" i="3" l="1"/>
  <c r="E140" i="20"/>
  <c r="E239" i="20"/>
  <c r="D52" i="20"/>
  <c r="D48" i="20"/>
  <c r="F294" i="20"/>
  <c r="O343" i="20"/>
  <c r="G294" i="20"/>
  <c r="E161" i="20"/>
  <c r="E21" i="4"/>
  <c r="F45" i="4" s="1"/>
  <c r="E22" i="4"/>
  <c r="E23" i="4"/>
  <c r="E20" i="4"/>
  <c r="I46" i="15" l="1"/>
  <c r="G36" i="17"/>
  <c r="B14" i="19"/>
  <c r="H65" i="3"/>
  <c r="D61" i="20"/>
  <c r="D57" i="20"/>
  <c r="E84" i="20" s="1"/>
  <c r="H84" i="20" s="1"/>
  <c r="C522" i="20" s="1"/>
  <c r="B522" i="20" s="1"/>
  <c r="H8" i="19"/>
  <c r="H7" i="19"/>
  <c r="H6" i="19"/>
  <c r="D12" i="3"/>
  <c r="N47" i="20" l="1"/>
  <c r="L381" i="20"/>
  <c r="L291" i="20"/>
  <c r="B85" i="20"/>
  <c r="I87" i="20"/>
  <c r="I88" i="20" s="1"/>
  <c r="B39" i="15"/>
  <c r="H91" i="20" l="1"/>
  <c r="G100" i="20" s="1"/>
  <c r="E90" i="20"/>
  <c r="B91" i="20" s="1"/>
  <c r="I74" i="15" l="1"/>
  <c r="I77" i="15"/>
  <c r="N52" i="20"/>
  <c r="I42" i="15"/>
  <c r="F137" i="4"/>
  <c r="B100" i="20"/>
  <c r="B38" i="20"/>
  <c r="C521" i="20" s="1"/>
  <c r="B521" i="20" s="1"/>
  <c r="H495" i="20"/>
  <c r="H496" i="20"/>
  <c r="G102" i="20"/>
  <c r="H109" i="20" s="1"/>
  <c r="D106" i="20" s="1"/>
  <c r="H102" i="20"/>
  <c r="N54" i="20" l="1"/>
  <c r="N53" i="20"/>
  <c r="B10" i="17" s="1"/>
  <c r="C111" i="20"/>
  <c r="D372" i="20"/>
  <c r="D138" i="20"/>
  <c r="D457" i="20"/>
  <c r="B28" i="15"/>
  <c r="I6" i="17" l="1"/>
  <c r="I2" i="15"/>
  <c r="O353" i="20"/>
  <c r="D146" i="20"/>
  <c r="I539" i="20"/>
  <c r="J539" i="20" s="1"/>
  <c r="E128" i="20"/>
  <c r="D336" i="20"/>
  <c r="I90" i="15" s="1"/>
  <c r="E317" i="20"/>
  <c r="H128" i="20" l="1"/>
  <c r="C523" i="20" s="1"/>
  <c r="B523" i="20" s="1"/>
  <c r="B9" i="18"/>
  <c r="J477" i="20"/>
  <c r="C528" i="20"/>
  <c r="B528" i="20" s="1"/>
  <c r="G147" i="20"/>
  <c r="F146" i="20"/>
  <c r="C529" i="20"/>
  <c r="B529" i="20" s="1"/>
  <c r="J488" i="20"/>
  <c r="E134" i="20" l="1"/>
  <c r="D152" i="20" s="1"/>
  <c r="D116" i="20"/>
  <c r="E459" i="20"/>
  <c r="C21" i="20"/>
  <c r="E397" i="20"/>
  <c r="B110" i="17"/>
  <c r="D150" i="20" l="1"/>
  <c r="C163" i="20" s="1"/>
  <c r="C167" i="20" s="1"/>
  <c r="D455" i="20" s="1"/>
  <c r="B111" i="18"/>
  <c r="B13" i="19"/>
  <c r="B12" i="19"/>
  <c r="B8" i="18"/>
  <c r="B7" i="18"/>
  <c r="B6" i="18"/>
  <c r="B5" i="18"/>
  <c r="B40" i="18" s="1"/>
  <c r="B8" i="17"/>
  <c r="B7" i="17"/>
  <c r="B41" i="17" s="1"/>
  <c r="B6" i="17"/>
  <c r="B5" i="17"/>
  <c r="G7" i="17"/>
  <c r="E162" i="20" l="1"/>
  <c r="I538" i="20"/>
  <c r="J538" i="20" s="1"/>
  <c r="J542" i="20" s="1"/>
  <c r="C29" i="20" s="1"/>
  <c r="F343" i="20" s="1"/>
  <c r="E174" i="20"/>
  <c r="C172" i="20" s="1"/>
  <c r="D177" i="20" s="1"/>
  <c r="F181" i="20" s="1"/>
  <c r="D369" i="20"/>
  <c r="G365" i="20" s="1"/>
  <c r="F375" i="20" s="1"/>
  <c r="O344" i="20"/>
  <c r="O348" i="20" s="1"/>
  <c r="G35" i="17"/>
  <c r="E452" i="20"/>
  <c r="D431" i="20"/>
  <c r="C532" i="20" s="1"/>
  <c r="B532" i="20" s="1"/>
  <c r="G34" i="17"/>
  <c r="B39" i="17"/>
  <c r="B42" i="18"/>
  <c r="F345" i="20" l="1"/>
  <c r="I495" i="20" s="1"/>
  <c r="J495" i="20" s="1"/>
  <c r="O354" i="20"/>
  <c r="O357" i="20" s="1"/>
  <c r="O358" i="20" s="1"/>
  <c r="D395" i="20"/>
  <c r="C531" i="20" s="1"/>
  <c r="B531" i="20" s="1"/>
  <c r="I45" i="15"/>
  <c r="O347" i="20"/>
  <c r="I75" i="15"/>
  <c r="E189" i="20"/>
  <c r="D191" i="20" s="1"/>
  <c r="I44" i="15"/>
  <c r="C533" i="20"/>
  <c r="B533" i="20" s="1"/>
  <c r="F461" i="20"/>
  <c r="F463" i="20" s="1"/>
  <c r="C530" i="20"/>
  <c r="B530" i="20" s="1"/>
  <c r="F399" i="20"/>
  <c r="J5" i="3"/>
  <c r="J3" i="3"/>
  <c r="F401" i="20" l="1"/>
  <c r="I496" i="20" s="1"/>
  <c r="J496" i="20" s="1"/>
  <c r="J498" i="20" s="1"/>
  <c r="I499" i="20" s="1"/>
  <c r="J499" i="20" s="1"/>
  <c r="J492" i="20" s="1"/>
  <c r="P413" i="20"/>
  <c r="AB418" i="20" s="1"/>
  <c r="O359" i="20"/>
  <c r="I78" i="15" s="1"/>
  <c r="I43" i="15"/>
  <c r="I507" i="20"/>
  <c r="J507" i="20" s="1"/>
  <c r="D205" i="20"/>
  <c r="I57" i="15" s="1"/>
  <c r="D199" i="20"/>
  <c r="D197" i="20"/>
  <c r="D195" i="20"/>
  <c r="D193" i="20"/>
  <c r="I54" i="15" s="1"/>
  <c r="D203" i="20"/>
  <c r="I51" i="15" s="1"/>
  <c r="D207" i="20"/>
  <c r="D201" i="20"/>
  <c r="AB416" i="20"/>
  <c r="C9" i="4"/>
  <c r="C8" i="4"/>
  <c r="AB417" i="20" l="1"/>
  <c r="AB419" i="20"/>
  <c r="AB414" i="20"/>
  <c r="AB420" i="20"/>
  <c r="AB415" i="20"/>
  <c r="C22" i="20"/>
  <c r="D226" i="20" s="1"/>
  <c r="I50" i="15" s="1"/>
  <c r="I52" i="15" s="1"/>
  <c r="G10" i="17"/>
  <c r="I58" i="15"/>
  <c r="I59" i="15" s="1"/>
  <c r="I218" i="20"/>
  <c r="I56" i="15"/>
  <c r="D213" i="20"/>
  <c r="D222" i="20" s="1"/>
  <c r="I502" i="20"/>
  <c r="J502" i="20" s="1"/>
  <c r="I509" i="20"/>
  <c r="J509" i="20" s="1"/>
  <c r="J510" i="20" s="1"/>
  <c r="C255" i="20" l="1"/>
  <c r="D259" i="20" s="1"/>
  <c r="C527" i="20" s="1"/>
  <c r="B527" i="20" s="1"/>
  <c r="P414" i="20"/>
  <c r="X413" i="20" s="1"/>
  <c r="I83" i="15" s="1"/>
  <c r="H215" i="20"/>
  <c r="D216" i="20"/>
  <c r="I47" i="15" s="1"/>
  <c r="I215" i="20"/>
  <c r="I221" i="20"/>
  <c r="I49" i="15"/>
  <c r="H218" i="20"/>
  <c r="I48" i="15"/>
  <c r="H221" i="20"/>
  <c r="F236" i="20"/>
  <c r="H480" i="20" s="1"/>
  <c r="J480" i="20" s="1"/>
  <c r="D265" i="20"/>
  <c r="E277" i="20" s="1"/>
  <c r="J483" i="20" s="1"/>
  <c r="G247" i="20"/>
  <c r="D245" i="20" s="1"/>
  <c r="H481" i="20" s="1"/>
  <c r="J481" i="20" s="1"/>
  <c r="I511" i="20"/>
  <c r="J511" i="20" s="1"/>
  <c r="J506" i="20" s="1"/>
  <c r="J503" i="20"/>
  <c r="I504" i="20"/>
  <c r="J504" i="20" s="1"/>
  <c r="E58" i="3"/>
  <c r="O298" i="20" l="1"/>
  <c r="I97" i="15" s="1"/>
  <c r="F251" i="20"/>
  <c r="H293" i="20"/>
  <c r="F293" i="20" s="1"/>
  <c r="C524" i="20"/>
  <c r="B524" i="20" s="1"/>
  <c r="C525" i="20"/>
  <c r="B525" i="20" s="1"/>
  <c r="H295" i="20"/>
  <c r="J293" i="20"/>
  <c r="J501" i="20"/>
  <c r="I98" i="15" l="1"/>
  <c r="C526" i="20"/>
  <c r="B526" i="20" s="1"/>
  <c r="G293" i="20"/>
  <c r="H296" i="20"/>
  <c r="I96" i="15" s="1"/>
  <c r="H482" i="20"/>
  <c r="J482" i="20" s="1"/>
  <c r="J479" i="20" s="1"/>
  <c r="G295" i="20"/>
  <c r="G296" i="20" s="1"/>
  <c r="H487" i="20" s="1"/>
  <c r="J487" i="20" s="1"/>
  <c r="J295" i="20"/>
  <c r="J296" i="20" s="1"/>
  <c r="F295" i="20"/>
  <c r="F296" i="20" s="1"/>
  <c r="H485" i="20" s="1"/>
  <c r="J485" i="20" s="1"/>
  <c r="D298" i="20" l="1"/>
  <c r="I486" i="20" s="1"/>
  <c r="H486" i="20"/>
  <c r="J486" i="20" l="1"/>
  <c r="J484" i="20" s="1"/>
  <c r="J478" i="20" s="1"/>
  <c r="J489" i="20" s="1"/>
  <c r="I490" i="20" s="1"/>
  <c r="J490" i="20" s="1"/>
  <c r="J476" i="20" s="1"/>
  <c r="J513" i="20" s="1"/>
  <c r="D8" i="3"/>
  <c r="H73" i="3" s="1"/>
  <c r="D7" i="3"/>
  <c r="L131" i="15" l="1"/>
  <c r="M132" i="15" l="1"/>
  <c r="D13" i="3" l="1"/>
  <c r="K5" i="3" l="1"/>
  <c r="K3" i="3"/>
  <c r="E67" i="3" s="1"/>
  <c r="E40" i="3" l="1"/>
  <c r="D26" i="4" l="1"/>
  <c r="B16" i="19" s="1"/>
  <c r="E47" i="3" l="1"/>
  <c r="C7" i="4"/>
  <c r="C4" i="4"/>
  <c r="D6" i="3" l="1"/>
  <c r="D5" i="3"/>
  <c r="F123" i="4" l="1"/>
  <c r="N143" i="4"/>
  <c r="D14" i="3"/>
  <c r="E48" i="3"/>
  <c r="F108" i="4"/>
  <c r="F64" i="4"/>
  <c r="C25" i="3" l="1"/>
  <c r="C28" i="3" s="1"/>
  <c r="D15" i="3"/>
  <c r="F47" i="4"/>
  <c r="F46" i="4"/>
  <c r="F44" i="4" l="1"/>
  <c r="F54" i="4" l="1"/>
  <c r="E71" i="3" l="1"/>
  <c r="I7" i="15" s="1"/>
  <c r="F104" i="4"/>
  <c r="I33" i="15" l="1"/>
  <c r="E38" i="3" l="1"/>
  <c r="F36" i="4" s="1"/>
  <c r="J43" i="4" s="1"/>
  <c r="J63" i="4" s="1"/>
  <c r="B9" i="17" l="1"/>
  <c r="D16" i="3"/>
  <c r="E39" i="3" l="1"/>
  <c r="E37" i="3" s="1"/>
  <c r="D34" i="3" s="1"/>
  <c r="I3" i="15" s="1"/>
  <c r="B108" i="17"/>
  <c r="B73" i="17"/>
  <c r="I117" i="15" s="1"/>
  <c r="B10" i="18"/>
  <c r="B109" i="18" s="1"/>
  <c r="I19" i="15"/>
  <c r="E75" i="3" l="1"/>
  <c r="E66" i="3"/>
  <c r="E52" i="3"/>
  <c r="B74" i="18"/>
  <c r="B55" i="18"/>
  <c r="E65" i="3" l="1"/>
  <c r="D62" i="3" s="1"/>
  <c r="E73" i="3"/>
  <c r="G42" i="17" s="1"/>
  <c r="F43" i="4"/>
  <c r="D63" i="3"/>
  <c r="I5" i="15" s="1"/>
  <c r="E55" i="3"/>
  <c r="E53" i="3" s="1"/>
  <c r="E49" i="3" s="1"/>
  <c r="E46" i="3" s="1"/>
  <c r="D44" i="3" s="1"/>
  <c r="I4" i="15" s="1"/>
  <c r="E72" i="3"/>
  <c r="I6" i="15" s="1"/>
  <c r="G6" i="17" l="1"/>
  <c r="G19" i="17" s="1"/>
  <c r="G8" i="17" s="1"/>
  <c r="F40" i="4"/>
  <c r="F41" i="4"/>
  <c r="F39" i="4"/>
  <c r="F107" i="4"/>
  <c r="G33" i="17"/>
  <c r="G27" i="17"/>
  <c r="AA41" i="17" s="1"/>
  <c r="I8" i="15"/>
  <c r="B15" i="18"/>
  <c r="C5" i="4"/>
  <c r="C6" i="4"/>
  <c r="F60" i="4" s="1"/>
  <c r="F44" i="3"/>
  <c r="I38" i="15"/>
  <c r="I91" i="15" s="1"/>
  <c r="F155" i="4" l="1"/>
  <c r="J155" i="4"/>
  <c r="B6" i="19"/>
  <c r="Q6" i="19" s="1"/>
  <c r="P21" i="19" s="1"/>
  <c r="P23" i="19" s="1"/>
  <c r="P25" i="19" s="1"/>
  <c r="P27" i="19" s="1"/>
  <c r="P29" i="19" s="1"/>
  <c r="P31" i="19" s="1"/>
  <c r="P33" i="19" s="1"/>
  <c r="P35" i="19" s="1"/>
  <c r="P37" i="19" s="1"/>
  <c r="P39" i="19" s="1"/>
  <c r="P41" i="19" s="1"/>
  <c r="P43" i="19" s="1"/>
  <c r="P45" i="19" s="1"/>
  <c r="P47" i="19" s="1"/>
  <c r="P49" i="19" s="1"/>
  <c r="P51" i="19" s="1"/>
  <c r="P53" i="19" s="1"/>
  <c r="P55" i="19" s="1"/>
  <c r="P57" i="19" s="1"/>
  <c r="P59" i="19" s="1"/>
  <c r="P61" i="19" s="1"/>
  <c r="P63" i="19" s="1"/>
  <c r="P65" i="19" s="1"/>
  <c r="P67" i="19" s="1"/>
  <c r="P69" i="19" s="1"/>
  <c r="P71" i="19" s="1"/>
  <c r="P73" i="19" s="1"/>
  <c r="P75" i="19" s="1"/>
  <c r="P77" i="19" s="1"/>
  <c r="P79" i="19" s="1"/>
  <c r="P81" i="19" s="1"/>
  <c r="P83" i="19" s="1"/>
  <c r="P85" i="19" s="1"/>
  <c r="P87" i="19" s="1"/>
  <c r="P89" i="19" s="1"/>
  <c r="P91" i="19" s="1"/>
  <c r="P93" i="19" s="1"/>
  <c r="P95" i="19" s="1"/>
  <c r="P97" i="19" s="1"/>
  <c r="P99" i="19" s="1"/>
  <c r="P101" i="19" s="1"/>
  <c r="P103" i="19" s="1"/>
  <c r="P105" i="19" s="1"/>
  <c r="P107" i="19" s="1"/>
  <c r="P109" i="19" s="1"/>
  <c r="P111" i="19" s="1"/>
  <c r="P113" i="19" s="1"/>
  <c r="P115" i="19" s="1"/>
  <c r="P117" i="19" s="1"/>
  <c r="P119" i="19" s="1"/>
  <c r="P121" i="19" s="1"/>
  <c r="P123" i="19" s="1"/>
  <c r="P125" i="19" s="1"/>
  <c r="P127" i="19" s="1"/>
  <c r="P129" i="19" s="1"/>
  <c r="P131" i="19" s="1"/>
  <c r="P133" i="19" s="1"/>
  <c r="P135" i="19" s="1"/>
  <c r="P137" i="19" s="1"/>
  <c r="P139" i="19" s="1"/>
  <c r="P141" i="19" s="1"/>
  <c r="P143" i="19" s="1"/>
  <c r="P145" i="19" s="1"/>
  <c r="P147" i="19" s="1"/>
  <c r="P149" i="19" s="1"/>
  <c r="P151" i="19" s="1"/>
  <c r="P153" i="19" s="1"/>
  <c r="P155" i="19" s="1"/>
  <c r="P157" i="19" s="1"/>
  <c r="P159" i="19" s="1"/>
  <c r="P161" i="19" s="1"/>
  <c r="P163" i="19" s="1"/>
  <c r="P165" i="19" s="1"/>
  <c r="P167" i="19" s="1"/>
  <c r="P169" i="19" s="1"/>
  <c r="P171" i="19" s="1"/>
  <c r="P173" i="19" s="1"/>
  <c r="P175" i="19" s="1"/>
  <c r="P177" i="19" s="1"/>
  <c r="P179" i="19" s="1"/>
  <c r="P181" i="19" s="1"/>
  <c r="P183" i="19" s="1"/>
  <c r="P185" i="19" s="1"/>
  <c r="P187" i="19" s="1"/>
  <c r="P189" i="19" s="1"/>
  <c r="P191" i="19" s="1"/>
  <c r="P193" i="19" s="1"/>
  <c r="P195" i="19" s="1"/>
  <c r="P197" i="19" s="1"/>
  <c r="P199" i="19" s="1"/>
  <c r="P201" i="19" s="1"/>
  <c r="P203" i="19" s="1"/>
  <c r="P205" i="19" s="1"/>
  <c r="P207" i="19" s="1"/>
  <c r="P209" i="19" s="1"/>
  <c r="P211" i="19" s="1"/>
  <c r="P213" i="19" s="1"/>
  <c r="P215" i="19" s="1"/>
  <c r="P217" i="19" s="1"/>
  <c r="P219" i="19" s="1"/>
  <c r="P221" i="19" s="1"/>
  <c r="P223" i="19" s="1"/>
  <c r="P225" i="19" s="1"/>
  <c r="P227" i="19" s="1"/>
  <c r="P229" i="19" s="1"/>
  <c r="P231" i="19" s="1"/>
  <c r="P233" i="19" s="1"/>
  <c r="P235" i="19" s="1"/>
  <c r="P237" i="19" s="1"/>
  <c r="P239" i="19" s="1"/>
  <c r="P241" i="19" s="1"/>
  <c r="P243" i="19" s="1"/>
  <c r="P245" i="19" s="1"/>
  <c r="P247" i="19" s="1"/>
  <c r="P249" i="19" s="1"/>
  <c r="P251" i="19" s="1"/>
  <c r="P253" i="19" s="1"/>
  <c r="P255" i="19" s="1"/>
  <c r="P257" i="19" s="1"/>
  <c r="P259" i="19" s="1"/>
  <c r="P261" i="19" s="1"/>
  <c r="P263" i="19" s="1"/>
  <c r="P265" i="19" s="1"/>
  <c r="P267" i="19" s="1"/>
  <c r="P269" i="19" s="1"/>
  <c r="P271" i="19" s="1"/>
  <c r="P273" i="19" s="1"/>
  <c r="P275" i="19" s="1"/>
  <c r="P277" i="19" s="1"/>
  <c r="P279" i="19" s="1"/>
  <c r="P281" i="19" s="1"/>
  <c r="P283" i="19" s="1"/>
  <c r="P285" i="19" s="1"/>
  <c r="P287" i="19" s="1"/>
  <c r="P289" i="19" s="1"/>
  <c r="P291" i="19" s="1"/>
  <c r="P293" i="19" s="1"/>
  <c r="P295" i="19" s="1"/>
  <c r="P297" i="19" s="1"/>
  <c r="P299" i="19" s="1"/>
  <c r="P301" i="19" s="1"/>
  <c r="P303" i="19" s="1"/>
  <c r="P305" i="19" s="1"/>
  <c r="P307" i="19" s="1"/>
  <c r="P309" i="19" s="1"/>
  <c r="P311" i="19" s="1"/>
  <c r="P313" i="19" s="1"/>
  <c r="P315" i="19" s="1"/>
  <c r="P317" i="19" s="1"/>
  <c r="P319" i="19" s="1"/>
  <c r="P321" i="19" s="1"/>
  <c r="P323" i="19" s="1"/>
  <c r="P325" i="19" s="1"/>
  <c r="P327" i="19" s="1"/>
  <c r="P329" i="19" s="1"/>
  <c r="P331" i="19" s="1"/>
  <c r="P333" i="19" s="1"/>
  <c r="P335" i="19" s="1"/>
  <c r="P337" i="19" s="1"/>
  <c r="P339" i="19" s="1"/>
  <c r="P341" i="19" s="1"/>
  <c r="P343" i="19" s="1"/>
  <c r="P345" i="19" s="1"/>
  <c r="P347" i="19" s="1"/>
  <c r="P349" i="19" s="1"/>
  <c r="P351" i="19" s="1"/>
  <c r="P353" i="19" s="1"/>
  <c r="P355" i="19" s="1"/>
  <c r="P357" i="19" s="1"/>
  <c r="P359" i="19" s="1"/>
  <c r="P361" i="19" s="1"/>
  <c r="P363" i="19" s="1"/>
  <c r="P365" i="19" s="1"/>
  <c r="P367" i="19" s="1"/>
  <c r="P369" i="19" s="1"/>
  <c r="P371" i="19" s="1"/>
  <c r="P373" i="19" s="1"/>
  <c r="P375" i="19" s="1"/>
  <c r="P377" i="19" s="1"/>
  <c r="P379" i="19" s="1"/>
  <c r="P381" i="19" s="1"/>
  <c r="P383" i="19" s="1"/>
  <c r="P385" i="19" s="1"/>
  <c r="P387" i="19" s="1"/>
  <c r="P389" i="19" s="1"/>
  <c r="P391" i="19" s="1"/>
  <c r="P393" i="19" s="1"/>
  <c r="P395" i="19" s="1"/>
  <c r="P397" i="19" s="1"/>
  <c r="P399" i="19" s="1"/>
  <c r="P401" i="19" s="1"/>
  <c r="P403" i="19" s="1"/>
  <c r="P405" i="19" s="1"/>
  <c r="P407" i="19" s="1"/>
  <c r="P409" i="19" s="1"/>
  <c r="P411" i="19" s="1"/>
  <c r="P413" i="19" s="1"/>
  <c r="P415" i="19" s="1"/>
  <c r="P417" i="19" s="1"/>
  <c r="P419" i="19" s="1"/>
  <c r="P421" i="19" s="1"/>
  <c r="P423" i="19" s="1"/>
  <c r="P425" i="19" s="1"/>
  <c r="P427" i="19" s="1"/>
  <c r="P429" i="19" s="1"/>
  <c r="P431" i="19" s="1"/>
  <c r="P433" i="19" s="1"/>
  <c r="P435" i="19" s="1"/>
  <c r="P437" i="19" s="1"/>
  <c r="P439" i="19" s="1"/>
  <c r="P441" i="19" s="1"/>
  <c r="P443" i="19" s="1"/>
  <c r="P445" i="19" s="1"/>
  <c r="P447" i="19" s="1"/>
  <c r="P449" i="19" s="1"/>
  <c r="P451" i="19" s="1"/>
  <c r="P453" i="19" s="1"/>
  <c r="P455" i="19" s="1"/>
  <c r="P457" i="19" s="1"/>
  <c r="P459" i="19" s="1"/>
  <c r="P461" i="19" s="1"/>
  <c r="P463" i="19" s="1"/>
  <c r="P465" i="19" s="1"/>
  <c r="P467" i="19" s="1"/>
  <c r="P469" i="19" s="1"/>
  <c r="P471" i="19" s="1"/>
  <c r="P473" i="19" s="1"/>
  <c r="P475" i="19" s="1"/>
  <c r="P477" i="19" s="1"/>
  <c r="P479" i="19" s="1"/>
  <c r="P481" i="19" s="1"/>
  <c r="P483" i="19" s="1"/>
  <c r="P485" i="19" s="1"/>
  <c r="P487" i="19" s="1"/>
  <c r="P489" i="19" s="1"/>
  <c r="P491" i="19" s="1"/>
  <c r="P493" i="19" s="1"/>
  <c r="P495" i="19" s="1"/>
  <c r="P497" i="19" s="1"/>
  <c r="P499" i="19" s="1"/>
  <c r="P501" i="19" s="1"/>
  <c r="P503" i="19" s="1"/>
  <c r="P505" i="19" s="1"/>
  <c r="P507" i="19" s="1"/>
  <c r="P509" i="19" s="1"/>
  <c r="P511" i="19" s="1"/>
  <c r="P513" i="19" s="1"/>
  <c r="P515" i="19" s="1"/>
  <c r="P517" i="19" s="1"/>
  <c r="P519" i="19" s="1"/>
  <c r="P521" i="19" s="1"/>
  <c r="P523" i="19" s="1"/>
  <c r="P525" i="19" s="1"/>
  <c r="P527" i="19" s="1"/>
  <c r="P529" i="19" s="1"/>
  <c r="P531" i="19" s="1"/>
  <c r="P533" i="19" s="1"/>
  <c r="P535" i="19" s="1"/>
  <c r="P537" i="19" s="1"/>
  <c r="P539" i="19" s="1"/>
  <c r="P541" i="19" s="1"/>
  <c r="P543" i="19" s="1"/>
  <c r="P545" i="19" s="1"/>
  <c r="P547" i="19" s="1"/>
  <c r="P549" i="19" s="1"/>
  <c r="P551" i="19" s="1"/>
  <c r="P553" i="19" s="1"/>
  <c r="P555" i="19" s="1"/>
  <c r="P557" i="19" s="1"/>
  <c r="P559" i="19" s="1"/>
  <c r="P561" i="19" s="1"/>
  <c r="P563" i="19" s="1"/>
  <c r="P565" i="19" s="1"/>
  <c r="P567" i="19" s="1"/>
  <c r="P569" i="19" s="1"/>
  <c r="P571" i="19" s="1"/>
  <c r="P573" i="19" s="1"/>
  <c r="P575" i="19" s="1"/>
  <c r="P577" i="19" s="1"/>
  <c r="P579" i="19" s="1"/>
  <c r="P581" i="19" s="1"/>
  <c r="P583" i="19" s="1"/>
  <c r="P585" i="19" s="1"/>
  <c r="P587" i="19" s="1"/>
  <c r="P589" i="19" s="1"/>
  <c r="P591" i="19" s="1"/>
  <c r="P593" i="19" s="1"/>
  <c r="P595" i="19" s="1"/>
  <c r="P597" i="19" s="1"/>
  <c r="P599" i="19" s="1"/>
  <c r="P601" i="19" s="1"/>
  <c r="P603" i="19" s="1"/>
  <c r="P605" i="19" s="1"/>
  <c r="P607" i="19" s="1"/>
  <c r="P609" i="19" s="1"/>
  <c r="P611" i="19" s="1"/>
  <c r="P613" i="19" s="1"/>
  <c r="P615" i="19" s="1"/>
  <c r="P617" i="19" s="1"/>
  <c r="P619" i="19" s="1"/>
  <c r="P621" i="19" s="1"/>
  <c r="P623" i="19" s="1"/>
  <c r="P625" i="19" s="1"/>
  <c r="P627" i="19" s="1"/>
  <c r="P629" i="19" s="1"/>
  <c r="P631" i="19" s="1"/>
  <c r="P633" i="19" s="1"/>
  <c r="P635" i="19" s="1"/>
  <c r="P637" i="19" s="1"/>
  <c r="P639" i="19" s="1"/>
  <c r="P641" i="19" s="1"/>
  <c r="P643" i="19" s="1"/>
  <c r="P645" i="19" s="1"/>
  <c r="P647" i="19" s="1"/>
  <c r="P649" i="19" s="1"/>
  <c r="P651" i="19" s="1"/>
  <c r="P653" i="19" s="1"/>
  <c r="P655" i="19" s="1"/>
  <c r="P657" i="19" s="1"/>
  <c r="P659" i="19" s="1"/>
  <c r="P661" i="19" s="1"/>
  <c r="P663" i="19" s="1"/>
  <c r="P665" i="19" s="1"/>
  <c r="P667" i="19" s="1"/>
  <c r="P669" i="19" s="1"/>
  <c r="P671" i="19" s="1"/>
  <c r="P673" i="19" s="1"/>
  <c r="P675" i="19" s="1"/>
  <c r="P677" i="19" s="1"/>
  <c r="P679" i="19" s="1"/>
  <c r="P681" i="19" s="1"/>
  <c r="P683" i="19" s="1"/>
  <c r="P685" i="19" s="1"/>
  <c r="P687" i="19" s="1"/>
  <c r="P689" i="19" s="1"/>
  <c r="P691" i="19" s="1"/>
  <c r="B128" i="18"/>
  <c r="B127" i="17" l="1"/>
  <c r="I63" i="15" l="1"/>
  <c r="I60" i="15"/>
  <c r="F35" i="4" l="1"/>
  <c r="I20" i="15" l="1"/>
  <c r="I22" i="15" l="1"/>
  <c r="I21" i="15"/>
  <c r="I31" i="15" l="1"/>
  <c r="B20" i="19" l="1"/>
  <c r="Q13" i="19" l="1"/>
  <c r="H55" i="3"/>
  <c r="I101" i="15" l="1"/>
  <c r="I8" i="17" l="1"/>
  <c r="G29" i="17" l="1"/>
  <c r="G20" i="17"/>
  <c r="B11" i="17"/>
  <c r="V32" i="17" l="1"/>
  <c r="AC41" i="17"/>
  <c r="I99" i="15"/>
  <c r="B23" i="17"/>
  <c r="G30" i="17"/>
  <c r="G43" i="17" s="1"/>
  <c r="B16" i="17"/>
  <c r="B17" i="17" s="1"/>
  <c r="B18" i="17" s="1"/>
  <c r="B45" i="17" l="1"/>
  <c r="B63" i="17" s="1"/>
  <c r="B24" i="17"/>
  <c r="I108" i="15" s="1"/>
  <c r="B27" i="17"/>
  <c r="B30" i="17"/>
  <c r="I107" i="15"/>
  <c r="B19" i="17"/>
  <c r="G31" i="17" s="1"/>
  <c r="I113" i="15"/>
  <c r="B25" i="17" l="1"/>
  <c r="B112" i="17"/>
  <c r="B113" i="17" s="1"/>
  <c r="I122" i="15" s="1"/>
  <c r="B84" i="17"/>
  <c r="B46" i="17"/>
  <c r="B59" i="17" s="1"/>
  <c r="B57" i="17" s="1"/>
  <c r="B43" i="17" l="1"/>
  <c r="B61" i="17" s="1"/>
  <c r="B66" i="17" s="1"/>
  <c r="G9" i="17"/>
  <c r="G37" i="17"/>
  <c r="I109" i="15"/>
  <c r="B29" i="17"/>
  <c r="I112" i="15" s="1"/>
  <c r="B75" i="17"/>
  <c r="B80" i="17"/>
  <c r="B125" i="17"/>
  <c r="B115" i="17" l="1"/>
  <c r="B124" i="17" s="1"/>
  <c r="B78" i="17"/>
  <c r="B82" i="17"/>
  <c r="B48" i="17"/>
  <c r="B103" i="17" s="1"/>
  <c r="B104" i="17" s="1"/>
  <c r="B105" i="17" s="1"/>
  <c r="I102" i="15"/>
  <c r="B81" i="17"/>
  <c r="B87" i="17" s="1"/>
  <c r="B32" i="17"/>
  <c r="G5" i="17" s="1"/>
  <c r="I21" i="17" s="1"/>
  <c r="J152" i="4" s="1"/>
  <c r="B96" i="17"/>
  <c r="I115" i="15"/>
  <c r="B65" i="17"/>
  <c r="I124" i="15" s="1"/>
  <c r="B90" i="17" l="1"/>
  <c r="B91" i="17" s="1"/>
  <c r="D87" i="17" s="1"/>
  <c r="B86" i="17"/>
  <c r="B68" i="17"/>
  <c r="B69" i="17" s="1"/>
  <c r="D66" i="17" s="1"/>
  <c r="Z26" i="17"/>
  <c r="B88" i="17"/>
  <c r="P94" i="17" s="1"/>
  <c r="I118" i="15"/>
  <c r="G11" i="17"/>
  <c r="I111" i="15"/>
  <c r="I100" i="15"/>
  <c r="G28" i="17"/>
  <c r="G21" i="17"/>
  <c r="G18" i="17"/>
  <c r="G32" i="17" l="1"/>
  <c r="Y41" i="17" s="1"/>
  <c r="F152" i="4"/>
  <c r="B92" i="17"/>
  <c r="B70" i="17"/>
  <c r="V28" i="17"/>
  <c r="U43" i="17" s="1"/>
  <c r="U45" i="17" s="1"/>
  <c r="U47" i="17" s="1"/>
  <c r="U49" i="17" s="1"/>
  <c r="U51" i="17" s="1"/>
  <c r="U53" i="17" s="1"/>
  <c r="U55" i="17" s="1"/>
  <c r="U57" i="17" s="1"/>
  <c r="U59" i="17" s="1"/>
  <c r="U61" i="17" s="1"/>
  <c r="U63" i="17" s="1"/>
  <c r="U65" i="17" s="1"/>
  <c r="U67" i="17" s="1"/>
  <c r="U69" i="17" s="1"/>
  <c r="U71" i="17" s="1"/>
  <c r="U73" i="17" s="1"/>
  <c r="U75" i="17" s="1"/>
  <c r="U77" i="17" s="1"/>
  <c r="U79" i="17" s="1"/>
  <c r="U81" i="17" s="1"/>
  <c r="U83" i="17" s="1"/>
  <c r="U85" i="17" s="1"/>
  <c r="U87" i="17" s="1"/>
  <c r="U89" i="17" s="1"/>
  <c r="U91" i="17" s="1"/>
  <c r="U93" i="17" s="1"/>
  <c r="U95" i="17" s="1"/>
  <c r="U97" i="17" s="1"/>
  <c r="U99" i="17" s="1"/>
  <c r="U101" i="17" s="1"/>
  <c r="U103" i="17" s="1"/>
  <c r="U105" i="17" s="1"/>
  <c r="U107" i="17" s="1"/>
  <c r="U109" i="17" s="1"/>
  <c r="U111" i="17" s="1"/>
  <c r="U113" i="17" s="1"/>
  <c r="U115" i="17" s="1"/>
  <c r="U117" i="17" s="1"/>
  <c r="U119" i="17" s="1"/>
  <c r="U121" i="17" s="1"/>
  <c r="U123" i="17" s="1"/>
  <c r="U125" i="17" s="1"/>
  <c r="U127" i="17" s="1"/>
  <c r="U129" i="17" s="1"/>
  <c r="U131" i="17" s="1"/>
  <c r="U133" i="17" s="1"/>
  <c r="U135" i="17" s="1"/>
  <c r="U137" i="17" s="1"/>
  <c r="U139" i="17" s="1"/>
  <c r="U141" i="17" s="1"/>
  <c r="U143" i="17" s="1"/>
  <c r="U145" i="17" s="1"/>
  <c r="U147" i="17" s="1"/>
  <c r="U149" i="17" s="1"/>
  <c r="U151" i="17" s="1"/>
  <c r="U153" i="17" s="1"/>
  <c r="U155" i="17" s="1"/>
  <c r="U157" i="17" s="1"/>
  <c r="U159" i="17" s="1"/>
  <c r="U161" i="17" s="1"/>
  <c r="U163" i="17" s="1"/>
  <c r="U165" i="17" s="1"/>
  <c r="U167" i="17" s="1"/>
  <c r="U169" i="17" s="1"/>
  <c r="U171" i="17" s="1"/>
  <c r="U173" i="17" s="1"/>
  <c r="U175" i="17" s="1"/>
  <c r="U177" i="17" s="1"/>
  <c r="U179" i="17" s="1"/>
  <c r="U181" i="17" s="1"/>
  <c r="U183" i="17" s="1"/>
  <c r="U185" i="17" s="1"/>
  <c r="U187" i="17" s="1"/>
  <c r="U189" i="17" s="1"/>
  <c r="U191" i="17" s="1"/>
  <c r="U193" i="17" s="1"/>
  <c r="U195" i="17" s="1"/>
  <c r="U197" i="17" s="1"/>
  <c r="U199" i="17" s="1"/>
  <c r="U201" i="17" s="1"/>
  <c r="U203" i="17" s="1"/>
  <c r="U205" i="17" s="1"/>
  <c r="U207" i="17" s="1"/>
  <c r="U209" i="17" s="1"/>
  <c r="U211" i="17" s="1"/>
  <c r="U213" i="17" s="1"/>
  <c r="U215" i="17" s="1"/>
  <c r="U217" i="17" s="1"/>
  <c r="U219" i="17" s="1"/>
  <c r="U221" i="17" s="1"/>
  <c r="U223" i="17" s="1"/>
  <c r="U225" i="17" s="1"/>
  <c r="U227" i="17" s="1"/>
  <c r="U229" i="17" s="1"/>
  <c r="U231" i="17" s="1"/>
  <c r="U233" i="17" s="1"/>
  <c r="U235" i="17" s="1"/>
  <c r="U237" i="17" s="1"/>
  <c r="U239" i="17" s="1"/>
  <c r="U241" i="17" s="1"/>
  <c r="U243" i="17" s="1"/>
  <c r="U245" i="17" s="1"/>
  <c r="U247" i="17" s="1"/>
  <c r="U249" i="17" s="1"/>
  <c r="U251" i="17" s="1"/>
  <c r="U253" i="17" s="1"/>
  <c r="U255" i="17" s="1"/>
  <c r="U257" i="17" s="1"/>
  <c r="U259" i="17" s="1"/>
  <c r="U261" i="17" s="1"/>
  <c r="U263" i="17" s="1"/>
  <c r="U265" i="17" s="1"/>
  <c r="U267" i="17" s="1"/>
  <c r="U269" i="17" s="1"/>
  <c r="U271" i="17" s="1"/>
  <c r="U273" i="17" s="1"/>
  <c r="U275" i="17" s="1"/>
  <c r="U277" i="17" s="1"/>
  <c r="U279" i="17" s="1"/>
  <c r="U281" i="17" s="1"/>
  <c r="U283" i="17" s="1"/>
  <c r="U285" i="17" s="1"/>
  <c r="U287" i="17" s="1"/>
  <c r="U289" i="17" s="1"/>
  <c r="U291" i="17" s="1"/>
  <c r="U293" i="17" s="1"/>
  <c r="U295" i="17" s="1"/>
  <c r="U297" i="17" s="1"/>
  <c r="U299" i="17" s="1"/>
  <c r="U301" i="17" s="1"/>
  <c r="U303" i="17" s="1"/>
  <c r="U305" i="17" s="1"/>
  <c r="U307" i="17" s="1"/>
  <c r="U309" i="17" s="1"/>
  <c r="U311" i="17" s="1"/>
  <c r="U313" i="17" s="1"/>
  <c r="U315" i="17" s="1"/>
  <c r="U317" i="17" s="1"/>
  <c r="U319" i="17" s="1"/>
  <c r="U321" i="17" s="1"/>
  <c r="U323" i="17" s="1"/>
  <c r="U325" i="17" s="1"/>
  <c r="U327" i="17" s="1"/>
  <c r="U329" i="17" s="1"/>
  <c r="U331" i="17" s="1"/>
  <c r="U333" i="17" s="1"/>
  <c r="U335" i="17" s="1"/>
  <c r="U337" i="17" s="1"/>
  <c r="U339" i="17" s="1"/>
  <c r="U341" i="17" s="1"/>
  <c r="U343" i="17" s="1"/>
  <c r="U345" i="17" s="1"/>
  <c r="U347" i="17" s="1"/>
  <c r="U349" i="17" s="1"/>
  <c r="U351" i="17" s="1"/>
  <c r="U353" i="17" s="1"/>
  <c r="U355" i="17" s="1"/>
  <c r="U357" i="17" s="1"/>
  <c r="U359" i="17" s="1"/>
  <c r="U361" i="17" s="1"/>
  <c r="U363" i="17" s="1"/>
  <c r="U365" i="17" s="1"/>
  <c r="U367" i="17" s="1"/>
  <c r="U369" i="17" s="1"/>
  <c r="U371" i="17" s="1"/>
  <c r="U373" i="17" s="1"/>
  <c r="U375" i="17" s="1"/>
  <c r="U377" i="17" s="1"/>
  <c r="U379" i="17" s="1"/>
  <c r="U381" i="17" s="1"/>
  <c r="U383" i="17" s="1"/>
  <c r="U385" i="17" s="1"/>
  <c r="U387" i="17" s="1"/>
  <c r="U389" i="17" s="1"/>
  <c r="U391" i="17" s="1"/>
  <c r="U393" i="17" s="1"/>
  <c r="U395" i="17" s="1"/>
  <c r="U397" i="17" s="1"/>
  <c r="U399" i="17" s="1"/>
  <c r="U401" i="17" s="1"/>
  <c r="U403" i="17" s="1"/>
  <c r="U405" i="17" s="1"/>
  <c r="U407" i="17" s="1"/>
  <c r="U409" i="17" s="1"/>
  <c r="U411" i="17" s="1"/>
  <c r="U413" i="17" s="1"/>
  <c r="U415" i="17" s="1"/>
  <c r="U417" i="17" s="1"/>
  <c r="U419" i="17" s="1"/>
  <c r="U421" i="17" s="1"/>
  <c r="U423" i="17" s="1"/>
  <c r="U425" i="17" s="1"/>
  <c r="U427" i="17" s="1"/>
  <c r="U429" i="17" s="1"/>
  <c r="U431" i="17" s="1"/>
  <c r="U433" i="17" s="1"/>
  <c r="U435" i="17" s="1"/>
  <c r="U437" i="17" s="1"/>
  <c r="U439" i="17" s="1"/>
  <c r="U441" i="17" s="1"/>
  <c r="U443" i="17" s="1"/>
  <c r="U445" i="17" s="1"/>
  <c r="U447" i="17" s="1"/>
  <c r="U449" i="17" s="1"/>
  <c r="U451" i="17" s="1"/>
  <c r="U453" i="17" s="1"/>
  <c r="U455" i="17" s="1"/>
  <c r="U457" i="17" s="1"/>
  <c r="U459" i="17" s="1"/>
  <c r="U461" i="17" s="1"/>
  <c r="U463" i="17" s="1"/>
  <c r="U465" i="17" s="1"/>
  <c r="U467" i="17" s="1"/>
  <c r="U469" i="17" s="1"/>
  <c r="U471" i="17" s="1"/>
  <c r="U473" i="17" s="1"/>
  <c r="U475" i="17" s="1"/>
  <c r="U477" i="17" s="1"/>
  <c r="U479" i="17" s="1"/>
  <c r="U481" i="17" s="1"/>
  <c r="U483" i="17" s="1"/>
  <c r="U485" i="17" s="1"/>
  <c r="U487" i="17" s="1"/>
  <c r="U489" i="17" s="1"/>
  <c r="U491" i="17" s="1"/>
  <c r="U493" i="17" s="1"/>
  <c r="U495" i="17" s="1"/>
  <c r="U497" i="17" s="1"/>
  <c r="U499" i="17" s="1"/>
  <c r="U501" i="17" s="1"/>
  <c r="U503" i="17" s="1"/>
  <c r="U505" i="17" s="1"/>
  <c r="U507" i="17" s="1"/>
  <c r="U509" i="17" s="1"/>
  <c r="U511" i="17" s="1"/>
  <c r="U513" i="17" s="1"/>
  <c r="U515" i="17" s="1"/>
  <c r="U517" i="17" s="1"/>
  <c r="U519" i="17" s="1"/>
  <c r="U521" i="17" s="1"/>
  <c r="U523" i="17" s="1"/>
  <c r="U525" i="17" s="1"/>
  <c r="U527" i="17" s="1"/>
  <c r="U529" i="17" s="1"/>
  <c r="U531" i="17" s="1"/>
  <c r="U533" i="17" s="1"/>
  <c r="U535" i="17" s="1"/>
  <c r="U537" i="17" s="1"/>
  <c r="U539" i="17" s="1"/>
  <c r="U541" i="17" s="1"/>
  <c r="U543" i="17" s="1"/>
  <c r="U545" i="17" s="1"/>
  <c r="U547" i="17" s="1"/>
  <c r="U549" i="17" s="1"/>
  <c r="U551" i="17" s="1"/>
  <c r="U553" i="17" s="1"/>
  <c r="U555" i="17" s="1"/>
  <c r="U557" i="17" s="1"/>
  <c r="U559" i="17" s="1"/>
  <c r="U561" i="17" s="1"/>
  <c r="U563" i="17" s="1"/>
  <c r="U565" i="17" s="1"/>
  <c r="U567" i="17" s="1"/>
  <c r="U569" i="17" s="1"/>
  <c r="U571" i="17" s="1"/>
  <c r="U573" i="17" s="1"/>
  <c r="U575" i="17" s="1"/>
  <c r="U577" i="17" s="1"/>
  <c r="U579" i="17" s="1"/>
  <c r="U581" i="17" s="1"/>
  <c r="U583" i="17" s="1"/>
  <c r="U585" i="17" s="1"/>
  <c r="U587" i="17" s="1"/>
  <c r="U589" i="17" s="1"/>
  <c r="U591" i="17" s="1"/>
  <c r="U593" i="17" s="1"/>
  <c r="U595" i="17" s="1"/>
  <c r="U597" i="17" s="1"/>
  <c r="U599" i="17" s="1"/>
  <c r="U601" i="17" s="1"/>
  <c r="U603" i="17" s="1"/>
  <c r="U605" i="17" s="1"/>
  <c r="U607" i="17" s="1"/>
  <c r="U609" i="17" s="1"/>
  <c r="U611" i="17" s="1"/>
  <c r="U613" i="17" s="1"/>
  <c r="U615" i="17" s="1"/>
  <c r="U617" i="17" s="1"/>
  <c r="U619" i="17" s="1"/>
  <c r="U621" i="17" s="1"/>
  <c r="U623" i="17" s="1"/>
  <c r="U625" i="17" s="1"/>
  <c r="U627" i="17" s="1"/>
  <c r="U629" i="17" s="1"/>
  <c r="U631" i="17" s="1"/>
  <c r="U633" i="17" s="1"/>
  <c r="U635" i="17" s="1"/>
  <c r="U637" i="17" s="1"/>
  <c r="U639" i="17" s="1"/>
  <c r="U641" i="17" s="1"/>
  <c r="U643" i="17" s="1"/>
  <c r="U645" i="17" s="1"/>
  <c r="U647" i="17" s="1"/>
  <c r="U649" i="17" s="1"/>
  <c r="U651" i="17" s="1"/>
  <c r="U653" i="17" s="1"/>
  <c r="U655" i="17" s="1"/>
  <c r="U657" i="17" s="1"/>
  <c r="U659" i="17" s="1"/>
  <c r="U661" i="17" s="1"/>
  <c r="U663" i="17" s="1"/>
  <c r="U665" i="17" s="1"/>
  <c r="U667" i="17" s="1"/>
  <c r="U669" i="17" s="1"/>
  <c r="U671" i="17" s="1"/>
  <c r="U673" i="17" s="1"/>
  <c r="U675" i="17" s="1"/>
  <c r="U677" i="17" s="1"/>
  <c r="U679" i="17" s="1"/>
  <c r="U681" i="17" s="1"/>
  <c r="U683" i="17" s="1"/>
  <c r="U685" i="17" s="1"/>
  <c r="U687" i="17" s="1"/>
  <c r="U689" i="17" s="1"/>
  <c r="U691" i="17" s="1"/>
  <c r="U693" i="17" s="1"/>
  <c r="U695" i="17" s="1"/>
  <c r="U697" i="17" s="1"/>
  <c r="U699" i="17" s="1"/>
  <c r="U701" i="17" s="1"/>
  <c r="U703" i="17" s="1"/>
  <c r="U705" i="17" s="1"/>
  <c r="U707" i="17" s="1"/>
  <c r="U709" i="17" s="1"/>
  <c r="U711" i="17" s="1"/>
  <c r="U713" i="17" s="1"/>
  <c r="G41" i="17"/>
  <c r="O44" i="17"/>
  <c r="W41" i="17"/>
  <c r="P95" i="17"/>
  <c r="M92" i="17"/>
  <c r="P96" i="17"/>
  <c r="P98" i="17"/>
  <c r="M88" i="17"/>
  <c r="P97" i="17"/>
  <c r="M94" i="17"/>
  <c r="P89" i="17"/>
  <c r="M89" i="17"/>
  <c r="P88" i="17"/>
  <c r="P92" i="17"/>
  <c r="P90" i="17"/>
  <c r="M91" i="17"/>
  <c r="M90" i="17"/>
  <c r="P93" i="17"/>
  <c r="B101" i="17" s="1"/>
  <c r="M93" i="17"/>
  <c r="P91" i="17"/>
  <c r="Z24" i="17"/>
  <c r="G44" i="17" l="1"/>
  <c r="G45" i="17"/>
  <c r="I105" i="15" s="1"/>
  <c r="V30" i="17"/>
  <c r="B100" i="17"/>
  <c r="I120" i="15" s="1"/>
  <c r="V35" i="17"/>
  <c r="V34" i="17"/>
  <c r="F63" i="4"/>
  <c r="F62" i="4" s="1"/>
  <c r="J65" i="4" s="1"/>
  <c r="F38" i="4"/>
  <c r="J48" i="4" s="1"/>
  <c r="J109" i="4" l="1"/>
  <c r="J140" i="4" s="1"/>
  <c r="N107" i="4"/>
  <c r="J75" i="4"/>
  <c r="J74" i="4"/>
  <c r="B16" i="18"/>
  <c r="B17" i="18" s="1"/>
  <c r="F134" i="4"/>
  <c r="N106" i="4"/>
  <c r="H38" i="3"/>
  <c r="F111" i="4"/>
  <c r="C17" i="4" s="1"/>
  <c r="F117" i="4"/>
  <c r="B8" i="19"/>
  <c r="I23" i="15"/>
  <c r="F109" i="4"/>
  <c r="F136" i="4" s="1"/>
  <c r="F48" i="4"/>
  <c r="J116" i="4" l="1"/>
  <c r="J117" i="4"/>
  <c r="N142" i="4"/>
  <c r="N137" i="4"/>
  <c r="J141" i="4"/>
  <c r="F141" i="4"/>
  <c r="B7" i="19"/>
  <c r="U2" i="19"/>
  <c r="N136" i="4"/>
  <c r="F144" i="4" s="1"/>
  <c r="I39" i="15"/>
  <c r="I53" i="15" s="1"/>
  <c r="N105" i="4"/>
  <c r="I35" i="15" s="1"/>
  <c r="B24" i="18"/>
  <c r="C16" i="4"/>
  <c r="I36" i="15" s="1"/>
  <c r="I37" i="15"/>
  <c r="F140" i="4"/>
  <c r="F56" i="4"/>
  <c r="F65" i="4"/>
  <c r="F116" i="4" s="1"/>
  <c r="F120" i="4" s="1"/>
  <c r="F75" i="4"/>
  <c r="B5" i="19"/>
  <c r="F74" i="4"/>
  <c r="I40" i="15"/>
  <c r="J120" i="4" l="1"/>
  <c r="O145" i="4"/>
  <c r="I92" i="15" s="1"/>
  <c r="O146" i="4"/>
  <c r="F145" i="4"/>
  <c r="F147" i="4" s="1"/>
  <c r="J145" i="4"/>
  <c r="J144" i="4"/>
  <c r="J81" i="4"/>
  <c r="J79" i="4"/>
  <c r="J86" i="4"/>
  <c r="J80" i="4"/>
  <c r="J85" i="4"/>
  <c r="J92" i="4"/>
  <c r="J91" i="4"/>
  <c r="J87" i="4"/>
  <c r="J93" i="4"/>
  <c r="I21" i="19"/>
  <c r="B11" i="19"/>
  <c r="V19" i="19"/>
  <c r="X19" i="19" s="1"/>
  <c r="Q10" i="19"/>
  <c r="N135" i="4"/>
  <c r="N139" i="4" s="1"/>
  <c r="N109" i="4"/>
  <c r="I30" i="15"/>
  <c r="F79" i="4"/>
  <c r="B25" i="18"/>
  <c r="B28" i="18"/>
  <c r="B113" i="18" s="1"/>
  <c r="B114" i="18" s="1"/>
  <c r="F80" i="4"/>
  <c r="F91" i="4"/>
  <c r="F86" i="4"/>
  <c r="B46" i="18"/>
  <c r="I12" i="15"/>
  <c r="F81" i="4"/>
  <c r="F92" i="4"/>
  <c r="F87" i="4"/>
  <c r="B18" i="18"/>
  <c r="B20" i="18"/>
  <c r="B9" i="19"/>
  <c r="F93" i="4"/>
  <c r="F85" i="4"/>
  <c r="J147" i="4" l="1"/>
  <c r="O151" i="4"/>
  <c r="U4" i="19"/>
  <c r="R19" i="19"/>
  <c r="I41" i="15"/>
  <c r="I73" i="15"/>
  <c r="B31" i="18"/>
  <c r="B32" i="18" s="1"/>
  <c r="I11" i="15"/>
  <c r="G6" i="19"/>
  <c r="B10" i="19" s="1"/>
  <c r="H48" i="3" s="1"/>
  <c r="G8" i="19"/>
  <c r="G7" i="19"/>
  <c r="B47" i="18"/>
  <c r="I13" i="15"/>
  <c r="B85" i="18"/>
  <c r="B64" i="18"/>
  <c r="H37" i="3"/>
  <c r="B19" i="18"/>
  <c r="B26" i="18" s="1"/>
  <c r="I18" i="15"/>
  <c r="H47" i="3"/>
  <c r="B21" i="19" l="1"/>
  <c r="T19" i="19"/>
  <c r="I9" i="15"/>
  <c r="I15" i="15"/>
  <c r="B126" i="18"/>
  <c r="I68" i="15" s="1"/>
  <c r="B60" i="18"/>
  <c r="B81" i="18"/>
  <c r="B76" i="18"/>
  <c r="I14" i="15"/>
  <c r="I10" i="15"/>
  <c r="B44" i="18"/>
  <c r="B116" i="18" s="1"/>
  <c r="B30" i="18"/>
  <c r="C12" i="4"/>
  <c r="B15" i="19"/>
  <c r="Q8" i="19" l="1"/>
  <c r="Q12" i="19"/>
  <c r="Q20" i="19" s="1"/>
  <c r="I23" i="19"/>
  <c r="B22" i="19"/>
  <c r="I28" i="15" s="1"/>
  <c r="H53" i="3"/>
  <c r="I17" i="15"/>
  <c r="B52" i="18"/>
  <c r="B33" i="18"/>
  <c r="I16" i="15" s="1"/>
  <c r="B49" i="18"/>
  <c r="B79" i="18"/>
  <c r="B83" i="18"/>
  <c r="B82" i="18" s="1"/>
  <c r="B88" i="18" s="1"/>
  <c r="B62" i="18"/>
  <c r="B67" i="18" s="1"/>
  <c r="B125" i="18"/>
  <c r="C14" i="4"/>
  <c r="I24" i="15"/>
  <c r="B58" i="18"/>
  <c r="S20" i="19" l="1"/>
  <c r="U20" i="19" s="1"/>
  <c r="R21" i="19"/>
  <c r="B87" i="18"/>
  <c r="B66" i="18"/>
  <c r="I61" i="15"/>
  <c r="B97" i="18"/>
  <c r="B89" i="18"/>
  <c r="I64" i="15"/>
  <c r="B104" i="18"/>
  <c r="B105" i="18" s="1"/>
  <c r="B106" i="18" s="1"/>
  <c r="B91" i="18"/>
  <c r="B92" i="18" s="1"/>
  <c r="B93" i="18" s="1"/>
  <c r="B69" i="18"/>
  <c r="B70" i="18" s="1"/>
  <c r="B71" i="18" s="1"/>
  <c r="W20" i="19" l="1"/>
  <c r="V21" i="19"/>
  <c r="I70" i="15"/>
  <c r="H101" i="18"/>
  <c r="K104" i="18"/>
  <c r="H104" i="18"/>
  <c r="K107" i="18"/>
  <c r="H103" i="18"/>
  <c r="K100" i="18"/>
  <c r="H100" i="18"/>
  <c r="K98" i="18"/>
  <c r="K101" i="18"/>
  <c r="K103" i="18"/>
  <c r="H102" i="18"/>
  <c r="H98" i="18"/>
  <c r="K108" i="18"/>
  <c r="K99" i="18"/>
  <c r="H99" i="18"/>
  <c r="K106" i="18"/>
  <c r="K102" i="18"/>
  <c r="K105" i="18"/>
  <c r="Q22" i="19" l="1"/>
  <c r="X21" i="19"/>
  <c r="T21" i="19" s="1"/>
  <c r="B101" i="18"/>
  <c r="B102" i="18"/>
  <c r="S22" i="19" l="1"/>
  <c r="U22" i="19" s="1"/>
  <c r="V23" i="19" s="1"/>
  <c r="R23" i="19"/>
  <c r="I66" i="15"/>
  <c r="B31" i="17"/>
  <c r="I110" i="15" s="1"/>
  <c r="B54" i="17"/>
  <c r="I114" i="15" s="1"/>
  <c r="I106" i="15"/>
  <c r="B51" i="17"/>
  <c r="W22" i="19" l="1"/>
  <c r="X23" i="19" l="1"/>
  <c r="T23" i="19" s="1"/>
  <c r="Q24" i="19"/>
  <c r="S24" i="19" l="1"/>
  <c r="U24" i="19" s="1"/>
  <c r="V25" i="19" s="1"/>
  <c r="R25" i="19"/>
  <c r="V42" i="17"/>
  <c r="X42" i="17" s="1"/>
  <c r="Z42" i="17" s="1"/>
  <c r="W24" i="19" l="1"/>
  <c r="W43" i="17"/>
  <c r="AB42" i="17"/>
  <c r="AA43" i="17"/>
  <c r="O46" i="17" l="1"/>
  <c r="AC43" i="17"/>
  <c r="Y43" i="17" s="1"/>
  <c r="X25" i="19"/>
  <c r="T25" i="19" s="1"/>
  <c r="Q26" i="19"/>
  <c r="V44" i="17"/>
  <c r="X44" i="17" s="1"/>
  <c r="R27" i="19" l="1"/>
  <c r="S26" i="19"/>
  <c r="U26" i="19" s="1"/>
  <c r="V27" i="19" s="1"/>
  <c r="Z44" i="17"/>
  <c r="W45" i="17"/>
  <c r="O47" i="17"/>
  <c r="O48" i="17"/>
  <c r="W26" i="19" l="1"/>
  <c r="AA45" i="17"/>
  <c r="AC45" i="17" s="1"/>
  <c r="AB44" i="17"/>
  <c r="X27" i="19" l="1"/>
  <c r="T27" i="19" s="1"/>
  <c r="Q28" i="19"/>
  <c r="V46" i="17"/>
  <c r="Y45" i="17"/>
  <c r="R29" i="19" l="1"/>
  <c r="S28" i="19"/>
  <c r="U28" i="19" s="1"/>
  <c r="V29" i="19" s="1"/>
  <c r="W47" i="17"/>
  <c r="X46" i="17"/>
  <c r="Z46" i="17" s="1"/>
  <c r="W28" i="19" l="1"/>
  <c r="AB46" i="17"/>
  <c r="AA47" i="17"/>
  <c r="AC47" i="17" s="1"/>
  <c r="X29" i="19" l="1"/>
  <c r="T29" i="19" s="1"/>
  <c r="Q30" i="19"/>
  <c r="V48" i="17"/>
  <c r="Y47" i="17"/>
  <c r="R31" i="19" l="1"/>
  <c r="S30" i="19"/>
  <c r="U30" i="19" s="1"/>
  <c r="V31" i="19" s="1"/>
  <c r="W49" i="17"/>
  <c r="X48" i="17"/>
  <c r="Z48" i="17" s="1"/>
  <c r="W30" i="19" l="1"/>
  <c r="AA49" i="17"/>
  <c r="AC49" i="17" s="1"/>
  <c r="AB48" i="17"/>
  <c r="X31" i="19" l="1"/>
  <c r="T31" i="19" s="1"/>
  <c r="Q32" i="19"/>
  <c r="V50" i="17"/>
  <c r="Y49" i="17"/>
  <c r="S32" i="19" l="1"/>
  <c r="U32" i="19" s="1"/>
  <c r="V33" i="19" s="1"/>
  <c r="R33" i="19"/>
  <c r="W51" i="17"/>
  <c r="X50" i="17"/>
  <c r="Z50" i="17" s="1"/>
  <c r="W32" i="19" l="1"/>
  <c r="AB50" i="17"/>
  <c r="AA51" i="17"/>
  <c r="AC51" i="17" s="1"/>
  <c r="X33" i="19" l="1"/>
  <c r="T33" i="19" s="1"/>
  <c r="Q34" i="19"/>
  <c r="V52" i="17"/>
  <c r="Y51" i="17"/>
  <c r="S34" i="19" l="1"/>
  <c r="U34" i="19" s="1"/>
  <c r="V35" i="19" s="1"/>
  <c r="R35" i="19"/>
  <c r="X52" i="17"/>
  <c r="Z52" i="17" s="1"/>
  <c r="W53" i="17"/>
  <c r="W34" i="19" l="1"/>
  <c r="AB52" i="17"/>
  <c r="AA53" i="17"/>
  <c r="AC53" i="17" s="1"/>
  <c r="X35" i="19" l="1"/>
  <c r="T35" i="19" s="1"/>
  <c r="Q36" i="19"/>
  <c r="V54" i="17"/>
  <c r="Y53" i="17"/>
  <c r="S36" i="19" l="1"/>
  <c r="U36" i="19" s="1"/>
  <c r="V37" i="19" s="1"/>
  <c r="R37" i="19"/>
  <c r="X54" i="17"/>
  <c r="Z54" i="17" s="1"/>
  <c r="W55" i="17"/>
  <c r="W36" i="19" l="1"/>
  <c r="AA55" i="17"/>
  <c r="AC55" i="17" s="1"/>
  <c r="AB54" i="17"/>
  <c r="X37" i="19" l="1"/>
  <c r="T37" i="19" s="1"/>
  <c r="Q38" i="19"/>
  <c r="V56" i="17"/>
  <c r="Y55" i="17"/>
  <c r="S38" i="19" l="1"/>
  <c r="U38" i="19" s="1"/>
  <c r="V39" i="19" s="1"/>
  <c r="R39" i="19"/>
  <c r="X56" i="17"/>
  <c r="Z56" i="17" s="1"/>
  <c r="W57" i="17"/>
  <c r="W38" i="19" l="1"/>
  <c r="AA57" i="17"/>
  <c r="AC57" i="17" s="1"/>
  <c r="AB56" i="17"/>
  <c r="X39" i="19" l="1"/>
  <c r="T39" i="19" s="1"/>
  <c r="Q40" i="19"/>
  <c r="V58" i="17"/>
  <c r="Y57" i="17"/>
  <c r="R41" i="19" l="1"/>
  <c r="S40" i="19"/>
  <c r="U40" i="19" s="1"/>
  <c r="V41" i="19" s="1"/>
  <c r="W59" i="17"/>
  <c r="X58" i="17"/>
  <c r="Z58" i="17" s="1"/>
  <c r="W40" i="19" l="1"/>
  <c r="AA59" i="17"/>
  <c r="AC59" i="17" s="1"/>
  <c r="AB58" i="17"/>
  <c r="X41" i="19" l="1"/>
  <c r="T41" i="19" s="1"/>
  <c r="Q42" i="19"/>
  <c r="V60" i="17"/>
  <c r="Y59" i="17"/>
  <c r="R43" i="19" l="1"/>
  <c r="S42" i="19"/>
  <c r="U42" i="19" s="1"/>
  <c r="V43" i="19" s="1"/>
  <c r="W61" i="17"/>
  <c r="X60" i="17"/>
  <c r="Z60" i="17" s="1"/>
  <c r="W42" i="19" l="1"/>
  <c r="AB60" i="17"/>
  <c r="AA61" i="17"/>
  <c r="AC61" i="17" s="1"/>
  <c r="X43" i="19" l="1"/>
  <c r="T43" i="19" s="1"/>
  <c r="Q44" i="19"/>
  <c r="V62" i="17"/>
  <c r="Y61" i="17"/>
  <c r="S44" i="19" l="1"/>
  <c r="U44" i="19" s="1"/>
  <c r="V45" i="19" s="1"/>
  <c r="R45" i="19"/>
  <c r="W63" i="17"/>
  <c r="X62" i="17"/>
  <c r="Z62" i="17" s="1"/>
  <c r="W44" i="19" l="1"/>
  <c r="AB62" i="17"/>
  <c r="AA63" i="17"/>
  <c r="AC63" i="17" s="1"/>
  <c r="X45" i="19" l="1"/>
  <c r="T45" i="19" s="1"/>
  <c r="Q46" i="19"/>
  <c r="V64" i="17"/>
  <c r="Y63" i="17"/>
  <c r="R47" i="19" l="1"/>
  <c r="S46" i="19"/>
  <c r="U46" i="19" s="1"/>
  <c r="V47" i="19" s="1"/>
  <c r="X64" i="17"/>
  <c r="Z64" i="17" s="1"/>
  <c r="W65" i="17"/>
  <c r="W46" i="19" l="1"/>
  <c r="AB64" i="17"/>
  <c r="AA65" i="17"/>
  <c r="AC65" i="17" s="1"/>
  <c r="X47" i="19" l="1"/>
  <c r="T47" i="19" s="1"/>
  <c r="Q48" i="19"/>
  <c r="V66" i="17"/>
  <c r="Y65" i="17"/>
  <c r="R49" i="19" l="1"/>
  <c r="S48" i="19"/>
  <c r="U48" i="19" s="1"/>
  <c r="V49" i="19" s="1"/>
  <c r="X66" i="17"/>
  <c r="Z66" i="17" s="1"/>
  <c r="W67" i="17"/>
  <c r="W48" i="19" l="1"/>
  <c r="AB66" i="17"/>
  <c r="AA67" i="17"/>
  <c r="AC67" i="17" s="1"/>
  <c r="X49" i="19" l="1"/>
  <c r="T49" i="19" s="1"/>
  <c r="Q50" i="19"/>
  <c r="V68" i="17"/>
  <c r="Y67" i="17"/>
  <c r="S50" i="19" l="1"/>
  <c r="U50" i="19" s="1"/>
  <c r="V51" i="19" s="1"/>
  <c r="R51" i="19"/>
  <c r="X68" i="17"/>
  <c r="Z68" i="17" s="1"/>
  <c r="W69" i="17"/>
  <c r="W50" i="19" l="1"/>
  <c r="AB68" i="17"/>
  <c r="AA69" i="17"/>
  <c r="AC69" i="17" s="1"/>
  <c r="X51" i="19" l="1"/>
  <c r="T51" i="19" s="1"/>
  <c r="Q52" i="19"/>
  <c r="V70" i="17"/>
  <c r="Y69" i="17"/>
  <c r="S52" i="19" l="1"/>
  <c r="U52" i="19" s="1"/>
  <c r="V53" i="19" s="1"/>
  <c r="R53" i="19"/>
  <c r="W71" i="17"/>
  <c r="X70" i="17"/>
  <c r="Z70" i="17" s="1"/>
  <c r="W52" i="19" l="1"/>
  <c r="AB70" i="17"/>
  <c r="AA71" i="17"/>
  <c r="AC71" i="17" s="1"/>
  <c r="X53" i="19" l="1"/>
  <c r="T53" i="19" s="1"/>
  <c r="Q54" i="19"/>
  <c r="V72" i="17"/>
  <c r="Y71" i="17"/>
  <c r="S54" i="19" l="1"/>
  <c r="U54" i="19" s="1"/>
  <c r="V55" i="19" s="1"/>
  <c r="R55" i="19"/>
  <c r="W73" i="17"/>
  <c r="X72" i="17"/>
  <c r="Z72" i="17" s="1"/>
  <c r="W54" i="19" l="1"/>
  <c r="AA73" i="17"/>
  <c r="AC73" i="17" s="1"/>
  <c r="AB72" i="17"/>
  <c r="X55" i="19" l="1"/>
  <c r="T55" i="19" s="1"/>
  <c r="Q56" i="19"/>
  <c r="V74" i="17"/>
  <c r="Y73" i="17"/>
  <c r="R57" i="19" l="1"/>
  <c r="S56" i="19"/>
  <c r="U56" i="19" s="1"/>
  <c r="V57" i="19" s="1"/>
  <c r="X74" i="17"/>
  <c r="Z74" i="17" s="1"/>
  <c r="W75" i="17"/>
  <c r="W56" i="19" l="1"/>
  <c r="AA75" i="17"/>
  <c r="AC75" i="17" s="1"/>
  <c r="AB74" i="17"/>
  <c r="X57" i="19" l="1"/>
  <c r="T57" i="19" s="1"/>
  <c r="Q58" i="19"/>
  <c r="V76" i="17"/>
  <c r="Y75" i="17"/>
  <c r="R59" i="19" l="1"/>
  <c r="S58" i="19"/>
  <c r="U58" i="19" s="1"/>
  <c r="V59" i="19" s="1"/>
  <c r="X76" i="17"/>
  <c r="Z76" i="17" s="1"/>
  <c r="W77" i="17"/>
  <c r="W58" i="19" l="1"/>
  <c r="AA77" i="17"/>
  <c r="AC77" i="17" s="1"/>
  <c r="AB76" i="17"/>
  <c r="X59" i="19" l="1"/>
  <c r="T59" i="19" s="1"/>
  <c r="Q60" i="19"/>
  <c r="V78" i="17"/>
  <c r="Y77" i="17"/>
  <c r="R61" i="19" l="1"/>
  <c r="S60" i="19"/>
  <c r="U60" i="19" s="1"/>
  <c r="V61" i="19" s="1"/>
  <c r="W79" i="17"/>
  <c r="X78" i="17"/>
  <c r="Z78" i="17" s="1"/>
  <c r="W60" i="19" l="1"/>
  <c r="AB78" i="17"/>
  <c r="AA79" i="17"/>
  <c r="AC79" i="17" s="1"/>
  <c r="X61" i="19" l="1"/>
  <c r="T61" i="19" s="1"/>
  <c r="Q62" i="19"/>
  <c r="V80" i="17"/>
  <c r="Y79" i="17"/>
  <c r="R63" i="19" l="1"/>
  <c r="S62" i="19"/>
  <c r="U62" i="19" s="1"/>
  <c r="V63" i="19" s="1"/>
  <c r="X80" i="17"/>
  <c r="Z80" i="17" s="1"/>
  <c r="W81" i="17"/>
  <c r="W62" i="19" l="1"/>
  <c r="AA81" i="17"/>
  <c r="AC81" i="17" s="1"/>
  <c r="AB80" i="17"/>
  <c r="X63" i="19" l="1"/>
  <c r="T63" i="19" s="1"/>
  <c r="Q64" i="19"/>
  <c r="V82" i="17"/>
  <c r="Y81" i="17"/>
  <c r="S64" i="19" l="1"/>
  <c r="U64" i="19" s="1"/>
  <c r="V65" i="19" s="1"/>
  <c r="R65" i="19"/>
  <c r="X82" i="17"/>
  <c r="Z82" i="17" s="1"/>
  <c r="W83" i="17"/>
  <c r="W64" i="19" l="1"/>
  <c r="AB82" i="17"/>
  <c r="AA83" i="17"/>
  <c r="AC83" i="17" s="1"/>
  <c r="X65" i="19" l="1"/>
  <c r="T65" i="19" s="1"/>
  <c r="Q66" i="19"/>
  <c r="V84" i="17"/>
  <c r="Y83" i="17"/>
  <c r="S66" i="19" l="1"/>
  <c r="U66" i="19" s="1"/>
  <c r="V67" i="19" s="1"/>
  <c r="R67" i="19"/>
  <c r="W85" i="17"/>
  <c r="X84" i="17"/>
  <c r="Z84" i="17" s="1"/>
  <c r="W66" i="19" l="1"/>
  <c r="AA85" i="17"/>
  <c r="AC85" i="17" s="1"/>
  <c r="AB84" i="17"/>
  <c r="X67" i="19" l="1"/>
  <c r="T67" i="19" s="1"/>
  <c r="Q68" i="19"/>
  <c r="Y85" i="17"/>
  <c r="V86" i="17"/>
  <c r="R69" i="19" l="1"/>
  <c r="S68" i="19"/>
  <c r="U68" i="19" s="1"/>
  <c r="V69" i="19" s="1"/>
  <c r="W87" i="17"/>
  <c r="X86" i="17"/>
  <c r="Z86" i="17" s="1"/>
  <c r="W68" i="19" l="1"/>
  <c r="AB86" i="17"/>
  <c r="AA87" i="17"/>
  <c r="AC87" i="17" s="1"/>
  <c r="X69" i="19" l="1"/>
  <c r="T69" i="19" s="1"/>
  <c r="Q70" i="19"/>
  <c r="Y87" i="17"/>
  <c r="V88" i="17"/>
  <c r="S70" i="19" l="1"/>
  <c r="U70" i="19" s="1"/>
  <c r="V71" i="19" s="1"/>
  <c r="R71" i="19"/>
  <c r="W89" i="17"/>
  <c r="X88" i="17"/>
  <c r="Z88" i="17" s="1"/>
  <c r="W70" i="19" l="1"/>
  <c r="AB88" i="17"/>
  <c r="AA89" i="17"/>
  <c r="AC89" i="17" s="1"/>
  <c r="X71" i="19" l="1"/>
  <c r="T71" i="19" s="1"/>
  <c r="Q72" i="19"/>
  <c r="V90" i="17"/>
  <c r="Y89" i="17"/>
  <c r="R73" i="19" l="1"/>
  <c r="S72" i="19"/>
  <c r="U72" i="19" s="1"/>
  <c r="V73" i="19" s="1"/>
  <c r="W91" i="17"/>
  <c r="X90" i="17"/>
  <c r="Z90" i="17" s="1"/>
  <c r="W72" i="19" l="1"/>
  <c r="AB90" i="17"/>
  <c r="AA91" i="17"/>
  <c r="AC91" i="17" s="1"/>
  <c r="X73" i="19" l="1"/>
  <c r="T73" i="19" s="1"/>
  <c r="Q74" i="19"/>
  <c r="V92" i="17"/>
  <c r="Y91" i="17"/>
  <c r="S74" i="19" l="1"/>
  <c r="U74" i="19" s="1"/>
  <c r="V75" i="19" s="1"/>
  <c r="R75" i="19"/>
  <c r="W93" i="17"/>
  <c r="X92" i="17"/>
  <c r="Z92" i="17" s="1"/>
  <c r="W74" i="19" l="1"/>
  <c r="AA93" i="17"/>
  <c r="AC93" i="17" s="1"/>
  <c r="AB92" i="17"/>
  <c r="X75" i="19" l="1"/>
  <c r="T75" i="19" s="1"/>
  <c r="Q76" i="19"/>
  <c r="V94" i="17"/>
  <c r="Y93" i="17"/>
  <c r="R77" i="19" l="1"/>
  <c r="S76" i="19"/>
  <c r="U76" i="19" s="1"/>
  <c r="V77" i="19" s="1"/>
  <c r="X94" i="17"/>
  <c r="Z94" i="17" s="1"/>
  <c r="W95" i="17"/>
  <c r="W76" i="19" l="1"/>
  <c r="AB94" i="17"/>
  <c r="AA95" i="17"/>
  <c r="AC95" i="17" s="1"/>
  <c r="X77" i="19" l="1"/>
  <c r="T77" i="19" s="1"/>
  <c r="Q78" i="19"/>
  <c r="V96" i="17"/>
  <c r="Y95" i="17"/>
  <c r="S78" i="19" l="1"/>
  <c r="U78" i="19" s="1"/>
  <c r="V79" i="19" s="1"/>
  <c r="R79" i="19"/>
  <c r="W97" i="17"/>
  <c r="X96" i="17"/>
  <c r="Z96" i="17" s="1"/>
  <c r="B23" i="19" l="1"/>
  <c r="W78" i="19"/>
  <c r="AA97" i="17"/>
  <c r="AC97" i="17" s="1"/>
  <c r="AB96" i="17"/>
  <c r="X79" i="19" l="1"/>
  <c r="T79" i="19" s="1"/>
  <c r="Q80" i="19"/>
  <c r="I25" i="19"/>
  <c r="I24" i="19"/>
  <c r="H49" i="3"/>
  <c r="V98" i="17"/>
  <c r="Y97" i="17"/>
  <c r="R81" i="19" l="1"/>
  <c r="S80" i="19"/>
  <c r="U80" i="19" s="1"/>
  <c r="V81" i="19" s="1"/>
  <c r="X98" i="17"/>
  <c r="Z98" i="17" s="1"/>
  <c r="W99" i="17"/>
  <c r="W80" i="19" l="1"/>
  <c r="AB98" i="17"/>
  <c r="AA99" i="17"/>
  <c r="AC99" i="17" s="1"/>
  <c r="X81" i="19" l="1"/>
  <c r="T81" i="19" s="1"/>
  <c r="Q82" i="19"/>
  <c r="V100" i="17"/>
  <c r="W101" i="17" s="1"/>
  <c r="Y99" i="17"/>
  <c r="S82" i="19" l="1"/>
  <c r="U82" i="19" s="1"/>
  <c r="V83" i="19" s="1"/>
  <c r="R83" i="19"/>
  <c r="X100" i="17"/>
  <c r="Z100" i="17" s="1"/>
  <c r="AA101" i="17" s="1"/>
  <c r="AC101" i="17" s="1"/>
  <c r="W82" i="19" l="1"/>
  <c r="V102" i="17"/>
  <c r="Y101" i="17"/>
  <c r="G46" i="17"/>
  <c r="AB100" i="17"/>
  <c r="X83" i="19" l="1"/>
  <c r="T83" i="19" s="1"/>
  <c r="Q84" i="19"/>
  <c r="W103" i="17"/>
  <c r="X102" i="17"/>
  <c r="Z102" i="17" s="1"/>
  <c r="R85" i="19" l="1"/>
  <c r="S84" i="19"/>
  <c r="U84" i="19" s="1"/>
  <c r="V85" i="19" s="1"/>
  <c r="AB102" i="17"/>
  <c r="AA103" i="17"/>
  <c r="AC103" i="17" s="1"/>
  <c r="W84" i="19" l="1"/>
  <c r="V104" i="17"/>
  <c r="Y103" i="17"/>
  <c r="X85" i="19" l="1"/>
  <c r="T85" i="19" s="1"/>
  <c r="Q86" i="19"/>
  <c r="W105" i="17"/>
  <c r="X104" i="17"/>
  <c r="Z104" i="17" s="1"/>
  <c r="S86" i="19" l="1"/>
  <c r="U86" i="19" s="1"/>
  <c r="V87" i="19" s="1"/>
  <c r="R87" i="19"/>
  <c r="AB104" i="17"/>
  <c r="AA105" i="17"/>
  <c r="AC105" i="17" s="1"/>
  <c r="W86" i="19" l="1"/>
  <c r="Y105" i="17"/>
  <c r="V106" i="17"/>
  <c r="X87" i="19" l="1"/>
  <c r="T87" i="19" s="1"/>
  <c r="Q88" i="19"/>
  <c r="X106" i="17"/>
  <c r="Z106" i="17" s="1"/>
  <c r="W107" i="17"/>
  <c r="R89" i="19" l="1"/>
  <c r="S88" i="19"/>
  <c r="U88" i="19" s="1"/>
  <c r="V89" i="19" s="1"/>
  <c r="AB106" i="17"/>
  <c r="AA107" i="17"/>
  <c r="AC107" i="17" s="1"/>
  <c r="W88" i="19" l="1"/>
  <c r="Y107" i="17"/>
  <c r="V108" i="17"/>
  <c r="X89" i="19" l="1"/>
  <c r="T89" i="19" s="1"/>
  <c r="Q90" i="19"/>
  <c r="W109" i="17"/>
  <c r="X108" i="17"/>
  <c r="Z108" i="17" s="1"/>
  <c r="R91" i="19" l="1"/>
  <c r="S90" i="19"/>
  <c r="U90" i="19" s="1"/>
  <c r="V91" i="19" s="1"/>
  <c r="AB108" i="17"/>
  <c r="AA109" i="17"/>
  <c r="AC109" i="17" s="1"/>
  <c r="W90" i="19" l="1"/>
  <c r="Y109" i="17"/>
  <c r="V110" i="17"/>
  <c r="X91" i="19" l="1"/>
  <c r="T91" i="19" s="1"/>
  <c r="Q92" i="19"/>
  <c r="W111" i="17"/>
  <c r="X110" i="17"/>
  <c r="Z110" i="17" s="1"/>
  <c r="R93" i="19" l="1"/>
  <c r="S92" i="19"/>
  <c r="U92" i="19" s="1"/>
  <c r="V93" i="19" s="1"/>
  <c r="AB110" i="17"/>
  <c r="AA111" i="17"/>
  <c r="AC111" i="17" s="1"/>
  <c r="W92" i="19" l="1"/>
  <c r="Y111" i="17"/>
  <c r="V112" i="17"/>
  <c r="X93" i="19" l="1"/>
  <c r="T93" i="19" s="1"/>
  <c r="Q94" i="19"/>
  <c r="W113" i="17"/>
  <c r="X112" i="17"/>
  <c r="Z112" i="17" s="1"/>
  <c r="S94" i="19" l="1"/>
  <c r="U94" i="19" s="1"/>
  <c r="V95" i="19" s="1"/>
  <c r="R95" i="19"/>
  <c r="AB112" i="17"/>
  <c r="AA113" i="17"/>
  <c r="AC113" i="17" s="1"/>
  <c r="W94" i="19" l="1"/>
  <c r="Y113" i="17"/>
  <c r="V114" i="17"/>
  <c r="X95" i="19" l="1"/>
  <c r="T95" i="19" s="1"/>
  <c r="Q96" i="19"/>
  <c r="W115" i="17"/>
  <c r="X114" i="17"/>
  <c r="Z114" i="17" s="1"/>
  <c r="R97" i="19" l="1"/>
  <c r="S96" i="19"/>
  <c r="U96" i="19" s="1"/>
  <c r="V97" i="19" s="1"/>
  <c r="AB114" i="17"/>
  <c r="AA115" i="17"/>
  <c r="AC115" i="17" s="1"/>
  <c r="W96" i="19" l="1"/>
  <c r="V116" i="17"/>
  <c r="Y115" i="17"/>
  <c r="X97" i="19" l="1"/>
  <c r="T97" i="19" s="1"/>
  <c r="Q98" i="19"/>
  <c r="X116" i="17"/>
  <c r="Z116" i="17" s="1"/>
  <c r="W117" i="17"/>
  <c r="S98" i="19" l="1"/>
  <c r="U98" i="19" s="1"/>
  <c r="V99" i="19" s="1"/>
  <c r="R99" i="19"/>
  <c r="AB116" i="17"/>
  <c r="AA117" i="17"/>
  <c r="AC117" i="17" s="1"/>
  <c r="W98" i="19" l="1"/>
  <c r="V118" i="17"/>
  <c r="Y117" i="17"/>
  <c r="X99" i="19" l="1"/>
  <c r="T99" i="19" s="1"/>
  <c r="Q100" i="19"/>
  <c r="W119" i="17"/>
  <c r="X118" i="17"/>
  <c r="Z118" i="17" s="1"/>
  <c r="R101" i="19" l="1"/>
  <c r="S100" i="19"/>
  <c r="U100" i="19" s="1"/>
  <c r="V101" i="19" s="1"/>
  <c r="AB118" i="17"/>
  <c r="AA119" i="17"/>
  <c r="AC119" i="17" s="1"/>
  <c r="W100" i="19" l="1"/>
  <c r="V120" i="17"/>
  <c r="Y119" i="17"/>
  <c r="X101" i="19" l="1"/>
  <c r="T101" i="19" s="1"/>
  <c r="Q102" i="19"/>
  <c r="W121" i="17"/>
  <c r="X120" i="17"/>
  <c r="Z120" i="17" s="1"/>
  <c r="S102" i="19" l="1"/>
  <c r="U102" i="19" s="1"/>
  <c r="V103" i="19" s="1"/>
  <c r="R103" i="19"/>
  <c r="AB120" i="17"/>
  <c r="AA121" i="17"/>
  <c r="AC121" i="17" s="1"/>
  <c r="W102" i="19" l="1"/>
  <c r="V122" i="17"/>
  <c r="Y121" i="17"/>
  <c r="X103" i="19" l="1"/>
  <c r="T103" i="19" s="1"/>
  <c r="Q104" i="19"/>
  <c r="W123" i="17"/>
  <c r="X122" i="17"/>
  <c r="Z122" i="17" s="1"/>
  <c r="R105" i="19" l="1"/>
  <c r="S104" i="19"/>
  <c r="U104" i="19" s="1"/>
  <c r="V105" i="19" s="1"/>
  <c r="AB122" i="17"/>
  <c r="AA123" i="17"/>
  <c r="AC123" i="17" s="1"/>
  <c r="W104" i="19" l="1"/>
  <c r="V124" i="17"/>
  <c r="Y123" i="17"/>
  <c r="X105" i="19" l="1"/>
  <c r="T105" i="19" s="1"/>
  <c r="Q106" i="19"/>
  <c r="X124" i="17"/>
  <c r="Z124" i="17" s="1"/>
  <c r="W125" i="17"/>
  <c r="R107" i="19" l="1"/>
  <c r="S106" i="19"/>
  <c r="U106" i="19" s="1"/>
  <c r="V107" i="19" s="1"/>
  <c r="AA125" i="17"/>
  <c r="AC125" i="17" s="1"/>
  <c r="AB124" i="17"/>
  <c r="W106" i="19" l="1"/>
  <c r="V126" i="17"/>
  <c r="Y125" i="17"/>
  <c r="X107" i="19" l="1"/>
  <c r="T107" i="19" s="1"/>
  <c r="Q108" i="19"/>
  <c r="W127" i="17"/>
  <c r="X126" i="17"/>
  <c r="Z126" i="17" s="1"/>
  <c r="S108" i="19" l="1"/>
  <c r="U108" i="19" s="1"/>
  <c r="V109" i="19" s="1"/>
  <c r="R109" i="19"/>
  <c r="AA127" i="17"/>
  <c r="AC127" i="17" s="1"/>
  <c r="AB126" i="17"/>
  <c r="W108" i="19" l="1"/>
  <c r="Y127" i="17"/>
  <c r="V128" i="17"/>
  <c r="X109" i="19" l="1"/>
  <c r="T109" i="19" s="1"/>
  <c r="Q110" i="19"/>
  <c r="X128" i="17"/>
  <c r="Z128" i="17" s="1"/>
  <c r="W129" i="17"/>
  <c r="R111" i="19" l="1"/>
  <c r="S110" i="19"/>
  <c r="U110" i="19" s="1"/>
  <c r="V111" i="19" s="1"/>
  <c r="AB128" i="17"/>
  <c r="AA129" i="17"/>
  <c r="AC129" i="17" s="1"/>
  <c r="W110" i="19" l="1"/>
  <c r="Y129" i="17"/>
  <c r="V130" i="17"/>
  <c r="X111" i="19" l="1"/>
  <c r="T111" i="19" s="1"/>
  <c r="Q112" i="19"/>
  <c r="W131" i="17"/>
  <c r="X130" i="17"/>
  <c r="Z130" i="17" s="1"/>
  <c r="S112" i="19" l="1"/>
  <c r="U112" i="19" s="1"/>
  <c r="V113" i="19" s="1"/>
  <c r="R113" i="19"/>
  <c r="AB130" i="17"/>
  <c r="AA131" i="17"/>
  <c r="AC131" i="17" s="1"/>
  <c r="W112" i="19" l="1"/>
  <c r="V132" i="17"/>
  <c r="Y131" i="17"/>
  <c r="X113" i="19" l="1"/>
  <c r="T113" i="19" s="1"/>
  <c r="Q114" i="19"/>
  <c r="W133" i="17"/>
  <c r="X132" i="17"/>
  <c r="Z132" i="17" s="1"/>
  <c r="R115" i="19" l="1"/>
  <c r="S114" i="19"/>
  <c r="U114" i="19" s="1"/>
  <c r="V115" i="19" s="1"/>
  <c r="AA133" i="17"/>
  <c r="AC133" i="17" s="1"/>
  <c r="AB132" i="17"/>
  <c r="W114" i="19" l="1"/>
  <c r="Y133" i="17"/>
  <c r="V134" i="17"/>
  <c r="X115" i="19" l="1"/>
  <c r="T115" i="19" s="1"/>
  <c r="Q116" i="19"/>
  <c r="W135" i="17"/>
  <c r="X134" i="17"/>
  <c r="Z134" i="17" s="1"/>
  <c r="S116" i="19" l="1"/>
  <c r="U116" i="19" s="1"/>
  <c r="V117" i="19" s="1"/>
  <c r="R117" i="19"/>
  <c r="AB134" i="17"/>
  <c r="AA135" i="17"/>
  <c r="AC135" i="17" s="1"/>
  <c r="W116" i="19" l="1"/>
  <c r="Y135" i="17"/>
  <c r="V136" i="17"/>
  <c r="X117" i="19" l="1"/>
  <c r="T117" i="19" s="1"/>
  <c r="Q118" i="19"/>
  <c r="X136" i="17"/>
  <c r="Z136" i="17" s="1"/>
  <c r="W137" i="17"/>
  <c r="S118" i="19" l="1"/>
  <c r="U118" i="19" s="1"/>
  <c r="V119" i="19" s="1"/>
  <c r="R119" i="19"/>
  <c r="AB136" i="17"/>
  <c r="AA137" i="17"/>
  <c r="AC137" i="17" s="1"/>
  <c r="W118" i="19" l="1"/>
  <c r="V138" i="17"/>
  <c r="Y137" i="17"/>
  <c r="X119" i="19" l="1"/>
  <c r="T119" i="19" s="1"/>
  <c r="Q120" i="19"/>
  <c r="X138" i="17"/>
  <c r="Z138" i="17" s="1"/>
  <c r="W139" i="17"/>
  <c r="S120" i="19" l="1"/>
  <c r="U120" i="19" s="1"/>
  <c r="V121" i="19" s="1"/>
  <c r="R121" i="19"/>
  <c r="AA139" i="17"/>
  <c r="AC139" i="17" s="1"/>
  <c r="AB138" i="17"/>
  <c r="W120" i="19" l="1"/>
  <c r="V140" i="17"/>
  <c r="Y139" i="17"/>
  <c r="X121" i="19" l="1"/>
  <c r="T121" i="19" s="1"/>
  <c r="Q122" i="19"/>
  <c r="W141" i="17"/>
  <c r="X140" i="17"/>
  <c r="Z140" i="17" s="1"/>
  <c r="S122" i="19" l="1"/>
  <c r="U122" i="19" s="1"/>
  <c r="V123" i="19" s="1"/>
  <c r="R123" i="19"/>
  <c r="AB140" i="17"/>
  <c r="AA141" i="17"/>
  <c r="AC141" i="17" s="1"/>
  <c r="W122" i="19" l="1"/>
  <c r="V142" i="17"/>
  <c r="Y141" i="17"/>
  <c r="X123" i="19" l="1"/>
  <c r="T123" i="19" s="1"/>
  <c r="Q124" i="19"/>
  <c r="X142" i="17"/>
  <c r="Z142" i="17" s="1"/>
  <c r="W143" i="17"/>
  <c r="S124" i="19" l="1"/>
  <c r="U124" i="19" s="1"/>
  <c r="V125" i="19" s="1"/>
  <c r="R125" i="19"/>
  <c r="AB142" i="17"/>
  <c r="AA143" i="17"/>
  <c r="AC143" i="17" s="1"/>
  <c r="W124" i="19" l="1"/>
  <c r="V144" i="17"/>
  <c r="Y143" i="17"/>
  <c r="X125" i="19" l="1"/>
  <c r="T125" i="19" s="1"/>
  <c r="Q126" i="19"/>
  <c r="W145" i="17"/>
  <c r="X144" i="17"/>
  <c r="Z144" i="17" s="1"/>
  <c r="R127" i="19" l="1"/>
  <c r="S126" i="19"/>
  <c r="U126" i="19" s="1"/>
  <c r="V127" i="19" s="1"/>
  <c r="AB144" i="17"/>
  <c r="AA145" i="17"/>
  <c r="AC145" i="17" s="1"/>
  <c r="W126" i="19" l="1"/>
  <c r="V146" i="17"/>
  <c r="Y145" i="17"/>
  <c r="X127" i="19" l="1"/>
  <c r="T127" i="19" s="1"/>
  <c r="Q128" i="19"/>
  <c r="W147" i="17"/>
  <c r="X146" i="17"/>
  <c r="Z146" i="17" s="1"/>
  <c r="S128" i="19" l="1"/>
  <c r="U128" i="19" s="1"/>
  <c r="V129" i="19" s="1"/>
  <c r="R129" i="19"/>
  <c r="AA147" i="17"/>
  <c r="AC147" i="17" s="1"/>
  <c r="AB146" i="17"/>
  <c r="W128" i="19" l="1"/>
  <c r="V148" i="17"/>
  <c r="Y147" i="17"/>
  <c r="X129" i="19" l="1"/>
  <c r="T129" i="19" s="1"/>
  <c r="Q130" i="19"/>
  <c r="X148" i="17"/>
  <c r="Z148" i="17" s="1"/>
  <c r="W149" i="17"/>
  <c r="S130" i="19" l="1"/>
  <c r="U130" i="19" s="1"/>
  <c r="V131" i="19" s="1"/>
  <c r="R131" i="19"/>
  <c r="AB148" i="17"/>
  <c r="AA149" i="17"/>
  <c r="AC149" i="17" s="1"/>
  <c r="W130" i="19" l="1"/>
  <c r="V150" i="17"/>
  <c r="Y149" i="17"/>
  <c r="X131" i="19" l="1"/>
  <c r="T131" i="19" s="1"/>
  <c r="Q132" i="19"/>
  <c r="X150" i="17"/>
  <c r="Z150" i="17" s="1"/>
  <c r="W151" i="17"/>
  <c r="R133" i="19" l="1"/>
  <c r="S132" i="19"/>
  <c r="U132" i="19" s="1"/>
  <c r="V133" i="19" s="1"/>
  <c r="AB150" i="17"/>
  <c r="AA151" i="17"/>
  <c r="AC151" i="17" s="1"/>
  <c r="W132" i="19" l="1"/>
  <c r="Y151" i="17"/>
  <c r="V152" i="17"/>
  <c r="X133" i="19" l="1"/>
  <c r="T133" i="19" s="1"/>
  <c r="Q134" i="19"/>
  <c r="W153" i="17"/>
  <c r="X152" i="17"/>
  <c r="Z152" i="17" s="1"/>
  <c r="S134" i="19" l="1"/>
  <c r="U134" i="19" s="1"/>
  <c r="V135" i="19" s="1"/>
  <c r="R135" i="19"/>
  <c r="AB152" i="17"/>
  <c r="AA153" i="17"/>
  <c r="AC153" i="17" s="1"/>
  <c r="W134" i="19" l="1"/>
  <c r="V154" i="17"/>
  <c r="Y153" i="17"/>
  <c r="X135" i="19" l="1"/>
  <c r="T135" i="19" s="1"/>
  <c r="Q136" i="19"/>
  <c r="W155" i="17"/>
  <c r="X154" i="17"/>
  <c r="Z154" i="17" s="1"/>
  <c r="R137" i="19" l="1"/>
  <c r="S136" i="19"/>
  <c r="U136" i="19" s="1"/>
  <c r="V137" i="19" s="1"/>
  <c r="AB154" i="17"/>
  <c r="AA155" i="17"/>
  <c r="AC155" i="17" s="1"/>
  <c r="W136" i="19" l="1"/>
  <c r="V156" i="17"/>
  <c r="Y155" i="17"/>
  <c r="X137" i="19" l="1"/>
  <c r="T137" i="19" s="1"/>
  <c r="Q138" i="19"/>
  <c r="W157" i="17"/>
  <c r="X156" i="17"/>
  <c r="Z156" i="17" s="1"/>
  <c r="S138" i="19" l="1"/>
  <c r="U138" i="19" s="1"/>
  <c r="V139" i="19" s="1"/>
  <c r="R139" i="19"/>
  <c r="AB156" i="17"/>
  <c r="AA157" i="17"/>
  <c r="AC157" i="17" s="1"/>
  <c r="W138" i="19" l="1"/>
  <c r="Y157" i="17"/>
  <c r="V158" i="17"/>
  <c r="X139" i="19" l="1"/>
  <c r="T139" i="19" s="1"/>
  <c r="Q140" i="19"/>
  <c r="X158" i="17"/>
  <c r="Z158" i="17" s="1"/>
  <c r="W159" i="17"/>
  <c r="S140" i="19" l="1"/>
  <c r="U140" i="19" s="1"/>
  <c r="V141" i="19" s="1"/>
  <c r="R141" i="19"/>
  <c r="AA159" i="17"/>
  <c r="AC159" i="17" s="1"/>
  <c r="AB158" i="17"/>
  <c r="W140" i="19" l="1"/>
  <c r="V160" i="17"/>
  <c r="Y159" i="17"/>
  <c r="X141" i="19" l="1"/>
  <c r="T141" i="19" s="1"/>
  <c r="Q142" i="19"/>
  <c r="W161" i="17"/>
  <c r="X160" i="17"/>
  <c r="Z160" i="17" s="1"/>
  <c r="R143" i="19" l="1"/>
  <c r="S142" i="19"/>
  <c r="U142" i="19" s="1"/>
  <c r="V143" i="19" s="1"/>
  <c r="AB160" i="17"/>
  <c r="AA161" i="17"/>
  <c r="AC161" i="17" s="1"/>
  <c r="W142" i="19" l="1"/>
  <c r="V162" i="17"/>
  <c r="Y161" i="17"/>
  <c r="X143" i="19" l="1"/>
  <c r="T143" i="19" s="1"/>
  <c r="Q144" i="19"/>
  <c r="X162" i="17"/>
  <c r="Z162" i="17" s="1"/>
  <c r="W163" i="17"/>
  <c r="S144" i="19" l="1"/>
  <c r="U144" i="19" s="1"/>
  <c r="V145" i="19" s="1"/>
  <c r="R145" i="19"/>
  <c r="AB162" i="17"/>
  <c r="AA163" i="17"/>
  <c r="AC163" i="17" s="1"/>
  <c r="W144" i="19" l="1"/>
  <c r="V164" i="17"/>
  <c r="Y163" i="17"/>
  <c r="X145" i="19" l="1"/>
  <c r="T145" i="19" s="1"/>
  <c r="Q146" i="19"/>
  <c r="X164" i="17"/>
  <c r="Z164" i="17" s="1"/>
  <c r="W165" i="17"/>
  <c r="R147" i="19" l="1"/>
  <c r="S146" i="19"/>
  <c r="U146" i="19" s="1"/>
  <c r="V147" i="19" s="1"/>
  <c r="AB164" i="17"/>
  <c r="AA165" i="17"/>
  <c r="AC165" i="17" s="1"/>
  <c r="W146" i="19" l="1"/>
  <c r="V166" i="17"/>
  <c r="Y165" i="17"/>
  <c r="X147" i="19" l="1"/>
  <c r="T147" i="19" s="1"/>
  <c r="Q148" i="19"/>
  <c r="X166" i="17"/>
  <c r="Z166" i="17" s="1"/>
  <c r="W167" i="17"/>
  <c r="R149" i="19" l="1"/>
  <c r="S148" i="19"/>
  <c r="U148" i="19" s="1"/>
  <c r="V149" i="19" s="1"/>
  <c r="AB166" i="17"/>
  <c r="AA167" i="17"/>
  <c r="AC167" i="17" s="1"/>
  <c r="W148" i="19" l="1"/>
  <c r="Y167" i="17"/>
  <c r="V168" i="17"/>
  <c r="X149" i="19" l="1"/>
  <c r="T149" i="19" s="1"/>
  <c r="Q150" i="19"/>
  <c r="X168" i="17"/>
  <c r="Z168" i="17" s="1"/>
  <c r="W169" i="17"/>
  <c r="R151" i="19" l="1"/>
  <c r="S150" i="19"/>
  <c r="U150" i="19" s="1"/>
  <c r="V151" i="19" s="1"/>
  <c r="AB168" i="17"/>
  <c r="AA169" i="17"/>
  <c r="AC169" i="17" s="1"/>
  <c r="W150" i="19" l="1"/>
  <c r="Y169" i="17"/>
  <c r="V170" i="17"/>
  <c r="X151" i="19" l="1"/>
  <c r="T151" i="19" s="1"/>
  <c r="Q152" i="19"/>
  <c r="W171" i="17"/>
  <c r="X170" i="17"/>
  <c r="Z170" i="17" s="1"/>
  <c r="R153" i="19" l="1"/>
  <c r="S152" i="19"/>
  <c r="U152" i="19" s="1"/>
  <c r="V153" i="19" s="1"/>
  <c r="AA171" i="17"/>
  <c r="AC171" i="17" s="1"/>
  <c r="AB170" i="17"/>
  <c r="W152" i="19" l="1"/>
  <c r="V172" i="17"/>
  <c r="Y171" i="17"/>
  <c r="X153" i="19" l="1"/>
  <c r="T153" i="19" s="1"/>
  <c r="Q154" i="19"/>
  <c r="W173" i="17"/>
  <c r="X172" i="17"/>
  <c r="Z172" i="17" s="1"/>
  <c r="S154" i="19" l="1"/>
  <c r="U154" i="19" s="1"/>
  <c r="V155" i="19" s="1"/>
  <c r="R155" i="19"/>
  <c r="AA173" i="17"/>
  <c r="AC173" i="17" s="1"/>
  <c r="AB172" i="17"/>
  <c r="W154" i="19" l="1"/>
  <c r="V174" i="17"/>
  <c r="Y173" i="17"/>
  <c r="X155" i="19" l="1"/>
  <c r="T155" i="19" s="1"/>
  <c r="Q156" i="19"/>
  <c r="X174" i="17"/>
  <c r="Z174" i="17" s="1"/>
  <c r="W175" i="17"/>
  <c r="R157" i="19" l="1"/>
  <c r="S156" i="19"/>
  <c r="U156" i="19" s="1"/>
  <c r="V157" i="19" s="1"/>
  <c r="AA175" i="17"/>
  <c r="AC175" i="17" s="1"/>
  <c r="AB174" i="17"/>
  <c r="W156" i="19" l="1"/>
  <c r="V176" i="17"/>
  <c r="Y175" i="17"/>
  <c r="X157" i="19" l="1"/>
  <c r="T157" i="19" s="1"/>
  <c r="Q158" i="19"/>
  <c r="X176" i="17"/>
  <c r="Z176" i="17" s="1"/>
  <c r="W177" i="17"/>
  <c r="R159" i="19" l="1"/>
  <c r="S158" i="19"/>
  <c r="U158" i="19" s="1"/>
  <c r="V159" i="19" s="1"/>
  <c r="AA177" i="17"/>
  <c r="AC177" i="17" s="1"/>
  <c r="AB176" i="17"/>
  <c r="W158" i="19" l="1"/>
  <c r="V178" i="17"/>
  <c r="Y177" i="17"/>
  <c r="X159" i="19" l="1"/>
  <c r="T159" i="19" s="1"/>
  <c r="Q160" i="19"/>
  <c r="X178" i="17"/>
  <c r="Z178" i="17" s="1"/>
  <c r="W179" i="17"/>
  <c r="S160" i="19" l="1"/>
  <c r="U160" i="19" s="1"/>
  <c r="V161" i="19" s="1"/>
  <c r="R161" i="19"/>
  <c r="AB178" i="17"/>
  <c r="AA179" i="17"/>
  <c r="AC179" i="17" s="1"/>
  <c r="W160" i="19" l="1"/>
  <c r="V180" i="17"/>
  <c r="Y179" i="17"/>
  <c r="X161" i="19" l="1"/>
  <c r="T161" i="19" s="1"/>
  <c r="Q162" i="19"/>
  <c r="X180" i="17"/>
  <c r="Z180" i="17" s="1"/>
  <c r="W181" i="17"/>
  <c r="S162" i="19" l="1"/>
  <c r="U162" i="19" s="1"/>
  <c r="V163" i="19" s="1"/>
  <c r="R163" i="19"/>
  <c r="AA181" i="17"/>
  <c r="AC181" i="17" s="1"/>
  <c r="AB180" i="17"/>
  <c r="W162" i="19" l="1"/>
  <c r="Y181" i="17"/>
  <c r="V182" i="17"/>
  <c r="X163" i="19" l="1"/>
  <c r="T163" i="19" s="1"/>
  <c r="Q164" i="19"/>
  <c r="W183" i="17"/>
  <c r="X182" i="17"/>
  <c r="Z182" i="17" s="1"/>
  <c r="S164" i="19" l="1"/>
  <c r="U164" i="19" s="1"/>
  <c r="V165" i="19" s="1"/>
  <c r="R165" i="19"/>
  <c r="AA183" i="17"/>
  <c r="AC183" i="17" s="1"/>
  <c r="AB182" i="17"/>
  <c r="W164" i="19" l="1"/>
  <c r="Y183" i="17"/>
  <c r="V184" i="17"/>
  <c r="X165" i="19" l="1"/>
  <c r="T165" i="19" s="1"/>
  <c r="Q166" i="19"/>
  <c r="X184" i="17"/>
  <c r="Z184" i="17" s="1"/>
  <c r="W185" i="17"/>
  <c r="S166" i="19" l="1"/>
  <c r="U166" i="19" s="1"/>
  <c r="V167" i="19" s="1"/>
  <c r="R167" i="19"/>
  <c r="AB184" i="17"/>
  <c r="AA185" i="17"/>
  <c r="AC185" i="17" s="1"/>
  <c r="W166" i="19" l="1"/>
  <c r="V186" i="17"/>
  <c r="Y185" i="17"/>
  <c r="X167" i="19" l="1"/>
  <c r="T167" i="19" s="1"/>
  <c r="Q168" i="19"/>
  <c r="X186" i="17"/>
  <c r="Z186" i="17" s="1"/>
  <c r="W187" i="17"/>
  <c r="S168" i="19" l="1"/>
  <c r="U168" i="19" s="1"/>
  <c r="V169" i="19" s="1"/>
  <c r="R169" i="19"/>
  <c r="AA187" i="17"/>
  <c r="AC187" i="17" s="1"/>
  <c r="AB186" i="17"/>
  <c r="W168" i="19" l="1"/>
  <c r="V188" i="17"/>
  <c r="Y187" i="17"/>
  <c r="X169" i="19" l="1"/>
  <c r="T169" i="19" s="1"/>
  <c r="Q170" i="19"/>
  <c r="X188" i="17"/>
  <c r="Z188" i="17" s="1"/>
  <c r="W189" i="17"/>
  <c r="S170" i="19" l="1"/>
  <c r="U170" i="19" s="1"/>
  <c r="V171" i="19" s="1"/>
  <c r="R171" i="19"/>
  <c r="AB188" i="17"/>
  <c r="AA189" i="17"/>
  <c r="AC189" i="17" s="1"/>
  <c r="W170" i="19" l="1"/>
  <c r="V190" i="17"/>
  <c r="Y189" i="17"/>
  <c r="X171" i="19" l="1"/>
  <c r="T171" i="19" s="1"/>
  <c r="Q172" i="19"/>
  <c r="X190" i="17"/>
  <c r="Z190" i="17" s="1"/>
  <c r="W191" i="17"/>
  <c r="S172" i="19" l="1"/>
  <c r="U172" i="19" s="1"/>
  <c r="V173" i="19" s="1"/>
  <c r="R173" i="19"/>
  <c r="AA191" i="17"/>
  <c r="AC191" i="17" s="1"/>
  <c r="AB190" i="17"/>
  <c r="W172" i="19" l="1"/>
  <c r="V192" i="17"/>
  <c r="Y191" i="17"/>
  <c r="X173" i="19" l="1"/>
  <c r="T173" i="19" s="1"/>
  <c r="Q174" i="19"/>
  <c r="W193" i="17"/>
  <c r="X192" i="17"/>
  <c r="Z192" i="17" s="1"/>
  <c r="S174" i="19" l="1"/>
  <c r="U174" i="19" s="1"/>
  <c r="V175" i="19" s="1"/>
  <c r="R175" i="19"/>
  <c r="AB192" i="17"/>
  <c r="AA193" i="17"/>
  <c r="AC193" i="17" s="1"/>
  <c r="W174" i="19" l="1"/>
  <c r="Y193" i="17"/>
  <c r="V194" i="17"/>
  <c r="X175" i="19" l="1"/>
  <c r="T175" i="19" s="1"/>
  <c r="Q176" i="19"/>
  <c r="W195" i="17"/>
  <c r="X194" i="17"/>
  <c r="Z194" i="17" s="1"/>
  <c r="S176" i="19" l="1"/>
  <c r="U176" i="19" s="1"/>
  <c r="V177" i="19" s="1"/>
  <c r="R177" i="19"/>
  <c r="AB194" i="17"/>
  <c r="AA195" i="17"/>
  <c r="AC195" i="17" s="1"/>
  <c r="W176" i="19" l="1"/>
  <c r="Y195" i="17"/>
  <c r="V196" i="17"/>
  <c r="X177" i="19" l="1"/>
  <c r="T177" i="19" s="1"/>
  <c r="Q178" i="19"/>
  <c r="W197" i="17"/>
  <c r="X196" i="17"/>
  <c r="Z196" i="17" s="1"/>
  <c r="S178" i="19" l="1"/>
  <c r="U178" i="19" s="1"/>
  <c r="V179" i="19" s="1"/>
  <c r="R179" i="19"/>
  <c r="AA197" i="17"/>
  <c r="AC197" i="17" s="1"/>
  <c r="AB196" i="17"/>
  <c r="W178" i="19" l="1"/>
  <c r="Y197" i="17"/>
  <c r="V198" i="17"/>
  <c r="X179" i="19" l="1"/>
  <c r="T179" i="19" s="1"/>
  <c r="Q180" i="19"/>
  <c r="W199" i="17"/>
  <c r="X198" i="17"/>
  <c r="Z198" i="17" s="1"/>
  <c r="R181" i="19" l="1"/>
  <c r="S180" i="19"/>
  <c r="U180" i="19" s="1"/>
  <c r="V181" i="19" s="1"/>
  <c r="AB198" i="17"/>
  <c r="AA199" i="17"/>
  <c r="AC199" i="17" s="1"/>
  <c r="W180" i="19" l="1"/>
  <c r="Y199" i="17"/>
  <c r="V200" i="17"/>
  <c r="X181" i="19" l="1"/>
  <c r="T181" i="19" s="1"/>
  <c r="Q182" i="19"/>
  <c r="X200" i="17"/>
  <c r="Z200" i="17" s="1"/>
  <c r="W201" i="17"/>
  <c r="S182" i="19" l="1"/>
  <c r="U182" i="19" s="1"/>
  <c r="V183" i="19" s="1"/>
  <c r="R183" i="19"/>
  <c r="AB200" i="17"/>
  <c r="AA201" i="17"/>
  <c r="AC201" i="17" s="1"/>
  <c r="W182" i="19" l="1"/>
  <c r="V202" i="17"/>
  <c r="Y201" i="17"/>
  <c r="X183" i="19" l="1"/>
  <c r="T183" i="19" s="1"/>
  <c r="Q184" i="19"/>
  <c r="X202" i="17"/>
  <c r="Z202" i="17" s="1"/>
  <c r="W203" i="17"/>
  <c r="S184" i="19" l="1"/>
  <c r="U184" i="19" s="1"/>
  <c r="V185" i="19" s="1"/>
  <c r="R185" i="19"/>
  <c r="AA203" i="17"/>
  <c r="AC203" i="17" s="1"/>
  <c r="AB202" i="17"/>
  <c r="W184" i="19" l="1"/>
  <c r="V204" i="17"/>
  <c r="Y203" i="17"/>
  <c r="X185" i="19" l="1"/>
  <c r="T185" i="19" s="1"/>
  <c r="Q186" i="19"/>
  <c r="X204" i="17"/>
  <c r="Z204" i="17" s="1"/>
  <c r="W205" i="17"/>
  <c r="R187" i="19" l="1"/>
  <c r="S186" i="19"/>
  <c r="U186" i="19" s="1"/>
  <c r="V187" i="19" s="1"/>
  <c r="AB204" i="17"/>
  <c r="AA205" i="17"/>
  <c r="AC205" i="17" s="1"/>
  <c r="W186" i="19" l="1"/>
  <c r="V206" i="17"/>
  <c r="Y205" i="17"/>
  <c r="X187" i="19" l="1"/>
  <c r="T187" i="19" s="1"/>
  <c r="Q188" i="19"/>
  <c r="X206" i="17"/>
  <c r="Z206" i="17" s="1"/>
  <c r="W207" i="17"/>
  <c r="S188" i="19" l="1"/>
  <c r="U188" i="19" s="1"/>
  <c r="V189" i="19" s="1"/>
  <c r="R189" i="19"/>
  <c r="AA207" i="17"/>
  <c r="AC207" i="17" s="1"/>
  <c r="AB206" i="17"/>
  <c r="W188" i="19" l="1"/>
  <c r="V208" i="17"/>
  <c r="Y207" i="17"/>
  <c r="X189" i="19" l="1"/>
  <c r="T189" i="19" s="1"/>
  <c r="Q190" i="19"/>
  <c r="W209" i="17"/>
  <c r="X208" i="17"/>
  <c r="Z208" i="17" s="1"/>
  <c r="R191" i="19" l="1"/>
  <c r="S190" i="19"/>
  <c r="U190" i="19" s="1"/>
  <c r="V191" i="19" s="1"/>
  <c r="AB208" i="17"/>
  <c r="AA209" i="17"/>
  <c r="AC209" i="17" s="1"/>
  <c r="W190" i="19" l="1"/>
  <c r="Y209" i="17"/>
  <c r="V210" i="17"/>
  <c r="X191" i="19" l="1"/>
  <c r="T191" i="19" s="1"/>
  <c r="Q192" i="19"/>
  <c r="X210" i="17"/>
  <c r="Z210" i="17" s="1"/>
  <c r="W211" i="17"/>
  <c r="S192" i="19" l="1"/>
  <c r="U192" i="19" s="1"/>
  <c r="V193" i="19" s="1"/>
  <c r="R193" i="19"/>
  <c r="AA211" i="17"/>
  <c r="AC211" i="17" s="1"/>
  <c r="AB210" i="17"/>
  <c r="W192" i="19" l="1"/>
  <c r="V212" i="17"/>
  <c r="Y211" i="17"/>
  <c r="X193" i="19" l="1"/>
  <c r="T193" i="19" s="1"/>
  <c r="Q194" i="19"/>
  <c r="X212" i="17"/>
  <c r="Z212" i="17" s="1"/>
  <c r="W213" i="17"/>
  <c r="S194" i="19" l="1"/>
  <c r="U194" i="19" s="1"/>
  <c r="V195" i="19" s="1"/>
  <c r="R195" i="19"/>
  <c r="AB212" i="17"/>
  <c r="AA213" i="17"/>
  <c r="AC213" i="17" s="1"/>
  <c r="W194" i="19" l="1"/>
  <c r="V214" i="17"/>
  <c r="Y213" i="17"/>
  <c r="X195" i="19" l="1"/>
  <c r="T195" i="19" s="1"/>
  <c r="Q196" i="19"/>
  <c r="W215" i="17"/>
  <c r="X214" i="17"/>
  <c r="Z214" i="17" s="1"/>
  <c r="S196" i="19" l="1"/>
  <c r="U196" i="19" s="1"/>
  <c r="V197" i="19" s="1"/>
  <c r="R197" i="19"/>
  <c r="AA215" i="17"/>
  <c r="AC215" i="17" s="1"/>
  <c r="AB214" i="17"/>
  <c r="W196" i="19" l="1"/>
  <c r="Y215" i="17"/>
  <c r="V216" i="17"/>
  <c r="X197" i="19" l="1"/>
  <c r="T197" i="19" s="1"/>
  <c r="Q198" i="19"/>
  <c r="W217" i="17"/>
  <c r="X216" i="17"/>
  <c r="Z216" i="17" s="1"/>
  <c r="R199" i="19" l="1"/>
  <c r="S198" i="19"/>
  <c r="U198" i="19" s="1"/>
  <c r="V199" i="19" s="1"/>
  <c r="AB216" i="17"/>
  <c r="AA217" i="17"/>
  <c r="AC217" i="17" s="1"/>
  <c r="W198" i="19" l="1"/>
  <c r="V218" i="17"/>
  <c r="Y217" i="17"/>
  <c r="X199" i="19" l="1"/>
  <c r="T199" i="19" s="1"/>
  <c r="Q200" i="19"/>
  <c r="X218" i="17"/>
  <c r="Z218" i="17" s="1"/>
  <c r="W219" i="17"/>
  <c r="R201" i="19" l="1"/>
  <c r="S200" i="19"/>
  <c r="U200" i="19" s="1"/>
  <c r="V201" i="19" s="1"/>
  <c r="AA219" i="17"/>
  <c r="AC219" i="17" s="1"/>
  <c r="AB218" i="17"/>
  <c r="W200" i="19" l="1"/>
  <c r="V220" i="17"/>
  <c r="Y219" i="17"/>
  <c r="X201" i="19" l="1"/>
  <c r="T201" i="19" s="1"/>
  <c r="Q202" i="19"/>
  <c r="X220" i="17"/>
  <c r="Z220" i="17" s="1"/>
  <c r="W221" i="17"/>
  <c r="S202" i="19" l="1"/>
  <c r="U202" i="19" s="1"/>
  <c r="V203" i="19" s="1"/>
  <c r="R203" i="19"/>
  <c r="AB220" i="17"/>
  <c r="AA221" i="17"/>
  <c r="AC221" i="17" s="1"/>
  <c r="W202" i="19" l="1"/>
  <c r="V222" i="17"/>
  <c r="Y221" i="17"/>
  <c r="X203" i="19" l="1"/>
  <c r="T203" i="19" s="1"/>
  <c r="Q204" i="19"/>
  <c r="X222" i="17"/>
  <c r="Z222" i="17" s="1"/>
  <c r="W223" i="17"/>
  <c r="S204" i="19" l="1"/>
  <c r="U204" i="19" s="1"/>
  <c r="V205" i="19" s="1"/>
  <c r="R205" i="19"/>
  <c r="AB222" i="17"/>
  <c r="AA223" i="17"/>
  <c r="AC223" i="17" s="1"/>
  <c r="W204" i="19" l="1"/>
  <c r="V224" i="17"/>
  <c r="Y223" i="17"/>
  <c r="X205" i="19" l="1"/>
  <c r="T205" i="19" s="1"/>
  <c r="Q206" i="19"/>
  <c r="W225" i="17"/>
  <c r="X224" i="17"/>
  <c r="Z224" i="17" s="1"/>
  <c r="S206" i="19" l="1"/>
  <c r="U206" i="19" s="1"/>
  <c r="V207" i="19" s="1"/>
  <c r="R207" i="19"/>
  <c r="AA225" i="17"/>
  <c r="AC225" i="17" s="1"/>
  <c r="AB224" i="17"/>
  <c r="W206" i="19" l="1"/>
  <c r="Y225" i="17"/>
  <c r="V226" i="17"/>
  <c r="X207" i="19" l="1"/>
  <c r="T207" i="19" s="1"/>
  <c r="Q208" i="19"/>
  <c r="W227" i="17"/>
  <c r="X226" i="17"/>
  <c r="Z226" i="17" s="1"/>
  <c r="S208" i="19" l="1"/>
  <c r="U208" i="19" s="1"/>
  <c r="V209" i="19" s="1"/>
  <c r="R209" i="19"/>
  <c r="AB226" i="17"/>
  <c r="AA227" i="17"/>
  <c r="AC227" i="17" s="1"/>
  <c r="W208" i="19" l="1"/>
  <c r="V228" i="17"/>
  <c r="Y227" i="17"/>
  <c r="X209" i="19" l="1"/>
  <c r="T209" i="19" s="1"/>
  <c r="Q210" i="19"/>
  <c r="W229" i="17"/>
  <c r="X228" i="17"/>
  <c r="Z228" i="17" s="1"/>
  <c r="R211" i="19" l="1"/>
  <c r="S210" i="19"/>
  <c r="U210" i="19" s="1"/>
  <c r="V211" i="19" s="1"/>
  <c r="AA229" i="17"/>
  <c r="AC229" i="17" s="1"/>
  <c r="AB228" i="17"/>
  <c r="W210" i="19" l="1"/>
  <c r="V230" i="17"/>
  <c r="Y229" i="17"/>
  <c r="X211" i="19" l="1"/>
  <c r="T211" i="19" s="1"/>
  <c r="Q212" i="19"/>
  <c r="W231" i="17"/>
  <c r="X230" i="17"/>
  <c r="Z230" i="17" s="1"/>
  <c r="S212" i="19" l="1"/>
  <c r="U212" i="19" s="1"/>
  <c r="V213" i="19" s="1"/>
  <c r="R213" i="19"/>
  <c r="AA231" i="17"/>
  <c r="AC231" i="17" s="1"/>
  <c r="AB230" i="17"/>
  <c r="W212" i="19" l="1"/>
  <c r="Y231" i="17"/>
  <c r="V232" i="17"/>
  <c r="X213" i="19" l="1"/>
  <c r="T213" i="19" s="1"/>
  <c r="Q214" i="19"/>
  <c r="X232" i="17"/>
  <c r="Z232" i="17" s="1"/>
  <c r="W233" i="17"/>
  <c r="R215" i="19" l="1"/>
  <c r="S214" i="19"/>
  <c r="U214" i="19" s="1"/>
  <c r="V215" i="19" s="1"/>
  <c r="AB232" i="17"/>
  <c r="AA233" i="17"/>
  <c r="AC233" i="17" s="1"/>
  <c r="W214" i="19" l="1"/>
  <c r="V234" i="17"/>
  <c r="Y233" i="17"/>
  <c r="X215" i="19" l="1"/>
  <c r="T215" i="19" s="1"/>
  <c r="Q216" i="19"/>
  <c r="X234" i="17"/>
  <c r="Z234" i="17" s="1"/>
  <c r="W235" i="17"/>
  <c r="S216" i="19" l="1"/>
  <c r="U216" i="19" s="1"/>
  <c r="V217" i="19" s="1"/>
  <c r="R217" i="19"/>
  <c r="AA235" i="17"/>
  <c r="AC235" i="17" s="1"/>
  <c r="AB234" i="17"/>
  <c r="W216" i="19" l="1"/>
  <c r="V236" i="17"/>
  <c r="Y235" i="17"/>
  <c r="X217" i="19" l="1"/>
  <c r="T217" i="19" s="1"/>
  <c r="Q218" i="19"/>
  <c r="X236" i="17"/>
  <c r="Z236" i="17" s="1"/>
  <c r="W237" i="17"/>
  <c r="S218" i="19" l="1"/>
  <c r="U218" i="19" s="1"/>
  <c r="V219" i="19" s="1"/>
  <c r="R219" i="19"/>
  <c r="AB236" i="17"/>
  <c r="AA237" i="17"/>
  <c r="AC237" i="17" s="1"/>
  <c r="W218" i="19" l="1"/>
  <c r="V238" i="17"/>
  <c r="Y237" i="17"/>
  <c r="X219" i="19" l="1"/>
  <c r="T219" i="19" s="1"/>
  <c r="Q220" i="19"/>
  <c r="X238" i="17"/>
  <c r="Z238" i="17" s="1"/>
  <c r="W239" i="17"/>
  <c r="S220" i="19" l="1"/>
  <c r="U220" i="19" s="1"/>
  <c r="V221" i="19" s="1"/>
  <c r="R221" i="19"/>
  <c r="AB238" i="17"/>
  <c r="AA239" i="17"/>
  <c r="AC239" i="17" s="1"/>
  <c r="W220" i="19" l="1"/>
  <c r="V240" i="17"/>
  <c r="Y239" i="17"/>
  <c r="X221" i="19" l="1"/>
  <c r="T221" i="19" s="1"/>
  <c r="Q222" i="19"/>
  <c r="W241" i="17"/>
  <c r="X240" i="17"/>
  <c r="Z240" i="17" s="1"/>
  <c r="S222" i="19" l="1"/>
  <c r="U222" i="19" s="1"/>
  <c r="V223" i="19" s="1"/>
  <c r="R223" i="19"/>
  <c r="AB240" i="17"/>
  <c r="AA241" i="17"/>
  <c r="AC241" i="17" s="1"/>
  <c r="W222" i="19" l="1"/>
  <c r="Y241" i="17"/>
  <c r="V242" i="17"/>
  <c r="X223" i="19" l="1"/>
  <c r="T223" i="19" s="1"/>
  <c r="Q224" i="19"/>
  <c r="W243" i="17"/>
  <c r="X242" i="17"/>
  <c r="Z242" i="17" s="1"/>
  <c r="R225" i="19" l="1"/>
  <c r="S224" i="19"/>
  <c r="U224" i="19" s="1"/>
  <c r="V225" i="19" s="1"/>
  <c r="AA243" i="17"/>
  <c r="AC243" i="17" s="1"/>
  <c r="AB242" i="17"/>
  <c r="W224" i="19" l="1"/>
  <c r="V244" i="17"/>
  <c r="Y243" i="17"/>
  <c r="X225" i="19" l="1"/>
  <c r="T225" i="19" s="1"/>
  <c r="Q226" i="19"/>
  <c r="W245" i="17"/>
  <c r="X244" i="17"/>
  <c r="Z244" i="17" s="1"/>
  <c r="S226" i="19" l="1"/>
  <c r="U226" i="19" s="1"/>
  <c r="V227" i="19" s="1"/>
  <c r="R227" i="19"/>
  <c r="AA245" i="17"/>
  <c r="AC245" i="17" s="1"/>
  <c r="AB244" i="17"/>
  <c r="W226" i="19" l="1"/>
  <c r="Y245" i="17"/>
  <c r="V246" i="17"/>
  <c r="X227" i="19" l="1"/>
  <c r="T227" i="19" s="1"/>
  <c r="Q228" i="19"/>
  <c r="W247" i="17"/>
  <c r="X246" i="17"/>
  <c r="Z246" i="17" s="1"/>
  <c r="S228" i="19" l="1"/>
  <c r="U228" i="19" s="1"/>
  <c r="V229" i="19" s="1"/>
  <c r="R229" i="19"/>
  <c r="AB246" i="17"/>
  <c r="AA247" i="17"/>
  <c r="AC247" i="17" s="1"/>
  <c r="W228" i="19" l="1"/>
  <c r="Y247" i="17"/>
  <c r="V248" i="17"/>
  <c r="X229" i="19" l="1"/>
  <c r="T229" i="19" s="1"/>
  <c r="Q230" i="19"/>
  <c r="X248" i="17"/>
  <c r="Z248" i="17" s="1"/>
  <c r="W249" i="17"/>
  <c r="R231" i="19" l="1"/>
  <c r="S230" i="19"/>
  <c r="U230" i="19" s="1"/>
  <c r="V231" i="19" s="1"/>
  <c r="AA249" i="17"/>
  <c r="AC249" i="17" s="1"/>
  <c r="AB248" i="17"/>
  <c r="W230" i="19" l="1"/>
  <c r="V250" i="17"/>
  <c r="Y249" i="17"/>
  <c r="X231" i="19" l="1"/>
  <c r="T231" i="19" s="1"/>
  <c r="Q232" i="19"/>
  <c r="X250" i="17"/>
  <c r="Z250" i="17" s="1"/>
  <c r="W251" i="17"/>
  <c r="S232" i="19" l="1"/>
  <c r="U232" i="19" s="1"/>
  <c r="V233" i="19" s="1"/>
  <c r="R233" i="19"/>
  <c r="AA251" i="17"/>
  <c r="AC251" i="17" s="1"/>
  <c r="AB250" i="17"/>
  <c r="W232" i="19" l="1"/>
  <c r="V252" i="17"/>
  <c r="Y251" i="17"/>
  <c r="X233" i="19" l="1"/>
  <c r="T233" i="19" s="1"/>
  <c r="Q234" i="19"/>
  <c r="X252" i="17"/>
  <c r="Z252" i="17" s="1"/>
  <c r="W253" i="17"/>
  <c r="S234" i="19" l="1"/>
  <c r="U234" i="19" s="1"/>
  <c r="V235" i="19" s="1"/>
  <c r="R235" i="19"/>
  <c r="AB252" i="17"/>
  <c r="AA253" i="17"/>
  <c r="AC253" i="17" s="1"/>
  <c r="W234" i="19" l="1"/>
  <c r="V254" i="17"/>
  <c r="Y253" i="17"/>
  <c r="X235" i="19" l="1"/>
  <c r="T235" i="19" s="1"/>
  <c r="Q236" i="19"/>
  <c r="X254" i="17"/>
  <c r="Z254" i="17" s="1"/>
  <c r="W255" i="17"/>
  <c r="S236" i="19" l="1"/>
  <c r="U236" i="19" s="1"/>
  <c r="V237" i="19" s="1"/>
  <c r="R237" i="19"/>
  <c r="AB254" i="17"/>
  <c r="AA255" i="17"/>
  <c r="AC255" i="17" s="1"/>
  <c r="W236" i="19" l="1"/>
  <c r="V256" i="17"/>
  <c r="Y255" i="17"/>
  <c r="X237" i="19" l="1"/>
  <c r="T237" i="19" s="1"/>
  <c r="Q238" i="19"/>
  <c r="W257" i="17"/>
  <c r="X256" i="17"/>
  <c r="Z256" i="17" s="1"/>
  <c r="R239" i="19" l="1"/>
  <c r="S238" i="19"/>
  <c r="U238" i="19" s="1"/>
  <c r="V239" i="19" s="1"/>
  <c r="AB256" i="17"/>
  <c r="AA257" i="17"/>
  <c r="AC257" i="17" s="1"/>
  <c r="W238" i="19" l="1"/>
  <c r="Y257" i="17"/>
  <c r="V258" i="17"/>
  <c r="X239" i="19" l="1"/>
  <c r="T239" i="19" s="1"/>
  <c r="Q240" i="19"/>
  <c r="W259" i="17"/>
  <c r="X258" i="17"/>
  <c r="Z258" i="17" s="1"/>
  <c r="R241" i="19" l="1"/>
  <c r="S240" i="19"/>
  <c r="U240" i="19" s="1"/>
  <c r="V241" i="19" s="1"/>
  <c r="AB258" i="17"/>
  <c r="AA259" i="17"/>
  <c r="AC259" i="17" s="1"/>
  <c r="W240" i="19" l="1"/>
  <c r="Y259" i="17"/>
  <c r="V260" i="17"/>
  <c r="X241" i="19" l="1"/>
  <c r="T241" i="19" s="1"/>
  <c r="Q242" i="19"/>
  <c r="W261" i="17"/>
  <c r="X260" i="17"/>
  <c r="Z260" i="17" s="1"/>
  <c r="S242" i="19" l="1"/>
  <c r="U242" i="19" s="1"/>
  <c r="V243" i="19" s="1"/>
  <c r="R243" i="19"/>
  <c r="AB260" i="17"/>
  <c r="AA261" i="17"/>
  <c r="AC261" i="17" s="1"/>
  <c r="W242" i="19" l="1"/>
  <c r="Y261" i="17"/>
  <c r="V262" i="17"/>
  <c r="X243" i="19" l="1"/>
  <c r="T243" i="19" s="1"/>
  <c r="Q244" i="19"/>
  <c r="W263" i="17"/>
  <c r="X262" i="17"/>
  <c r="Z262" i="17" s="1"/>
  <c r="R245" i="19" l="1"/>
  <c r="S244" i="19"/>
  <c r="U244" i="19" s="1"/>
  <c r="AB262" i="17"/>
  <c r="AA263" i="17"/>
  <c r="AC263" i="17" s="1"/>
  <c r="V245" i="19" l="1"/>
  <c r="W244" i="19"/>
  <c r="Y263" i="17"/>
  <c r="V264" i="17"/>
  <c r="X245" i="19" l="1"/>
  <c r="T245" i="19" s="1"/>
  <c r="Q246" i="19"/>
  <c r="X264" i="17"/>
  <c r="Z264" i="17" s="1"/>
  <c r="W265" i="17"/>
  <c r="S246" i="19" l="1"/>
  <c r="U246" i="19" s="1"/>
  <c r="V247" i="19" s="1"/>
  <c r="R247" i="19"/>
  <c r="AA265" i="17"/>
  <c r="AC265" i="17" s="1"/>
  <c r="AB264" i="17"/>
  <c r="W246" i="19" l="1"/>
  <c r="V266" i="17"/>
  <c r="Y265" i="17"/>
  <c r="X247" i="19" l="1"/>
  <c r="T247" i="19" s="1"/>
  <c r="Q248" i="19"/>
  <c r="X266" i="17"/>
  <c r="Z266" i="17" s="1"/>
  <c r="W267" i="17"/>
  <c r="S248" i="19" l="1"/>
  <c r="U248" i="19" s="1"/>
  <c r="V249" i="19" s="1"/>
  <c r="R249" i="19"/>
  <c r="AB266" i="17"/>
  <c r="AA267" i="17"/>
  <c r="AC267" i="17" s="1"/>
  <c r="W248" i="19" l="1"/>
  <c r="V268" i="17"/>
  <c r="Y267" i="17"/>
  <c r="X249" i="19" l="1"/>
  <c r="T249" i="19" s="1"/>
  <c r="Q250" i="19"/>
  <c r="X268" i="17"/>
  <c r="Z268" i="17" s="1"/>
  <c r="W269" i="17"/>
  <c r="R251" i="19" l="1"/>
  <c r="S250" i="19"/>
  <c r="U250" i="19" s="1"/>
  <c r="V251" i="19" s="1"/>
  <c r="AB268" i="17"/>
  <c r="AA269" i="17"/>
  <c r="AC269" i="17" s="1"/>
  <c r="W250" i="19" l="1"/>
  <c r="V270" i="17"/>
  <c r="Y269" i="17"/>
  <c r="X251" i="19" l="1"/>
  <c r="T251" i="19" s="1"/>
  <c r="Q252" i="19"/>
  <c r="W271" i="17"/>
  <c r="X270" i="17"/>
  <c r="Z270" i="17" s="1"/>
  <c r="S252" i="19" l="1"/>
  <c r="U252" i="19" s="1"/>
  <c r="V253" i="19" s="1"/>
  <c r="R253" i="19"/>
  <c r="AA271" i="17"/>
  <c r="AC271" i="17" s="1"/>
  <c r="AB270" i="17"/>
  <c r="W252" i="19" l="1"/>
  <c r="Y271" i="17"/>
  <c r="V272" i="17"/>
  <c r="X253" i="19" l="1"/>
  <c r="T253" i="19" s="1"/>
  <c r="Q254" i="19"/>
  <c r="X272" i="17"/>
  <c r="Z272" i="17" s="1"/>
  <c r="W273" i="17"/>
  <c r="S254" i="19" l="1"/>
  <c r="U254" i="19" s="1"/>
  <c r="V255" i="19" s="1"/>
  <c r="R255" i="19"/>
  <c r="AB272" i="17"/>
  <c r="AA273" i="17"/>
  <c r="AC273" i="17" s="1"/>
  <c r="W254" i="19" l="1"/>
  <c r="V274" i="17"/>
  <c r="Y273" i="17"/>
  <c r="X255" i="19" l="1"/>
  <c r="T255" i="19" s="1"/>
  <c r="Q256" i="19"/>
  <c r="W275" i="17"/>
  <c r="X274" i="17"/>
  <c r="Z274" i="17" s="1"/>
  <c r="S256" i="19" l="1"/>
  <c r="U256" i="19" s="1"/>
  <c r="V257" i="19" s="1"/>
  <c r="R257" i="19"/>
  <c r="AA275" i="17"/>
  <c r="AC275" i="17" s="1"/>
  <c r="AB274" i="17"/>
  <c r="W256" i="19" l="1"/>
  <c r="Y275" i="17"/>
  <c r="V276" i="17"/>
  <c r="X257" i="19" l="1"/>
  <c r="T257" i="19" s="1"/>
  <c r="Q258" i="19"/>
  <c r="W277" i="17"/>
  <c r="X276" i="17"/>
  <c r="Z276" i="17" s="1"/>
  <c r="R259" i="19" l="1"/>
  <c r="S258" i="19"/>
  <c r="U258" i="19" s="1"/>
  <c r="V259" i="19" s="1"/>
  <c r="AB276" i="17"/>
  <c r="AA277" i="17"/>
  <c r="AC277" i="17" s="1"/>
  <c r="W258" i="19" l="1"/>
  <c r="Y277" i="17"/>
  <c r="V278" i="17"/>
  <c r="X259" i="19" l="1"/>
  <c r="T259" i="19" s="1"/>
  <c r="Q260" i="19"/>
  <c r="X278" i="17"/>
  <c r="Z278" i="17" s="1"/>
  <c r="W279" i="17"/>
  <c r="S260" i="19" l="1"/>
  <c r="U260" i="19" s="1"/>
  <c r="V261" i="19" s="1"/>
  <c r="R261" i="19"/>
  <c r="AA279" i="17"/>
  <c r="AC279" i="17" s="1"/>
  <c r="AB278" i="17"/>
  <c r="W260" i="19" l="1"/>
  <c r="Y279" i="17"/>
  <c r="V280" i="17"/>
  <c r="X261" i="19" l="1"/>
  <c r="T261" i="19" s="1"/>
  <c r="Q262" i="19"/>
  <c r="W281" i="17"/>
  <c r="X280" i="17"/>
  <c r="Z280" i="17" s="1"/>
  <c r="R263" i="19" l="1"/>
  <c r="S262" i="19"/>
  <c r="U262" i="19" s="1"/>
  <c r="V263" i="19" s="1"/>
  <c r="AA281" i="17"/>
  <c r="AC281" i="17" s="1"/>
  <c r="AB280" i="17"/>
  <c r="W262" i="19" l="1"/>
  <c r="V282" i="17"/>
  <c r="Y281" i="17"/>
  <c r="X263" i="19" l="1"/>
  <c r="T263" i="19" s="1"/>
  <c r="Q264" i="19"/>
  <c r="W283" i="17"/>
  <c r="X282" i="17"/>
  <c r="Z282" i="17" s="1"/>
  <c r="S264" i="19" l="1"/>
  <c r="U264" i="19" s="1"/>
  <c r="V265" i="19" s="1"/>
  <c r="R265" i="19"/>
  <c r="AA283" i="17"/>
  <c r="AC283" i="17" s="1"/>
  <c r="AB282" i="17"/>
  <c r="W264" i="19" l="1"/>
  <c r="V284" i="17"/>
  <c r="Y283" i="17"/>
  <c r="X265" i="19" l="1"/>
  <c r="T265" i="19" s="1"/>
  <c r="Q266" i="19"/>
  <c r="W285" i="17"/>
  <c r="X284" i="17"/>
  <c r="Z284" i="17" s="1"/>
  <c r="S266" i="19" l="1"/>
  <c r="U266" i="19" s="1"/>
  <c r="V267" i="19" s="1"/>
  <c r="R267" i="19"/>
  <c r="AB284" i="17"/>
  <c r="AA285" i="17"/>
  <c r="AC285" i="17" s="1"/>
  <c r="W266" i="19" l="1"/>
  <c r="Y285" i="17"/>
  <c r="V286" i="17"/>
  <c r="X267" i="19" l="1"/>
  <c r="T267" i="19" s="1"/>
  <c r="Q268" i="19"/>
  <c r="W287" i="17"/>
  <c r="X286" i="17"/>
  <c r="Z286" i="17" s="1"/>
  <c r="S268" i="19" l="1"/>
  <c r="U268" i="19" s="1"/>
  <c r="V269" i="19" s="1"/>
  <c r="R269" i="19"/>
  <c r="AA287" i="17"/>
  <c r="AC287" i="17" s="1"/>
  <c r="AB286" i="17"/>
  <c r="W268" i="19" l="1"/>
  <c r="Y287" i="17"/>
  <c r="V288" i="17"/>
  <c r="X269" i="19" l="1"/>
  <c r="T269" i="19" s="1"/>
  <c r="Q270" i="19"/>
  <c r="W289" i="17"/>
  <c r="X288" i="17"/>
  <c r="Z288" i="17" s="1"/>
  <c r="S270" i="19" l="1"/>
  <c r="U270" i="19" s="1"/>
  <c r="V271" i="19" s="1"/>
  <c r="R271" i="19"/>
  <c r="AB288" i="17"/>
  <c r="AA289" i="17"/>
  <c r="AC289" i="17" s="1"/>
  <c r="W270" i="19" l="1"/>
  <c r="V290" i="17"/>
  <c r="Y289" i="17"/>
  <c r="X271" i="19" l="1"/>
  <c r="T271" i="19" s="1"/>
  <c r="Q272" i="19"/>
  <c r="X290" i="17"/>
  <c r="Z290" i="17" s="1"/>
  <c r="W291" i="17"/>
  <c r="R273" i="19" l="1"/>
  <c r="S272" i="19"/>
  <c r="U272" i="19" s="1"/>
  <c r="V273" i="19" s="1"/>
  <c r="AA291" i="17"/>
  <c r="AC291" i="17" s="1"/>
  <c r="AB290" i="17"/>
  <c r="W272" i="19" l="1"/>
  <c r="Y291" i="17"/>
  <c r="V292" i="17"/>
  <c r="X273" i="19" l="1"/>
  <c r="T273" i="19" s="1"/>
  <c r="Q274" i="19"/>
  <c r="W293" i="17"/>
  <c r="X292" i="17"/>
  <c r="Z292" i="17" s="1"/>
  <c r="S274" i="19" l="1"/>
  <c r="U274" i="19" s="1"/>
  <c r="V275" i="19" s="1"/>
  <c r="R275" i="19"/>
  <c r="AB292" i="17"/>
  <c r="AA293" i="17"/>
  <c r="AC293" i="17" s="1"/>
  <c r="W274" i="19" l="1"/>
  <c r="V294" i="17"/>
  <c r="Y293" i="17"/>
  <c r="X275" i="19" l="1"/>
  <c r="T275" i="19" s="1"/>
  <c r="Q276" i="19"/>
  <c r="W295" i="17"/>
  <c r="X294" i="17"/>
  <c r="Z294" i="17" s="1"/>
  <c r="R277" i="19" l="1"/>
  <c r="S276" i="19"/>
  <c r="U276" i="19" s="1"/>
  <c r="V277" i="19" s="1"/>
  <c r="AA295" i="17"/>
  <c r="AC295" i="17" s="1"/>
  <c r="AB294" i="17"/>
  <c r="W276" i="19" l="1"/>
  <c r="Y295" i="17"/>
  <c r="V296" i="17"/>
  <c r="X277" i="19" l="1"/>
  <c r="T277" i="19" s="1"/>
  <c r="Q278" i="19"/>
  <c r="X296" i="17"/>
  <c r="Z296" i="17" s="1"/>
  <c r="W297" i="17"/>
  <c r="R279" i="19" l="1"/>
  <c r="S278" i="19"/>
  <c r="U278" i="19" s="1"/>
  <c r="V279" i="19" s="1"/>
  <c r="AA297" i="17"/>
  <c r="AC297" i="17" s="1"/>
  <c r="AB296" i="17"/>
  <c r="W278" i="19" l="1"/>
  <c r="V298" i="17"/>
  <c r="Y297" i="17"/>
  <c r="X279" i="19" l="1"/>
  <c r="T279" i="19" s="1"/>
  <c r="Q280" i="19"/>
  <c r="X298" i="17"/>
  <c r="Z298" i="17" s="1"/>
  <c r="W299" i="17"/>
  <c r="S280" i="19" l="1"/>
  <c r="U280" i="19" s="1"/>
  <c r="V281" i="19" s="1"/>
  <c r="R281" i="19"/>
  <c r="AA299" i="17"/>
  <c r="AC299" i="17" s="1"/>
  <c r="AB298" i="17"/>
  <c r="W280" i="19" l="1"/>
  <c r="V300" i="17"/>
  <c r="Y299" i="17"/>
  <c r="X281" i="19" l="1"/>
  <c r="T281" i="19" s="1"/>
  <c r="Q282" i="19"/>
  <c r="W301" i="17"/>
  <c r="X300" i="17"/>
  <c r="Z300" i="17" s="1"/>
  <c r="S282" i="19" l="1"/>
  <c r="U282" i="19" s="1"/>
  <c r="V283" i="19" s="1"/>
  <c r="R283" i="19"/>
  <c r="AB300" i="17"/>
  <c r="AA301" i="17"/>
  <c r="AC301" i="17" s="1"/>
  <c r="W282" i="19" l="1"/>
  <c r="V302" i="17"/>
  <c r="Y301" i="17"/>
  <c r="X283" i="19" l="1"/>
  <c r="T283" i="19" s="1"/>
  <c r="Q284" i="19"/>
  <c r="X302" i="17"/>
  <c r="Z302" i="17" s="1"/>
  <c r="W303" i="17"/>
  <c r="R285" i="19" l="1"/>
  <c r="S284" i="19"/>
  <c r="U284" i="19" s="1"/>
  <c r="V285" i="19" s="1"/>
  <c r="AA303" i="17"/>
  <c r="AC303" i="17" s="1"/>
  <c r="AB302" i="17"/>
  <c r="W284" i="19" l="1"/>
  <c r="Y303" i="17"/>
  <c r="V304" i="17"/>
  <c r="X285" i="19" l="1"/>
  <c r="T285" i="19" s="1"/>
  <c r="Q286" i="19"/>
  <c r="W305" i="17"/>
  <c r="X304" i="17"/>
  <c r="Z304" i="17" s="1"/>
  <c r="R287" i="19" l="1"/>
  <c r="S286" i="19"/>
  <c r="U286" i="19" s="1"/>
  <c r="V287" i="19" s="1"/>
  <c r="AB304" i="17"/>
  <c r="AA305" i="17"/>
  <c r="AC305" i="17" s="1"/>
  <c r="W286" i="19" l="1"/>
  <c r="Y305" i="17"/>
  <c r="V306" i="17"/>
  <c r="X287" i="19" l="1"/>
  <c r="T287" i="19" s="1"/>
  <c r="Q288" i="19"/>
  <c r="X306" i="17"/>
  <c r="Z306" i="17" s="1"/>
  <c r="W307" i="17"/>
  <c r="S288" i="19" l="1"/>
  <c r="U288" i="19" s="1"/>
  <c r="V289" i="19" s="1"/>
  <c r="R289" i="19"/>
  <c r="AA307" i="17"/>
  <c r="AC307" i="17" s="1"/>
  <c r="AB306" i="17"/>
  <c r="W288" i="19" l="1"/>
  <c r="Y307" i="17"/>
  <c r="V308" i="17"/>
  <c r="X289" i="19" l="1"/>
  <c r="T289" i="19" s="1"/>
  <c r="Q290" i="19"/>
  <c r="X308" i="17"/>
  <c r="Z308" i="17" s="1"/>
  <c r="W309" i="17"/>
  <c r="R291" i="19" l="1"/>
  <c r="S290" i="19"/>
  <c r="U290" i="19" s="1"/>
  <c r="V291" i="19" s="1"/>
  <c r="AA309" i="17"/>
  <c r="AC309" i="17" s="1"/>
  <c r="AB308" i="17"/>
  <c r="W290" i="19" l="1"/>
  <c r="V310" i="17"/>
  <c r="Y309" i="17"/>
  <c r="X291" i="19" l="1"/>
  <c r="T291" i="19" s="1"/>
  <c r="Q292" i="19"/>
  <c r="X310" i="17"/>
  <c r="Z310" i="17" s="1"/>
  <c r="W311" i="17"/>
  <c r="S292" i="19" l="1"/>
  <c r="U292" i="19" s="1"/>
  <c r="V293" i="19" s="1"/>
  <c r="R293" i="19"/>
  <c r="AB310" i="17"/>
  <c r="AA311" i="17"/>
  <c r="AC311" i="17" s="1"/>
  <c r="W292" i="19" l="1"/>
  <c r="Y311" i="17"/>
  <c r="V312" i="17"/>
  <c r="X293" i="19" l="1"/>
  <c r="T293" i="19" s="1"/>
  <c r="Q294" i="19"/>
  <c r="W313" i="17"/>
  <c r="X312" i="17"/>
  <c r="Z312" i="17" s="1"/>
  <c r="S294" i="19" l="1"/>
  <c r="U294" i="19" s="1"/>
  <c r="V295" i="19" s="1"/>
  <c r="R295" i="19"/>
  <c r="AB312" i="17"/>
  <c r="AA313" i="17"/>
  <c r="AC313" i="17" s="1"/>
  <c r="W294" i="19" l="1"/>
  <c r="V314" i="17"/>
  <c r="Y313" i="17"/>
  <c r="X295" i="19" l="1"/>
  <c r="T295" i="19" s="1"/>
  <c r="Q296" i="19"/>
  <c r="X314" i="17"/>
  <c r="Z314" i="17" s="1"/>
  <c r="W315" i="17"/>
  <c r="R297" i="19" l="1"/>
  <c r="S296" i="19"/>
  <c r="U296" i="19" s="1"/>
  <c r="V297" i="19" s="1"/>
  <c r="AA315" i="17"/>
  <c r="AC315" i="17" s="1"/>
  <c r="AB314" i="17"/>
  <c r="W296" i="19" l="1"/>
  <c r="V316" i="17"/>
  <c r="Y315" i="17"/>
  <c r="X297" i="19" l="1"/>
  <c r="T297" i="19" s="1"/>
  <c r="Q298" i="19"/>
  <c r="X316" i="17"/>
  <c r="Z316" i="17" s="1"/>
  <c r="W317" i="17"/>
  <c r="S298" i="19" l="1"/>
  <c r="U298" i="19" s="1"/>
  <c r="V299" i="19" s="1"/>
  <c r="R299" i="19"/>
  <c r="AA317" i="17"/>
  <c r="AC317" i="17" s="1"/>
  <c r="AB316" i="17"/>
  <c r="W298" i="19" l="1"/>
  <c r="V318" i="17"/>
  <c r="Y317" i="17"/>
  <c r="X299" i="19" l="1"/>
  <c r="T299" i="19" s="1"/>
  <c r="Q300" i="19"/>
  <c r="W319" i="17"/>
  <c r="X318" i="17"/>
  <c r="Z318" i="17" s="1"/>
  <c r="R301" i="19" l="1"/>
  <c r="S300" i="19"/>
  <c r="U300" i="19" s="1"/>
  <c r="V301" i="19" s="1"/>
  <c r="AA319" i="17"/>
  <c r="AC319" i="17" s="1"/>
  <c r="AB318" i="17"/>
  <c r="W300" i="19" l="1"/>
  <c r="V320" i="17"/>
  <c r="Y319" i="17"/>
  <c r="X301" i="19" l="1"/>
  <c r="T301" i="19" s="1"/>
  <c r="Q302" i="19"/>
  <c r="W321" i="17"/>
  <c r="X320" i="17"/>
  <c r="Z320" i="17" s="1"/>
  <c r="R303" i="19" l="1"/>
  <c r="S302" i="19"/>
  <c r="U302" i="19" s="1"/>
  <c r="V303" i="19" s="1"/>
  <c r="AB320" i="17"/>
  <c r="AA321" i="17"/>
  <c r="AC321" i="17" s="1"/>
  <c r="W302" i="19" l="1"/>
  <c r="V322" i="17"/>
  <c r="Y321" i="17"/>
  <c r="X303" i="19" l="1"/>
  <c r="T303" i="19" s="1"/>
  <c r="Q304" i="19"/>
  <c r="W323" i="17"/>
  <c r="X322" i="17"/>
  <c r="Z322" i="17" s="1"/>
  <c r="R305" i="19" l="1"/>
  <c r="S304" i="19"/>
  <c r="U304" i="19" s="1"/>
  <c r="V305" i="19" s="1"/>
  <c r="AA323" i="17"/>
  <c r="AC323" i="17" s="1"/>
  <c r="AB322" i="17"/>
  <c r="W304" i="19" l="1"/>
  <c r="Y323" i="17"/>
  <c r="V324" i="17"/>
  <c r="X305" i="19" l="1"/>
  <c r="T305" i="19" s="1"/>
  <c r="Q306" i="19"/>
  <c r="W325" i="17"/>
  <c r="X324" i="17"/>
  <c r="Z324" i="17" s="1"/>
  <c r="S306" i="19" l="1"/>
  <c r="U306" i="19" s="1"/>
  <c r="V307" i="19" s="1"/>
  <c r="R307" i="19"/>
  <c r="AA325" i="17"/>
  <c r="AC325" i="17" s="1"/>
  <c r="AB324" i="17"/>
  <c r="W306" i="19" l="1"/>
  <c r="V326" i="17"/>
  <c r="Y325" i="17"/>
  <c r="X307" i="19" l="1"/>
  <c r="T307" i="19" s="1"/>
  <c r="Q308" i="19"/>
  <c r="X326" i="17"/>
  <c r="Z326" i="17" s="1"/>
  <c r="W327" i="17"/>
  <c r="S308" i="19" l="1"/>
  <c r="U308" i="19" s="1"/>
  <c r="V309" i="19" s="1"/>
  <c r="R309" i="19"/>
  <c r="AA327" i="17"/>
  <c r="AC327" i="17" s="1"/>
  <c r="AB326" i="17"/>
  <c r="W308" i="19" l="1"/>
  <c r="V328" i="17"/>
  <c r="Y327" i="17"/>
  <c r="X309" i="19" l="1"/>
  <c r="T309" i="19" s="1"/>
  <c r="Q310" i="19"/>
  <c r="X328" i="17"/>
  <c r="Z328" i="17" s="1"/>
  <c r="W329" i="17"/>
  <c r="R311" i="19" l="1"/>
  <c r="S310" i="19"/>
  <c r="U310" i="19" s="1"/>
  <c r="V311" i="19" s="1"/>
  <c r="AA329" i="17"/>
  <c r="AC329" i="17" s="1"/>
  <c r="AB328" i="17"/>
  <c r="W310" i="19" l="1"/>
  <c r="V330" i="17"/>
  <c r="Y329" i="17"/>
  <c r="X311" i="19" l="1"/>
  <c r="T311" i="19" s="1"/>
  <c r="Q312" i="19"/>
  <c r="W331" i="17"/>
  <c r="X330" i="17"/>
  <c r="Z330" i="17" s="1"/>
  <c r="R313" i="19" l="1"/>
  <c r="S312" i="19"/>
  <c r="U312" i="19" s="1"/>
  <c r="V313" i="19" s="1"/>
  <c r="AA331" i="17"/>
  <c r="AC331" i="17" s="1"/>
  <c r="AB330" i="17"/>
  <c r="W312" i="19" l="1"/>
  <c r="Y331" i="17"/>
  <c r="V332" i="17"/>
  <c r="X313" i="19" l="1"/>
  <c r="T313" i="19" s="1"/>
  <c r="Q314" i="19"/>
  <c r="X332" i="17"/>
  <c r="Z332" i="17" s="1"/>
  <c r="W333" i="17"/>
  <c r="S314" i="19" l="1"/>
  <c r="U314" i="19" s="1"/>
  <c r="V315" i="19" s="1"/>
  <c r="R315" i="19"/>
  <c r="AA333" i="17"/>
  <c r="AC333" i="17" s="1"/>
  <c r="AB332" i="17"/>
  <c r="W314" i="19" l="1"/>
  <c r="V334" i="17"/>
  <c r="Y333" i="17"/>
  <c r="X315" i="19" l="1"/>
  <c r="T315" i="19" s="1"/>
  <c r="Q316" i="19"/>
  <c r="W335" i="17"/>
  <c r="X334" i="17"/>
  <c r="Z334" i="17" s="1"/>
  <c r="S316" i="19" l="1"/>
  <c r="U316" i="19" s="1"/>
  <c r="V317" i="19" s="1"/>
  <c r="R317" i="19"/>
  <c r="AA335" i="17"/>
  <c r="AC335" i="17" s="1"/>
  <c r="AB334" i="17"/>
  <c r="W316" i="19" l="1"/>
  <c r="V336" i="17"/>
  <c r="Y335" i="17"/>
  <c r="X317" i="19" l="1"/>
  <c r="T317" i="19" s="1"/>
  <c r="Q318" i="19"/>
  <c r="X336" i="17"/>
  <c r="Z336" i="17" s="1"/>
  <c r="W337" i="17"/>
  <c r="S318" i="19" l="1"/>
  <c r="U318" i="19" s="1"/>
  <c r="V319" i="19" s="1"/>
  <c r="R319" i="19"/>
  <c r="AB336" i="17"/>
  <c r="AA337" i="17"/>
  <c r="AC337" i="17" s="1"/>
  <c r="W318" i="19" l="1"/>
  <c r="V338" i="17"/>
  <c r="Y337" i="17"/>
  <c r="X319" i="19" l="1"/>
  <c r="T319" i="19" s="1"/>
  <c r="Q320" i="19"/>
  <c r="W339" i="17"/>
  <c r="X338" i="17"/>
  <c r="Z338" i="17" s="1"/>
  <c r="S320" i="19" l="1"/>
  <c r="U320" i="19" s="1"/>
  <c r="V321" i="19" s="1"/>
  <c r="R321" i="19"/>
  <c r="AA339" i="17"/>
  <c r="AC339" i="17" s="1"/>
  <c r="AB338" i="17"/>
  <c r="W320" i="19" l="1"/>
  <c r="V340" i="17"/>
  <c r="Y339" i="17"/>
  <c r="X321" i="19" l="1"/>
  <c r="T321" i="19" s="1"/>
  <c r="Q322" i="19"/>
  <c r="X340" i="17"/>
  <c r="Z340" i="17" s="1"/>
  <c r="W341" i="17"/>
  <c r="S322" i="19" l="1"/>
  <c r="U322" i="19" s="1"/>
  <c r="V323" i="19" s="1"/>
  <c r="R323" i="19"/>
  <c r="AB340" i="17"/>
  <c r="AA341" i="17"/>
  <c r="AC341" i="17" s="1"/>
  <c r="W322" i="19" l="1"/>
  <c r="V342" i="17"/>
  <c r="Y341" i="17"/>
  <c r="X323" i="19" l="1"/>
  <c r="T323" i="19" s="1"/>
  <c r="Q324" i="19"/>
  <c r="W343" i="17"/>
  <c r="X342" i="17"/>
  <c r="Z342" i="17" s="1"/>
  <c r="R325" i="19" l="1"/>
  <c r="S324" i="19"/>
  <c r="U324" i="19" s="1"/>
  <c r="V325" i="19" s="1"/>
  <c r="AB342" i="17"/>
  <c r="AA343" i="17"/>
  <c r="AC343" i="17" s="1"/>
  <c r="W324" i="19" l="1"/>
  <c r="V344" i="17"/>
  <c r="Y343" i="17"/>
  <c r="X325" i="19" l="1"/>
  <c r="T325" i="19" s="1"/>
  <c r="Q326" i="19"/>
  <c r="X344" i="17"/>
  <c r="Z344" i="17" s="1"/>
  <c r="W345" i="17"/>
  <c r="R327" i="19" l="1"/>
  <c r="S326" i="19"/>
  <c r="U326" i="19" s="1"/>
  <c r="V327" i="19" s="1"/>
  <c r="AB344" i="17"/>
  <c r="AA345" i="17"/>
  <c r="AC345" i="17" s="1"/>
  <c r="W326" i="19" l="1"/>
  <c r="Y345" i="17"/>
  <c r="V346" i="17"/>
  <c r="X327" i="19" l="1"/>
  <c r="T327" i="19" s="1"/>
  <c r="Q328" i="19"/>
  <c r="X346" i="17"/>
  <c r="Z346" i="17" s="1"/>
  <c r="W347" i="17"/>
  <c r="S328" i="19" l="1"/>
  <c r="U328" i="19" s="1"/>
  <c r="V329" i="19" s="1"/>
  <c r="R329" i="19"/>
  <c r="AA347" i="17"/>
  <c r="AC347" i="17" s="1"/>
  <c r="AB346" i="17"/>
  <c r="W328" i="19" l="1"/>
  <c r="V348" i="17"/>
  <c r="Y347" i="17"/>
  <c r="X329" i="19" l="1"/>
  <c r="T329" i="19" s="1"/>
  <c r="Q330" i="19"/>
  <c r="X348" i="17"/>
  <c r="Z348" i="17" s="1"/>
  <c r="W349" i="17"/>
  <c r="R331" i="19" l="1"/>
  <c r="S330" i="19"/>
  <c r="U330" i="19" s="1"/>
  <c r="V331" i="19" s="1"/>
  <c r="AB348" i="17"/>
  <c r="AA349" i="17"/>
  <c r="AC349" i="17" s="1"/>
  <c r="W330" i="19" l="1"/>
  <c r="Y349" i="17"/>
  <c r="V350" i="17"/>
  <c r="X331" i="19" l="1"/>
  <c r="T331" i="19" s="1"/>
  <c r="Q332" i="19"/>
  <c r="W351" i="17"/>
  <c r="X350" i="17"/>
  <c r="Z350" i="17" s="1"/>
  <c r="R333" i="19" l="1"/>
  <c r="S332" i="19"/>
  <c r="U332" i="19" s="1"/>
  <c r="V333" i="19" s="1"/>
  <c r="AA351" i="17"/>
  <c r="AC351" i="17" s="1"/>
  <c r="AB350" i="17"/>
  <c r="W332" i="19" l="1"/>
  <c r="Y351" i="17"/>
  <c r="V352" i="17"/>
  <c r="X333" i="19" l="1"/>
  <c r="T333" i="19" s="1"/>
  <c r="Q334" i="19"/>
  <c r="W353" i="17"/>
  <c r="X352" i="17"/>
  <c r="Z352" i="17" s="1"/>
  <c r="S334" i="19" l="1"/>
  <c r="U334" i="19" s="1"/>
  <c r="V335" i="19" s="1"/>
  <c r="R335" i="19"/>
  <c r="AB352" i="17"/>
  <c r="AA353" i="17"/>
  <c r="AC353" i="17" s="1"/>
  <c r="W334" i="19" l="1"/>
  <c r="V354" i="17"/>
  <c r="Y353" i="17"/>
  <c r="X335" i="19" l="1"/>
  <c r="T335" i="19" s="1"/>
  <c r="Q336" i="19"/>
  <c r="X354" i="17"/>
  <c r="Z354" i="17" s="1"/>
  <c r="W355" i="17"/>
  <c r="S336" i="19" l="1"/>
  <c r="U336" i="19" s="1"/>
  <c r="V337" i="19" s="1"/>
  <c r="R337" i="19"/>
  <c r="AB354" i="17"/>
  <c r="AA355" i="17"/>
  <c r="AC355" i="17" s="1"/>
  <c r="W336" i="19" l="1"/>
  <c r="V356" i="17"/>
  <c r="Y355" i="17"/>
  <c r="X337" i="19" l="1"/>
  <c r="T337" i="19" s="1"/>
  <c r="Q338" i="19"/>
  <c r="X356" i="17"/>
  <c r="Z356" i="17" s="1"/>
  <c r="W357" i="17"/>
  <c r="S338" i="19" l="1"/>
  <c r="U338" i="19" s="1"/>
  <c r="V339" i="19" s="1"/>
  <c r="R339" i="19"/>
  <c r="AA357" i="17"/>
  <c r="AC357" i="17" s="1"/>
  <c r="AB356" i="17"/>
  <c r="W338" i="19" l="1"/>
  <c r="Y357" i="17"/>
  <c r="V358" i="17"/>
  <c r="X339" i="19" l="1"/>
  <c r="T339" i="19" s="1"/>
  <c r="Q340" i="19"/>
  <c r="X358" i="17"/>
  <c r="Z358" i="17" s="1"/>
  <c r="W359" i="17"/>
  <c r="S340" i="19" l="1"/>
  <c r="U340" i="19" s="1"/>
  <c r="V341" i="19" s="1"/>
  <c r="R341" i="19"/>
  <c r="AB358" i="17"/>
  <c r="AA359" i="17"/>
  <c r="AC359" i="17" s="1"/>
  <c r="W340" i="19" l="1"/>
  <c r="V360" i="17"/>
  <c r="Y359" i="17"/>
  <c r="X341" i="19" l="1"/>
  <c r="T341" i="19" s="1"/>
  <c r="Q342" i="19"/>
  <c r="W361" i="17"/>
  <c r="X360" i="17"/>
  <c r="Z360" i="17" s="1"/>
  <c r="S342" i="19" l="1"/>
  <c r="U342" i="19" s="1"/>
  <c r="V343" i="19" s="1"/>
  <c r="R343" i="19"/>
  <c r="AA361" i="17"/>
  <c r="AC361" i="17" s="1"/>
  <c r="AB360" i="17"/>
  <c r="W342" i="19" l="1"/>
  <c r="Y361" i="17"/>
  <c r="V362" i="17"/>
  <c r="X343" i="19" l="1"/>
  <c r="T343" i="19" s="1"/>
  <c r="Q344" i="19"/>
  <c r="W363" i="17"/>
  <c r="X362" i="17"/>
  <c r="Z362" i="17" s="1"/>
  <c r="R345" i="19" l="1"/>
  <c r="S344" i="19"/>
  <c r="U344" i="19" s="1"/>
  <c r="V345" i="19" s="1"/>
  <c r="AA363" i="17"/>
  <c r="AC363" i="17" s="1"/>
  <c r="AB362" i="17"/>
  <c r="W344" i="19" l="1"/>
  <c r="V364" i="17"/>
  <c r="Y363" i="17"/>
  <c r="X345" i="19" l="1"/>
  <c r="T345" i="19" s="1"/>
  <c r="Q346" i="19"/>
  <c r="X364" i="17"/>
  <c r="Z364" i="17" s="1"/>
  <c r="W365" i="17"/>
  <c r="S346" i="19" l="1"/>
  <c r="U346" i="19" s="1"/>
  <c r="V347" i="19" s="1"/>
  <c r="R347" i="19"/>
  <c r="AB364" i="17"/>
  <c r="AA365" i="17"/>
  <c r="AC365" i="17" s="1"/>
  <c r="W346" i="19" l="1"/>
  <c r="Y365" i="17"/>
  <c r="V366" i="17"/>
  <c r="X347" i="19" l="1"/>
  <c r="T347" i="19" s="1"/>
  <c r="Q348" i="19"/>
  <c r="W367" i="17"/>
  <c r="X366" i="17"/>
  <c r="Z366" i="17" s="1"/>
  <c r="S348" i="19" l="1"/>
  <c r="U348" i="19" s="1"/>
  <c r="V349" i="19" s="1"/>
  <c r="R349" i="19"/>
  <c r="AA367" i="17"/>
  <c r="AC367" i="17" s="1"/>
  <c r="AB366" i="17"/>
  <c r="W348" i="19" l="1"/>
  <c r="Y367" i="17"/>
  <c r="V368" i="17"/>
  <c r="X349" i="19" l="1"/>
  <c r="T349" i="19" s="1"/>
  <c r="Q350" i="19"/>
  <c r="W369" i="17"/>
  <c r="X368" i="17"/>
  <c r="Z368" i="17" s="1"/>
  <c r="S350" i="19" l="1"/>
  <c r="U350" i="19" s="1"/>
  <c r="V351" i="19" s="1"/>
  <c r="R351" i="19"/>
  <c r="AA369" i="17"/>
  <c r="AC369" i="17" s="1"/>
  <c r="AB368" i="17"/>
  <c r="W350" i="19" l="1"/>
  <c r="V370" i="17"/>
  <c r="Y369" i="17"/>
  <c r="X351" i="19" l="1"/>
  <c r="T351" i="19" s="1"/>
  <c r="Q352" i="19"/>
  <c r="W371" i="17"/>
  <c r="X370" i="17"/>
  <c r="Z370" i="17" s="1"/>
  <c r="R353" i="19" l="1"/>
  <c r="S352" i="19"/>
  <c r="U352" i="19" s="1"/>
  <c r="V353" i="19" s="1"/>
  <c r="AB370" i="17"/>
  <c r="AA371" i="17"/>
  <c r="AC371" i="17" s="1"/>
  <c r="W352" i="19" l="1"/>
  <c r="V372" i="17"/>
  <c r="Y371" i="17"/>
  <c r="X353" i="19" l="1"/>
  <c r="T353" i="19" s="1"/>
  <c r="Q354" i="19"/>
  <c r="X372" i="17"/>
  <c r="Z372" i="17" s="1"/>
  <c r="W373" i="17"/>
  <c r="S354" i="19" l="1"/>
  <c r="U354" i="19" s="1"/>
  <c r="V355" i="19" s="1"/>
  <c r="R355" i="19"/>
  <c r="AA373" i="17"/>
  <c r="AC373" i="17" s="1"/>
  <c r="AB372" i="17"/>
  <c r="W354" i="19" l="1"/>
  <c r="Y373" i="17"/>
  <c r="V374" i="17"/>
  <c r="X355" i="19" l="1"/>
  <c r="T355" i="19" s="1"/>
  <c r="Q356" i="19"/>
  <c r="X374" i="17"/>
  <c r="Z374" i="17" s="1"/>
  <c r="W375" i="17"/>
  <c r="R357" i="19" l="1"/>
  <c r="S356" i="19"/>
  <c r="U356" i="19" s="1"/>
  <c r="V357" i="19" s="1"/>
  <c r="AB374" i="17"/>
  <c r="AA375" i="17"/>
  <c r="AC375" i="17" s="1"/>
  <c r="W356" i="19" l="1"/>
  <c r="V376" i="17"/>
  <c r="Y375" i="17"/>
  <c r="X357" i="19" l="1"/>
  <c r="T357" i="19" s="1"/>
  <c r="Q358" i="19"/>
  <c r="W377" i="17"/>
  <c r="X376" i="17"/>
  <c r="Z376" i="17" s="1"/>
  <c r="S358" i="19" l="1"/>
  <c r="U358" i="19" s="1"/>
  <c r="V359" i="19" s="1"/>
  <c r="R359" i="19"/>
  <c r="AA377" i="17"/>
  <c r="AC377" i="17" s="1"/>
  <c r="AB376" i="17"/>
  <c r="W358" i="19" l="1"/>
  <c r="Y377" i="17"/>
  <c r="V378" i="17"/>
  <c r="X359" i="19" l="1"/>
  <c r="T359" i="19" s="1"/>
  <c r="Q360" i="19"/>
  <c r="W379" i="17"/>
  <c r="X378" i="17"/>
  <c r="Z378" i="17" s="1"/>
  <c r="S360" i="19" l="1"/>
  <c r="U360" i="19" s="1"/>
  <c r="V361" i="19" s="1"/>
  <c r="R361" i="19"/>
  <c r="AA379" i="17"/>
  <c r="AC379" i="17" s="1"/>
  <c r="AB378" i="17"/>
  <c r="W360" i="19" l="1"/>
  <c r="V380" i="17"/>
  <c r="Y379" i="17"/>
  <c r="X361" i="19" l="1"/>
  <c r="T361" i="19" s="1"/>
  <c r="Q362" i="19"/>
  <c r="W381" i="17"/>
  <c r="X380" i="17"/>
  <c r="Z380" i="17" s="1"/>
  <c r="S362" i="19" l="1"/>
  <c r="U362" i="19" s="1"/>
  <c r="V363" i="19" s="1"/>
  <c r="R363" i="19"/>
  <c r="AB380" i="17"/>
  <c r="AA381" i="17"/>
  <c r="AC381" i="17" s="1"/>
  <c r="W362" i="19" l="1"/>
  <c r="Y381" i="17"/>
  <c r="V382" i="17"/>
  <c r="X363" i="19" l="1"/>
  <c r="T363" i="19" s="1"/>
  <c r="Q364" i="19"/>
  <c r="X382" i="17"/>
  <c r="Z382" i="17" s="1"/>
  <c r="W383" i="17"/>
  <c r="S364" i="19" l="1"/>
  <c r="U364" i="19" s="1"/>
  <c r="V365" i="19" s="1"/>
  <c r="R365" i="19"/>
  <c r="AB382" i="17"/>
  <c r="AA383" i="17"/>
  <c r="AC383" i="17" s="1"/>
  <c r="W364" i="19" l="1"/>
  <c r="Y383" i="17"/>
  <c r="V384" i="17"/>
  <c r="X365" i="19" l="1"/>
  <c r="T365" i="19" s="1"/>
  <c r="Q366" i="19"/>
  <c r="X384" i="17"/>
  <c r="Z384" i="17" s="1"/>
  <c r="W385" i="17"/>
  <c r="S366" i="19" l="1"/>
  <c r="U366" i="19" s="1"/>
  <c r="V367" i="19" s="1"/>
  <c r="R367" i="19"/>
  <c r="AB384" i="17"/>
  <c r="AA385" i="17"/>
  <c r="AC385" i="17" s="1"/>
  <c r="W366" i="19" l="1"/>
  <c r="V386" i="17"/>
  <c r="Y385" i="17"/>
  <c r="X367" i="19" l="1"/>
  <c r="T367" i="19" s="1"/>
  <c r="Q368" i="19"/>
  <c r="W387" i="17"/>
  <c r="X386" i="17"/>
  <c r="Z386" i="17" s="1"/>
  <c r="R369" i="19" l="1"/>
  <c r="S368" i="19"/>
  <c r="U368" i="19" s="1"/>
  <c r="V369" i="19" s="1"/>
  <c r="AA387" i="17"/>
  <c r="AC387" i="17" s="1"/>
  <c r="AB386" i="17"/>
  <c r="W368" i="19" l="1"/>
  <c r="V388" i="17"/>
  <c r="Y387" i="17"/>
  <c r="X369" i="19" l="1"/>
  <c r="T369" i="19" s="1"/>
  <c r="Q370" i="19"/>
  <c r="W389" i="17"/>
  <c r="X388" i="17"/>
  <c r="Z388" i="17" s="1"/>
  <c r="S370" i="19" l="1"/>
  <c r="U370" i="19" s="1"/>
  <c r="V371" i="19" s="1"/>
  <c r="R371" i="19"/>
  <c r="AA389" i="17"/>
  <c r="AC389" i="17" s="1"/>
  <c r="AB388" i="17"/>
  <c r="W370" i="19" l="1"/>
  <c r="V390" i="17"/>
  <c r="Y389" i="17"/>
  <c r="X371" i="19" l="1"/>
  <c r="T371" i="19" s="1"/>
  <c r="Q372" i="19"/>
  <c r="W391" i="17"/>
  <c r="X390" i="17"/>
  <c r="Z390" i="17" s="1"/>
  <c r="R373" i="19" l="1"/>
  <c r="S372" i="19"/>
  <c r="U372" i="19" s="1"/>
  <c r="V373" i="19" s="1"/>
  <c r="AA391" i="17"/>
  <c r="AC391" i="17" s="1"/>
  <c r="AB390" i="17"/>
  <c r="W372" i="19" l="1"/>
  <c r="V392" i="17"/>
  <c r="Y391" i="17"/>
  <c r="X373" i="19" l="1"/>
  <c r="T373" i="19" s="1"/>
  <c r="Q374" i="19"/>
  <c r="W393" i="17"/>
  <c r="X392" i="17"/>
  <c r="Z392" i="17" s="1"/>
  <c r="R375" i="19" l="1"/>
  <c r="S374" i="19"/>
  <c r="U374" i="19" s="1"/>
  <c r="V375" i="19" s="1"/>
  <c r="AB392" i="17"/>
  <c r="AA393" i="17"/>
  <c r="AC393" i="17" s="1"/>
  <c r="W374" i="19" l="1"/>
  <c r="Y393" i="17"/>
  <c r="V394" i="17"/>
  <c r="X375" i="19" l="1"/>
  <c r="T375" i="19" s="1"/>
  <c r="Q376" i="19"/>
  <c r="X394" i="17"/>
  <c r="Z394" i="17" s="1"/>
  <c r="W395" i="17"/>
  <c r="S376" i="19" l="1"/>
  <c r="U376" i="19" s="1"/>
  <c r="V377" i="19" s="1"/>
  <c r="R377" i="19"/>
  <c r="AB394" i="17"/>
  <c r="AA395" i="17"/>
  <c r="AC395" i="17" s="1"/>
  <c r="W376" i="19" l="1"/>
  <c r="Y395" i="17"/>
  <c r="V396" i="17"/>
  <c r="X377" i="19" l="1"/>
  <c r="T377" i="19" s="1"/>
  <c r="Q378" i="19"/>
  <c r="W397" i="17"/>
  <c r="X396" i="17"/>
  <c r="Z396" i="17" s="1"/>
  <c r="R379" i="19" l="1"/>
  <c r="S378" i="19"/>
  <c r="U378" i="19" s="1"/>
  <c r="V379" i="19" s="1"/>
  <c r="AA397" i="17"/>
  <c r="AC397" i="17" s="1"/>
  <c r="AB396" i="17"/>
  <c r="W378" i="19" l="1"/>
  <c r="V398" i="17"/>
  <c r="Y397" i="17"/>
  <c r="X379" i="19" l="1"/>
  <c r="T379" i="19" s="1"/>
  <c r="Q380" i="19"/>
  <c r="X398" i="17"/>
  <c r="Z398" i="17" s="1"/>
  <c r="W399" i="17"/>
  <c r="S380" i="19" l="1"/>
  <c r="U380" i="19" s="1"/>
  <c r="V381" i="19" s="1"/>
  <c r="R381" i="19"/>
  <c r="AB398" i="17"/>
  <c r="AA399" i="17"/>
  <c r="AC399" i="17" s="1"/>
  <c r="W380" i="19" l="1"/>
  <c r="V400" i="17"/>
  <c r="Y399" i="17"/>
  <c r="X381" i="19" l="1"/>
  <c r="T381" i="19" s="1"/>
  <c r="Q382" i="19"/>
  <c r="W401" i="17"/>
  <c r="X400" i="17"/>
  <c r="Z400" i="17" s="1"/>
  <c r="R383" i="19" l="1"/>
  <c r="S382" i="19"/>
  <c r="U382" i="19" s="1"/>
  <c r="V383" i="19" s="1"/>
  <c r="AA401" i="17"/>
  <c r="AC401" i="17" s="1"/>
  <c r="AB400" i="17"/>
  <c r="W382" i="19" l="1"/>
  <c r="V402" i="17"/>
  <c r="Y401" i="17"/>
  <c r="X383" i="19" l="1"/>
  <c r="T383" i="19" s="1"/>
  <c r="Q384" i="19"/>
  <c r="X402" i="17"/>
  <c r="Z402" i="17" s="1"/>
  <c r="W403" i="17"/>
  <c r="R385" i="19" l="1"/>
  <c r="S384" i="19"/>
  <c r="U384" i="19" s="1"/>
  <c r="V385" i="19" s="1"/>
  <c r="AB402" i="17"/>
  <c r="AA403" i="17"/>
  <c r="AC403" i="17" s="1"/>
  <c r="W384" i="19" l="1"/>
  <c r="V404" i="17"/>
  <c r="Y403" i="17"/>
  <c r="X385" i="19" l="1"/>
  <c r="T385" i="19" s="1"/>
  <c r="Q386" i="19"/>
  <c r="X404" i="17"/>
  <c r="Z404" i="17" s="1"/>
  <c r="W405" i="17"/>
  <c r="S386" i="19" l="1"/>
  <c r="U386" i="19" s="1"/>
  <c r="V387" i="19" s="1"/>
  <c r="R387" i="19"/>
  <c r="AA405" i="17"/>
  <c r="AC405" i="17" s="1"/>
  <c r="AB404" i="17"/>
  <c r="W386" i="19" l="1"/>
  <c r="Y405" i="17"/>
  <c r="V406" i="17"/>
  <c r="X387" i="19" l="1"/>
  <c r="T387" i="19" s="1"/>
  <c r="Q388" i="19"/>
  <c r="W407" i="17"/>
  <c r="X406" i="17"/>
  <c r="Z406" i="17" s="1"/>
  <c r="S388" i="19" l="1"/>
  <c r="U388" i="19" s="1"/>
  <c r="V389" i="19" s="1"/>
  <c r="R389" i="19"/>
  <c r="AB406" i="17"/>
  <c r="AA407" i="17"/>
  <c r="AC407" i="17" s="1"/>
  <c r="W388" i="19" l="1"/>
  <c r="V408" i="17"/>
  <c r="Y407" i="17"/>
  <c r="X389" i="19" l="1"/>
  <c r="T389" i="19" s="1"/>
  <c r="Q390" i="19"/>
  <c r="X408" i="17"/>
  <c r="Z408" i="17" s="1"/>
  <c r="W409" i="17"/>
  <c r="R391" i="19" l="1"/>
  <c r="S390" i="19"/>
  <c r="U390" i="19" s="1"/>
  <c r="V391" i="19" s="1"/>
  <c r="AB408" i="17"/>
  <c r="AA409" i="17"/>
  <c r="AC409" i="17" s="1"/>
  <c r="W390" i="19" l="1"/>
  <c r="Y409" i="17"/>
  <c r="V410" i="17"/>
  <c r="X391" i="19" l="1"/>
  <c r="T391" i="19" s="1"/>
  <c r="Q392" i="19"/>
  <c r="W411" i="17"/>
  <c r="X410" i="17"/>
  <c r="Z410" i="17" s="1"/>
  <c r="R393" i="19" l="1"/>
  <c r="S392" i="19"/>
  <c r="U392" i="19" s="1"/>
  <c r="V393" i="19" s="1"/>
  <c r="AA411" i="17"/>
  <c r="AC411" i="17" s="1"/>
  <c r="AB410" i="17"/>
  <c r="W392" i="19" l="1"/>
  <c r="V412" i="17"/>
  <c r="Y411" i="17"/>
  <c r="X393" i="19" l="1"/>
  <c r="T393" i="19" s="1"/>
  <c r="Q394" i="19"/>
  <c r="X412" i="17"/>
  <c r="Z412" i="17" s="1"/>
  <c r="W413" i="17"/>
  <c r="R395" i="19" l="1"/>
  <c r="S394" i="19"/>
  <c r="U394" i="19" s="1"/>
  <c r="V395" i="19" s="1"/>
  <c r="AB412" i="17"/>
  <c r="AA413" i="17"/>
  <c r="AC413" i="17" s="1"/>
  <c r="W394" i="19" l="1"/>
  <c r="Y413" i="17"/>
  <c r="V414" i="17"/>
  <c r="X395" i="19" l="1"/>
  <c r="T395" i="19" s="1"/>
  <c r="Q396" i="19"/>
  <c r="W415" i="17"/>
  <c r="X414" i="17"/>
  <c r="Z414" i="17" s="1"/>
  <c r="S396" i="19" l="1"/>
  <c r="U396" i="19" s="1"/>
  <c r="V397" i="19" s="1"/>
  <c r="R397" i="19"/>
  <c r="AB414" i="17"/>
  <c r="AA415" i="17"/>
  <c r="AC415" i="17" s="1"/>
  <c r="W396" i="19" l="1"/>
  <c r="V416" i="17"/>
  <c r="Y415" i="17"/>
  <c r="X397" i="19" l="1"/>
  <c r="T397" i="19" s="1"/>
  <c r="Q398" i="19"/>
  <c r="X416" i="17"/>
  <c r="Z416" i="17" s="1"/>
  <c r="W417" i="17"/>
  <c r="S398" i="19" l="1"/>
  <c r="U398" i="19" s="1"/>
  <c r="V399" i="19" s="1"/>
  <c r="R399" i="19"/>
  <c r="AA417" i="17"/>
  <c r="AC417" i="17" s="1"/>
  <c r="AB416" i="17"/>
  <c r="W398" i="19" l="1"/>
  <c r="V418" i="17"/>
  <c r="Y417" i="17"/>
  <c r="X399" i="19" l="1"/>
  <c r="T399" i="19" s="1"/>
  <c r="Q400" i="19"/>
  <c r="W419" i="17"/>
  <c r="X418" i="17"/>
  <c r="Z418" i="17" s="1"/>
  <c r="S400" i="19" l="1"/>
  <c r="U400" i="19" s="1"/>
  <c r="V401" i="19" s="1"/>
  <c r="R401" i="19"/>
  <c r="AB418" i="17"/>
  <c r="AA419" i="17"/>
  <c r="AC419" i="17" s="1"/>
  <c r="W400" i="19" l="1"/>
  <c r="V420" i="17"/>
  <c r="Y419" i="17"/>
  <c r="X401" i="19" l="1"/>
  <c r="T401" i="19" s="1"/>
  <c r="Q402" i="19"/>
  <c r="X420" i="17"/>
  <c r="Z420" i="17" s="1"/>
  <c r="W421" i="17"/>
  <c r="S402" i="19" l="1"/>
  <c r="U402" i="19" s="1"/>
  <c r="V403" i="19" s="1"/>
  <c r="R403" i="19"/>
  <c r="AA421" i="17"/>
  <c r="AC421" i="17" s="1"/>
  <c r="AB420" i="17"/>
  <c r="W402" i="19" l="1"/>
  <c r="Y421" i="17"/>
  <c r="V422" i="17"/>
  <c r="X403" i="19" l="1"/>
  <c r="T403" i="19" s="1"/>
  <c r="Q404" i="19"/>
  <c r="W423" i="17"/>
  <c r="X422" i="17"/>
  <c r="Z422" i="17" s="1"/>
  <c r="R405" i="19" l="1"/>
  <c r="S404" i="19"/>
  <c r="U404" i="19" s="1"/>
  <c r="V405" i="19" s="1"/>
  <c r="AB422" i="17"/>
  <c r="AA423" i="17"/>
  <c r="AC423" i="17" s="1"/>
  <c r="W404" i="19" l="1"/>
  <c r="Y423" i="17"/>
  <c r="V424" i="17"/>
  <c r="X405" i="19" l="1"/>
  <c r="T405" i="19" s="1"/>
  <c r="Q406" i="19"/>
  <c r="X424" i="17"/>
  <c r="Z424" i="17" s="1"/>
  <c r="W425" i="17"/>
  <c r="S406" i="19" l="1"/>
  <c r="U406" i="19" s="1"/>
  <c r="V407" i="19" s="1"/>
  <c r="R407" i="19"/>
  <c r="AA425" i="17"/>
  <c r="AC425" i="17" s="1"/>
  <c r="AB424" i="17"/>
  <c r="W406" i="19" l="1"/>
  <c r="Y425" i="17"/>
  <c r="V426" i="17"/>
  <c r="X407" i="19" l="1"/>
  <c r="T407" i="19" s="1"/>
  <c r="Q408" i="19"/>
  <c r="X426" i="17"/>
  <c r="Z426" i="17" s="1"/>
  <c r="W427" i="17"/>
  <c r="R409" i="19" l="1"/>
  <c r="S408" i="19"/>
  <c r="U408" i="19" s="1"/>
  <c r="V409" i="19" s="1"/>
  <c r="AA427" i="17"/>
  <c r="AC427" i="17" s="1"/>
  <c r="AB426" i="17"/>
  <c r="W408" i="19" l="1"/>
  <c r="V428" i="17"/>
  <c r="Y427" i="17"/>
  <c r="X409" i="19" l="1"/>
  <c r="T409" i="19" s="1"/>
  <c r="Q410" i="19"/>
  <c r="W429" i="17"/>
  <c r="X428" i="17"/>
  <c r="Z428" i="17" s="1"/>
  <c r="R411" i="19" l="1"/>
  <c r="S410" i="19"/>
  <c r="U410" i="19" s="1"/>
  <c r="V411" i="19" s="1"/>
  <c r="AB428" i="17"/>
  <c r="AA429" i="17"/>
  <c r="AC429" i="17" s="1"/>
  <c r="W410" i="19" l="1"/>
  <c r="Y429" i="17"/>
  <c r="V430" i="17"/>
  <c r="X411" i="19" l="1"/>
  <c r="T411" i="19" s="1"/>
  <c r="Q412" i="19"/>
  <c r="X430" i="17"/>
  <c r="Z430" i="17" s="1"/>
  <c r="W431" i="17"/>
  <c r="R413" i="19" l="1"/>
  <c r="S412" i="19"/>
  <c r="U412" i="19" s="1"/>
  <c r="V413" i="19" s="1"/>
  <c r="AA431" i="17"/>
  <c r="AC431" i="17" s="1"/>
  <c r="AB430" i="17"/>
  <c r="W412" i="19" l="1"/>
  <c r="V432" i="17"/>
  <c r="Y431" i="17"/>
  <c r="X413" i="19" l="1"/>
  <c r="T413" i="19" s="1"/>
  <c r="Q414" i="19"/>
  <c r="X432" i="17"/>
  <c r="Z432" i="17" s="1"/>
  <c r="W433" i="17"/>
  <c r="S414" i="19" l="1"/>
  <c r="U414" i="19" s="1"/>
  <c r="V415" i="19" s="1"/>
  <c r="R415" i="19"/>
  <c r="AA433" i="17"/>
  <c r="AC433" i="17" s="1"/>
  <c r="AB432" i="17"/>
  <c r="W414" i="19" l="1"/>
  <c r="Y433" i="17"/>
  <c r="V434" i="17"/>
  <c r="X415" i="19" l="1"/>
  <c r="T415" i="19" s="1"/>
  <c r="Q416" i="19"/>
  <c r="W435" i="17"/>
  <c r="X434" i="17"/>
  <c r="Z434" i="17" s="1"/>
  <c r="S416" i="19" l="1"/>
  <c r="U416" i="19" s="1"/>
  <c r="V417" i="19" s="1"/>
  <c r="R417" i="19"/>
  <c r="AA435" i="17"/>
  <c r="AC435" i="17" s="1"/>
  <c r="AB434" i="17"/>
  <c r="W416" i="19" l="1"/>
  <c r="V436" i="17"/>
  <c r="Y435" i="17"/>
  <c r="X417" i="19" l="1"/>
  <c r="T417" i="19" s="1"/>
  <c r="Q418" i="19"/>
  <c r="W437" i="17"/>
  <c r="X436" i="17"/>
  <c r="Z436" i="17" s="1"/>
  <c r="S418" i="19" l="1"/>
  <c r="U418" i="19" s="1"/>
  <c r="V419" i="19" s="1"/>
  <c r="R419" i="19"/>
  <c r="AA437" i="17"/>
  <c r="AC437" i="17" s="1"/>
  <c r="AB436" i="17"/>
  <c r="W418" i="19" l="1"/>
  <c r="V438" i="17"/>
  <c r="Y437" i="17"/>
  <c r="X419" i="19" l="1"/>
  <c r="T419" i="19" s="1"/>
  <c r="Q420" i="19"/>
  <c r="X438" i="17"/>
  <c r="Z438" i="17" s="1"/>
  <c r="W439" i="17"/>
  <c r="S420" i="19" l="1"/>
  <c r="U420" i="19" s="1"/>
  <c r="V421" i="19" s="1"/>
  <c r="R421" i="19"/>
  <c r="AB438" i="17"/>
  <c r="AA439" i="17"/>
  <c r="AC439" i="17" s="1"/>
  <c r="W420" i="19" l="1"/>
  <c r="V440" i="17"/>
  <c r="Y439" i="17"/>
  <c r="X421" i="19" l="1"/>
  <c r="T421" i="19" s="1"/>
  <c r="Q422" i="19"/>
  <c r="W441" i="17"/>
  <c r="X440" i="17"/>
  <c r="Z440" i="17" s="1"/>
  <c r="S422" i="19" l="1"/>
  <c r="U422" i="19" s="1"/>
  <c r="V423" i="19" s="1"/>
  <c r="R423" i="19"/>
  <c r="AB440" i="17"/>
  <c r="AA441" i="17"/>
  <c r="AC441" i="17" s="1"/>
  <c r="W422" i="19" l="1"/>
  <c r="Y441" i="17"/>
  <c r="V442" i="17"/>
  <c r="X423" i="19" l="1"/>
  <c r="T423" i="19" s="1"/>
  <c r="Q424" i="19"/>
  <c r="X442" i="17"/>
  <c r="Z442" i="17" s="1"/>
  <c r="W443" i="17"/>
  <c r="R425" i="19" l="1"/>
  <c r="S424" i="19"/>
  <c r="U424" i="19" s="1"/>
  <c r="V425" i="19" s="1"/>
  <c r="AB442" i="17"/>
  <c r="AA443" i="17"/>
  <c r="AC443" i="17" s="1"/>
  <c r="W424" i="19" l="1"/>
  <c r="V444" i="17"/>
  <c r="Y443" i="17"/>
  <c r="X425" i="19" l="1"/>
  <c r="T425" i="19" s="1"/>
  <c r="Q426" i="19"/>
  <c r="W445" i="17"/>
  <c r="X444" i="17"/>
  <c r="Z444" i="17" s="1"/>
  <c r="S426" i="19" l="1"/>
  <c r="U426" i="19" s="1"/>
  <c r="V427" i="19" s="1"/>
  <c r="R427" i="19"/>
  <c r="AA445" i="17"/>
  <c r="AC445" i="17" s="1"/>
  <c r="AB444" i="17"/>
  <c r="W426" i="19" l="1"/>
  <c r="V446" i="17"/>
  <c r="Y445" i="17"/>
  <c r="X427" i="19" l="1"/>
  <c r="T427" i="19" s="1"/>
  <c r="Q428" i="19"/>
  <c r="W447" i="17"/>
  <c r="X446" i="17"/>
  <c r="Z446" i="17" s="1"/>
  <c r="S428" i="19" l="1"/>
  <c r="U428" i="19" s="1"/>
  <c r="V429" i="19" s="1"/>
  <c r="R429" i="19"/>
  <c r="AA447" i="17"/>
  <c r="AC447" i="17" s="1"/>
  <c r="AB446" i="17"/>
  <c r="W428" i="19" l="1"/>
  <c r="V448" i="17"/>
  <c r="Y447" i="17"/>
  <c r="X429" i="19" l="1"/>
  <c r="T429" i="19" s="1"/>
  <c r="Q430" i="19"/>
  <c r="X448" i="17"/>
  <c r="Z448" i="17" s="1"/>
  <c r="W449" i="17"/>
  <c r="R431" i="19" l="1"/>
  <c r="S430" i="19"/>
  <c r="U430" i="19" s="1"/>
  <c r="V431" i="19" s="1"/>
  <c r="AA449" i="17"/>
  <c r="AC449" i="17" s="1"/>
  <c r="AB448" i="17"/>
  <c r="W430" i="19" l="1"/>
  <c r="Y449" i="17"/>
  <c r="V450" i="17"/>
  <c r="X431" i="19" l="1"/>
  <c r="T431" i="19" s="1"/>
  <c r="Q432" i="19"/>
  <c r="X450" i="17"/>
  <c r="Z450" i="17" s="1"/>
  <c r="W451" i="17"/>
  <c r="R433" i="19" l="1"/>
  <c r="S432" i="19"/>
  <c r="U432" i="19" s="1"/>
  <c r="V433" i="19" s="1"/>
  <c r="AA451" i="17"/>
  <c r="AC451" i="17" s="1"/>
  <c r="AB450" i="17"/>
  <c r="W432" i="19" l="1"/>
  <c r="V452" i="17"/>
  <c r="Y451" i="17"/>
  <c r="X433" i="19" l="1"/>
  <c r="T433" i="19" s="1"/>
  <c r="Q434" i="19"/>
  <c r="X452" i="17"/>
  <c r="Z452" i="17" s="1"/>
  <c r="W453" i="17"/>
  <c r="S434" i="19" l="1"/>
  <c r="U434" i="19" s="1"/>
  <c r="V435" i="19" s="1"/>
  <c r="R435" i="19"/>
  <c r="AB452" i="17"/>
  <c r="AA453" i="17"/>
  <c r="AC453" i="17" s="1"/>
  <c r="W434" i="19" l="1"/>
  <c r="V454" i="17"/>
  <c r="Y453" i="17"/>
  <c r="X435" i="19" l="1"/>
  <c r="T435" i="19" s="1"/>
  <c r="Q436" i="19"/>
  <c r="X454" i="17"/>
  <c r="Z454" i="17" s="1"/>
  <c r="W455" i="17"/>
  <c r="S436" i="19" l="1"/>
  <c r="U436" i="19" s="1"/>
  <c r="V437" i="19" s="1"/>
  <c r="R437" i="19"/>
  <c r="AB454" i="17"/>
  <c r="AA455" i="17"/>
  <c r="AC455" i="17" s="1"/>
  <c r="W436" i="19" l="1"/>
  <c r="V456" i="17"/>
  <c r="Y455" i="17"/>
  <c r="X437" i="19" l="1"/>
  <c r="T437" i="19" s="1"/>
  <c r="Q438" i="19"/>
  <c r="X456" i="17"/>
  <c r="Z456" i="17" s="1"/>
  <c r="W457" i="17"/>
  <c r="R439" i="19" l="1"/>
  <c r="S438" i="19"/>
  <c r="U438" i="19" s="1"/>
  <c r="V439" i="19" s="1"/>
  <c r="AB456" i="17"/>
  <c r="AA457" i="17"/>
  <c r="AC457" i="17" s="1"/>
  <c r="W438" i="19" l="1"/>
  <c r="Y457" i="17"/>
  <c r="V458" i="17"/>
  <c r="X439" i="19" l="1"/>
  <c r="T439" i="19" s="1"/>
  <c r="Q440" i="19"/>
  <c r="W459" i="17"/>
  <c r="X458" i="17"/>
  <c r="Z458" i="17" s="1"/>
  <c r="R441" i="19" l="1"/>
  <c r="S440" i="19"/>
  <c r="U440" i="19" s="1"/>
  <c r="V441" i="19" s="1"/>
  <c r="AB458" i="17"/>
  <c r="AA459" i="17"/>
  <c r="AC459" i="17" s="1"/>
  <c r="W440" i="19" l="1"/>
  <c r="Y459" i="17"/>
  <c r="V460" i="17"/>
  <c r="X441" i="19" l="1"/>
  <c r="T441" i="19" s="1"/>
  <c r="Q442" i="19"/>
  <c r="X460" i="17"/>
  <c r="Z460" i="17" s="1"/>
  <c r="W461" i="17"/>
  <c r="S442" i="19" l="1"/>
  <c r="U442" i="19" s="1"/>
  <c r="V443" i="19" s="1"/>
  <c r="R443" i="19"/>
  <c r="AA461" i="17"/>
  <c r="AC461" i="17" s="1"/>
  <c r="AB460" i="17"/>
  <c r="W442" i="19" l="1"/>
  <c r="Y461" i="17"/>
  <c r="V462" i="17"/>
  <c r="X443" i="19" l="1"/>
  <c r="T443" i="19" s="1"/>
  <c r="Q444" i="19"/>
  <c r="X462" i="17"/>
  <c r="Z462" i="17" s="1"/>
  <c r="W463" i="17"/>
  <c r="R445" i="19" l="1"/>
  <c r="S444" i="19"/>
  <c r="U444" i="19" s="1"/>
  <c r="V445" i="19" s="1"/>
  <c r="AB462" i="17"/>
  <c r="AA463" i="17"/>
  <c r="AC463" i="17" s="1"/>
  <c r="W444" i="19" l="1"/>
  <c r="Y463" i="17"/>
  <c r="V464" i="17"/>
  <c r="X445" i="19" l="1"/>
  <c r="T445" i="19" s="1"/>
  <c r="Q446" i="19"/>
  <c r="W465" i="17"/>
  <c r="X464" i="17"/>
  <c r="Z464" i="17" s="1"/>
  <c r="R447" i="19" l="1"/>
  <c r="S446" i="19"/>
  <c r="U446" i="19" s="1"/>
  <c r="V447" i="19" s="1"/>
  <c r="AB464" i="17"/>
  <c r="AA465" i="17"/>
  <c r="AC465" i="17" s="1"/>
  <c r="W446" i="19" l="1"/>
  <c r="V466" i="17"/>
  <c r="Y465" i="17"/>
  <c r="X447" i="19" l="1"/>
  <c r="T447" i="19" s="1"/>
  <c r="Q448" i="19"/>
  <c r="X466" i="17"/>
  <c r="Z466" i="17" s="1"/>
  <c r="W467" i="17"/>
  <c r="R449" i="19" l="1"/>
  <c r="S448" i="19"/>
  <c r="U448" i="19" s="1"/>
  <c r="V449" i="19" s="1"/>
  <c r="AA467" i="17"/>
  <c r="AC467" i="17" s="1"/>
  <c r="AB466" i="17"/>
  <c r="W448" i="19" l="1"/>
  <c r="V468" i="17"/>
  <c r="Y467" i="17"/>
  <c r="X449" i="19" l="1"/>
  <c r="T449" i="19" s="1"/>
  <c r="Q450" i="19"/>
  <c r="X468" i="17"/>
  <c r="Z468" i="17" s="1"/>
  <c r="W469" i="17"/>
  <c r="S450" i="19" l="1"/>
  <c r="U450" i="19" s="1"/>
  <c r="V451" i="19" s="1"/>
  <c r="R451" i="19"/>
  <c r="AA469" i="17"/>
  <c r="AC469" i="17" s="1"/>
  <c r="AB468" i="17"/>
  <c r="W450" i="19" l="1"/>
  <c r="V470" i="17"/>
  <c r="Y469" i="17"/>
  <c r="X451" i="19" l="1"/>
  <c r="T451" i="19" s="1"/>
  <c r="Q452" i="19"/>
  <c r="W471" i="17"/>
  <c r="X470" i="17"/>
  <c r="Z470" i="17" s="1"/>
  <c r="R453" i="19" l="1"/>
  <c r="S452" i="19"/>
  <c r="U452" i="19" s="1"/>
  <c r="V453" i="19" s="1"/>
  <c r="AB470" i="17"/>
  <c r="AA471" i="17"/>
  <c r="AC471" i="17" s="1"/>
  <c r="W452" i="19" l="1"/>
  <c r="V472" i="17"/>
  <c r="Y471" i="17"/>
  <c r="X453" i="19" l="1"/>
  <c r="T453" i="19" s="1"/>
  <c r="Q454" i="19"/>
  <c r="X472" i="17"/>
  <c r="Z472" i="17" s="1"/>
  <c r="W473" i="17"/>
  <c r="R455" i="19" l="1"/>
  <c r="S454" i="19"/>
  <c r="U454" i="19" s="1"/>
  <c r="V455" i="19" s="1"/>
  <c r="AA473" i="17"/>
  <c r="AC473" i="17" s="1"/>
  <c r="AB472" i="17"/>
  <c r="W454" i="19" l="1"/>
  <c r="Y473" i="17"/>
  <c r="V474" i="17"/>
  <c r="X455" i="19" l="1"/>
  <c r="T455" i="19" s="1"/>
  <c r="Q456" i="19"/>
  <c r="W475" i="17"/>
  <c r="X474" i="17"/>
  <c r="Z474" i="17" s="1"/>
  <c r="R457" i="19" l="1"/>
  <c r="S456" i="19"/>
  <c r="U456" i="19" s="1"/>
  <c r="V457" i="19" s="1"/>
  <c r="AB474" i="17"/>
  <c r="AA475" i="17"/>
  <c r="AC475" i="17" s="1"/>
  <c r="W456" i="19" l="1"/>
  <c r="V476" i="17"/>
  <c r="Y475" i="17"/>
  <c r="X457" i="19" l="1"/>
  <c r="T457" i="19" s="1"/>
  <c r="Q458" i="19"/>
  <c r="X476" i="17"/>
  <c r="Z476" i="17" s="1"/>
  <c r="W477" i="17"/>
  <c r="S458" i="19" l="1"/>
  <c r="U458" i="19" s="1"/>
  <c r="V459" i="19" s="1"/>
  <c r="R459" i="19"/>
  <c r="AB476" i="17"/>
  <c r="AA477" i="17"/>
  <c r="AC477" i="17" s="1"/>
  <c r="W458" i="19" l="1"/>
  <c r="Y477" i="17"/>
  <c r="V478" i="17"/>
  <c r="X459" i="19" l="1"/>
  <c r="T459" i="19" s="1"/>
  <c r="Q460" i="19"/>
  <c r="X478" i="17"/>
  <c r="Z478" i="17" s="1"/>
  <c r="W479" i="17"/>
  <c r="R461" i="19" l="1"/>
  <c r="S460" i="19"/>
  <c r="U460" i="19" s="1"/>
  <c r="V461" i="19" s="1"/>
  <c r="AA479" i="17"/>
  <c r="AC479" i="17" s="1"/>
  <c r="AB478" i="17"/>
  <c r="W460" i="19" l="1"/>
  <c r="V480" i="17"/>
  <c r="Y479" i="17"/>
  <c r="X461" i="19" l="1"/>
  <c r="T461" i="19" s="1"/>
  <c r="Q462" i="19"/>
  <c r="X480" i="17"/>
  <c r="Z480" i="17" s="1"/>
  <c r="W481" i="17"/>
  <c r="S462" i="19" l="1"/>
  <c r="U462" i="19" s="1"/>
  <c r="V463" i="19" s="1"/>
  <c r="R463" i="19"/>
  <c r="AB480" i="17"/>
  <c r="AA481" i="17"/>
  <c r="AC481" i="17" s="1"/>
  <c r="W462" i="19" l="1"/>
  <c r="Y481" i="17"/>
  <c r="V482" i="17"/>
  <c r="X463" i="19" l="1"/>
  <c r="T463" i="19" s="1"/>
  <c r="Q464" i="19"/>
  <c r="W483" i="17"/>
  <c r="X482" i="17"/>
  <c r="Z482" i="17" s="1"/>
  <c r="R465" i="19" l="1"/>
  <c r="S464" i="19"/>
  <c r="U464" i="19" s="1"/>
  <c r="V465" i="19" s="1"/>
  <c r="AA483" i="17"/>
  <c r="AC483" i="17" s="1"/>
  <c r="AB482" i="17"/>
  <c r="W464" i="19" l="1"/>
  <c r="V484" i="17"/>
  <c r="Y483" i="17"/>
  <c r="X465" i="19" l="1"/>
  <c r="T465" i="19" s="1"/>
  <c r="Q466" i="19"/>
  <c r="W485" i="17"/>
  <c r="X484" i="17"/>
  <c r="Z484" i="17" s="1"/>
  <c r="R467" i="19" l="1"/>
  <c r="S466" i="19"/>
  <c r="U466" i="19" s="1"/>
  <c r="V467" i="19" s="1"/>
  <c r="AA485" i="17"/>
  <c r="AC485" i="17" s="1"/>
  <c r="AB484" i="17"/>
  <c r="W466" i="19" l="1"/>
  <c r="V486" i="17"/>
  <c r="Y485" i="17"/>
  <c r="X467" i="19" l="1"/>
  <c r="T467" i="19" s="1"/>
  <c r="Q468" i="19"/>
  <c r="X486" i="17"/>
  <c r="Z486" i="17" s="1"/>
  <c r="W487" i="17"/>
  <c r="S468" i="19" l="1"/>
  <c r="U468" i="19" s="1"/>
  <c r="R469" i="19"/>
  <c r="AA487" i="17"/>
  <c r="AC487" i="17" s="1"/>
  <c r="AB486" i="17"/>
  <c r="V469" i="19" l="1"/>
  <c r="W468" i="19"/>
  <c r="V488" i="17"/>
  <c r="Y487" i="17"/>
  <c r="X469" i="19" l="1"/>
  <c r="T469" i="19" s="1"/>
  <c r="Q470" i="19"/>
  <c r="W489" i="17"/>
  <c r="X488" i="17"/>
  <c r="Z488" i="17" s="1"/>
  <c r="S470" i="19" l="1"/>
  <c r="U470" i="19" s="1"/>
  <c r="V471" i="19" s="1"/>
  <c r="R471" i="19"/>
  <c r="AA489" i="17"/>
  <c r="AC489" i="17" s="1"/>
  <c r="AB488" i="17"/>
  <c r="W470" i="19" l="1"/>
  <c r="Y489" i="17"/>
  <c r="V490" i="17"/>
  <c r="X471" i="19" l="1"/>
  <c r="T471" i="19" s="1"/>
  <c r="Q472" i="19"/>
  <c r="X490" i="17"/>
  <c r="Z490" i="17" s="1"/>
  <c r="W491" i="17"/>
  <c r="R473" i="19" l="1"/>
  <c r="S472" i="19"/>
  <c r="U472" i="19" s="1"/>
  <c r="V473" i="19" s="1"/>
  <c r="AB490" i="17"/>
  <c r="AA491" i="17"/>
  <c r="AC491" i="17" s="1"/>
  <c r="W472" i="19" l="1"/>
  <c r="V492" i="17"/>
  <c r="Y491" i="17"/>
  <c r="X473" i="19" l="1"/>
  <c r="T473" i="19" s="1"/>
  <c r="Q474" i="19"/>
  <c r="W493" i="17"/>
  <c r="X492" i="17"/>
  <c r="Z492" i="17" s="1"/>
  <c r="S474" i="19" l="1"/>
  <c r="U474" i="19" s="1"/>
  <c r="V475" i="19" s="1"/>
  <c r="R475" i="19"/>
  <c r="AA493" i="17"/>
  <c r="AC493" i="17" s="1"/>
  <c r="AB492" i="17"/>
  <c r="W474" i="19" l="1"/>
  <c r="Y493" i="17"/>
  <c r="V494" i="17"/>
  <c r="X475" i="19" l="1"/>
  <c r="T475" i="19" s="1"/>
  <c r="Q476" i="19"/>
  <c r="W495" i="17"/>
  <c r="X494" i="17"/>
  <c r="Z494" i="17" s="1"/>
  <c r="R477" i="19" l="1"/>
  <c r="S476" i="19"/>
  <c r="U476" i="19" s="1"/>
  <c r="V477" i="19" s="1"/>
  <c r="AA495" i="17"/>
  <c r="AC495" i="17" s="1"/>
  <c r="AB494" i="17"/>
  <c r="W476" i="19" l="1"/>
  <c r="V496" i="17"/>
  <c r="Y495" i="17"/>
  <c r="X477" i="19" l="1"/>
  <c r="T477" i="19" s="1"/>
  <c r="Q478" i="19"/>
  <c r="X496" i="17"/>
  <c r="Z496" i="17" s="1"/>
  <c r="W497" i="17"/>
  <c r="R479" i="19" l="1"/>
  <c r="S478" i="19"/>
  <c r="U478" i="19" s="1"/>
  <c r="V479" i="19" s="1"/>
  <c r="AB496" i="17"/>
  <c r="AA497" i="17"/>
  <c r="AC497" i="17" s="1"/>
  <c r="W478" i="19" l="1"/>
  <c r="V498" i="17"/>
  <c r="Y497" i="17"/>
  <c r="X479" i="19" l="1"/>
  <c r="T479" i="19" s="1"/>
  <c r="Q480" i="19"/>
  <c r="X498" i="17"/>
  <c r="Z498" i="17" s="1"/>
  <c r="W499" i="17"/>
  <c r="S480" i="19" l="1"/>
  <c r="U480" i="19" s="1"/>
  <c r="V481" i="19" s="1"/>
  <c r="R481" i="19"/>
  <c r="AA499" i="17"/>
  <c r="AC499" i="17" s="1"/>
  <c r="AB498" i="17"/>
  <c r="W480" i="19" l="1"/>
  <c r="Y499" i="17"/>
  <c r="V500" i="17"/>
  <c r="X481" i="19" l="1"/>
  <c r="T481" i="19" s="1"/>
  <c r="Q482" i="19"/>
  <c r="X500" i="17"/>
  <c r="Z500" i="17" s="1"/>
  <c r="W501" i="17"/>
  <c r="S482" i="19" l="1"/>
  <c r="U482" i="19" s="1"/>
  <c r="V483" i="19" s="1"/>
  <c r="R483" i="19"/>
  <c r="AB500" i="17"/>
  <c r="AA501" i="17"/>
  <c r="AC501" i="17" s="1"/>
  <c r="W482" i="19" l="1"/>
  <c r="Y501" i="17"/>
  <c r="V502" i="17"/>
  <c r="X483" i="19" l="1"/>
  <c r="T483" i="19" s="1"/>
  <c r="Q484" i="19"/>
  <c r="X502" i="17"/>
  <c r="Z502" i="17" s="1"/>
  <c r="W503" i="17"/>
  <c r="S484" i="19" l="1"/>
  <c r="U484" i="19" s="1"/>
  <c r="V485" i="19" s="1"/>
  <c r="R485" i="19"/>
  <c r="AA503" i="17"/>
  <c r="AC503" i="17" s="1"/>
  <c r="AB502" i="17"/>
  <c r="W484" i="19" l="1"/>
  <c r="V504" i="17"/>
  <c r="Y503" i="17"/>
  <c r="X485" i="19" l="1"/>
  <c r="T485" i="19" s="1"/>
  <c r="Q486" i="19"/>
  <c r="X504" i="17"/>
  <c r="Z504" i="17" s="1"/>
  <c r="W505" i="17"/>
  <c r="R487" i="19" l="1"/>
  <c r="S486" i="19"/>
  <c r="U486" i="19" s="1"/>
  <c r="V487" i="19" s="1"/>
  <c r="AB504" i="17"/>
  <c r="AA505" i="17"/>
  <c r="AC505" i="17" s="1"/>
  <c r="W486" i="19" l="1"/>
  <c r="V506" i="17"/>
  <c r="Y505" i="17"/>
  <c r="X487" i="19" l="1"/>
  <c r="T487" i="19" s="1"/>
  <c r="Q488" i="19"/>
  <c r="W507" i="17"/>
  <c r="X506" i="17"/>
  <c r="Z506" i="17" s="1"/>
  <c r="S488" i="19" l="1"/>
  <c r="U488" i="19" s="1"/>
  <c r="V489" i="19" s="1"/>
  <c r="R489" i="19"/>
  <c r="AA507" i="17"/>
  <c r="AC507" i="17" s="1"/>
  <c r="AB506" i="17"/>
  <c r="W488" i="19" l="1"/>
  <c r="V508" i="17"/>
  <c r="Y507" i="17"/>
  <c r="X489" i="19" l="1"/>
  <c r="T489" i="19" s="1"/>
  <c r="Q490" i="19"/>
  <c r="X508" i="17"/>
  <c r="Z508" i="17" s="1"/>
  <c r="W509" i="17"/>
  <c r="R491" i="19" l="1"/>
  <c r="S490" i="19"/>
  <c r="U490" i="19" s="1"/>
  <c r="V491" i="19" s="1"/>
  <c r="AA509" i="17"/>
  <c r="AC509" i="17" s="1"/>
  <c r="AB508" i="17"/>
  <c r="W490" i="19" l="1"/>
  <c r="Y509" i="17"/>
  <c r="V510" i="17"/>
  <c r="X491" i="19" l="1"/>
  <c r="T491" i="19" s="1"/>
  <c r="Q492" i="19"/>
  <c r="X510" i="17"/>
  <c r="Z510" i="17" s="1"/>
  <c r="W511" i="17"/>
  <c r="R493" i="19" l="1"/>
  <c r="S492" i="19"/>
  <c r="U492" i="19" s="1"/>
  <c r="V493" i="19" s="1"/>
  <c r="AB510" i="17"/>
  <c r="AA511" i="17"/>
  <c r="AC511" i="17" s="1"/>
  <c r="W492" i="19" l="1"/>
  <c r="V512" i="17"/>
  <c r="Y511" i="17"/>
  <c r="X493" i="19" l="1"/>
  <c r="T493" i="19" s="1"/>
  <c r="Q494" i="19"/>
  <c r="W513" i="17"/>
  <c r="X512" i="17"/>
  <c r="Z512" i="17" s="1"/>
  <c r="S494" i="19" l="1"/>
  <c r="U494" i="19" s="1"/>
  <c r="V495" i="19" s="1"/>
  <c r="R495" i="19"/>
  <c r="AB512" i="17"/>
  <c r="AA513" i="17"/>
  <c r="AC513" i="17" s="1"/>
  <c r="W494" i="19" l="1"/>
  <c r="V514" i="17"/>
  <c r="Y513" i="17"/>
  <c r="X495" i="19" l="1"/>
  <c r="T495" i="19" s="1"/>
  <c r="Q496" i="19"/>
  <c r="W515" i="17"/>
  <c r="X514" i="17"/>
  <c r="Z514" i="17" s="1"/>
  <c r="S496" i="19" l="1"/>
  <c r="U496" i="19" s="1"/>
  <c r="V497" i="19" s="1"/>
  <c r="R497" i="19"/>
  <c r="AA515" i="17"/>
  <c r="AC515" i="17" s="1"/>
  <c r="AB514" i="17"/>
  <c r="W496" i="19" l="1"/>
  <c r="V516" i="17"/>
  <c r="Y515" i="17"/>
  <c r="X497" i="19" l="1"/>
  <c r="T497" i="19" s="1"/>
  <c r="Q498" i="19"/>
  <c r="W517" i="17"/>
  <c r="X516" i="17"/>
  <c r="Z516" i="17" s="1"/>
  <c r="R499" i="19" l="1"/>
  <c r="S498" i="19"/>
  <c r="U498" i="19" s="1"/>
  <c r="V499" i="19" s="1"/>
  <c r="AB516" i="17"/>
  <c r="AA517" i="17"/>
  <c r="AC517" i="17" s="1"/>
  <c r="W498" i="19" l="1"/>
  <c r="Y517" i="17"/>
  <c r="V518" i="17"/>
  <c r="X499" i="19" l="1"/>
  <c r="T499" i="19" s="1"/>
  <c r="Q500" i="19"/>
  <c r="X518" i="17"/>
  <c r="Z518" i="17" s="1"/>
  <c r="W519" i="17"/>
  <c r="R501" i="19" l="1"/>
  <c r="S500" i="19"/>
  <c r="U500" i="19" s="1"/>
  <c r="V501" i="19" s="1"/>
  <c r="AA519" i="17"/>
  <c r="AC519" i="17" s="1"/>
  <c r="AB518" i="17"/>
  <c r="W500" i="19" l="1"/>
  <c r="V520" i="17"/>
  <c r="Y519" i="17"/>
  <c r="X501" i="19" l="1"/>
  <c r="T501" i="19" s="1"/>
  <c r="Q502" i="19"/>
  <c r="W521" i="17"/>
  <c r="X520" i="17"/>
  <c r="Z520" i="17" s="1"/>
  <c r="S502" i="19" l="1"/>
  <c r="U502" i="19" s="1"/>
  <c r="V503" i="19" s="1"/>
  <c r="R503" i="19"/>
  <c r="AB520" i="17"/>
  <c r="AA521" i="17"/>
  <c r="AC521" i="17" s="1"/>
  <c r="W502" i="19" l="1"/>
  <c r="V522" i="17"/>
  <c r="Y521" i="17"/>
  <c r="X503" i="19" l="1"/>
  <c r="T503" i="19" s="1"/>
  <c r="Q504" i="19"/>
  <c r="W523" i="17"/>
  <c r="X522" i="17"/>
  <c r="Z522" i="17" s="1"/>
  <c r="R505" i="19" l="1"/>
  <c r="S504" i="19"/>
  <c r="U504" i="19" s="1"/>
  <c r="V505" i="19" s="1"/>
  <c r="AA523" i="17"/>
  <c r="AC523" i="17" s="1"/>
  <c r="AB522" i="17"/>
  <c r="W504" i="19" l="1"/>
  <c r="V524" i="17"/>
  <c r="Y523" i="17"/>
  <c r="X505" i="19" l="1"/>
  <c r="T505" i="19" s="1"/>
  <c r="Q506" i="19"/>
  <c r="X524" i="17"/>
  <c r="Z524" i="17" s="1"/>
  <c r="W525" i="17"/>
  <c r="R507" i="19" l="1"/>
  <c r="S506" i="19"/>
  <c r="U506" i="19" s="1"/>
  <c r="V507" i="19" s="1"/>
  <c r="AA525" i="17"/>
  <c r="AC525" i="17" s="1"/>
  <c r="AB524" i="17"/>
  <c r="W506" i="19" l="1"/>
  <c r="Y525" i="17"/>
  <c r="V526" i="17"/>
  <c r="X507" i="19" l="1"/>
  <c r="T507" i="19" s="1"/>
  <c r="Q508" i="19"/>
  <c r="W527" i="17"/>
  <c r="X526" i="17"/>
  <c r="Z526" i="17" s="1"/>
  <c r="S508" i="19" l="1"/>
  <c r="U508" i="19" s="1"/>
  <c r="V509" i="19" s="1"/>
  <c r="R509" i="19"/>
  <c r="AA527" i="17"/>
  <c r="AC527" i="17" s="1"/>
  <c r="AB526" i="17"/>
  <c r="W508" i="19" l="1"/>
  <c r="V528" i="17"/>
  <c r="Y527" i="17"/>
  <c r="X509" i="19" l="1"/>
  <c r="T509" i="19" s="1"/>
  <c r="Q510" i="19"/>
  <c r="W529" i="17"/>
  <c r="X528" i="17"/>
  <c r="Z528" i="17" s="1"/>
  <c r="S510" i="19" l="1"/>
  <c r="U510" i="19" s="1"/>
  <c r="V511" i="19" s="1"/>
  <c r="R511" i="19"/>
  <c r="AB528" i="17"/>
  <c r="AA529" i="17"/>
  <c r="AC529" i="17" s="1"/>
  <c r="W510" i="19" l="1"/>
  <c r="V530" i="17"/>
  <c r="Y529" i="17"/>
  <c r="X511" i="19" l="1"/>
  <c r="T511" i="19" s="1"/>
  <c r="Q512" i="19"/>
  <c r="W531" i="17"/>
  <c r="X530" i="17"/>
  <c r="Z530" i="17" s="1"/>
  <c r="R513" i="19" l="1"/>
  <c r="S512" i="19"/>
  <c r="U512" i="19" s="1"/>
  <c r="V513" i="19" s="1"/>
  <c r="AB530" i="17"/>
  <c r="AA531" i="17"/>
  <c r="AC531" i="17" s="1"/>
  <c r="W512" i="19" l="1"/>
  <c r="V532" i="17"/>
  <c r="Y531" i="17"/>
  <c r="X513" i="19" l="1"/>
  <c r="T513" i="19" s="1"/>
  <c r="Q514" i="19"/>
  <c r="X532" i="17"/>
  <c r="Z532" i="17" s="1"/>
  <c r="W533" i="17"/>
  <c r="S514" i="19" l="1"/>
  <c r="U514" i="19" s="1"/>
  <c r="V515" i="19" s="1"/>
  <c r="R515" i="19"/>
  <c r="AB532" i="17"/>
  <c r="AA533" i="17"/>
  <c r="AC533" i="17" s="1"/>
  <c r="W514" i="19" l="1"/>
  <c r="Y533" i="17"/>
  <c r="V534" i="17"/>
  <c r="X515" i="19" l="1"/>
  <c r="T515" i="19" s="1"/>
  <c r="Q516" i="19"/>
  <c r="W535" i="17"/>
  <c r="X534" i="17"/>
  <c r="Z534" i="17" s="1"/>
  <c r="S516" i="19" l="1"/>
  <c r="U516" i="19" s="1"/>
  <c r="V517" i="19" s="1"/>
  <c r="R517" i="19"/>
  <c r="AB534" i="17"/>
  <c r="AA535" i="17"/>
  <c r="AC535" i="17" s="1"/>
  <c r="W516" i="19" l="1"/>
  <c r="V536" i="17"/>
  <c r="Y535" i="17"/>
  <c r="X517" i="19" l="1"/>
  <c r="T517" i="19" s="1"/>
  <c r="Q518" i="19"/>
  <c r="W537" i="17"/>
  <c r="X536" i="17"/>
  <c r="Z536" i="17" s="1"/>
  <c r="R519" i="19" l="1"/>
  <c r="S518" i="19"/>
  <c r="U518" i="19" s="1"/>
  <c r="V519" i="19" s="1"/>
  <c r="AA537" i="17"/>
  <c r="AC537" i="17" s="1"/>
  <c r="AB536" i="17"/>
  <c r="W518" i="19" l="1"/>
  <c r="V538" i="17"/>
  <c r="Y537" i="17"/>
  <c r="X519" i="19" l="1"/>
  <c r="T519" i="19" s="1"/>
  <c r="Q520" i="19"/>
  <c r="W539" i="17"/>
  <c r="X538" i="17"/>
  <c r="Z538" i="17" s="1"/>
  <c r="S520" i="19" l="1"/>
  <c r="U520" i="19" s="1"/>
  <c r="V521" i="19" s="1"/>
  <c r="R521" i="19"/>
  <c r="AB538" i="17"/>
  <c r="AA539" i="17"/>
  <c r="AC539" i="17" s="1"/>
  <c r="W520" i="19" l="1"/>
  <c r="V540" i="17"/>
  <c r="Y539" i="17"/>
  <c r="X521" i="19" l="1"/>
  <c r="T521" i="19" s="1"/>
  <c r="Q522" i="19"/>
  <c r="W541" i="17"/>
  <c r="X540" i="17"/>
  <c r="Z540" i="17" s="1"/>
  <c r="R523" i="19" l="1"/>
  <c r="S522" i="19"/>
  <c r="U522" i="19" s="1"/>
  <c r="V523" i="19" s="1"/>
  <c r="AA541" i="17"/>
  <c r="AC541" i="17" s="1"/>
  <c r="AB540" i="17"/>
  <c r="W522" i="19" l="1"/>
  <c r="Y541" i="17"/>
  <c r="V542" i="17"/>
  <c r="X523" i="19" l="1"/>
  <c r="T523" i="19" s="1"/>
  <c r="Q524" i="19"/>
  <c r="W543" i="17"/>
  <c r="X542" i="17"/>
  <c r="Z542" i="17" s="1"/>
  <c r="S524" i="19" l="1"/>
  <c r="U524" i="19" s="1"/>
  <c r="V525" i="19" s="1"/>
  <c r="R525" i="19"/>
  <c r="AA543" i="17"/>
  <c r="AC543" i="17" s="1"/>
  <c r="AB542" i="17"/>
  <c r="W524" i="19" l="1"/>
  <c r="V544" i="17"/>
  <c r="Y543" i="17"/>
  <c r="X525" i="19" l="1"/>
  <c r="T525" i="19" s="1"/>
  <c r="Q526" i="19"/>
  <c r="X544" i="17"/>
  <c r="Z544" i="17" s="1"/>
  <c r="W545" i="17"/>
  <c r="S526" i="19" l="1"/>
  <c r="U526" i="19" s="1"/>
  <c r="V527" i="19" s="1"/>
  <c r="R527" i="19"/>
  <c r="AA545" i="17"/>
  <c r="AC545" i="17" s="1"/>
  <c r="AB544" i="17"/>
  <c r="W526" i="19" l="1"/>
  <c r="V546" i="17"/>
  <c r="Y545" i="17"/>
  <c r="X527" i="19" l="1"/>
  <c r="T527" i="19" s="1"/>
  <c r="Q528" i="19"/>
  <c r="W547" i="17"/>
  <c r="X546" i="17"/>
  <c r="Z546" i="17" s="1"/>
  <c r="S528" i="19" l="1"/>
  <c r="U528" i="19" s="1"/>
  <c r="V529" i="19" s="1"/>
  <c r="R529" i="19"/>
  <c r="AB546" i="17"/>
  <c r="AA547" i="17"/>
  <c r="AC547" i="17" s="1"/>
  <c r="W528" i="19" l="1"/>
  <c r="V548" i="17"/>
  <c r="Y547" i="17"/>
  <c r="X529" i="19" l="1"/>
  <c r="T529" i="19" s="1"/>
  <c r="Q530" i="19"/>
  <c r="X548" i="17"/>
  <c r="Z548" i="17" s="1"/>
  <c r="W549" i="17"/>
  <c r="S530" i="19" l="1"/>
  <c r="U530" i="19" s="1"/>
  <c r="V531" i="19" s="1"/>
  <c r="R531" i="19"/>
  <c r="AB548" i="17"/>
  <c r="AA549" i="17"/>
  <c r="AC549" i="17" s="1"/>
  <c r="W530" i="19" l="1"/>
  <c r="Y549" i="17"/>
  <c r="V550" i="17"/>
  <c r="X531" i="19" l="1"/>
  <c r="T531" i="19" s="1"/>
  <c r="Q532" i="19"/>
  <c r="X550" i="17"/>
  <c r="Z550" i="17" s="1"/>
  <c r="W551" i="17"/>
  <c r="S532" i="19" l="1"/>
  <c r="U532" i="19" s="1"/>
  <c r="V533" i="19" s="1"/>
  <c r="R533" i="19"/>
  <c r="AB550" i="17"/>
  <c r="AA551" i="17"/>
  <c r="AC551" i="17" s="1"/>
  <c r="W532" i="19" l="1"/>
  <c r="V552" i="17"/>
  <c r="Y551" i="17"/>
  <c r="X533" i="19" l="1"/>
  <c r="T533" i="19" s="1"/>
  <c r="Q534" i="19"/>
  <c r="X552" i="17"/>
  <c r="Z552" i="17" s="1"/>
  <c r="W553" i="17"/>
  <c r="S534" i="19" l="1"/>
  <c r="U534" i="19" s="1"/>
  <c r="V535" i="19" s="1"/>
  <c r="R535" i="19"/>
  <c r="AA553" i="17"/>
  <c r="AC553" i="17" s="1"/>
  <c r="AB552" i="17"/>
  <c r="W534" i="19" l="1"/>
  <c r="V554" i="17"/>
  <c r="Y553" i="17"/>
  <c r="X535" i="19" l="1"/>
  <c r="T535" i="19" s="1"/>
  <c r="Q536" i="19"/>
  <c r="X554" i="17"/>
  <c r="Z554" i="17" s="1"/>
  <c r="W555" i="17"/>
  <c r="R537" i="19" l="1"/>
  <c r="S536" i="19"/>
  <c r="U536" i="19" s="1"/>
  <c r="V537" i="19" s="1"/>
  <c r="AA555" i="17"/>
  <c r="AC555" i="17" s="1"/>
  <c r="AB554" i="17"/>
  <c r="W536" i="19" l="1"/>
  <c r="V556" i="17"/>
  <c r="Y555" i="17"/>
  <c r="X537" i="19" l="1"/>
  <c r="T537" i="19" s="1"/>
  <c r="Q538" i="19"/>
  <c r="W557" i="17"/>
  <c r="X556" i="17"/>
  <c r="Z556" i="17" s="1"/>
  <c r="S538" i="19" l="1"/>
  <c r="U538" i="19" s="1"/>
  <c r="V539" i="19" s="1"/>
  <c r="R539" i="19"/>
  <c r="AA557" i="17"/>
  <c r="AC557" i="17" s="1"/>
  <c r="AB556" i="17"/>
  <c r="W538" i="19" l="1"/>
  <c r="Y557" i="17"/>
  <c r="V558" i="17"/>
  <c r="X539" i="19" l="1"/>
  <c r="T539" i="19" s="1"/>
  <c r="Q540" i="19"/>
  <c r="X558" i="17"/>
  <c r="Z558" i="17" s="1"/>
  <c r="W559" i="17"/>
  <c r="S540" i="19" l="1"/>
  <c r="U540" i="19" s="1"/>
  <c r="V541" i="19" s="1"/>
  <c r="R541" i="19"/>
  <c r="AA559" i="17"/>
  <c r="AC559" i="17" s="1"/>
  <c r="AB558" i="17"/>
  <c r="W540" i="19" l="1"/>
  <c r="V560" i="17"/>
  <c r="Y559" i="17"/>
  <c r="X541" i="19" l="1"/>
  <c r="T541" i="19" s="1"/>
  <c r="Q542" i="19"/>
  <c r="W561" i="17"/>
  <c r="X560" i="17"/>
  <c r="Z560" i="17" s="1"/>
  <c r="R543" i="19" l="1"/>
  <c r="S542" i="19"/>
  <c r="U542" i="19" s="1"/>
  <c r="V543" i="19" s="1"/>
  <c r="AB560" i="17"/>
  <c r="AA561" i="17"/>
  <c r="AC561" i="17" s="1"/>
  <c r="W542" i="19" l="1"/>
  <c r="V562" i="17"/>
  <c r="Y561" i="17"/>
  <c r="X543" i="19" l="1"/>
  <c r="T543" i="19" s="1"/>
  <c r="Q544" i="19"/>
  <c r="X562" i="17"/>
  <c r="Z562" i="17" s="1"/>
  <c r="W563" i="17"/>
  <c r="S544" i="19" l="1"/>
  <c r="U544" i="19" s="1"/>
  <c r="V545" i="19" s="1"/>
  <c r="R545" i="19"/>
  <c r="AB562" i="17"/>
  <c r="AA563" i="17"/>
  <c r="AC563" i="17" s="1"/>
  <c r="W544" i="19" l="1"/>
  <c r="Y563" i="17"/>
  <c r="V564" i="17"/>
  <c r="X545" i="19" l="1"/>
  <c r="T545" i="19" s="1"/>
  <c r="Q546" i="19"/>
  <c r="W565" i="17"/>
  <c r="X564" i="17"/>
  <c r="Z564" i="17" s="1"/>
  <c r="R547" i="19" l="1"/>
  <c r="S546" i="19"/>
  <c r="U546" i="19" s="1"/>
  <c r="V547" i="19" s="1"/>
  <c r="AB564" i="17"/>
  <c r="AA565" i="17"/>
  <c r="AC565" i="17" s="1"/>
  <c r="W546" i="19" l="1"/>
  <c r="V566" i="17"/>
  <c r="Y565" i="17"/>
  <c r="X547" i="19" l="1"/>
  <c r="T547" i="19" s="1"/>
  <c r="Q548" i="19"/>
  <c r="W567" i="17"/>
  <c r="X566" i="17"/>
  <c r="Z566" i="17" s="1"/>
  <c r="S548" i="19" l="1"/>
  <c r="U548" i="19" s="1"/>
  <c r="V549" i="19" s="1"/>
  <c r="R549" i="19"/>
  <c r="AB566" i="17"/>
  <c r="AA567" i="17"/>
  <c r="AC567" i="17" s="1"/>
  <c r="W548" i="19" l="1"/>
  <c r="V568" i="17"/>
  <c r="Y567" i="17"/>
  <c r="X549" i="19" l="1"/>
  <c r="T549" i="19" s="1"/>
  <c r="Q550" i="19"/>
  <c r="W569" i="17"/>
  <c r="X568" i="17"/>
  <c r="Z568" i="17" s="1"/>
  <c r="S550" i="19" l="1"/>
  <c r="U550" i="19" s="1"/>
  <c r="V551" i="19" s="1"/>
  <c r="R551" i="19"/>
  <c r="AB568" i="17"/>
  <c r="AA569" i="17"/>
  <c r="AC569" i="17" s="1"/>
  <c r="W550" i="19" l="1"/>
  <c r="V570" i="17"/>
  <c r="Y569" i="17"/>
  <c r="X551" i="19" l="1"/>
  <c r="T551" i="19" s="1"/>
  <c r="Q552" i="19"/>
  <c r="X570" i="17"/>
  <c r="Z570" i="17" s="1"/>
  <c r="W571" i="17"/>
  <c r="S552" i="19" l="1"/>
  <c r="U552" i="19" s="1"/>
  <c r="V553" i="19" s="1"/>
  <c r="R553" i="19"/>
  <c r="AA571" i="17"/>
  <c r="AC571" i="17" s="1"/>
  <c r="AB570" i="17"/>
  <c r="W552" i="19" l="1"/>
  <c r="Y571" i="17"/>
  <c r="V572" i="17"/>
  <c r="X553" i="19" l="1"/>
  <c r="T553" i="19" s="1"/>
  <c r="Q554" i="19"/>
  <c r="X572" i="17"/>
  <c r="Z572" i="17" s="1"/>
  <c r="W573" i="17"/>
  <c r="S554" i="19" l="1"/>
  <c r="U554" i="19" s="1"/>
  <c r="V555" i="19" s="1"/>
  <c r="R555" i="19"/>
  <c r="AA573" i="17"/>
  <c r="AC573" i="17" s="1"/>
  <c r="AB572" i="17"/>
  <c r="W554" i="19" l="1"/>
  <c r="V574" i="17"/>
  <c r="Y573" i="17"/>
  <c r="X555" i="19" l="1"/>
  <c r="T555" i="19" s="1"/>
  <c r="Q556" i="19"/>
  <c r="W575" i="17"/>
  <c r="X574" i="17"/>
  <c r="Z574" i="17" s="1"/>
  <c r="R557" i="19" l="1"/>
  <c r="S556" i="19"/>
  <c r="U556" i="19" s="1"/>
  <c r="V557" i="19" s="1"/>
  <c r="AA575" i="17"/>
  <c r="AC575" i="17" s="1"/>
  <c r="AB574" i="17"/>
  <c r="W556" i="19" l="1"/>
  <c r="Y575" i="17"/>
  <c r="V576" i="17"/>
  <c r="X557" i="19" l="1"/>
  <c r="T557" i="19" s="1"/>
  <c r="Q558" i="19"/>
  <c r="W577" i="17"/>
  <c r="X576" i="17"/>
  <c r="Z576" i="17" s="1"/>
  <c r="S558" i="19" l="1"/>
  <c r="U558" i="19" s="1"/>
  <c r="V559" i="19" s="1"/>
  <c r="R559" i="19"/>
  <c r="AA577" i="17"/>
  <c r="AC577" i="17" s="1"/>
  <c r="AB576" i="17"/>
  <c r="W558" i="19" l="1"/>
  <c r="V578" i="17"/>
  <c r="Y577" i="17"/>
  <c r="X559" i="19" l="1"/>
  <c r="T559" i="19" s="1"/>
  <c r="Q560" i="19"/>
  <c r="X578" i="17"/>
  <c r="Z578" i="17" s="1"/>
  <c r="W579" i="17"/>
  <c r="S560" i="19" l="1"/>
  <c r="U560" i="19" s="1"/>
  <c r="V561" i="19" s="1"/>
  <c r="R561" i="19"/>
  <c r="AB578" i="17"/>
  <c r="AA579" i="17"/>
  <c r="AC579" i="17" s="1"/>
  <c r="W560" i="19" l="1"/>
  <c r="Y579" i="17"/>
  <c r="V580" i="17"/>
  <c r="X561" i="19" l="1"/>
  <c r="T561" i="19" s="1"/>
  <c r="Q562" i="19"/>
  <c r="W581" i="17"/>
  <c r="X580" i="17"/>
  <c r="Z580" i="17" s="1"/>
  <c r="S562" i="19" l="1"/>
  <c r="U562" i="19" s="1"/>
  <c r="V563" i="19" s="1"/>
  <c r="R563" i="19"/>
  <c r="AB580" i="17"/>
  <c r="AA581" i="17"/>
  <c r="AC581" i="17" s="1"/>
  <c r="W562" i="19" l="1"/>
  <c r="V582" i="17"/>
  <c r="Y581" i="17"/>
  <c r="X563" i="19" l="1"/>
  <c r="T563" i="19" s="1"/>
  <c r="Q564" i="19"/>
  <c r="W583" i="17"/>
  <c r="X582" i="17"/>
  <c r="Z582" i="17" s="1"/>
  <c r="R565" i="19" l="1"/>
  <c r="S564" i="19"/>
  <c r="U564" i="19" s="1"/>
  <c r="V565" i="19" s="1"/>
  <c r="AA583" i="17"/>
  <c r="AC583" i="17" s="1"/>
  <c r="AB582" i="17"/>
  <c r="W564" i="19" l="1"/>
  <c r="V584" i="17"/>
  <c r="Y583" i="17"/>
  <c r="X565" i="19" l="1"/>
  <c r="T565" i="19" s="1"/>
  <c r="Q566" i="19"/>
  <c r="W585" i="17"/>
  <c r="X584" i="17"/>
  <c r="Z584" i="17" s="1"/>
  <c r="R567" i="19" l="1"/>
  <c r="S566" i="19"/>
  <c r="U566" i="19" s="1"/>
  <c r="V567" i="19" s="1"/>
  <c r="AB584" i="17"/>
  <c r="AA585" i="17"/>
  <c r="AC585" i="17" s="1"/>
  <c r="W566" i="19" l="1"/>
  <c r="V586" i="17"/>
  <c r="Y585" i="17"/>
  <c r="X567" i="19" l="1"/>
  <c r="T567" i="19" s="1"/>
  <c r="Q568" i="19"/>
  <c r="W587" i="17"/>
  <c r="X586" i="17"/>
  <c r="Z586" i="17" s="1"/>
  <c r="S568" i="19" l="1"/>
  <c r="U568" i="19" s="1"/>
  <c r="V569" i="19" s="1"/>
  <c r="R569" i="19"/>
  <c r="AA587" i="17"/>
  <c r="AC587" i="17" s="1"/>
  <c r="AB586" i="17"/>
  <c r="W568" i="19" l="1"/>
  <c r="Y587" i="17"/>
  <c r="V588" i="17"/>
  <c r="X569" i="19" l="1"/>
  <c r="T569" i="19" s="1"/>
  <c r="Q570" i="19"/>
  <c r="W589" i="17"/>
  <c r="X588" i="17"/>
  <c r="Z588" i="17" s="1"/>
  <c r="S570" i="19" l="1"/>
  <c r="U570" i="19" s="1"/>
  <c r="V571" i="19" s="1"/>
  <c r="R571" i="19"/>
  <c r="AA589" i="17"/>
  <c r="AC589" i="17" s="1"/>
  <c r="AB588" i="17"/>
  <c r="W570" i="19" l="1"/>
  <c r="V590" i="17"/>
  <c r="Y589" i="17"/>
  <c r="X571" i="19" l="1"/>
  <c r="T571" i="19" s="1"/>
  <c r="Q572" i="19"/>
  <c r="X590" i="17"/>
  <c r="Z590" i="17" s="1"/>
  <c r="W591" i="17"/>
  <c r="S572" i="19" l="1"/>
  <c r="U572" i="19" s="1"/>
  <c r="V573" i="19" s="1"/>
  <c r="R573" i="19"/>
  <c r="AB590" i="17"/>
  <c r="AA591" i="17"/>
  <c r="AC591" i="17" s="1"/>
  <c r="W572" i="19" l="1"/>
  <c r="Y591" i="17"/>
  <c r="V592" i="17"/>
  <c r="X573" i="19" l="1"/>
  <c r="T573" i="19" s="1"/>
  <c r="Q574" i="19"/>
  <c r="W593" i="17"/>
  <c r="X592" i="17"/>
  <c r="Z592" i="17" s="1"/>
  <c r="S574" i="19" l="1"/>
  <c r="U574" i="19" s="1"/>
  <c r="V575" i="19" s="1"/>
  <c r="R575" i="19"/>
  <c r="AA593" i="17"/>
  <c r="AC593" i="17" s="1"/>
  <c r="AB592" i="17"/>
  <c r="W574" i="19" l="1"/>
  <c r="V594" i="17"/>
  <c r="Y593" i="17"/>
  <c r="X575" i="19" l="1"/>
  <c r="T575" i="19" s="1"/>
  <c r="Q576" i="19"/>
  <c r="X594" i="17"/>
  <c r="Z594" i="17" s="1"/>
  <c r="W595" i="17"/>
  <c r="R577" i="19" l="1"/>
  <c r="S576" i="19"/>
  <c r="U576" i="19" s="1"/>
  <c r="V577" i="19" s="1"/>
  <c r="AB594" i="17"/>
  <c r="AA595" i="17"/>
  <c r="AC595" i="17" s="1"/>
  <c r="W576" i="19" l="1"/>
  <c r="Y595" i="17"/>
  <c r="V596" i="17"/>
  <c r="X577" i="19" l="1"/>
  <c r="T577" i="19" s="1"/>
  <c r="Q578" i="19"/>
  <c r="X596" i="17"/>
  <c r="Z596" i="17" s="1"/>
  <c r="W597" i="17"/>
  <c r="R579" i="19" l="1"/>
  <c r="S578" i="19"/>
  <c r="U578" i="19" s="1"/>
  <c r="V579" i="19" s="1"/>
  <c r="AB596" i="17"/>
  <c r="AA597" i="17"/>
  <c r="AC597" i="17" s="1"/>
  <c r="W578" i="19" l="1"/>
  <c r="V598" i="17"/>
  <c r="Y597" i="17"/>
  <c r="X579" i="19" l="1"/>
  <c r="T579" i="19" s="1"/>
  <c r="Q580" i="19"/>
  <c r="W599" i="17"/>
  <c r="X598" i="17"/>
  <c r="Z598" i="17" s="1"/>
  <c r="S580" i="19" l="1"/>
  <c r="U580" i="19" s="1"/>
  <c r="V581" i="19" s="1"/>
  <c r="R581" i="19"/>
  <c r="AB598" i="17"/>
  <c r="AA599" i="17"/>
  <c r="AC599" i="17" s="1"/>
  <c r="W580" i="19" l="1"/>
  <c r="V600" i="17"/>
  <c r="Y599" i="17"/>
  <c r="X581" i="19" l="1"/>
  <c r="T581" i="19" s="1"/>
  <c r="Q582" i="19"/>
  <c r="W601" i="17"/>
  <c r="X600" i="17"/>
  <c r="Z600" i="17" s="1"/>
  <c r="R583" i="19" l="1"/>
  <c r="S582" i="19"/>
  <c r="U582" i="19" s="1"/>
  <c r="V583" i="19" s="1"/>
  <c r="AB600" i="17"/>
  <c r="AA601" i="17"/>
  <c r="AC601" i="17" s="1"/>
  <c r="W582" i="19" l="1"/>
  <c r="V602" i="17"/>
  <c r="Y601" i="17"/>
  <c r="X583" i="19" l="1"/>
  <c r="T583" i="19" s="1"/>
  <c r="Q584" i="19"/>
  <c r="X602" i="17"/>
  <c r="Z602" i="17" s="1"/>
  <c r="W603" i="17"/>
  <c r="S584" i="19" l="1"/>
  <c r="U584" i="19" s="1"/>
  <c r="V585" i="19" s="1"/>
  <c r="R585" i="19"/>
  <c r="AA603" i="17"/>
  <c r="AC603" i="17" s="1"/>
  <c r="AB602" i="17"/>
  <c r="W584" i="19" l="1"/>
  <c r="Y603" i="17"/>
  <c r="V604" i="17"/>
  <c r="X585" i="19" l="1"/>
  <c r="T585" i="19" s="1"/>
  <c r="Q586" i="19"/>
  <c r="X604" i="17"/>
  <c r="Z604" i="17" s="1"/>
  <c r="W605" i="17"/>
  <c r="R587" i="19" l="1"/>
  <c r="S586" i="19"/>
  <c r="U586" i="19" s="1"/>
  <c r="V587" i="19" s="1"/>
  <c r="AA605" i="17"/>
  <c r="AC605" i="17" s="1"/>
  <c r="AB604" i="17"/>
  <c r="W586" i="19" l="1"/>
  <c r="V606" i="17"/>
  <c r="Y605" i="17"/>
  <c r="X587" i="19" l="1"/>
  <c r="T587" i="19" s="1"/>
  <c r="Q588" i="19"/>
  <c r="W607" i="17"/>
  <c r="X606" i="17"/>
  <c r="Z606" i="17" s="1"/>
  <c r="S588" i="19" l="1"/>
  <c r="U588" i="19" s="1"/>
  <c r="V589" i="19" s="1"/>
  <c r="R589" i="19"/>
  <c r="AB606" i="17"/>
  <c r="AA607" i="17"/>
  <c r="AC607" i="17" s="1"/>
  <c r="W588" i="19" l="1"/>
  <c r="Y607" i="17"/>
  <c r="V608" i="17"/>
  <c r="X589" i="19" l="1"/>
  <c r="T589" i="19" s="1"/>
  <c r="Q590" i="19"/>
  <c r="X608" i="17"/>
  <c r="Z608" i="17" s="1"/>
  <c r="W609" i="17"/>
  <c r="S590" i="19" l="1"/>
  <c r="U590" i="19" s="1"/>
  <c r="V591" i="19" s="1"/>
  <c r="R591" i="19"/>
  <c r="AA609" i="17"/>
  <c r="AC609" i="17" s="1"/>
  <c r="AB608" i="17"/>
  <c r="W590" i="19" l="1"/>
  <c r="V610" i="17"/>
  <c r="Y609" i="17"/>
  <c r="X591" i="19" l="1"/>
  <c r="T591" i="19" s="1"/>
  <c r="Q592" i="19"/>
  <c r="W611" i="17"/>
  <c r="X610" i="17"/>
  <c r="Z610" i="17" s="1"/>
  <c r="R593" i="19" l="1"/>
  <c r="S592" i="19"/>
  <c r="U592" i="19" s="1"/>
  <c r="V593" i="19" s="1"/>
  <c r="AB610" i="17"/>
  <c r="AA611" i="17"/>
  <c r="AC611" i="17" s="1"/>
  <c r="W592" i="19" l="1"/>
  <c r="Y611" i="17"/>
  <c r="V612" i="17"/>
  <c r="X593" i="19" l="1"/>
  <c r="T593" i="19" s="1"/>
  <c r="Q594" i="19"/>
  <c r="X612" i="17"/>
  <c r="Z612" i="17" s="1"/>
  <c r="W613" i="17"/>
  <c r="R595" i="19" l="1"/>
  <c r="S594" i="19"/>
  <c r="U594" i="19" s="1"/>
  <c r="V595" i="19" s="1"/>
  <c r="AB612" i="17"/>
  <c r="AA613" i="17"/>
  <c r="AC613" i="17" s="1"/>
  <c r="W594" i="19" l="1"/>
  <c r="V614" i="17"/>
  <c r="Y613" i="17"/>
  <c r="X595" i="19" l="1"/>
  <c r="T595" i="19" s="1"/>
  <c r="Q596" i="19"/>
  <c r="X614" i="17"/>
  <c r="Z614" i="17" s="1"/>
  <c r="W615" i="17"/>
  <c r="S596" i="19" l="1"/>
  <c r="U596" i="19" s="1"/>
  <c r="V597" i="19" s="1"/>
  <c r="R597" i="19"/>
  <c r="AB614" i="17"/>
  <c r="AA615" i="17"/>
  <c r="AC615" i="17" s="1"/>
  <c r="W596" i="19" l="1"/>
  <c r="Y615" i="17"/>
  <c r="V616" i="17"/>
  <c r="X597" i="19" l="1"/>
  <c r="T597" i="19" s="1"/>
  <c r="Q598" i="19"/>
  <c r="W617" i="17"/>
  <c r="X616" i="17"/>
  <c r="Z616" i="17" s="1"/>
  <c r="R599" i="19" l="1"/>
  <c r="S598" i="19"/>
  <c r="U598" i="19" s="1"/>
  <c r="V599" i="19" s="1"/>
  <c r="AB616" i="17"/>
  <c r="AA617" i="17"/>
  <c r="AC617" i="17" s="1"/>
  <c r="W598" i="19" l="1"/>
  <c r="V618" i="17"/>
  <c r="Y617" i="17"/>
  <c r="X599" i="19" l="1"/>
  <c r="T599" i="19" s="1"/>
  <c r="Q600" i="19"/>
  <c r="X618" i="17"/>
  <c r="Z618" i="17" s="1"/>
  <c r="W619" i="17"/>
  <c r="S600" i="19" l="1"/>
  <c r="U600" i="19" s="1"/>
  <c r="V601" i="19" s="1"/>
  <c r="R601" i="19"/>
  <c r="AA619" i="17"/>
  <c r="AC619" i="17" s="1"/>
  <c r="AB618" i="17"/>
  <c r="W600" i="19" l="1"/>
  <c r="V620" i="17"/>
  <c r="Y619" i="17"/>
  <c r="X601" i="19" l="1"/>
  <c r="T601" i="19" s="1"/>
  <c r="Q602" i="19"/>
  <c r="X620" i="17"/>
  <c r="Z620" i="17" s="1"/>
  <c r="W621" i="17"/>
  <c r="R603" i="19" l="1"/>
  <c r="S602" i="19"/>
  <c r="U602" i="19" s="1"/>
  <c r="V603" i="19" s="1"/>
  <c r="AA621" i="17"/>
  <c r="AC621" i="17" s="1"/>
  <c r="AB620" i="17"/>
  <c r="W602" i="19" l="1"/>
  <c r="V622" i="17"/>
  <c r="Y621" i="17"/>
  <c r="X603" i="19" l="1"/>
  <c r="T603" i="19" s="1"/>
  <c r="Q604" i="19"/>
  <c r="W623" i="17"/>
  <c r="X622" i="17"/>
  <c r="Z622" i="17" s="1"/>
  <c r="R605" i="19" l="1"/>
  <c r="S604" i="19"/>
  <c r="U604" i="19" s="1"/>
  <c r="V605" i="19" s="1"/>
  <c r="AB622" i="17"/>
  <c r="AA623" i="17"/>
  <c r="AC623" i="17" s="1"/>
  <c r="W604" i="19" l="1"/>
  <c r="V624" i="17"/>
  <c r="Y623" i="17"/>
  <c r="X605" i="19" l="1"/>
  <c r="T605" i="19" s="1"/>
  <c r="Q606" i="19"/>
  <c r="W625" i="17"/>
  <c r="X624" i="17"/>
  <c r="Z624" i="17" s="1"/>
  <c r="R607" i="19" l="1"/>
  <c r="S606" i="19"/>
  <c r="U606" i="19" s="1"/>
  <c r="V607" i="19" s="1"/>
  <c r="AA625" i="17"/>
  <c r="AC625" i="17" s="1"/>
  <c r="AB624" i="17"/>
  <c r="W606" i="19" l="1"/>
  <c r="Y625" i="17"/>
  <c r="V626" i="17"/>
  <c r="X607" i="19" l="1"/>
  <c r="T607" i="19" s="1"/>
  <c r="Q608" i="19"/>
  <c r="W627" i="17"/>
  <c r="X626" i="17"/>
  <c r="Z626" i="17" s="1"/>
  <c r="R609" i="19" l="1"/>
  <c r="S608" i="19"/>
  <c r="U608" i="19" s="1"/>
  <c r="V609" i="19" s="1"/>
  <c r="AA627" i="17"/>
  <c r="AC627" i="17" s="1"/>
  <c r="AB626" i="17"/>
  <c r="W608" i="19" l="1"/>
  <c r="V628" i="17"/>
  <c r="Y627" i="17"/>
  <c r="X609" i="19" l="1"/>
  <c r="T609" i="19" s="1"/>
  <c r="Q610" i="19"/>
  <c r="W629" i="17"/>
  <c r="X628" i="17"/>
  <c r="Z628" i="17" s="1"/>
  <c r="R611" i="19" l="1"/>
  <c r="S610" i="19"/>
  <c r="U610" i="19" s="1"/>
  <c r="V611" i="19" s="1"/>
  <c r="AA629" i="17"/>
  <c r="AC629" i="17" s="1"/>
  <c r="AB628" i="17"/>
  <c r="W610" i="19" l="1"/>
  <c r="Y629" i="17"/>
  <c r="V630" i="17"/>
  <c r="X611" i="19" l="1"/>
  <c r="T611" i="19" s="1"/>
  <c r="Q612" i="19"/>
  <c r="X630" i="17"/>
  <c r="Z630" i="17" s="1"/>
  <c r="W631" i="17"/>
  <c r="R613" i="19" l="1"/>
  <c r="S612" i="19"/>
  <c r="U612" i="19" s="1"/>
  <c r="V613" i="19" s="1"/>
  <c r="AA631" i="17"/>
  <c r="AC631" i="17" s="1"/>
  <c r="AB630" i="17"/>
  <c r="W612" i="19" l="1"/>
  <c r="Y631" i="17"/>
  <c r="V632" i="17"/>
  <c r="X613" i="19" l="1"/>
  <c r="T613" i="19" s="1"/>
  <c r="Q614" i="19"/>
  <c r="W633" i="17"/>
  <c r="X632" i="17"/>
  <c r="Z632" i="17" s="1"/>
  <c r="R615" i="19" l="1"/>
  <c r="S614" i="19"/>
  <c r="U614" i="19" s="1"/>
  <c r="V615" i="19" s="1"/>
  <c r="AA633" i="17"/>
  <c r="AC633" i="17" s="1"/>
  <c r="AB632" i="17"/>
  <c r="W614" i="19" l="1"/>
  <c r="Y633" i="17"/>
  <c r="V634" i="17"/>
  <c r="X615" i="19" l="1"/>
  <c r="T615" i="19" s="1"/>
  <c r="Q616" i="19"/>
  <c r="W635" i="17"/>
  <c r="X634" i="17"/>
  <c r="Z634" i="17" s="1"/>
  <c r="S616" i="19" l="1"/>
  <c r="U616" i="19" s="1"/>
  <c r="V617" i="19" s="1"/>
  <c r="R617" i="19"/>
  <c r="AB634" i="17"/>
  <c r="AA635" i="17"/>
  <c r="AC635" i="17" s="1"/>
  <c r="W616" i="19" l="1"/>
  <c r="V636" i="17"/>
  <c r="Y635" i="17"/>
  <c r="X617" i="19" l="1"/>
  <c r="T617" i="19" s="1"/>
  <c r="Q618" i="19"/>
  <c r="X636" i="17"/>
  <c r="Z636" i="17" s="1"/>
  <c r="W637" i="17"/>
  <c r="R619" i="19" l="1"/>
  <c r="S618" i="19"/>
  <c r="U618" i="19" s="1"/>
  <c r="V619" i="19" s="1"/>
  <c r="AB636" i="17"/>
  <c r="AA637" i="17"/>
  <c r="AC637" i="17" s="1"/>
  <c r="W618" i="19" l="1"/>
  <c r="Y637" i="17"/>
  <c r="V638" i="17"/>
  <c r="X619" i="19" l="1"/>
  <c r="T619" i="19" s="1"/>
  <c r="Q620" i="19"/>
  <c r="X638" i="17"/>
  <c r="Z638" i="17" s="1"/>
  <c r="W639" i="17"/>
  <c r="R621" i="19" l="1"/>
  <c r="S620" i="19"/>
  <c r="U620" i="19" s="1"/>
  <c r="V621" i="19" s="1"/>
  <c r="AB638" i="17"/>
  <c r="AA639" i="17"/>
  <c r="AC639" i="17" s="1"/>
  <c r="W620" i="19" l="1"/>
  <c r="V640" i="17"/>
  <c r="Y639" i="17"/>
  <c r="X621" i="19" l="1"/>
  <c r="T621" i="19" s="1"/>
  <c r="Q622" i="19"/>
  <c r="W641" i="17"/>
  <c r="X640" i="17"/>
  <c r="Z640" i="17" s="1"/>
  <c r="S622" i="19" l="1"/>
  <c r="U622" i="19" s="1"/>
  <c r="V623" i="19" s="1"/>
  <c r="R623" i="19"/>
  <c r="AB640" i="17"/>
  <c r="AA641" i="17"/>
  <c r="AC641" i="17" s="1"/>
  <c r="W622" i="19" l="1"/>
  <c r="Y641" i="17"/>
  <c r="V642" i="17"/>
  <c r="X623" i="19" l="1"/>
  <c r="T623" i="19" s="1"/>
  <c r="Q624" i="19"/>
  <c r="W643" i="17"/>
  <c r="X642" i="17"/>
  <c r="Z642" i="17" s="1"/>
  <c r="R625" i="19" l="1"/>
  <c r="S624" i="19"/>
  <c r="U624" i="19" s="1"/>
  <c r="V625" i="19" s="1"/>
  <c r="AA643" i="17"/>
  <c r="AC643" i="17" s="1"/>
  <c r="AB642" i="17"/>
  <c r="W624" i="19" l="1"/>
  <c r="V644" i="17"/>
  <c r="Y643" i="17"/>
  <c r="X625" i="19" l="1"/>
  <c r="T625" i="19" s="1"/>
  <c r="Q626" i="19"/>
  <c r="W645" i="17"/>
  <c r="X644" i="17"/>
  <c r="Z644" i="17" s="1"/>
  <c r="S626" i="19" l="1"/>
  <c r="U626" i="19" s="1"/>
  <c r="V627" i="19" s="1"/>
  <c r="R627" i="19"/>
  <c r="AA645" i="17"/>
  <c r="AC645" i="17" s="1"/>
  <c r="AB644" i="17"/>
  <c r="W626" i="19" l="1"/>
  <c r="Y645" i="17"/>
  <c r="V646" i="17"/>
  <c r="X627" i="19" l="1"/>
  <c r="T627" i="19" s="1"/>
  <c r="Q628" i="19"/>
  <c r="W647" i="17"/>
  <c r="X646" i="17"/>
  <c r="Z646" i="17" s="1"/>
  <c r="R629" i="19" l="1"/>
  <c r="S628" i="19"/>
  <c r="U628" i="19" s="1"/>
  <c r="V629" i="19" s="1"/>
  <c r="AB646" i="17"/>
  <c r="AA647" i="17"/>
  <c r="AC647" i="17" s="1"/>
  <c r="W628" i="19" l="1"/>
  <c r="Y647" i="17"/>
  <c r="V648" i="17"/>
  <c r="X629" i="19" l="1"/>
  <c r="T629" i="19" s="1"/>
  <c r="Q630" i="19"/>
  <c r="X648" i="17"/>
  <c r="Z648" i="17" s="1"/>
  <c r="W649" i="17"/>
  <c r="R631" i="19" l="1"/>
  <c r="S630" i="19"/>
  <c r="U630" i="19" s="1"/>
  <c r="V631" i="19" s="1"/>
  <c r="AA649" i="17"/>
  <c r="AC649" i="17" s="1"/>
  <c r="AB648" i="17"/>
  <c r="W630" i="19" l="1"/>
  <c r="Y649" i="17"/>
  <c r="V650" i="17"/>
  <c r="X631" i="19" l="1"/>
  <c r="T631" i="19" s="1"/>
  <c r="Q632" i="19"/>
  <c r="X650" i="17"/>
  <c r="Z650" i="17" s="1"/>
  <c r="W651" i="17"/>
  <c r="R633" i="19" l="1"/>
  <c r="S632" i="19"/>
  <c r="U632" i="19" s="1"/>
  <c r="V633" i="19" s="1"/>
  <c r="AB650" i="17"/>
  <c r="AA651" i="17"/>
  <c r="AC651" i="17" s="1"/>
  <c r="W632" i="19" l="1"/>
  <c r="V652" i="17"/>
  <c r="Y651" i="17"/>
  <c r="X633" i="19" l="1"/>
  <c r="T633" i="19" s="1"/>
  <c r="Q634" i="19"/>
  <c r="X652" i="17"/>
  <c r="Z652" i="17" s="1"/>
  <c r="W653" i="17"/>
  <c r="R635" i="19" l="1"/>
  <c r="S634" i="19"/>
  <c r="U634" i="19" s="1"/>
  <c r="V635" i="19" s="1"/>
  <c r="AB652" i="17"/>
  <c r="AA653" i="17"/>
  <c r="AC653" i="17" s="1"/>
  <c r="W634" i="19" l="1"/>
  <c r="Y653" i="17"/>
  <c r="V654" i="17"/>
  <c r="X635" i="19" l="1"/>
  <c r="T635" i="19" s="1"/>
  <c r="Q636" i="19"/>
  <c r="X654" i="17"/>
  <c r="Z654" i="17" s="1"/>
  <c r="W655" i="17"/>
  <c r="S636" i="19" l="1"/>
  <c r="U636" i="19" s="1"/>
  <c r="V637" i="19" s="1"/>
  <c r="R637" i="19"/>
  <c r="AB654" i="17"/>
  <c r="AA655" i="17"/>
  <c r="AC655" i="17" s="1"/>
  <c r="W636" i="19" l="1"/>
  <c r="V656" i="17"/>
  <c r="Y655" i="17"/>
  <c r="X637" i="19" l="1"/>
  <c r="T637" i="19" s="1"/>
  <c r="Q638" i="19"/>
  <c r="W657" i="17"/>
  <c r="X656" i="17"/>
  <c r="Z656" i="17" s="1"/>
  <c r="S638" i="19" l="1"/>
  <c r="U638" i="19" s="1"/>
  <c r="V639" i="19" s="1"/>
  <c r="R639" i="19"/>
  <c r="AB656" i="17"/>
  <c r="AA657" i="17"/>
  <c r="AC657" i="17" s="1"/>
  <c r="W638" i="19" l="1"/>
  <c r="Y657" i="17"/>
  <c r="V658" i="17"/>
  <c r="X639" i="19" l="1"/>
  <c r="T639" i="19" s="1"/>
  <c r="Q640" i="19"/>
  <c r="W659" i="17"/>
  <c r="X658" i="17"/>
  <c r="Z658" i="17" s="1"/>
  <c r="R641" i="19" l="1"/>
  <c r="S640" i="19"/>
  <c r="U640" i="19" s="1"/>
  <c r="V641" i="19" s="1"/>
  <c r="AA659" i="17"/>
  <c r="AC659" i="17" s="1"/>
  <c r="AB658" i="17"/>
  <c r="W640" i="19" l="1"/>
  <c r="V660" i="17"/>
  <c r="Y659" i="17"/>
  <c r="X641" i="19" l="1"/>
  <c r="T641" i="19" s="1"/>
  <c r="Q642" i="19"/>
  <c r="W661" i="17"/>
  <c r="X660" i="17"/>
  <c r="Z660" i="17" s="1"/>
  <c r="S642" i="19" l="1"/>
  <c r="U642" i="19" s="1"/>
  <c r="V643" i="19" s="1"/>
  <c r="R643" i="19"/>
  <c r="AA661" i="17"/>
  <c r="AC661" i="17" s="1"/>
  <c r="AB660" i="17"/>
  <c r="W642" i="19" l="1"/>
  <c r="Y661" i="17"/>
  <c r="V662" i="17"/>
  <c r="X643" i="19" l="1"/>
  <c r="T643" i="19" s="1"/>
  <c r="Q644" i="19"/>
  <c r="X662" i="17"/>
  <c r="Z662" i="17" s="1"/>
  <c r="W663" i="17"/>
  <c r="R645" i="19" l="1"/>
  <c r="S644" i="19"/>
  <c r="U644" i="19" s="1"/>
  <c r="V645" i="19" s="1"/>
  <c r="AA663" i="17"/>
  <c r="AC663" i="17" s="1"/>
  <c r="AB662" i="17"/>
  <c r="W644" i="19" l="1"/>
  <c r="V664" i="17"/>
  <c r="Y663" i="17"/>
  <c r="X645" i="19" l="1"/>
  <c r="T645" i="19" s="1"/>
  <c r="Q646" i="19"/>
  <c r="X664" i="17"/>
  <c r="Z664" i="17" s="1"/>
  <c r="W665" i="17"/>
  <c r="R647" i="19" l="1"/>
  <c r="S646" i="19"/>
  <c r="U646" i="19" s="1"/>
  <c r="V647" i="19" s="1"/>
  <c r="AB664" i="17"/>
  <c r="AA665" i="17"/>
  <c r="AC665" i="17" s="1"/>
  <c r="W646" i="19" l="1"/>
  <c r="V666" i="17"/>
  <c r="Y665" i="17"/>
  <c r="X647" i="19" l="1"/>
  <c r="T647" i="19" s="1"/>
  <c r="Q648" i="19"/>
  <c r="W667" i="17"/>
  <c r="X666" i="17"/>
  <c r="Z666" i="17" s="1"/>
  <c r="S648" i="19" l="1"/>
  <c r="U648" i="19" s="1"/>
  <c r="V649" i="19" s="1"/>
  <c r="R649" i="19"/>
  <c r="AA667" i="17"/>
  <c r="AC667" i="17" s="1"/>
  <c r="AB666" i="17"/>
  <c r="W648" i="19" l="1"/>
  <c r="Y667" i="17"/>
  <c r="V668" i="17"/>
  <c r="X649" i="19" l="1"/>
  <c r="T649" i="19" s="1"/>
  <c r="Q650" i="19"/>
  <c r="W669" i="17"/>
  <c r="X668" i="17"/>
  <c r="Z668" i="17" s="1"/>
  <c r="R651" i="19" l="1"/>
  <c r="S650" i="19"/>
  <c r="U650" i="19" s="1"/>
  <c r="V651" i="19" s="1"/>
  <c r="AA669" i="17"/>
  <c r="AC669" i="17" s="1"/>
  <c r="AB668" i="17"/>
  <c r="W650" i="19" l="1"/>
  <c r="V670" i="17"/>
  <c r="Y669" i="17"/>
  <c r="X651" i="19" l="1"/>
  <c r="T651" i="19" s="1"/>
  <c r="Q652" i="19"/>
  <c r="X670" i="17"/>
  <c r="Z670" i="17" s="1"/>
  <c r="W671" i="17"/>
  <c r="S652" i="19" l="1"/>
  <c r="U652" i="19" s="1"/>
  <c r="V653" i="19" s="1"/>
  <c r="R653" i="19"/>
  <c r="AB670" i="17"/>
  <c r="AA671" i="17"/>
  <c r="AC671" i="17" s="1"/>
  <c r="W652" i="19" l="1"/>
  <c r="Y671" i="17"/>
  <c r="V672" i="17"/>
  <c r="X653" i="19" l="1"/>
  <c r="T653" i="19" s="1"/>
  <c r="Q654" i="19"/>
  <c r="W673" i="17"/>
  <c r="X672" i="17"/>
  <c r="Z672" i="17" s="1"/>
  <c r="R655" i="19" l="1"/>
  <c r="S654" i="19"/>
  <c r="U654" i="19" s="1"/>
  <c r="V655" i="19" s="1"/>
  <c r="AA673" i="17"/>
  <c r="AC673" i="17" s="1"/>
  <c r="AB672" i="17"/>
  <c r="W654" i="19" l="1"/>
  <c r="V674" i="17"/>
  <c r="Y673" i="17"/>
  <c r="X655" i="19" l="1"/>
  <c r="T655" i="19" s="1"/>
  <c r="Q656" i="19"/>
  <c r="W675" i="17"/>
  <c r="X674" i="17"/>
  <c r="Z674" i="17" s="1"/>
  <c r="S656" i="19" l="1"/>
  <c r="U656" i="19" s="1"/>
  <c r="V657" i="19" s="1"/>
  <c r="R657" i="19"/>
  <c r="AB674" i="17"/>
  <c r="AA675" i="17"/>
  <c r="AC675" i="17" s="1"/>
  <c r="W656" i="19" l="1"/>
  <c r="Y675" i="17"/>
  <c r="V676" i="17"/>
  <c r="X657" i="19" l="1"/>
  <c r="T657" i="19" s="1"/>
  <c r="Q658" i="19"/>
  <c r="X676" i="17"/>
  <c r="Z676" i="17" s="1"/>
  <c r="W677" i="17"/>
  <c r="R659" i="19" l="1"/>
  <c r="S658" i="19"/>
  <c r="U658" i="19" s="1"/>
  <c r="V659" i="19" s="1"/>
  <c r="AB676" i="17"/>
  <c r="AA677" i="17"/>
  <c r="AC677" i="17" s="1"/>
  <c r="W658" i="19" l="1"/>
  <c r="V678" i="17"/>
  <c r="Y677" i="17"/>
  <c r="X659" i="19" l="1"/>
  <c r="T659" i="19" s="1"/>
  <c r="Q660" i="19"/>
  <c r="X678" i="17"/>
  <c r="Z678" i="17" s="1"/>
  <c r="W679" i="17"/>
  <c r="R661" i="19" l="1"/>
  <c r="S660" i="19"/>
  <c r="U660" i="19" s="1"/>
  <c r="V661" i="19" s="1"/>
  <c r="AB678" i="17"/>
  <c r="AA679" i="17"/>
  <c r="AC679" i="17" s="1"/>
  <c r="W660" i="19" l="1"/>
  <c r="V680" i="17"/>
  <c r="Y679" i="17"/>
  <c r="X661" i="19" l="1"/>
  <c r="T661" i="19" s="1"/>
  <c r="Q662" i="19"/>
  <c r="X680" i="17"/>
  <c r="Z680" i="17" s="1"/>
  <c r="W681" i="17"/>
  <c r="S662" i="19" l="1"/>
  <c r="U662" i="19" s="1"/>
  <c r="V663" i="19" s="1"/>
  <c r="R663" i="19"/>
  <c r="AB680" i="17"/>
  <c r="AA681" i="17"/>
  <c r="AC681" i="17" s="1"/>
  <c r="W662" i="19" l="1"/>
  <c r="V682" i="17"/>
  <c r="Y681" i="17"/>
  <c r="X663" i="19" l="1"/>
  <c r="T663" i="19" s="1"/>
  <c r="Q664" i="19"/>
  <c r="X682" i="17"/>
  <c r="Z682" i="17" s="1"/>
  <c r="W683" i="17"/>
  <c r="R665" i="19" l="1"/>
  <c r="S664" i="19"/>
  <c r="U664" i="19" s="1"/>
  <c r="V665" i="19" s="1"/>
  <c r="AA683" i="17"/>
  <c r="AC683" i="17" s="1"/>
  <c r="AB682" i="17"/>
  <c r="W664" i="19" l="1"/>
  <c r="Y683" i="17"/>
  <c r="V684" i="17"/>
  <c r="X665" i="19" l="1"/>
  <c r="T665" i="19" s="1"/>
  <c r="Q666" i="19"/>
  <c r="X684" i="17"/>
  <c r="Z684" i="17" s="1"/>
  <c r="W685" i="17"/>
  <c r="R667" i="19" l="1"/>
  <c r="S666" i="19"/>
  <c r="U666" i="19" s="1"/>
  <c r="V667" i="19" s="1"/>
  <c r="AA685" i="17"/>
  <c r="AC685" i="17" s="1"/>
  <c r="AB684" i="17"/>
  <c r="W666" i="19" l="1"/>
  <c r="V686" i="17"/>
  <c r="Y685" i="17"/>
  <c r="X667" i="19" l="1"/>
  <c r="T667" i="19" s="1"/>
  <c r="Q668" i="19"/>
  <c r="W687" i="17"/>
  <c r="X686" i="17"/>
  <c r="Z686" i="17" s="1"/>
  <c r="R669" i="19" l="1"/>
  <c r="S668" i="19"/>
  <c r="U668" i="19" s="1"/>
  <c r="V669" i="19" s="1"/>
  <c r="AA687" i="17"/>
  <c r="AC687" i="17" s="1"/>
  <c r="AB686" i="17"/>
  <c r="W668" i="19" l="1"/>
  <c r="V688" i="17"/>
  <c r="Y687" i="17"/>
  <c r="X669" i="19" l="1"/>
  <c r="T669" i="19" s="1"/>
  <c r="Q670" i="19"/>
  <c r="W689" i="17"/>
  <c r="X688" i="17"/>
  <c r="Z688" i="17" s="1"/>
  <c r="S670" i="19" l="1"/>
  <c r="U670" i="19" s="1"/>
  <c r="V671" i="19" s="1"/>
  <c r="R671" i="19"/>
  <c r="AA689" i="17"/>
  <c r="AC689" i="17" s="1"/>
  <c r="AB688" i="17"/>
  <c r="W670" i="19" l="1"/>
  <c r="Y689" i="17"/>
  <c r="V690" i="17"/>
  <c r="X671" i="19" l="1"/>
  <c r="T671" i="19" s="1"/>
  <c r="Q672" i="19"/>
  <c r="X690" i="17"/>
  <c r="Z690" i="17" s="1"/>
  <c r="W691" i="17"/>
  <c r="R673" i="19" l="1"/>
  <c r="S672" i="19"/>
  <c r="U672" i="19" s="1"/>
  <c r="V673" i="19" s="1"/>
  <c r="AB690" i="17"/>
  <c r="AA691" i="17"/>
  <c r="AC691" i="17" s="1"/>
  <c r="W672" i="19" l="1"/>
  <c r="V692" i="17"/>
  <c r="Y691" i="17"/>
  <c r="X673" i="19" l="1"/>
  <c r="T673" i="19" s="1"/>
  <c r="Q674" i="19"/>
  <c r="X692" i="17"/>
  <c r="Z692" i="17" s="1"/>
  <c r="W693" i="17"/>
  <c r="S674" i="19" l="1"/>
  <c r="U674" i="19" s="1"/>
  <c r="V675" i="19" s="1"/>
  <c r="R675" i="19"/>
  <c r="AB692" i="17"/>
  <c r="AA693" i="17"/>
  <c r="AC693" i="17" s="1"/>
  <c r="W674" i="19" l="1"/>
  <c r="Y693" i="17"/>
  <c r="V694" i="17"/>
  <c r="X675" i="19" l="1"/>
  <c r="T675" i="19" s="1"/>
  <c r="Q676" i="19"/>
  <c r="W695" i="17"/>
  <c r="X694" i="17"/>
  <c r="Z694" i="17" s="1"/>
  <c r="S676" i="19" l="1"/>
  <c r="U676" i="19" s="1"/>
  <c r="V677" i="19" s="1"/>
  <c r="R677" i="19"/>
  <c r="AB694" i="17"/>
  <c r="AA695" i="17"/>
  <c r="AC695" i="17" s="1"/>
  <c r="W676" i="19" l="1"/>
  <c r="Y695" i="17"/>
  <c r="V696" i="17"/>
  <c r="X677" i="19" l="1"/>
  <c r="T677" i="19" s="1"/>
  <c r="Q678" i="19"/>
  <c r="W697" i="17"/>
  <c r="X696" i="17"/>
  <c r="Z696" i="17" s="1"/>
  <c r="S678" i="19" l="1"/>
  <c r="U678" i="19" s="1"/>
  <c r="V679" i="19" s="1"/>
  <c r="R679" i="19"/>
  <c r="AB696" i="17"/>
  <c r="AA697" i="17"/>
  <c r="AC697" i="17" s="1"/>
  <c r="W678" i="19" l="1"/>
  <c r="Y697" i="17"/>
  <c r="V698" i="17"/>
  <c r="X679" i="19" l="1"/>
  <c r="T679" i="19" s="1"/>
  <c r="Q680" i="19"/>
  <c r="W699" i="17"/>
  <c r="X698" i="17"/>
  <c r="Z698" i="17" s="1"/>
  <c r="R681" i="19" l="1"/>
  <c r="S680" i="19"/>
  <c r="U680" i="19" s="1"/>
  <c r="V681" i="19" s="1"/>
  <c r="AA699" i="17"/>
  <c r="AC699" i="17" s="1"/>
  <c r="AB698" i="17"/>
  <c r="W680" i="19" l="1"/>
  <c r="V700" i="17"/>
  <c r="Y699" i="17"/>
  <c r="X681" i="19" l="1"/>
  <c r="T681" i="19" s="1"/>
  <c r="Q682" i="19"/>
  <c r="W701" i="17"/>
  <c r="X700" i="17"/>
  <c r="Z700" i="17" s="1"/>
  <c r="S682" i="19" l="1"/>
  <c r="U682" i="19" s="1"/>
  <c r="V683" i="19" s="1"/>
  <c r="R683" i="19"/>
  <c r="AB700" i="17"/>
  <c r="AA701" i="17"/>
  <c r="AC701" i="17" s="1"/>
  <c r="W682" i="19" l="1"/>
  <c r="Y701" i="17"/>
  <c r="V702" i="17"/>
  <c r="X683" i="19" l="1"/>
  <c r="T683" i="19" s="1"/>
  <c r="Q684" i="19"/>
  <c r="X702" i="17"/>
  <c r="Z702" i="17" s="1"/>
  <c r="W703" i="17"/>
  <c r="R685" i="19" l="1"/>
  <c r="S684" i="19"/>
  <c r="U684" i="19" s="1"/>
  <c r="V685" i="19" s="1"/>
  <c r="AB702" i="17"/>
  <c r="AA703" i="17"/>
  <c r="AC703" i="17" s="1"/>
  <c r="W684" i="19" l="1"/>
  <c r="V704" i="17"/>
  <c r="Y703" i="17"/>
  <c r="X685" i="19" l="1"/>
  <c r="T685" i="19" s="1"/>
  <c r="Q686" i="19"/>
  <c r="X704" i="17"/>
  <c r="Z704" i="17" s="1"/>
  <c r="W705" i="17"/>
  <c r="S686" i="19" l="1"/>
  <c r="U686" i="19" s="1"/>
  <c r="V687" i="19" s="1"/>
  <c r="R687" i="19"/>
  <c r="AA705" i="17"/>
  <c r="AC705" i="17" s="1"/>
  <c r="AB704" i="17"/>
  <c r="W686" i="19" l="1"/>
  <c r="Y705" i="17"/>
  <c r="V706" i="17"/>
  <c r="X687" i="19" l="1"/>
  <c r="T687" i="19" s="1"/>
  <c r="Q688" i="19"/>
  <c r="W707" i="17"/>
  <c r="X706" i="17"/>
  <c r="Z706" i="17" s="1"/>
  <c r="R689" i="19" l="1"/>
  <c r="S688" i="19"/>
  <c r="U688" i="19" s="1"/>
  <c r="V689" i="19" s="1"/>
  <c r="AB706" i="17"/>
  <c r="AA707" i="17"/>
  <c r="AC707" i="17" s="1"/>
  <c r="W688" i="19" l="1"/>
  <c r="V708" i="17"/>
  <c r="Y707" i="17"/>
  <c r="X689" i="19" l="1"/>
  <c r="T689" i="19" s="1"/>
  <c r="Q690" i="19"/>
  <c r="X708" i="17"/>
  <c r="Z708" i="17" s="1"/>
  <c r="W709" i="17"/>
  <c r="S690" i="19" l="1"/>
  <c r="U690" i="19" s="1"/>
  <c r="V691" i="19" s="1"/>
  <c r="R691" i="19"/>
  <c r="AB708" i="17"/>
  <c r="AA709" i="17"/>
  <c r="AC709" i="17" s="1"/>
  <c r="B24" i="19" l="1"/>
  <c r="B25" i="19"/>
  <c r="W690" i="19"/>
  <c r="Y709" i="17"/>
  <c r="V710" i="17"/>
  <c r="X691" i="19" l="1"/>
  <c r="T691" i="19" s="1"/>
  <c r="Q692" i="19"/>
  <c r="S692" i="19" s="1"/>
  <c r="B27" i="19"/>
  <c r="C15" i="4" s="1"/>
  <c r="C13" i="4" s="1"/>
  <c r="I27" i="15"/>
  <c r="I26" i="15"/>
  <c r="H46" i="3"/>
  <c r="W711" i="17"/>
  <c r="X710" i="17"/>
  <c r="Z710" i="17" s="1"/>
  <c r="U692" i="19" l="1"/>
  <c r="W692" i="19" s="1"/>
  <c r="B26" i="19"/>
  <c r="I25" i="15"/>
  <c r="F53" i="4"/>
  <c r="AA711" i="17"/>
  <c r="AC711" i="17" s="1"/>
  <c r="AB710" i="17"/>
  <c r="J94" i="4" l="1"/>
  <c r="J72" i="4" s="1"/>
  <c r="J88" i="4"/>
  <c r="J71" i="4" s="1"/>
  <c r="J82" i="4"/>
  <c r="J70" i="4" s="1"/>
  <c r="J69" i="4" s="1"/>
  <c r="J100" i="4" s="1"/>
  <c r="J156" i="4" s="1"/>
  <c r="F82" i="4"/>
  <c r="F70" i="4" s="1"/>
  <c r="F69" i="4" s="1"/>
  <c r="F100" i="4" s="1"/>
  <c r="F156" i="4" s="1"/>
  <c r="I29" i="15"/>
  <c r="F88" i="4"/>
  <c r="F71" i="4" s="1"/>
  <c r="D127" i="4"/>
  <c r="F124" i="4" s="1"/>
  <c r="F94" i="4"/>
  <c r="F72" i="4" s="1"/>
  <c r="V712" i="17"/>
  <c r="Y711" i="17"/>
  <c r="I32" i="15" l="1"/>
  <c r="I34" i="15"/>
  <c r="I126" i="15" s="1"/>
  <c r="X712" i="17"/>
  <c r="Z712" i="17" s="1"/>
  <c r="W713" i="17"/>
  <c r="I95" i="15" l="1"/>
  <c r="I94" i="15"/>
  <c r="G48" i="17"/>
  <c r="G47" i="17"/>
  <c r="I103" i="15" s="1"/>
  <c r="AB712" i="17"/>
  <c r="AA713" i="17"/>
  <c r="AC713" i="17" s="1"/>
  <c r="I104" i="15" l="1"/>
  <c r="L130" i="15" s="1" a="1"/>
  <c r="L130" i="15" s="1"/>
  <c r="I127" i="15" s="1"/>
  <c r="G49" i="17"/>
  <c r="Y713" i="17"/>
  <c r="V714" i="17"/>
  <c r="X714" i="17" s="1"/>
  <c r="Z714" i="17" l="1"/>
  <c r="AB714" i="17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<sst xmlns="http://schemas.openxmlformats.org/spreadsheetml/2006/main" count="1987" uniqueCount="1209">
  <si>
    <t>m³/s</t>
  </si>
  <si>
    <t>m</t>
  </si>
  <si>
    <t>MW</t>
  </si>
  <si>
    <t>m/s</t>
  </si>
  <si>
    <t>não revestido</t>
  </si>
  <si>
    <t>concreto projetado</t>
  </si>
  <si>
    <t>aço</t>
  </si>
  <si>
    <t>Altura</t>
  </si>
  <si>
    <t>concreto estrutural</t>
  </si>
  <si>
    <t xml:space="preserve">S </t>
  </si>
  <si>
    <t>Submergência da tomada d'água</t>
  </si>
  <si>
    <t>Espessura de solo</t>
  </si>
  <si>
    <t>Hb = queda bruta</t>
  </si>
  <si>
    <t>DEFINIÇÃO DO TRAÇADO DO TÚNEL DE ADUÇÃO</t>
  </si>
  <si>
    <t>1.1</t>
  </si>
  <si>
    <t>2.1</t>
  </si>
  <si>
    <t>Extensão</t>
  </si>
  <si>
    <t>2.2</t>
  </si>
  <si>
    <t>Diâmetro</t>
  </si>
  <si>
    <t xml:space="preserve">Seção </t>
  </si>
  <si>
    <t>Arco-retângulo</t>
  </si>
  <si>
    <t>TRECHO L1</t>
  </si>
  <si>
    <t>TRECHO P</t>
  </si>
  <si>
    <t>TRECHO L2A</t>
  </si>
  <si>
    <t>Verificação da Perda de Carga</t>
  </si>
  <si>
    <t>L1</t>
  </si>
  <si>
    <t>Circular</t>
  </si>
  <si>
    <t>Seções</t>
  </si>
  <si>
    <t>Escavação</t>
  </si>
  <si>
    <t>Hidráulica</t>
  </si>
  <si>
    <t>Altura do túnel de adução</t>
  </si>
  <si>
    <t>2.3</t>
  </si>
  <si>
    <t>1.2</t>
  </si>
  <si>
    <t>QUANTITATIVOS (m³)</t>
  </si>
  <si>
    <t>Blindagem</t>
  </si>
  <si>
    <t>Critério para inclusão de Chaminé de Equilíbrio</t>
  </si>
  <si>
    <t>MI, 2007:</t>
  </si>
  <si>
    <t>m³</t>
  </si>
  <si>
    <t>m²</t>
  </si>
  <si>
    <t>mm</t>
  </si>
  <si>
    <t>t</t>
  </si>
  <si>
    <t>R$</t>
  </si>
  <si>
    <t>(t)</t>
  </si>
  <si>
    <t xml:space="preserve">  Preços de DEZ/06</t>
  </si>
  <si>
    <t>$ =</t>
  </si>
  <si>
    <t>kVA/rpm</t>
  </si>
  <si>
    <t>arbitrário</t>
  </si>
  <si>
    <t>1.3</t>
  </si>
  <si>
    <t>LC</t>
  </si>
  <si>
    <t>Linha de centro da turbina</t>
  </si>
  <si>
    <t>L0</t>
  </si>
  <si>
    <t>arredondar para cima</t>
  </si>
  <si>
    <t>Custo da válvula instalada:</t>
  </si>
  <si>
    <t>Dados Iniciais</t>
  </si>
  <si>
    <t>Vazão turbinada máxima (m³/s)</t>
  </si>
  <si>
    <t>Borda livre</t>
  </si>
  <si>
    <t>Nível d'água máximo na chaminé</t>
  </si>
  <si>
    <t>Perda de carga na entrada da TA</t>
  </si>
  <si>
    <t>Perda de carga no túnel de adução</t>
  </si>
  <si>
    <t>Oscilação máxima na chaminé</t>
  </si>
  <si>
    <t>Lad</t>
  </si>
  <si>
    <t>Área do túnel de adução</t>
  </si>
  <si>
    <t>Área da chaminé de equilíbrio</t>
  </si>
  <si>
    <t>Altura estática mínima</t>
  </si>
  <si>
    <t>Comparação com valores calculados nas planilhas:</t>
  </si>
  <si>
    <t>P</t>
  </si>
  <si>
    <t>Hb</t>
  </si>
  <si>
    <t>TÚNEL DE ADUÇÃO</t>
  </si>
  <si>
    <t>TÚNEL FORÇADO</t>
  </si>
  <si>
    <t>Lad/Hb</t>
  </si>
  <si>
    <t>Perda de carga máxima no circuito (m)</t>
  </si>
  <si>
    <t>Queda bruta (m)</t>
  </si>
  <si>
    <t>Potência Instalada (MW)</t>
  </si>
  <si>
    <t>Verificação da necessidade de Chaminé</t>
  </si>
  <si>
    <t>DIMENSIONAMENTO</t>
  </si>
  <si>
    <t>DIMENSIONAMENTO DO CIRCUITO DE ADUÇÃO</t>
  </si>
  <si>
    <t xml:space="preserve">Transporte e seguros (5%), de montagem e testes (8%) e de impostos e taxas (28%): </t>
  </si>
  <si>
    <t>P &lt; 100 MW, Ltotal &gt; 4 Hb</t>
  </si>
  <si>
    <t>P &gt; = 100 MW, Ltotal &gt; 6 Hb</t>
  </si>
  <si>
    <t>L2B,  para valor maior entre 0,8.Hb na vertical e 2.Hb na horizontal</t>
  </si>
  <si>
    <t>Alternativa 1: Rocha de boa qualidade</t>
  </si>
  <si>
    <t>Qualidade da rocha</t>
  </si>
  <si>
    <t>(MI, 2007)</t>
  </si>
  <si>
    <t>Verificação da Perda de Carga (entrada da TA e atrito)</t>
  </si>
  <si>
    <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número de Manning para revestimento em aço (MI 2007)</t>
    </r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</si>
  <si>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número de Manning para trecho sem revestimento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</si>
  <si>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número de Manning para revestimento com concreto projetado</t>
    </r>
  </si>
  <si>
    <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número de Manning para revestimento com concreto convencional</t>
    </r>
  </si>
  <si>
    <t>Velocidade (m/s)</t>
  </si>
  <si>
    <t>Máx</t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</si>
  <si>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velocidade admissível no túnel, ponderada cf revestimento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</si>
  <si>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= velocidade admissível no conduto forçado em aço</t>
    </r>
  </si>
  <si>
    <t>Adm *</t>
  </si>
  <si>
    <t>EMBOQUE - Cálculo da elevação correspondente à curva de nível 1 - CN1</t>
  </si>
  <si>
    <t>CHAMINÉ - Cálculo da elevação correspondente à curva de nível 2 - CN2</t>
  </si>
  <si>
    <t>DESEMBOQUE - Cálculo da elevação correspondente à curva de nível 3 - CN3</t>
  </si>
  <si>
    <t>considerando i = 0,5%</t>
  </si>
  <si>
    <t>El final (ch)</t>
  </si>
  <si>
    <t>El final (i)</t>
  </si>
  <si>
    <t>menor dos valores abaixo</t>
  </si>
  <si>
    <t>LP = El final (L1) - El inicial (L2)</t>
  </si>
  <si>
    <t>Circuito com chaminé</t>
  </si>
  <si>
    <t>Circuito sem chaminé</t>
  </si>
  <si>
    <t>Circuito de Adução Curto, Túnel sem Chaminé</t>
  </si>
  <si>
    <t>Circuito de Adução Longo, Túnel com Chaminé</t>
  </si>
  <si>
    <t>Inicial (para definição do traçado)</t>
  </si>
  <si>
    <t>Queda bruta</t>
  </si>
  <si>
    <t>Alternativas de Circuito de Adução</t>
  </si>
  <si>
    <t>Extensão inicial entre o eixo e o canal de fuga (m)</t>
  </si>
  <si>
    <t>=&gt;</t>
  </si>
  <si>
    <t>cálculos intencionalmente conservadores</t>
  </si>
  <si>
    <t>Extensões</t>
  </si>
  <si>
    <t>Elevações (piso)</t>
  </si>
  <si>
    <t>El inicial (L1)</t>
  </si>
  <si>
    <t>El final (L1)</t>
  </si>
  <si>
    <t>El inicial (L2)</t>
  </si>
  <si>
    <t>El final (L2)</t>
  </si>
  <si>
    <r>
      <t>v</t>
    </r>
    <r>
      <rPr>
        <vertAlign val="subscript"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= velocidade admissível para túnel revestido com concreto convencional</t>
    </r>
  </si>
  <si>
    <t>L2A</t>
  </si>
  <si>
    <t>L2B</t>
  </si>
  <si>
    <t>~IN</t>
  </si>
  <si>
    <t>~OUT</t>
  </si>
  <si>
    <t>P'</t>
  </si>
  <si>
    <t>dado de entrada</t>
  </si>
  <si>
    <r>
      <t>he = 0,2. v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/2g</t>
    </r>
  </si>
  <si>
    <r>
      <t>v</t>
    </r>
    <r>
      <rPr>
        <vertAlign val="subscript"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</si>
  <si>
    <t>revestimento</t>
  </si>
  <si>
    <t>rocha tipo</t>
  </si>
  <si>
    <t>Alternativa 2: Rocha de média qualidade</t>
  </si>
  <si>
    <t>Alternativa 3: Rocha de má qualidade</t>
  </si>
  <si>
    <t>projet.</t>
  </si>
  <si>
    <t>estrut.</t>
  </si>
  <si>
    <t>(1-boa; 2-média, 3-má)</t>
  </si>
  <si>
    <t>Verificação da Sobrepressão</t>
  </si>
  <si>
    <t>Sobrepressão máxima</t>
  </si>
  <si>
    <t>Sobrepressão calculada</t>
  </si>
  <si>
    <r>
      <t>= 2 . (LP . v</t>
    </r>
    <r>
      <rPr>
        <vertAlign val="subscript"/>
        <sz val="11"/>
        <color theme="1"/>
        <rFont val="Calibri"/>
        <family val="2"/>
        <scheme val="minor"/>
      </rPr>
      <t>LP</t>
    </r>
    <r>
      <rPr>
        <sz val="11"/>
        <color theme="1"/>
        <rFont val="Calibri"/>
        <family val="2"/>
        <scheme val="minor"/>
      </rPr>
      <t xml:space="preserve"> + L2A . v</t>
    </r>
    <r>
      <rPr>
        <vertAlign val="subscript"/>
        <sz val="11"/>
        <color theme="1"/>
        <rFont val="Calibri"/>
        <family val="2"/>
        <scheme val="minor"/>
      </rPr>
      <t>L2A</t>
    </r>
    <r>
      <rPr>
        <sz val="11"/>
        <color theme="1"/>
        <rFont val="Calibri"/>
        <family val="2"/>
        <scheme val="minor"/>
      </rPr>
      <t xml:space="preserve"> + L2B . v</t>
    </r>
    <r>
      <rPr>
        <vertAlign val="subscript"/>
        <sz val="11"/>
        <color theme="1"/>
        <rFont val="Calibri"/>
        <family val="2"/>
        <scheme val="minor"/>
      </rPr>
      <t>L2B</t>
    </r>
    <r>
      <rPr>
        <sz val="11"/>
        <color theme="1"/>
        <rFont val="Calibri"/>
        <family val="2"/>
        <scheme val="minor"/>
      </rPr>
      <t>) / (g . Ts)</t>
    </r>
  </si>
  <si>
    <t>s, para túneis longos</t>
  </si>
  <si>
    <t>s, para túneis curtos</t>
  </si>
  <si>
    <t>L / H =</t>
  </si>
  <si>
    <t>tempo de fechamento da válvula ou distribuidor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</si>
  <si>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=</t>
    </r>
  </si>
  <si>
    <t xml:space="preserve">se </t>
  </si>
  <si>
    <t>posição do circuito</t>
  </si>
  <si>
    <t>espessura do solo</t>
  </si>
  <si>
    <t>l</t>
  </si>
  <si>
    <t>r</t>
  </si>
  <si>
    <t>geo_qual_rock_x</t>
  </si>
  <si>
    <t>geo_soil_lbnk_th</t>
  </si>
  <si>
    <t>geo_soil_rbnk_th</t>
  </si>
  <si>
    <t>enr_inst_cpcy_p</t>
  </si>
  <si>
    <t>enr_loss_max0_pc</t>
  </si>
  <si>
    <t>lay_hsy0_lctn_x</t>
  </si>
  <si>
    <t>lay_chan_intk_l</t>
  </si>
  <si>
    <t>hsy_tunl_totl_l</t>
  </si>
  <si>
    <t>hsy_tunp_conc_l</t>
  </si>
  <si>
    <t>hsy_tunp_stee_l</t>
  </si>
  <si>
    <t>hsy_tunl_uter_el</t>
  </si>
  <si>
    <t>hsy_stnk_cter_el</t>
  </si>
  <si>
    <t>hsy_tunp_dter_el</t>
  </si>
  <si>
    <t>hsy_intk_chan_el</t>
  </si>
  <si>
    <t>hsy_intk_gate_n</t>
  </si>
  <si>
    <t>hsy_intk_gate_w</t>
  </si>
  <si>
    <t>hsy_intk_gate_h</t>
  </si>
  <si>
    <t>hsy_intk_sill_el</t>
  </si>
  <si>
    <t>hsy_intk_totl_w</t>
  </si>
  <si>
    <t>hsy_intk_totl_l</t>
  </si>
  <si>
    <t>hsy_tunl_shot_l</t>
  </si>
  <si>
    <t>hsy_tunl_conc_l</t>
  </si>
  <si>
    <t>hsy_tunl_0000_d</t>
  </si>
  <si>
    <t>hsy_tunl_upst_el</t>
  </si>
  <si>
    <t>hsy_tunl_dwst_el</t>
  </si>
  <si>
    <t>hsy_stnk_max0_wl</t>
  </si>
  <si>
    <t>hsy_stnk_min0_wl</t>
  </si>
  <si>
    <t>hsy_stnk_0000_d</t>
  </si>
  <si>
    <t>hsy_tunp_vert_l</t>
  </si>
  <si>
    <t>hsy_tunp_vert_d</t>
  </si>
  <si>
    <t>hsy_tunp_0000_d</t>
  </si>
  <si>
    <t>hsy_tunp_stee_d</t>
  </si>
  <si>
    <t>hsy_tunp_upst_el</t>
  </si>
  <si>
    <t>hsy_tunp_dwst_el</t>
  </si>
  <si>
    <t>hsy_pstk_brch_n</t>
  </si>
  <si>
    <t>hsy_pstk_brch_d</t>
  </si>
  <si>
    <t>hsy_pstk_brch_l</t>
  </si>
  <si>
    <t>pwh_strc_blck_n</t>
  </si>
  <si>
    <t>pwh_turb_rotr_d</t>
  </si>
  <si>
    <t>pwh_turb_clin_el</t>
  </si>
  <si>
    <t>pwh_strc_totl_w</t>
  </si>
  <si>
    <t>pwh_ably_area_w</t>
  </si>
  <si>
    <t>pwh_strc_totl_l</t>
  </si>
  <si>
    <t>pwh_strc_deck_el</t>
  </si>
  <si>
    <t>pwh_ably_area_l</t>
  </si>
  <si>
    <t>pwh_strc_upcl_l</t>
  </si>
  <si>
    <t>pwh_dtub_gate_n</t>
  </si>
  <si>
    <t>pwh_dtub_gate_w</t>
  </si>
  <si>
    <t>pwh_dtub_gate_h</t>
  </si>
  <si>
    <t>pwh_strc_min2_el</t>
  </si>
  <si>
    <t>pwh_strc_min1_el</t>
  </si>
  <si>
    <t>hsy_intk_fwgt_n</t>
  </si>
  <si>
    <t>hsy_intk_fwgt_ct</t>
  </si>
  <si>
    <t>hsy_intk_slog_n</t>
  </si>
  <si>
    <t>hsy_intk_slog_ct</t>
  </si>
  <si>
    <t>hsy_intk_cran_ct</t>
  </si>
  <si>
    <t>hsy_intk_rack_ct</t>
  </si>
  <si>
    <t>hsy_intk_embp_ct</t>
  </si>
  <si>
    <t>hsy_stnk_stee_t</t>
  </si>
  <si>
    <t>hsy_pstk_stee_t</t>
  </si>
  <si>
    <t>pwh_turb_totl_n</t>
  </si>
  <si>
    <t>pwh_turb_0000_ct</t>
  </si>
  <si>
    <t>pwh_genr_totl_n</t>
  </si>
  <si>
    <t>pwh_genr_0000_ct</t>
  </si>
  <si>
    <t>pwh_dtub_slog_n</t>
  </si>
  <si>
    <t>pwh_dtub_slog_ct</t>
  </si>
  <si>
    <t>pwh_strc_brdg_ct</t>
  </si>
  <si>
    <t>pwh_dtub_gtry_ct</t>
  </si>
  <si>
    <t>pwh_dtub_embp_ct</t>
  </si>
  <si>
    <t>pwh_misc_ldev_ct</t>
  </si>
  <si>
    <t>pwh_misc_inst_ct</t>
  </si>
  <si>
    <r>
      <t>NA</t>
    </r>
    <r>
      <rPr>
        <vertAlign val="subscript"/>
        <sz val="11"/>
        <color theme="1"/>
        <rFont val="Calibri"/>
        <family val="2"/>
        <scheme val="minor"/>
      </rPr>
      <t>max</t>
    </r>
  </si>
  <si>
    <r>
      <t>B</t>
    </r>
    <r>
      <rPr>
        <vertAlign val="subscript"/>
        <sz val="11"/>
        <color theme="1"/>
        <rFont val="Calibri"/>
        <family val="2"/>
        <scheme val="minor"/>
      </rPr>
      <t>cn</t>
    </r>
  </si>
  <si>
    <r>
      <t>e</t>
    </r>
    <r>
      <rPr>
        <vertAlign val="subscript"/>
        <sz val="11"/>
        <color theme="1"/>
        <rFont val="Calibri"/>
        <family val="2"/>
        <scheme val="minor"/>
      </rPr>
      <t>te</t>
    </r>
  </si>
  <si>
    <r>
      <t>El</t>
    </r>
    <r>
      <rPr>
        <vertAlign val="subscript"/>
        <sz val="11"/>
        <color theme="1"/>
        <rFont val="Calibri"/>
        <family val="2"/>
        <scheme val="minor"/>
      </rPr>
      <t>cn</t>
    </r>
  </si>
  <si>
    <r>
      <t>N</t>
    </r>
    <r>
      <rPr>
        <vertAlign val="subscript"/>
        <sz val="11"/>
        <color theme="1"/>
        <rFont val="Calibri"/>
        <family val="2"/>
        <scheme val="minor"/>
      </rPr>
      <t>at</t>
    </r>
  </si>
  <si>
    <r>
      <t>B</t>
    </r>
    <r>
      <rPr>
        <vertAlign val="subscript"/>
        <sz val="11"/>
        <color theme="1"/>
        <rFont val="Calibri"/>
        <family val="2"/>
        <scheme val="minor"/>
      </rPr>
      <t>cp</t>
    </r>
  </si>
  <si>
    <r>
      <t>H</t>
    </r>
    <r>
      <rPr>
        <vertAlign val="subscript"/>
        <sz val="11"/>
        <color theme="1"/>
        <rFont val="Calibri"/>
        <family val="2"/>
        <scheme val="minor"/>
      </rPr>
      <t>cp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</si>
  <si>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%</t>
    </r>
  </si>
  <si>
    <r>
      <t>E</t>
    </r>
    <r>
      <rPr>
        <vertAlign val="subscript"/>
        <sz val="11"/>
        <color theme="1"/>
        <rFont val="Calibri"/>
        <family val="2"/>
        <scheme val="minor"/>
      </rPr>
      <t>sol</t>
    </r>
  </si>
  <si>
    <r>
      <t>B</t>
    </r>
    <r>
      <rPr>
        <vertAlign val="subscript"/>
        <sz val="11"/>
        <color theme="1"/>
        <rFont val="Calibri"/>
        <family val="2"/>
        <scheme val="minor"/>
      </rPr>
      <t>ta</t>
    </r>
  </si>
  <si>
    <r>
      <t>L</t>
    </r>
    <r>
      <rPr>
        <vertAlign val="subscript"/>
        <sz val="11"/>
        <color theme="1"/>
        <rFont val="Calibri"/>
        <family val="2"/>
        <scheme val="minor"/>
      </rPr>
      <t>ta</t>
    </r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</si>
  <si>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</si>
  <si>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1"/>
        <color theme="1"/>
        <rFont val="Calibri"/>
        <family val="2"/>
        <scheme val="minor"/>
      </rPr>
      <t>b</t>
    </r>
  </si>
  <si>
    <r>
      <t>L</t>
    </r>
    <r>
      <rPr>
        <vertAlign val="subscript"/>
        <sz val="11"/>
        <color theme="1"/>
        <rFont val="Calibri"/>
        <family val="2"/>
        <scheme val="minor"/>
      </rPr>
      <t>b</t>
    </r>
  </si>
  <si>
    <r>
      <t>N</t>
    </r>
    <r>
      <rPr>
        <vertAlign val="subscript"/>
        <sz val="11"/>
        <color theme="1"/>
        <rFont val="Calibri"/>
        <family val="2"/>
        <scheme val="minor"/>
      </rPr>
      <t>g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</si>
  <si>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</si>
  <si>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El</t>
    </r>
    <r>
      <rPr>
        <vertAlign val="subscript"/>
        <sz val="11"/>
        <color theme="1"/>
        <rFont val="Calibri"/>
        <family val="2"/>
        <scheme val="minor"/>
      </rPr>
      <t>d</t>
    </r>
  </si>
  <si>
    <r>
      <t>B</t>
    </r>
    <r>
      <rPr>
        <vertAlign val="subscript"/>
        <sz val="11"/>
        <color theme="1"/>
        <rFont val="Calibri"/>
        <family val="2"/>
        <scheme val="minor"/>
      </rPr>
      <t>cf</t>
    </r>
  </si>
  <si>
    <r>
      <t>B</t>
    </r>
    <r>
      <rPr>
        <vertAlign val="subscript"/>
        <sz val="11"/>
        <color theme="1"/>
        <rFont val="Calibri"/>
        <family val="2"/>
        <scheme val="minor"/>
      </rPr>
      <t>am</t>
    </r>
  </si>
  <si>
    <r>
      <t>L</t>
    </r>
    <r>
      <rPr>
        <vertAlign val="subscript"/>
        <sz val="11"/>
        <color theme="1"/>
        <rFont val="Calibri"/>
        <family val="2"/>
        <scheme val="minor"/>
      </rPr>
      <t>cf</t>
    </r>
  </si>
  <si>
    <r>
      <t>L</t>
    </r>
    <r>
      <rPr>
        <vertAlign val="subscript"/>
        <sz val="11"/>
        <color theme="1"/>
        <rFont val="Calibri"/>
        <family val="2"/>
        <scheme val="minor"/>
      </rPr>
      <t>am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</si>
  <si>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</si>
  <si>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vertAlign val="subscript"/>
        <sz val="11"/>
        <color theme="1"/>
        <rFont val="Calibri"/>
        <family val="2"/>
        <scheme val="minor"/>
      </rPr>
      <t>vs</t>
    </r>
  </si>
  <si>
    <r>
      <t>Z/N</t>
    </r>
    <r>
      <rPr>
        <vertAlign val="subscript"/>
        <sz val="11"/>
        <color theme="1"/>
        <rFont val="Calibri"/>
        <family val="2"/>
        <scheme val="minor"/>
      </rPr>
      <t>vs</t>
    </r>
  </si>
  <si>
    <r>
      <rPr>
        <b/>
        <sz val="11"/>
        <color theme="1"/>
        <rFont val="Calibri"/>
        <family val="2"/>
        <scheme val="minor"/>
      </rPr>
      <t>dados de entrada,</t>
    </r>
    <r>
      <rPr>
        <sz val="11"/>
        <color theme="1"/>
        <rFont val="Calibri"/>
        <family val="2"/>
        <scheme val="minor"/>
      </rPr>
      <t xml:space="preserve"> definidos a partir do traçado, em planta</t>
    </r>
  </si>
  <si>
    <t>dh(túnel sem blindagem)</t>
  </si>
  <si>
    <t>perda de carga</t>
  </si>
  <si>
    <t>hsy_intk_chan_w</t>
  </si>
  <si>
    <r>
      <t>B</t>
    </r>
    <r>
      <rPr>
        <vertAlign val="subscript"/>
        <sz val="11"/>
        <rFont val="Calibri"/>
        <family val="2"/>
        <scheme val="minor"/>
      </rPr>
      <t>1cf</t>
    </r>
  </si>
  <si>
    <t>A</t>
  </si>
  <si>
    <t>C</t>
  </si>
  <si>
    <t>Y</t>
  </si>
  <si>
    <t>pwh_strc_blck_w</t>
  </si>
  <si>
    <t>pwh_turb_inlt_d</t>
  </si>
  <si>
    <t>pwh_strc_conc_m3</t>
  </si>
  <si>
    <t>hsy_pstk_stee_th</t>
  </si>
  <si>
    <t>hsy_tunp_stee_th</t>
  </si>
  <si>
    <t>hsy_intk_totl_h</t>
  </si>
  <si>
    <r>
      <t>H</t>
    </r>
    <r>
      <rPr>
        <vertAlign val="subscript"/>
        <sz val="11"/>
        <rFont val="Calibri"/>
        <family val="2"/>
        <scheme val="minor"/>
      </rPr>
      <t>ta</t>
    </r>
  </si>
  <si>
    <t>hsy_intk_subm_h</t>
  </si>
  <si>
    <r>
      <t>h</t>
    </r>
    <r>
      <rPr>
        <vertAlign val="subscript"/>
        <sz val="11"/>
        <rFont val="Calibri"/>
        <family val="2"/>
        <scheme val="minor"/>
      </rPr>
      <t>s</t>
    </r>
  </si>
  <si>
    <t>1.4.</t>
  </si>
  <si>
    <t>Extensão máxima do trecho blindado</t>
  </si>
  <si>
    <t>hsy_tunp_min0_l</t>
  </si>
  <si>
    <t>hsy_tunp_max0_el</t>
  </si>
  <si>
    <t>$</t>
  </si>
  <si>
    <t xml:space="preserve"> se circuito curto, sem chaminé, igual a zero</t>
  </si>
  <si>
    <t xml:space="preserve"> se circuito curto, sem chaminé, soma L1 + L2A</t>
  </si>
  <si>
    <t>pwh_deck_dfld_q</t>
  </si>
  <si>
    <t>Hta min = 3</t>
  </si>
  <si>
    <t>installed capacity</t>
  </si>
  <si>
    <t>maximum head loss (percentage)</t>
  </si>
  <si>
    <t>rock quality (1 - good; 2 - medium; 3 - poor)</t>
  </si>
  <si>
    <t xml:space="preserve">elevation of the intake channel sill </t>
  </si>
  <si>
    <t>width of the intake channel</t>
  </si>
  <si>
    <t>crane cost of the intake</t>
  </si>
  <si>
    <t>embedded parts cost of the intake equipment</t>
  </si>
  <si>
    <t>fixed wheel gates cost of the intake</t>
  </si>
  <si>
    <t>number of fixed wheel gates of the intake</t>
  </si>
  <si>
    <t>gate height of the intake</t>
  </si>
  <si>
    <t>number of gates of the intake</t>
  </si>
  <si>
    <t>gate width of the intake</t>
  </si>
  <si>
    <t>trash racks cost of the intake</t>
  </si>
  <si>
    <t xml:space="preserve">elevation of the intake sill </t>
  </si>
  <si>
    <t>stoplogs cost of the intake</t>
  </si>
  <si>
    <t>number of stoplogs of the intake</t>
  </si>
  <si>
    <t>submergence of the intake</t>
  </si>
  <si>
    <t>total height of the intake</t>
  </si>
  <si>
    <t>total length of the intake</t>
  </si>
  <si>
    <t>total width of the intake</t>
  </si>
  <si>
    <t>diameter of the penstock branch</t>
  </si>
  <si>
    <t>total length of the penstock branch</t>
  </si>
  <si>
    <t>number of penstock branch</t>
  </si>
  <si>
    <t>weight of the steel lined penstock</t>
  </si>
  <si>
    <t>maximum thickness of the steel lined penstock</t>
  </si>
  <si>
    <t>diameter of the surge tank</t>
  </si>
  <si>
    <t>terrain maximum elevation to define the location of the surge tank</t>
  </si>
  <si>
    <t>maximum water level in the surge tank</t>
  </si>
  <si>
    <t>minimum water level in the surge tank</t>
  </si>
  <si>
    <t>steel lining of the surge tank</t>
  </si>
  <si>
    <t>height and widht of the low pressure tunnel cross section (arch with straight sides)</t>
  </si>
  <si>
    <t>concrete lining length of the low pressure tunnel</t>
  </si>
  <si>
    <t>downstream elevation of the low pressure tunnel sill</t>
  </si>
  <si>
    <t>shotcrete lining length of the low pressure tunnel</t>
  </si>
  <si>
    <t>total length of the low pressure tunnel</t>
  </si>
  <si>
    <t>upstream elevation of the low pressure tunnel sill</t>
  </si>
  <si>
    <t>terrain minimum elevation to define the inlet location of the low pressure tunnel</t>
  </si>
  <si>
    <t>diameter of the high pressure tunnel cross section</t>
  </si>
  <si>
    <t>concrete lining length of the high pressure tunnel</t>
  </si>
  <si>
    <t>terrain minimum elevation to define the outlet location of the high pressure tunnel</t>
  </si>
  <si>
    <t>downstream elevation of the high pressure tunnel sill</t>
  </si>
  <si>
    <t>maximum terrain elevation for the steel lining of the high pressure tunnel</t>
  </si>
  <si>
    <t>minimum steel lining length of the high pressure tunnel</t>
  </si>
  <si>
    <t>diameter of the penstock in the high pressure tunnel</t>
  </si>
  <si>
    <t>steel lining length of the high pressure tunnel</t>
  </si>
  <si>
    <t>maximum thickness of the steel lined penstock in the high pressure tunnel</t>
  </si>
  <si>
    <t>upstream elevation of the high pressure tunnel sill</t>
  </si>
  <si>
    <t>diameter of the vertical high pressure tunnel</t>
  </si>
  <si>
    <t>length of the vertical high pressure tunnel</t>
  </si>
  <si>
    <t>length of the assembly area</t>
  </si>
  <si>
    <t>width of the assembly area</t>
  </si>
  <si>
    <t>design flood for the powerhouse deck</t>
  </si>
  <si>
    <t xml:space="preserve">embedded parts cost of the draft tube equipment </t>
  </si>
  <si>
    <t>gate height of the draft tube</t>
  </si>
  <si>
    <t>number of gates of the draft tube per powerhouse block</t>
  </si>
  <si>
    <t>gate width of the draft tube</t>
  </si>
  <si>
    <t>gantry crane cost</t>
  </si>
  <si>
    <t xml:space="preserve">stoplogs cost of the draft tube </t>
  </si>
  <si>
    <t xml:space="preserve">number of stoplogs of the draft tube </t>
  </si>
  <si>
    <t>generator cost</t>
  </si>
  <si>
    <t>number of generators</t>
  </si>
  <si>
    <t>installations and final works cost</t>
  </si>
  <si>
    <t>land developments cost</t>
  </si>
  <si>
    <t>number of powerhouse blocks</t>
  </si>
  <si>
    <t>total width of one block of the powerhouse</t>
  </si>
  <si>
    <t>bridge crane cost</t>
  </si>
  <si>
    <t>structural concrete volume of the powerhouse</t>
  </si>
  <si>
    <t xml:space="preserve">elevation of the powerhouse deck </t>
  </si>
  <si>
    <t>elevation of the upstream powerhouse foundation</t>
  </si>
  <si>
    <t>minimum elevation of the powerhouse foundation</t>
  </si>
  <si>
    <t>total length of the powerhouse</t>
  </si>
  <si>
    <t>total width of the powerhouse</t>
  </si>
  <si>
    <t>distance from the upstream face wall to the center line of the generator units</t>
  </si>
  <si>
    <t>turbine cost</t>
  </si>
  <si>
    <t>center line of the generator units</t>
  </si>
  <si>
    <t>diameter of the turbine inlet</t>
  </si>
  <si>
    <t>diameter of the turbine rotor</t>
  </si>
  <si>
    <t>number of turbines</t>
  </si>
  <si>
    <t>hydraulic system location along the dam axis (r - right riverbank; l - left riverbank)</t>
  </si>
  <si>
    <t>IN: project basic information</t>
  </si>
  <si>
    <t>OUT: first results for HERA calculation</t>
  </si>
  <si>
    <t>IN: information obtained by HERA after the first workflow calculation</t>
  </si>
  <si>
    <t>OUT: final results obtained after the end of the workflow</t>
  </si>
  <si>
    <t xml:space="preserve">to access the definition of the variables in other languages, refer to Engineering dictionary.xls at HERA documentation </t>
  </si>
  <si>
    <t>hydraulic system length from the river up to the inlet structure (channel + intake)</t>
  </si>
  <si>
    <t>bdg_eqp0_exch_k</t>
  </si>
  <si>
    <t>bdg_eqp0_updt_k</t>
  </si>
  <si>
    <r>
      <t>dh (válvula) = 0,2. v</t>
    </r>
    <r>
      <rPr>
        <vertAlign val="subscript"/>
        <sz val="11"/>
        <color theme="1"/>
        <rFont val="Calibri"/>
        <family val="2"/>
        <scheme val="minor"/>
      </rPr>
      <t>valv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</si>
  <si>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>dh (redução) = 0,1. (v</t>
    </r>
    <r>
      <rPr>
        <vertAlign val="subscript"/>
        <sz val="11"/>
        <color theme="1"/>
        <rFont val="Calibri"/>
        <family val="2"/>
        <scheme val="minor"/>
      </rPr>
      <t>valv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</si>
  <si>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>dh (bifurcação) = 0,1. v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</si>
  <si>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 xml:space="preserve">para 2 curvas com r/D = 1 e 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 xml:space="preserve"> = 90</t>
    </r>
    <r>
      <rPr>
        <vertAlign val="superscript"/>
        <sz val="11"/>
        <color theme="1"/>
        <rFont val="Calibri"/>
        <family val="2"/>
        <scheme val="minor"/>
      </rPr>
      <t>o</t>
    </r>
  </si>
  <si>
    <r>
      <t>h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%</t>
    </r>
  </si>
  <si>
    <r>
      <t>k (curvas) = [0.08 - 0.2(r/D - 5)] . {[0.0746*(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/180)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]-[0.4698*(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/180)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]+[1.1928*(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/180)]}</t>
    </r>
  </si>
  <si>
    <t>diameter of the penstock in the high pressure tunnel (first value = 0)</t>
  </si>
  <si>
    <t>OUT: intermediate results for HERA calculation</t>
  </si>
  <si>
    <t xml:space="preserve"> apenas uma bifurcação</t>
  </si>
  <si>
    <t>se circuito longo</t>
  </si>
  <si>
    <t xml:space="preserve">se circuito curto </t>
  </si>
  <si>
    <t>v (rev) =</t>
  </si>
  <si>
    <r>
      <t>dh (entrada) = 0,2. v</t>
    </r>
    <r>
      <rPr>
        <vertAlign val="subscript"/>
        <sz val="11"/>
        <color theme="1"/>
        <rFont val="Calibri"/>
        <family val="2"/>
        <scheme val="minor"/>
      </rPr>
      <t>Hta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</si>
  <si>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>dh (sem revest) = % . [6,35 . L1 . n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Hta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</si>
  <si>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r>
      <t>dh (conc projet) = % . [6,35 . L1 . n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Hta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</si>
  <si>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r>
      <t>dh (conc conven) =% . [6,35 . L1 . n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Hta</t>
    </r>
    <r>
      <rPr>
        <sz val="11"/>
        <color theme="1"/>
        <rFont val="Calibri"/>
        <family val="2"/>
        <scheme val="minor"/>
      </rPr>
      <t xml:space="preserve"> / Deq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</si>
  <si>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t>diameter of the high pressure tunnel cross section (first value = 0)</t>
  </si>
  <si>
    <r>
      <t>dh (redução) = 0,1. (v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Hta'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</si>
  <si>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t>hsy_pstk_loop_n</t>
  </si>
  <si>
    <t>hsy_pstk_endl_x</t>
  </si>
  <si>
    <t>indicator of the end of  the penstock dimensioning (0 = end; 1 = continue)</t>
  </si>
  <si>
    <t>err_msg0_0000_tx</t>
  </si>
  <si>
    <t>error message</t>
  </si>
  <si>
    <t>number of iterations for the penstock dimensioning (first value = 0)</t>
  </si>
  <si>
    <t>total length of the low pressure tunnel (first value &lt;&gt; 0)</t>
  </si>
  <si>
    <t>concrete lining length of the high pressure tunnel (first value &lt;&gt; 0)</t>
  </si>
  <si>
    <t xml:space="preserve">ERROR MESSAGES </t>
  </si>
  <si>
    <t>Number of iterations for the penstock dimensioning exceeded limit.</t>
  </si>
  <si>
    <t>Error during the dimensioning process. Generate the engineering files of this layout to find it</t>
  </si>
  <si>
    <t>Níveis</t>
  </si>
  <si>
    <t>Peso</t>
  </si>
  <si>
    <t>Vão Livre</t>
  </si>
  <si>
    <t>Pórtico</t>
  </si>
  <si>
    <t>Pernas</t>
  </si>
  <si>
    <t>Vão</t>
  </si>
  <si>
    <t>(m)</t>
  </si>
  <si>
    <t>Informações Complementares</t>
  </si>
  <si>
    <t xml:space="preserve"> </t>
  </si>
  <si>
    <t>Cosseno do ângulo com a vertical</t>
  </si>
  <si>
    <t>Número de peças fixas por unidade</t>
  </si>
  <si>
    <t>Número de peças fixas total</t>
  </si>
  <si>
    <t>Turbina</t>
  </si>
  <si>
    <t>hsy_intk_fwgt_t</t>
  </si>
  <si>
    <t>weight of the fixed wheel gates of the intake</t>
  </si>
  <si>
    <t>hsy_intk_slog_t</t>
  </si>
  <si>
    <t>weight of the stoplogs of the intake</t>
  </si>
  <si>
    <t>hsy_intk_cran_t</t>
  </si>
  <si>
    <t>weight of the crane of the intake</t>
  </si>
  <si>
    <t>hsy_intk_rack_t</t>
  </si>
  <si>
    <t>weight of the trash racks of the intake</t>
  </si>
  <si>
    <t>hsy_intk_embp_t</t>
  </si>
  <si>
    <t>weight of the embedded parts of the intake equipment</t>
  </si>
  <si>
    <t>pwh_turb_0000_t</t>
  </si>
  <si>
    <t>weight of the turbine</t>
  </si>
  <si>
    <t>pwh_genr_0000_t</t>
  </si>
  <si>
    <t>weight of the generator</t>
  </si>
  <si>
    <t>pwh_dtub_slog_t</t>
  </si>
  <si>
    <t xml:space="preserve">weight of the stoplogs of the draft tube </t>
  </si>
  <si>
    <t>pwh_strc_brdg_t</t>
  </si>
  <si>
    <t>weight of the bridge crane</t>
  </si>
  <si>
    <t>pwh_dtub_gtry_t</t>
  </si>
  <si>
    <t>weight of the gantry crane</t>
  </si>
  <si>
    <t>pwh_dtub_embp_t</t>
  </si>
  <si>
    <t xml:space="preserve">weight embedded parts of the draft tube equipment </t>
  </si>
  <si>
    <t>pwh_syst_freq_hz</t>
  </si>
  <si>
    <t>hz</t>
  </si>
  <si>
    <t>system frequency</t>
  </si>
  <si>
    <t>pwh_turb_spsp_dl</t>
  </si>
  <si>
    <r>
      <t>n</t>
    </r>
    <r>
      <rPr>
        <vertAlign val="subscript"/>
        <sz val="11"/>
        <rFont val="Calibri"/>
        <family val="2"/>
        <scheme val="minor"/>
      </rPr>
      <t>s</t>
    </r>
  </si>
  <si>
    <t>specific speed of the turbine</t>
  </si>
  <si>
    <t>exchange rate from dollars</t>
  </si>
  <si>
    <t xml:space="preserve">update conversion rate from december 2006 for equipment costs </t>
  </si>
  <si>
    <t>maximum water level of the upper reservoir</t>
  </si>
  <si>
    <t>minimum water level of the upper reservoir</t>
  </si>
  <si>
    <t>maximum water level of the lower reservoir</t>
  </si>
  <si>
    <t>minimum water level of the lower reservoir</t>
  </si>
  <si>
    <t>Nível d'água máximo do reservatório superior (m)</t>
  </si>
  <si>
    <t>Nível mínimo do reservatório superior (m)</t>
  </si>
  <si>
    <t>Nível d'água máximo do reservatório inferior (m)</t>
  </si>
  <si>
    <t>Nível mínimo do reservatório inferior (m)</t>
  </si>
  <si>
    <r>
      <t xml:space="preserve">Altura de escavação do túnel </t>
    </r>
    <r>
      <rPr>
        <sz val="11"/>
        <color rgb="FF0070C0"/>
        <rFont val="Calibri"/>
        <family val="2"/>
        <scheme val="minor"/>
      </rPr>
      <t>de fuga</t>
    </r>
  </si>
  <si>
    <t>ignorar se terreno descer</t>
  </si>
  <si>
    <t>Elevação mínima do terreno para blindagem</t>
  </si>
  <si>
    <t>Elevação mínima do terreno para casa de força</t>
  </si>
  <si>
    <t>altura da casa de força? F(N ou Htf)?</t>
  </si>
  <si>
    <t>lay_pstk_pwh0_l</t>
  </si>
  <si>
    <t>terrain minimum elevation to define the location of the power house</t>
  </si>
  <si>
    <t>DADOS DE ENTRADA</t>
  </si>
  <si>
    <t>BOMBA</t>
  </si>
  <si>
    <t>CÁLCULOS PRELIMINARES</t>
  </si>
  <si>
    <t>Nível d´água mínimo normal do reservatório</t>
  </si>
  <si>
    <t>DIMENSÕES DA CASA DE FORÇA</t>
  </si>
  <si>
    <t>Linha de centro do distribuidor (m) - LC</t>
  </si>
  <si>
    <t>res_type_watc_x</t>
  </si>
  <si>
    <t>identification for the reservoir type according to its location (in a watercourse = 0 or not =1)</t>
  </si>
  <si>
    <t>fixo?</t>
  </si>
  <si>
    <t>COMPORTA ENSECADEIRA</t>
  </si>
  <si>
    <t>Montante (m)</t>
  </si>
  <si>
    <t>Jusante (m)</t>
  </si>
  <si>
    <t>Ponte de Serviço Montante (m)</t>
  </si>
  <si>
    <t>Ponte de Serviço Jusante (m)</t>
  </si>
  <si>
    <t>Soleira (m)</t>
  </si>
  <si>
    <t>Quantidade de módulos</t>
  </si>
  <si>
    <t>Valores intermediários: Comprimentos</t>
  </si>
  <si>
    <t>Altura máxima do módulo (m)</t>
  </si>
  <si>
    <t>Peças Fixas (m)</t>
  </si>
  <si>
    <t>Percurso (m)</t>
  </si>
  <si>
    <t>Valores intermediários: Alturas</t>
  </si>
  <si>
    <t>Valores intermediários: Larguras</t>
  </si>
  <si>
    <t>Capacidade de carga (t)</t>
  </si>
  <si>
    <t>Vão (m)</t>
  </si>
  <si>
    <t>Altura (m)</t>
  </si>
  <si>
    <t>PÓRTICO ROLANTE</t>
  </si>
  <si>
    <t>Dados de Entrada</t>
  </si>
  <si>
    <t>Pórtico (t)</t>
  </si>
  <si>
    <t>Pernas (t)</t>
  </si>
  <si>
    <t>Quantidade</t>
  </si>
  <si>
    <t>lay_trce_intk_l</t>
  </si>
  <si>
    <t>~UPPER</t>
  </si>
  <si>
    <t>res_max0_0000_wl</t>
  </si>
  <si>
    <t>res_min0_0000_wl</t>
  </si>
  <si>
    <t>~LOWER</t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</si>
  <si>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</si>
  <si>
    <t>L3A</t>
  </si>
  <si>
    <t>L3B</t>
  </si>
  <si>
    <t>geo_soil_xres_th</t>
  </si>
  <si>
    <t>dam crest elevation INTK sup</t>
  </si>
  <si>
    <t>dam crest width INTK sup</t>
  </si>
  <si>
    <t>lay_uppr_lowr_l</t>
  </si>
  <si>
    <t>upper reservoir</t>
  </si>
  <si>
    <t>lower reservoir</t>
  </si>
  <si>
    <r>
      <t xml:space="preserve">CONDUTOS FORÇADOS </t>
    </r>
    <r>
      <rPr>
        <b/>
        <sz val="11"/>
        <color theme="4"/>
        <rFont val="Calibri"/>
        <family val="2"/>
        <scheme val="minor"/>
      </rPr>
      <t>RAMIFICADOS</t>
    </r>
  </si>
  <si>
    <r>
      <t xml:space="preserve">Lcd </t>
    </r>
    <r>
      <rPr>
        <sz val="11"/>
        <color theme="4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20 m </t>
    </r>
  </si>
  <si>
    <t>QUANTITATIVOS (t)</t>
  </si>
  <si>
    <r>
      <t>Área da seção de escoamento (m²) - A</t>
    </r>
    <r>
      <rPr>
        <vertAlign val="subscript"/>
        <sz val="11"/>
        <color theme="1"/>
        <rFont val="Calibri"/>
        <family val="2"/>
        <scheme val="minor"/>
      </rPr>
      <t>fu</t>
    </r>
  </si>
  <si>
    <t>Elevação inicial da soleira (m)</t>
  </si>
  <si>
    <t>Elevação final da soleira (m)</t>
  </si>
  <si>
    <t>TA</t>
  </si>
  <si>
    <r>
      <t>Largura / altura da base da seção arco-retangular (m) - B</t>
    </r>
    <r>
      <rPr>
        <vertAlign val="subscript"/>
        <sz val="11"/>
        <color theme="1"/>
        <rFont val="Calibri"/>
        <family val="2"/>
        <scheme val="minor"/>
      </rPr>
      <t>fu</t>
    </r>
  </si>
  <si>
    <r>
      <t>Nível de água máximo normal do reservatório (m) - NA</t>
    </r>
    <r>
      <rPr>
        <vertAlign val="subscript"/>
        <sz val="11"/>
        <color theme="1"/>
        <rFont val="Calibri"/>
        <family val="2"/>
        <scheme val="minor"/>
      </rPr>
      <t>max</t>
    </r>
  </si>
  <si>
    <r>
      <t>Nível de água mínimo normal do reservatório (m) - NA</t>
    </r>
    <r>
      <rPr>
        <vertAlign val="subscript"/>
        <sz val="11"/>
        <color theme="1"/>
        <rFont val="Calibri"/>
        <family val="2"/>
        <scheme val="minor"/>
      </rPr>
      <t>min</t>
    </r>
  </si>
  <si>
    <t>TÚNEL DE FUGA</t>
  </si>
  <si>
    <t>Coeficiente para aproximação do escoamento assimétrica - c</t>
  </si>
  <si>
    <r>
      <t>Cota da soleira da tomada d'água (m) - El</t>
    </r>
    <r>
      <rPr>
        <vertAlign val="subscript"/>
        <sz val="11"/>
        <color theme="1"/>
        <rFont val="Calibri"/>
        <family val="2"/>
        <scheme val="minor"/>
      </rPr>
      <t>sol</t>
    </r>
  </si>
  <si>
    <r>
      <t>Inclinação do túnel de fuga - i</t>
    </r>
    <r>
      <rPr>
        <vertAlign val="subscript"/>
        <sz val="11"/>
        <color theme="1"/>
        <rFont val="Calibri"/>
        <family val="2"/>
        <scheme val="minor"/>
      </rPr>
      <t>fu</t>
    </r>
  </si>
  <si>
    <t>mínimo?</t>
  </si>
  <si>
    <t>CÁLCULOS</t>
  </si>
  <si>
    <t xml:space="preserve">CÁLCULOS </t>
  </si>
  <si>
    <t>DIMENSÕES DA TOMADA D'ÁGUA</t>
  </si>
  <si>
    <t>critérios?</t>
  </si>
  <si>
    <r>
      <t>Cota do teto da abertura da tomada d'água (m) - El</t>
    </r>
    <r>
      <rPr>
        <vertAlign val="subscript"/>
        <sz val="11"/>
        <color theme="1"/>
        <rFont val="Calibri"/>
        <family val="2"/>
        <scheme val="minor"/>
      </rPr>
      <t>sol</t>
    </r>
  </si>
  <si>
    <r>
      <t>Largura da comporta da tomada d'água (m) - B</t>
    </r>
    <r>
      <rPr>
        <vertAlign val="subscript"/>
        <sz val="11"/>
        <color theme="1"/>
        <rFont val="Calibri"/>
        <family val="2"/>
        <scheme val="minor"/>
      </rPr>
      <t>cp</t>
    </r>
  </si>
  <si>
    <r>
      <t>Altura da comporta da tomada d'água (m) - H</t>
    </r>
    <r>
      <rPr>
        <vertAlign val="subscript"/>
        <sz val="11"/>
        <color theme="1"/>
        <rFont val="Calibri"/>
        <family val="2"/>
        <scheme val="minor"/>
      </rPr>
      <t>cp</t>
    </r>
  </si>
  <si>
    <r>
      <t>Área do conduto associado à tomada de água (m) - A</t>
    </r>
    <r>
      <rPr>
        <vertAlign val="subscript"/>
        <sz val="11"/>
        <color theme="1"/>
        <rFont val="Calibri"/>
        <family val="2"/>
        <scheme val="minor"/>
      </rPr>
      <t>fu</t>
    </r>
  </si>
  <si>
    <r>
      <t>Número de aberturas da tomada d'água - N</t>
    </r>
    <r>
      <rPr>
        <vertAlign val="subscript"/>
        <sz val="11"/>
        <color theme="1"/>
        <rFont val="Calibri"/>
        <family val="2"/>
        <scheme val="minor"/>
      </rPr>
      <t>at</t>
    </r>
  </si>
  <si>
    <r>
      <t>Altura da tomada d'água (m) - H</t>
    </r>
    <r>
      <rPr>
        <vertAlign val="subscript"/>
        <sz val="11"/>
        <color theme="1"/>
        <rFont val="Calibri"/>
        <family val="2"/>
        <scheme val="minor"/>
      </rPr>
      <t>ta</t>
    </r>
  </si>
  <si>
    <r>
      <t>Largura do bloco da tomada d'água (m) -B</t>
    </r>
    <r>
      <rPr>
        <vertAlign val="subscript"/>
        <sz val="11"/>
        <color theme="1"/>
        <rFont val="Calibri"/>
        <family val="2"/>
        <scheme val="minor"/>
      </rPr>
      <t>1ta</t>
    </r>
  </si>
  <si>
    <r>
      <t>Largura total da tomada d'água (m) -B</t>
    </r>
    <r>
      <rPr>
        <vertAlign val="subscript"/>
        <sz val="11"/>
        <color theme="1"/>
        <rFont val="Calibri"/>
        <family val="2"/>
        <scheme val="minor"/>
      </rPr>
      <t>ta</t>
    </r>
  </si>
  <si>
    <r>
      <t>Comprimento total da tomada d'água na base (m) - L</t>
    </r>
    <r>
      <rPr>
        <vertAlign val="subscript"/>
        <sz val="11"/>
        <color theme="1"/>
        <rFont val="Calibri"/>
        <family val="2"/>
        <scheme val="minor"/>
      </rPr>
      <t>ta</t>
    </r>
  </si>
  <si>
    <t xml:space="preserve">Largura da crista da barragem (m) </t>
  </si>
  <si>
    <t xml:space="preserve">Elevação da crista da barragem (m) </t>
  </si>
  <si>
    <t>quais?</t>
  </si>
  <si>
    <t>Perda de carga no túnel de fuga (m)</t>
  </si>
  <si>
    <r>
      <t>Número de Manning para trecho sem revestimento - n</t>
    </r>
    <r>
      <rPr>
        <vertAlign val="subscript"/>
        <sz val="11"/>
        <color theme="1"/>
        <rFont val="Calibri"/>
        <family val="2"/>
        <scheme val="minor"/>
      </rPr>
      <t>1</t>
    </r>
  </si>
  <si>
    <r>
      <t>Número de Manning para revestimento com concreto convencional - n</t>
    </r>
    <r>
      <rPr>
        <vertAlign val="subscript"/>
        <sz val="11"/>
        <color theme="1"/>
        <rFont val="Calibri"/>
        <family val="2"/>
        <scheme val="minor"/>
      </rPr>
      <t>3</t>
    </r>
  </si>
  <si>
    <r>
      <t>Número de Manning para revestimento com concreto projetado - n</t>
    </r>
    <r>
      <rPr>
        <vertAlign val="subscript"/>
        <sz val="11"/>
        <color theme="1"/>
        <rFont val="Calibri"/>
        <family val="2"/>
        <scheme val="minor"/>
      </rPr>
      <t>2</t>
    </r>
  </si>
  <si>
    <t>MI</t>
  </si>
  <si>
    <t>CHAMINÉ DE EQUILÍBRIO INFERIOR</t>
  </si>
  <si>
    <r>
      <t>Área da seção da chaminé de equilíbrio (m²) - A</t>
    </r>
    <r>
      <rPr>
        <vertAlign val="subscript"/>
        <sz val="11"/>
        <color theme="1"/>
        <rFont val="Calibri"/>
        <family val="2"/>
        <scheme val="minor"/>
      </rPr>
      <t>ch</t>
    </r>
  </si>
  <si>
    <r>
      <t>Diâmetro interno da chaminé de equilíbrio (m) - D</t>
    </r>
    <r>
      <rPr>
        <vertAlign val="subscript"/>
        <sz val="11"/>
        <color theme="1"/>
        <rFont val="Calibri"/>
        <family val="2"/>
        <scheme val="minor"/>
      </rPr>
      <t>ch</t>
    </r>
  </si>
  <si>
    <r>
      <t>Oscilação máxima na chaminé de equilíbrio (m) - Y</t>
    </r>
    <r>
      <rPr>
        <vertAlign val="subscript"/>
        <sz val="11"/>
        <color theme="1"/>
        <rFont val="Calibri"/>
        <family val="2"/>
        <scheme val="minor"/>
      </rPr>
      <t>max</t>
    </r>
  </si>
  <si>
    <r>
      <t>Nível de água máximo na chaminé de equilíbrio (m) - Na</t>
    </r>
    <r>
      <rPr>
        <vertAlign val="subscript"/>
        <sz val="11"/>
        <color theme="1"/>
        <rFont val="Calibri"/>
        <family val="2"/>
        <scheme val="minor"/>
      </rPr>
      <t>xch</t>
    </r>
  </si>
  <si>
    <t xml:space="preserve">Necessidade da chaminé </t>
  </si>
  <si>
    <t>TOMADA D´ÁGUA DO RESERVATÓRIO SUPERIOR</t>
  </si>
  <si>
    <t>Namax</t>
  </si>
  <si>
    <r>
      <t>Área da seção de escoamento (m²) - A</t>
    </r>
    <r>
      <rPr>
        <vertAlign val="subscript"/>
        <sz val="11"/>
        <color theme="1"/>
        <rFont val="Calibri"/>
        <family val="2"/>
        <scheme val="minor"/>
      </rPr>
      <t>ad</t>
    </r>
  </si>
  <si>
    <t>Perda de carga na entrada da tomada (m)</t>
  </si>
  <si>
    <t>CHAMINÉ DE EQUILÍBRIO SUPERIOR</t>
  </si>
  <si>
    <t>Perda de carga no túnel de adução (m)</t>
  </si>
  <si>
    <r>
      <t>Nível de água mínimo na chaminé de equilíbrio (m) - Na</t>
    </r>
    <r>
      <rPr>
        <vertAlign val="subscript"/>
        <sz val="11"/>
        <color theme="1"/>
        <rFont val="Calibri"/>
        <family val="2"/>
        <scheme val="minor"/>
      </rPr>
      <t>nch</t>
    </r>
  </si>
  <si>
    <t>geo_soil_hsy0_th</t>
  </si>
  <si>
    <t>COMPORTA VAGÃO</t>
  </si>
  <si>
    <t>GRADES</t>
  </si>
  <si>
    <t>Tabuleiro (m)</t>
  </si>
  <si>
    <t>D'água no centro (m)</t>
  </si>
  <si>
    <t>D'água na soleira (m)</t>
  </si>
  <si>
    <t>Apoio (m)</t>
  </si>
  <si>
    <t>Peças Fixas (t)</t>
  </si>
  <si>
    <t>Comporta (t)</t>
  </si>
  <si>
    <t>Módulo (t)</t>
  </si>
  <si>
    <t>hsy_stlw_max0_wl</t>
  </si>
  <si>
    <t>hsy_stlw_min0_wl</t>
  </si>
  <si>
    <t>hsy_stlw_0000_d</t>
  </si>
  <si>
    <t>Largura máxima (m)</t>
  </si>
  <si>
    <t>psh_genr_cycl_tm</t>
  </si>
  <si>
    <t>psh_pump_cycl_tm</t>
  </si>
  <si>
    <t>h</t>
  </si>
  <si>
    <t>generation time of the pumped storage hydro</t>
  </si>
  <si>
    <t>hsy_trce_0000_d</t>
  </si>
  <si>
    <t>hsy_trce_upst_el</t>
  </si>
  <si>
    <t>hsy_trce_dwst_el</t>
  </si>
  <si>
    <t>psh_eqp0_conf_x</t>
  </si>
  <si>
    <t>identification for the equipment configuration type (fixed speed = 0, variable speed = 1)</t>
  </si>
  <si>
    <t>number of gates of the pumping intake</t>
  </si>
  <si>
    <t>gate width of the pumping intake</t>
  </si>
  <si>
    <t>gate height of the pumping intake</t>
  </si>
  <si>
    <t xml:space="preserve">elevation of the pumping intake sill </t>
  </si>
  <si>
    <t>total width of the pumping intake</t>
  </si>
  <si>
    <t>total length of the pumping intake</t>
  </si>
  <si>
    <t>total height of the pumping intake</t>
  </si>
  <si>
    <t>submergence of the pumping intake</t>
  </si>
  <si>
    <t>number of fixed wheel gates of the pumping intake</t>
  </si>
  <si>
    <t>weight of the fixed wheel gates of the pumping intake</t>
  </si>
  <si>
    <t>fixed wheel gates cost of the pumping intake</t>
  </si>
  <si>
    <t>number of stoplogs of the pumping intake</t>
  </si>
  <si>
    <t>weight of the stoplogs of the pumping intake</t>
  </si>
  <si>
    <t>stoplogs cost of the pumping intake</t>
  </si>
  <si>
    <t>weight of the crane of the pumping intake</t>
  </si>
  <si>
    <t>crane cost of the pumping intake</t>
  </si>
  <si>
    <t>weight of the trash racks of the pumping intake</t>
  </si>
  <si>
    <t>trash racks cost of the pumping intake</t>
  </si>
  <si>
    <t>weight of the embedded parts of the pumping intake equipment</t>
  </si>
  <si>
    <t>embedded parts cost of the pumping intake equipment</t>
  </si>
  <si>
    <t>hsy_inpp_gate_n</t>
  </si>
  <si>
    <t>hsy_inpp_gate_w</t>
  </si>
  <si>
    <t>hsy_inpp_gate_h</t>
  </si>
  <si>
    <t>hsy_inpp_sill_el</t>
  </si>
  <si>
    <t>hsy_inpp_totl_w</t>
  </si>
  <si>
    <t>hsy_inpp_totl_l</t>
  </si>
  <si>
    <t>hsy_inpp_totl_h</t>
  </si>
  <si>
    <t>hsy_inpp_subm_h</t>
  </si>
  <si>
    <t>hsy_inpp_fwgt_n</t>
  </si>
  <si>
    <t>hsy_inpp_fwgt_t</t>
  </si>
  <si>
    <t>hsy_inpp_fwgt_ct</t>
  </si>
  <si>
    <t>hsy_inpp_slog_n</t>
  </si>
  <si>
    <t>hsy_inpp_slog_t</t>
  </si>
  <si>
    <t>hsy_inpp_slog_ct</t>
  </si>
  <si>
    <t>hsy_inpp_cran_t</t>
  </si>
  <si>
    <t>hsy_inpp_cran_ct</t>
  </si>
  <si>
    <t>hsy_inpp_rack_t</t>
  </si>
  <si>
    <t>hsy_inpp_rack_ct</t>
  </si>
  <si>
    <t>hsy_inpp_embp_t</t>
  </si>
  <si>
    <t>hsy_inpp_embp_ct</t>
  </si>
  <si>
    <t>maximum water level in the lower surge tank</t>
  </si>
  <si>
    <t>minimum water level in the lower surge tank</t>
  </si>
  <si>
    <t>diameter of the lower surge tank</t>
  </si>
  <si>
    <t>upstream elevation of the tailrace tunnel sill</t>
  </si>
  <si>
    <t>downstream elevation of the tailrace tunnel sill</t>
  </si>
  <si>
    <r>
      <t>Elevação de fundo da chaminé de equilíbrio (m) - El</t>
    </r>
    <r>
      <rPr>
        <vertAlign val="subscript"/>
        <sz val="11"/>
        <color theme="1"/>
        <rFont val="Calibri"/>
        <family val="2"/>
        <scheme val="minor"/>
      </rPr>
      <t>ch</t>
    </r>
  </si>
  <si>
    <r>
      <t>Largura / altura da base da seção arco-retangular (m) - B</t>
    </r>
    <r>
      <rPr>
        <vertAlign val="subscript"/>
        <sz val="11"/>
        <color theme="1"/>
        <rFont val="Calibri"/>
        <family val="2"/>
        <scheme val="minor"/>
      </rPr>
      <t>ad</t>
    </r>
  </si>
  <si>
    <r>
      <t>Área do conduto associado à tomada de água (m) - D</t>
    </r>
    <r>
      <rPr>
        <vertAlign val="subscript"/>
        <sz val="11"/>
        <color theme="1"/>
        <rFont val="Calibri"/>
        <family val="2"/>
        <scheme val="minor"/>
      </rPr>
      <t>ab</t>
    </r>
  </si>
  <si>
    <t>CARACTERÍSTICAS DOS EQUIPAMENTOS HIDROMECÂNICOS</t>
  </si>
  <si>
    <t>DADOS DE ENTRADA PARA COMPORTAS</t>
  </si>
  <si>
    <r>
      <t>Submergência mínima (m) - S, sendo S = c .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 H</t>
    </r>
    <r>
      <rPr>
        <vertAlign val="subscript"/>
        <sz val="11"/>
        <color theme="1"/>
        <rFont val="Calibri"/>
        <family val="2"/>
        <scheme val="minor"/>
      </rPr>
      <t>ta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</si>
  <si>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Perda de carga na entrada da tomada d'água (m), sendo dh = 0,2. v</t>
    </r>
    <r>
      <rPr>
        <vertAlign val="subscript"/>
        <sz val="11"/>
        <color theme="1"/>
        <rFont val="Calibri"/>
        <family val="2"/>
        <scheme val="minor"/>
      </rPr>
      <t>cp</t>
    </r>
    <r>
      <rPr>
        <sz val="11"/>
        <color theme="1"/>
        <rFont val="Calibri"/>
        <family val="2"/>
        <scheme val="minor"/>
      </rPr>
      <t xml:space="preserve"> / 2g</t>
    </r>
  </si>
  <si>
    <r>
      <t>Vazão turbinada máxima total (m³/s) - Q</t>
    </r>
    <r>
      <rPr>
        <vertAlign val="subscript"/>
        <sz val="11"/>
        <rFont val="Calibri"/>
        <family val="2"/>
        <scheme val="minor"/>
      </rPr>
      <t>t</t>
    </r>
  </si>
  <si>
    <r>
      <t>Velocidade média do escoamento na comporta (m/s) - v</t>
    </r>
    <r>
      <rPr>
        <vertAlign val="subscript"/>
        <sz val="11"/>
        <rFont val="Calibri"/>
        <family val="2"/>
        <scheme val="minor"/>
      </rPr>
      <t>1</t>
    </r>
  </si>
  <si>
    <r>
      <t>Velocidade média do escoamento no túnel de adução (m/s) - v</t>
    </r>
    <r>
      <rPr>
        <vertAlign val="subscript"/>
        <sz val="11"/>
        <rFont val="Calibri"/>
        <family val="2"/>
        <scheme val="minor"/>
      </rPr>
      <t>ad</t>
    </r>
  </si>
  <si>
    <r>
      <t>Comprimento no túnel de adução (m) - L</t>
    </r>
    <r>
      <rPr>
        <vertAlign val="subscript"/>
        <sz val="11"/>
        <rFont val="Calibri"/>
        <family val="2"/>
        <scheme val="minor"/>
      </rPr>
      <t>ad</t>
    </r>
  </si>
  <si>
    <r>
      <t>Submergência mínima (m) - S, sendo S = c . v</t>
    </r>
    <r>
      <rPr>
        <vertAlign val="subscript"/>
        <sz val="11"/>
        <color theme="1"/>
        <rFont val="Calibri"/>
        <family val="2"/>
        <scheme val="minor"/>
      </rPr>
      <t>cp</t>
    </r>
    <r>
      <rPr>
        <sz val="11"/>
        <color theme="1"/>
        <rFont val="Calibri"/>
        <family val="2"/>
        <scheme val="minor"/>
      </rPr>
      <t>. H</t>
    </r>
    <r>
      <rPr>
        <vertAlign val="subscript"/>
        <sz val="11"/>
        <color theme="1"/>
        <rFont val="Calibri"/>
        <family val="2"/>
        <scheme val="minor"/>
      </rPr>
      <t>fu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</si>
  <si>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Largura / altura da base da seção arco-retangular (m) - B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= H</t>
    </r>
    <r>
      <rPr>
        <vertAlign val="subscript"/>
        <sz val="11"/>
        <color theme="1"/>
        <rFont val="Calibri"/>
        <family val="2"/>
        <scheme val="minor"/>
      </rPr>
      <t>fu</t>
    </r>
  </si>
  <si>
    <r>
      <t>Perda de carga no túnel de fuga (m), sendo dh = (6,35 . L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. n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fu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</t>
    </r>
    <r>
      <rPr>
        <vertAlign val="subscript"/>
        <sz val="11"/>
        <color theme="1"/>
        <rFont val="Calibri"/>
        <family val="2"/>
        <scheme val="minor"/>
      </rPr>
      <t>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</si>
  <si>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r>
      <t>Comprimento do túnel de fuga (m) - L</t>
    </r>
    <r>
      <rPr>
        <vertAlign val="subscript"/>
        <sz val="11"/>
        <rFont val="Calibri"/>
        <family val="2"/>
        <scheme val="minor"/>
      </rPr>
      <t>fu</t>
    </r>
  </si>
  <si>
    <r>
      <t>Vazão bombeada máxima total (m³/s) - Q</t>
    </r>
    <r>
      <rPr>
        <vertAlign val="subscript"/>
        <sz val="11"/>
        <rFont val="Calibri"/>
        <family val="2"/>
        <scheme val="minor"/>
      </rPr>
      <t>b</t>
    </r>
  </si>
  <si>
    <r>
      <t>Nível mínimo do túnel de fuga (m) - N</t>
    </r>
    <r>
      <rPr>
        <vertAlign val="subscript"/>
        <sz val="11"/>
        <rFont val="Calibri"/>
        <family val="2"/>
        <scheme val="minor"/>
      </rPr>
      <t>nfu</t>
    </r>
  </si>
  <si>
    <r>
      <t>Velocidade média do escoamento no túnel de fuga (m/s) - v</t>
    </r>
    <r>
      <rPr>
        <vertAlign val="subscript"/>
        <sz val="11"/>
        <rFont val="Calibri"/>
        <family val="2"/>
        <scheme val="minor"/>
      </rPr>
      <t>fu</t>
    </r>
  </si>
  <si>
    <r>
      <t>Velocidade média do escoamento na comporta (m/s) - v</t>
    </r>
    <r>
      <rPr>
        <vertAlign val="subscript"/>
        <sz val="11"/>
        <rFont val="Calibri"/>
        <family val="2"/>
        <scheme val="minor"/>
      </rPr>
      <t>cp</t>
    </r>
  </si>
  <si>
    <t>pwh_strc_shot_m3</t>
  </si>
  <si>
    <t>hsy_trce_0000_l</t>
  </si>
  <si>
    <t>hydraulic system length comprising penstock branches and the underground powerhouse</t>
  </si>
  <si>
    <t>the shortest length between the upper and the lower reservoir</t>
  </si>
  <si>
    <t>shotcrete volume of the underground powerhouse</t>
  </si>
  <si>
    <t>height and widht of the tailrace tunnel</t>
  </si>
  <si>
    <t>total lenght of the tailrace tunnel section</t>
  </si>
  <si>
    <r>
      <t>CN1 = 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- S + 2.Hta + e</t>
    </r>
    <r>
      <rPr>
        <vertAlign val="subscript"/>
        <sz val="11"/>
        <color theme="1"/>
        <rFont val="Calibri"/>
        <family val="2"/>
        <scheme val="minor"/>
      </rPr>
      <t>te</t>
    </r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</si>
  <si>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</si>
  <si>
    <r>
      <t>NA</t>
    </r>
    <r>
      <rPr>
        <vertAlign val="subscript"/>
        <sz val="11"/>
        <color theme="1"/>
        <rFont val="Calibri"/>
        <family val="2"/>
        <scheme val="minor"/>
      </rPr>
      <t>xch</t>
    </r>
  </si>
  <si>
    <r>
      <t>A</t>
    </r>
    <r>
      <rPr>
        <vertAlign val="subscript"/>
        <sz val="11"/>
        <color theme="1"/>
        <rFont val="Calibri"/>
        <family val="2"/>
        <scheme val="minor"/>
      </rPr>
      <t>ch</t>
    </r>
  </si>
  <si>
    <r>
      <t>Y</t>
    </r>
    <r>
      <rPr>
        <vertAlign val="subscript"/>
        <sz val="11"/>
        <color theme="1"/>
        <rFont val="Calibri"/>
        <family val="2"/>
        <scheme val="minor"/>
      </rPr>
      <t>max</t>
    </r>
  </si>
  <si>
    <r>
      <t>A</t>
    </r>
    <r>
      <rPr>
        <vertAlign val="subscript"/>
        <sz val="11"/>
        <color theme="1"/>
        <rFont val="Calibri"/>
        <family val="2"/>
        <scheme val="minor"/>
      </rPr>
      <t>ad</t>
    </r>
  </si>
  <si>
    <r>
      <t>A</t>
    </r>
    <r>
      <rPr>
        <vertAlign val="subscript"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= 0,8927 . Hta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</si>
  <si>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e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</si>
  <si>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</si>
  <si>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</si>
  <si>
    <r>
      <t>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(s)</t>
    </r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</si>
  <si>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(s)</t>
    </r>
  </si>
  <si>
    <r>
      <t>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(i)</t>
    </r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</si>
  <si>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(i)</t>
    </r>
  </si>
  <si>
    <r>
      <t>Q</t>
    </r>
    <r>
      <rPr>
        <vertAlign val="subscript"/>
        <sz val="11"/>
        <color theme="1"/>
        <rFont val="Calibri"/>
        <family val="2"/>
        <scheme val="minor"/>
      </rPr>
      <t>t</t>
    </r>
  </si>
  <si>
    <r>
      <t>Hb = NA</t>
    </r>
    <r>
      <rPr>
        <vertAlign val="subscript"/>
        <sz val="11"/>
        <color rgb="FFFF0000"/>
        <rFont val="Calibri"/>
        <family val="2"/>
        <scheme val="minor"/>
      </rPr>
      <t>med</t>
    </r>
    <r>
      <rPr>
        <sz val="11"/>
        <color rgb="FFFF0000"/>
        <rFont val="Calibri"/>
        <family val="2"/>
        <scheme val="minor"/>
      </rPr>
      <t xml:space="preserve"> (s) - NA</t>
    </r>
    <r>
      <rPr>
        <vertAlign val="subscript"/>
        <sz val="11"/>
        <color rgb="FFFF0000"/>
        <rFont val="Calibri"/>
        <family val="2"/>
        <scheme val="minor"/>
      </rPr>
      <t>med</t>
    </r>
    <r>
      <rPr>
        <sz val="11"/>
        <color rgb="FFFF0000"/>
        <rFont val="Calibri"/>
        <family val="2"/>
        <scheme val="minor"/>
      </rPr>
      <t xml:space="preserve"> (i)</t>
    </r>
  </si>
  <si>
    <r>
      <t>Na</t>
    </r>
    <r>
      <rPr>
        <vertAlign val="subscript"/>
        <sz val="11"/>
        <color theme="1"/>
        <rFont val="Calibri"/>
        <family val="2"/>
        <scheme val="minor"/>
      </rPr>
      <t>xch</t>
    </r>
    <r>
      <rPr>
        <sz val="11"/>
        <color theme="1"/>
        <rFont val="Calibri"/>
        <family val="2"/>
        <scheme val="minor"/>
      </rPr>
      <t xml:space="preserve"> = 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- 2/3 . (h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+h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+ Y</t>
    </r>
    <r>
      <rPr>
        <vertAlign val="subscript"/>
        <sz val="11"/>
        <color theme="1"/>
        <rFont val="Calibri"/>
        <family val="2"/>
        <scheme val="minor"/>
      </rPr>
      <t>max</t>
    </r>
  </si>
  <si>
    <t xml:space="preserve"> 2.Hb</t>
  </si>
  <si>
    <t>Extensão inicial entre os dois reservatórios (m)</t>
  </si>
  <si>
    <t>medida em linha reta antes da definição do traçado</t>
  </si>
  <si>
    <r>
      <t>CN2 = NA</t>
    </r>
    <r>
      <rPr>
        <vertAlign val="subscript"/>
        <sz val="11"/>
        <color theme="1"/>
        <rFont val="Calibri"/>
        <family val="2"/>
        <scheme val="minor"/>
      </rPr>
      <t>xch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bl</t>
    </r>
    <r>
      <rPr>
        <sz val="11"/>
        <color theme="1"/>
        <rFont val="Calibri"/>
        <family val="2"/>
        <scheme val="minor"/>
      </rPr>
      <t xml:space="preserve"> + e</t>
    </r>
    <r>
      <rPr>
        <vertAlign val="subscript"/>
        <sz val="11"/>
        <color theme="1"/>
        <rFont val="Calibri"/>
        <family val="2"/>
        <scheme val="minor"/>
      </rPr>
      <t>te</t>
    </r>
  </si>
  <si>
    <r>
      <t>H</t>
    </r>
    <r>
      <rPr>
        <vertAlign val="subscript"/>
        <sz val="11"/>
        <color theme="1"/>
        <rFont val="Calibri"/>
        <family val="2"/>
        <scheme val="minor"/>
      </rPr>
      <t>bl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</si>
  <si>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</si>
  <si>
    <r>
      <t>H</t>
    </r>
    <r>
      <rPr>
        <vertAlign val="subscript"/>
        <sz val="11"/>
        <color theme="1"/>
        <rFont val="Calibri"/>
        <family val="2"/>
        <scheme val="minor"/>
      </rPr>
      <t>fu</t>
    </r>
  </si>
  <si>
    <r>
      <t>CN3 = LC + H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>/2 + 2.H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+ e</t>
    </r>
    <r>
      <rPr>
        <vertAlign val="subscript"/>
        <sz val="11"/>
        <color theme="1"/>
        <rFont val="Calibri"/>
        <family val="2"/>
        <scheme val="minor"/>
      </rPr>
      <t>te</t>
    </r>
  </si>
  <si>
    <r>
      <t>H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= ( 4 /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70C0"/>
        <rFont val="Calibri"/>
        <family val="2"/>
        <scheme val="minor"/>
      </rPr>
      <t>2,4 m/s</t>
    </r>
  </si>
  <si>
    <r>
      <t>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 xml:space="preserve"> = 1,20 + ( 4 /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70C0"/>
        <rFont val="Calibri"/>
        <family val="2"/>
        <scheme val="minor"/>
      </rPr>
      <t>3,6 m/s</t>
    </r>
  </si>
  <si>
    <r>
      <t xml:space="preserve">Altura de escavação do túnel </t>
    </r>
    <r>
      <rPr>
        <sz val="11"/>
        <color theme="1"/>
        <rFont val="Calibri"/>
        <family val="2"/>
        <scheme val="minor"/>
      </rPr>
      <t>forçado</t>
    </r>
  </si>
  <si>
    <r>
      <t>H</t>
    </r>
    <r>
      <rPr>
        <vertAlign val="subscript"/>
        <sz val="11"/>
        <color theme="1"/>
        <rFont val="Calibri"/>
        <family val="2"/>
        <scheme val="minor"/>
      </rPr>
      <t>tf</t>
    </r>
  </si>
  <si>
    <r>
      <t>H</t>
    </r>
    <r>
      <rPr>
        <vertAlign val="subscript"/>
        <sz val="11"/>
        <color theme="1"/>
        <rFont val="Calibri"/>
        <family val="2"/>
        <scheme val="minor"/>
      </rPr>
      <t>b</t>
    </r>
  </si>
  <si>
    <r>
      <t>h</t>
    </r>
    <r>
      <rPr>
        <vertAlign val="subscript"/>
        <sz val="11"/>
        <color theme="1"/>
        <rFont val="Calibri"/>
        <family val="2"/>
        <scheme val="minor"/>
      </rPr>
      <t>p%</t>
    </r>
  </si>
  <si>
    <r>
      <t>S = c .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 H</t>
    </r>
    <r>
      <rPr>
        <vertAlign val="subscript"/>
        <sz val="11"/>
        <color theme="1"/>
        <rFont val="Calibri"/>
        <family val="2"/>
        <scheme val="minor"/>
      </rPr>
      <t>ta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c = 0,8;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1,76 m/s</t>
    </r>
  </si>
  <si>
    <r>
      <t xml:space="preserve">por simplificação, Hd = 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min</t>
    </r>
    <r>
      <rPr>
        <sz val="11"/>
        <color rgb="FF0070C0"/>
        <rFont val="Calibri"/>
        <family val="2"/>
        <scheme val="minor"/>
      </rPr>
      <t xml:space="preserve"> (s) - ( NA</t>
    </r>
    <r>
      <rPr>
        <vertAlign val="subscript"/>
        <sz val="11"/>
        <color rgb="FF0070C0"/>
        <rFont val="Calibri"/>
        <family val="2"/>
        <scheme val="minor"/>
      </rPr>
      <t>max</t>
    </r>
    <r>
      <rPr>
        <sz val="11"/>
        <color rgb="FF0070C0"/>
        <rFont val="Calibri"/>
        <family val="2"/>
        <scheme val="minor"/>
      </rPr>
      <t xml:space="preserve"> (i) -</t>
    </r>
    <r>
      <rPr>
        <sz val="11"/>
        <color rgb="FFFF0000"/>
        <rFont val="Calibri"/>
        <family val="2"/>
        <scheme val="minor"/>
      </rPr>
      <t xml:space="preserve"> H</t>
    </r>
    <r>
      <rPr>
        <vertAlign val="subscript"/>
        <sz val="11"/>
        <color rgb="FFFF0000"/>
        <rFont val="Calibri"/>
        <family val="2"/>
        <scheme val="minor"/>
      </rPr>
      <t>fu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),</t>
    </r>
    <r>
      <rPr>
        <sz val="11"/>
        <color rgb="FFFF0000"/>
        <rFont val="Calibri"/>
        <family val="2"/>
        <scheme val="minor"/>
      </rPr>
      <t xml:space="preserve"> a avaliar </t>
    </r>
  </si>
  <si>
    <r>
      <t>Q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 xml:space="preserve"> = P.1000 / (9,81 . 0,88 . (1-h</t>
    </r>
    <r>
      <rPr>
        <vertAlign val="subscript"/>
        <sz val="11"/>
        <color rgb="FFFF0000"/>
        <rFont val="Calibri"/>
        <family val="2"/>
        <scheme val="minor"/>
      </rPr>
      <t>p%</t>
    </r>
    <r>
      <rPr>
        <sz val="11"/>
        <color rgb="FFFF0000"/>
        <rFont val="Calibri"/>
        <family val="2"/>
        <scheme val="minor"/>
      </rPr>
      <t>). H</t>
    </r>
    <r>
      <rPr>
        <vertAlign val="subscript"/>
        <sz val="11"/>
        <color rgb="FFFF000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</si>
  <si>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= ( (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) / 0,8927 )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1,76 m/s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</si>
  <si>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(s) - 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(i)</t>
    </r>
  </si>
  <si>
    <r>
      <t>= El</t>
    </r>
    <r>
      <rPr>
        <vertAlign val="subscript"/>
        <sz val="11"/>
        <rFont val="Calibri"/>
        <family val="2"/>
        <scheme val="minor"/>
      </rPr>
      <t>ch</t>
    </r>
    <r>
      <rPr>
        <sz val="11"/>
        <rFont val="Calibri"/>
        <family val="2"/>
        <scheme val="minor"/>
      </rPr>
      <t xml:space="preserve"> - H</t>
    </r>
    <r>
      <rPr>
        <vertAlign val="subscript"/>
        <sz val="11"/>
        <rFont val="Calibri"/>
        <family val="2"/>
        <scheme val="minor"/>
      </rPr>
      <t>ta</t>
    </r>
    <r>
      <rPr>
        <sz val="11"/>
        <rFont val="Calibri"/>
        <family val="2"/>
        <scheme val="minor"/>
      </rPr>
      <t>, ou, sem chaminé, por simplificação, igual a 9.999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</si>
  <si>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= ( (Q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0,8927 )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</si>
  <si>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'</t>
    </r>
  </si>
  <si>
    <t>Rendimento</t>
  </si>
  <si>
    <r>
      <t>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+ 1,20 (valor constante, </t>
    </r>
    <r>
      <rPr>
        <sz val="11"/>
        <color rgb="FFFF0000"/>
        <rFont val="Calibri"/>
        <family val="2"/>
        <scheme val="minor"/>
      </rPr>
      <t xml:space="preserve">a avaliar, </t>
    </r>
    <r>
      <rPr>
        <sz val="1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concreto)</t>
    </r>
  </si>
  <si>
    <r>
      <t>Se 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 xml:space="preserve"> &lt; 3, redimensionar conduto para 1,8m</t>
    </r>
  </si>
  <si>
    <r>
      <t>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 = ( 4 /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)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</si>
  <si>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dh(cf) = 6,35 * L2B . n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</t>
    </r>
    <r>
      <rPr>
        <vertAlign val="subscript"/>
        <sz val="11"/>
        <color theme="1"/>
        <rFont val="Calibri"/>
        <family val="2"/>
        <scheme val="minor"/>
      </rPr>
      <t>cf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</si>
  <si>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Hd</t>
    </r>
    <r>
      <rPr>
        <vertAlign val="subscript"/>
        <sz val="11"/>
        <color theme="1"/>
        <rFont val="Calibri"/>
        <family val="2"/>
        <scheme val="minor"/>
      </rPr>
      <t>max</t>
    </r>
  </si>
  <si>
    <r>
      <t>= 0.30 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</t>
    </r>
  </si>
  <si>
    <r>
      <t>Hd</t>
    </r>
    <r>
      <rPr>
        <vertAlign val="subscript"/>
        <sz val="11"/>
        <color theme="1"/>
        <rFont val="Calibri"/>
        <family val="2"/>
        <scheme val="minor"/>
      </rPr>
      <t>calc</t>
    </r>
  </si>
  <si>
    <r>
      <t>Hd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&gt; Hd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, aumentar D</t>
    </r>
    <r>
      <rPr>
        <vertAlign val="subscript"/>
        <sz val="11"/>
        <color theme="1"/>
        <rFont val="Calibri"/>
        <family val="2"/>
        <scheme val="minor"/>
      </rPr>
      <t>cf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</si>
  <si>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' = </t>
    </r>
  </si>
  <si>
    <r>
      <t>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</si>
  <si>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/ (nf</t>
    </r>
    <r>
      <rPr>
        <vertAlign val="superscript"/>
        <sz val="11"/>
        <color theme="1"/>
        <rFont val="Calibri"/>
        <family val="2"/>
        <scheme val="minor"/>
      </rPr>
      <t>3/8</t>
    </r>
    <r>
      <rPr>
        <sz val="11"/>
        <color theme="1"/>
        <rFont val="Calibri"/>
        <family val="2"/>
        <scheme val="minor"/>
      </rPr>
      <t>)</t>
    </r>
  </si>
  <si>
    <r>
      <t>dh (cd) = 6,35 * L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. n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cd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</t>
    </r>
    <r>
      <rPr>
        <vertAlign val="subscript"/>
        <sz val="11"/>
        <color theme="1"/>
        <rFont val="Calibri"/>
        <family val="2"/>
        <scheme val="minor"/>
      </rPr>
      <t>nf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</si>
  <si>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(condutos aparentes)</t>
    </r>
  </si>
  <si>
    <r>
      <t>dh/H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(total)</t>
    </r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</si>
  <si>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(túnel blindado)</t>
    </r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</si>
  <si>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(túnel sem blindagem)</t>
    </r>
  </si>
  <si>
    <r>
      <t>D</t>
    </r>
    <r>
      <rPr>
        <vertAlign val="subscript"/>
        <sz val="11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 xml:space="preserve"> = (4 /</t>
    </r>
    <r>
      <rPr>
        <sz val="11"/>
        <color theme="1"/>
        <rFont val="Symbol"/>
        <family val="1"/>
        <charset val="2"/>
      </rPr>
      <t xml:space="preserve"> p</t>
    </r>
    <r>
      <rPr>
        <sz val="11"/>
        <color theme="1"/>
        <rFont val="Calibri"/>
        <family val="2"/>
        <scheme val="minor"/>
      </rPr>
      <t xml:space="preserve"> . 0,8927)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 xml:space="preserve"> .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' (área equivalente)</t>
    </r>
  </si>
  <si>
    <r>
      <t>= El</t>
    </r>
    <r>
      <rPr>
        <vertAlign val="subscript"/>
        <sz val="11"/>
        <rFont val="Calibri"/>
        <family val="2"/>
        <scheme val="minor"/>
      </rPr>
      <t>sol</t>
    </r>
    <r>
      <rPr>
        <sz val="11"/>
        <rFont val="Calibri"/>
        <family val="2"/>
        <scheme val="minor"/>
      </rPr>
      <t xml:space="preserve"> da tomada d'água</t>
    </r>
  </si>
  <si>
    <r>
      <t>15,0 m &gt; = D</t>
    </r>
    <r>
      <rPr>
        <vertAlign val="subscript"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 xml:space="preserve"> &gt; = 3,0 m</t>
    </r>
  </si>
  <si>
    <r>
      <t>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</si>
  <si>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Se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&gt; 15, aumentar quantidade de túneis</t>
    </r>
  </si>
  <si>
    <r>
      <t>v (H</t>
    </r>
    <r>
      <rPr>
        <vertAlign val="subscript"/>
        <sz val="11"/>
        <rFont val="Calibri"/>
        <family val="2"/>
        <scheme val="minor"/>
      </rPr>
      <t>ta</t>
    </r>
    <r>
      <rPr>
        <sz val="11"/>
        <rFont val="Calibri"/>
        <family val="2"/>
        <scheme val="minor"/>
      </rPr>
      <t>) =</t>
    </r>
  </si>
  <si>
    <r>
      <t>Se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&lt; 3, diminuir velocidade e assumir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= 3,0 m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</si>
  <si>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min = 3,0 </t>
    </r>
  </si>
  <si>
    <r>
      <t>dh (conc conven) =  6,35 . (LP + L2A) . n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 v</t>
    </r>
    <r>
      <rPr>
        <vertAlign val="subscript"/>
        <sz val="11"/>
        <color theme="1"/>
        <rFont val="Calibri"/>
        <family val="2"/>
        <scheme val="minor"/>
      </rPr>
      <t>Hta'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/ Deq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</si>
  <si>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Hx = Pressão (m), sendo Hx = 1,3.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LC); </t>
    </r>
  </si>
  <si>
    <r>
      <t>e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= máximo (e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</si>
  <si>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10 . (0,15 + (1,3 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 /10) . (D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>/2 . 100) / (3300/2))</t>
    </r>
  </si>
  <si>
    <r>
      <t>Pb = nf . (e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>/1000 . D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.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 L2C) * 7,84</t>
    </r>
  </si>
  <si>
    <r>
      <t>D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Diâmetro (m), igual a dimensão "A", de D216, em 572fv.xls</t>
    </r>
  </si>
  <si>
    <r>
      <t>ver NA</t>
    </r>
    <r>
      <rPr>
        <vertAlign val="subscript"/>
        <sz val="11"/>
        <rFont val="Calibri"/>
        <family val="2"/>
        <scheme val="minor"/>
      </rPr>
      <t>max</t>
    </r>
    <r>
      <rPr>
        <sz val="11"/>
        <rFont val="Calibri"/>
        <family val="2"/>
        <scheme val="minor"/>
      </rPr>
      <t xml:space="preserve"> em D5, planilha hsrf2rout e LC em B32, planilha hsrf2pwh</t>
    </r>
  </si>
  <si>
    <r>
      <t>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(1000 .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+ 500)/400  </t>
    </r>
  </si>
  <si>
    <r>
      <t>e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= máximo (e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</si>
  <si>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(1000 .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+ 500)/400  </t>
    </r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</si>
  <si>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10 . (0,15 + (1,3 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 /10) . (D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>/2 . 100) / (3300/2))</t>
    </r>
  </si>
  <si>
    <r>
      <t>Pb = ncf . (e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/1000 . Dcf .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 L2B) * 7,84; ncf = 1</t>
    </r>
  </si>
  <si>
    <t>Pvb =</t>
  </si>
  <si>
    <r>
      <t>= LC - H</t>
    </r>
    <r>
      <rPr>
        <vertAlign val="subscript"/>
        <sz val="11"/>
        <rFont val="Calibri"/>
        <family val="2"/>
        <scheme val="minor"/>
      </rPr>
      <t>tf</t>
    </r>
    <r>
      <rPr>
        <sz val="11"/>
        <rFont val="Calibri"/>
        <family val="2"/>
        <scheme val="minor"/>
      </rPr>
      <t>/2</t>
    </r>
  </si>
  <si>
    <t xml:space="preserve">critérios? </t>
  </si>
  <si>
    <t>mais longo?</t>
  </si>
  <si>
    <t>só grade?</t>
  </si>
  <si>
    <r>
      <t>(El</t>
    </r>
    <r>
      <rPr>
        <vertAlign val="subscript"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 xml:space="preserve"> - e</t>
    </r>
    <r>
      <rPr>
        <vertAlign val="subscript"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>) - (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min</t>
    </r>
    <r>
      <rPr>
        <sz val="11"/>
        <color rgb="FF0070C0"/>
        <rFont val="Calibri"/>
        <family val="2"/>
        <scheme val="minor"/>
      </rPr>
      <t xml:space="preserve"> (i)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- H</t>
    </r>
    <r>
      <rPr>
        <vertAlign val="subscript"/>
        <sz val="11"/>
        <color rgb="FFFF0000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>) + 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>/2 &gt; 0,8.H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a avaliar</t>
    </r>
  </si>
  <si>
    <r>
      <t xml:space="preserve">soil thickness on the hydraulic circuit alignment </t>
    </r>
    <r>
      <rPr>
        <sz val="11"/>
        <color rgb="FFFF0000"/>
        <rFont val="Calibri"/>
        <family val="2"/>
        <scheme val="minor"/>
      </rPr>
      <t>ROUTE STNK, PWH</t>
    </r>
  </si>
  <si>
    <r>
      <t xml:space="preserve">soil thickness on the site of a reservoir </t>
    </r>
    <r>
      <rPr>
        <sz val="11"/>
        <color rgb="FFFF0000"/>
        <rFont val="Calibri"/>
        <family val="2"/>
        <scheme val="minor"/>
      </rPr>
      <t>INTK sup WATC 1, ROUTE INLET</t>
    </r>
  </si>
  <si>
    <r>
      <t>soil thickness on the left riverbank</t>
    </r>
    <r>
      <rPr>
        <sz val="11"/>
        <color rgb="FFFF0000"/>
        <rFont val="Calibri"/>
        <family val="2"/>
        <scheme val="minor"/>
      </rPr>
      <t xml:space="preserve"> INTK sup WATC 0, ROUTE INLET</t>
    </r>
  </si>
  <si>
    <r>
      <t xml:space="preserve">soil thickness on the right riverbank </t>
    </r>
    <r>
      <rPr>
        <sz val="11"/>
        <color rgb="FFFF0000"/>
        <rFont val="Calibri"/>
        <family val="2"/>
        <scheme val="minor"/>
      </rPr>
      <t>INTK sup WATC 0, ROUTE INLET</t>
    </r>
  </si>
  <si>
    <r>
      <t>Altura total (m) - H</t>
    </r>
    <r>
      <rPr>
        <vertAlign val="subscript"/>
        <sz val="11"/>
        <rFont val="Calibri"/>
        <family val="2"/>
        <scheme val="minor"/>
      </rPr>
      <t>cp</t>
    </r>
  </si>
  <si>
    <r>
      <t>Largura (m) - B</t>
    </r>
    <r>
      <rPr>
        <vertAlign val="subscript"/>
        <sz val="11"/>
        <rFont val="Calibri"/>
        <family val="2"/>
        <scheme val="minor"/>
      </rPr>
      <t>cp</t>
    </r>
  </si>
  <si>
    <r>
      <t>k = B</t>
    </r>
    <r>
      <rPr>
        <b/>
        <vertAlign val="subscript"/>
        <sz val="11"/>
        <rFont val="Calibri"/>
        <family val="2"/>
        <scheme val="minor"/>
      </rPr>
      <t>cp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x H</t>
    </r>
    <r>
      <rPr>
        <b/>
        <vertAlign val="subscript"/>
        <sz val="11"/>
        <rFont val="Calibri"/>
        <family val="2"/>
        <scheme val="minor"/>
      </rPr>
      <t>cp</t>
    </r>
    <r>
      <rPr>
        <b/>
        <sz val="11"/>
        <rFont val="Calibri"/>
        <family val="2"/>
        <scheme val="minor"/>
      </rPr>
      <t xml:space="preserve"> x H</t>
    </r>
    <r>
      <rPr>
        <b/>
        <vertAlign val="subscript"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 xml:space="preserve"> / 1000</t>
    </r>
  </si>
  <si>
    <t>Custo</t>
  </si>
  <si>
    <r>
      <t>k' = B</t>
    </r>
    <r>
      <rPr>
        <vertAlign val="subscript"/>
        <sz val="11"/>
        <rFont val="Calibri"/>
        <family val="2"/>
        <scheme val="minor"/>
      </rPr>
      <t>cp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x H</t>
    </r>
    <r>
      <rPr>
        <vertAlign val="subscript"/>
        <sz val="11"/>
        <rFont val="Calibri"/>
        <family val="2"/>
        <scheme val="minor"/>
      </rPr>
      <t>cp</t>
    </r>
    <r>
      <rPr>
        <sz val="11"/>
        <rFont val="Calibri"/>
        <family val="2"/>
        <scheme val="minor"/>
      </rPr>
      <t xml:space="preserve"> x H</t>
    </r>
    <r>
      <rPr>
        <vertAlign val="subscript"/>
        <sz val="11"/>
        <rFont val="Calibri"/>
        <family val="2"/>
        <scheme val="minor"/>
      </rPr>
      <t>x</t>
    </r>
    <r>
      <rPr>
        <sz val="11"/>
        <rFont val="Calibri"/>
        <family val="2"/>
        <scheme val="minor"/>
      </rPr>
      <t xml:space="preserve"> / 1000</t>
    </r>
  </si>
  <si>
    <t>Custo FOB  (MI, 2007) - R$</t>
  </si>
  <si>
    <t>Quantidade de divisões teóricas no vão da comporta</t>
  </si>
  <si>
    <t>validade para 1000</t>
  </si>
  <si>
    <t>Peças fixas (MI, 2007) - R$</t>
  </si>
  <si>
    <r>
      <t>Altura de Recalque Nominal (m) - H</t>
    </r>
    <r>
      <rPr>
        <vertAlign val="subscript"/>
        <sz val="11"/>
        <rFont val="Calibri"/>
        <family val="2"/>
        <scheme val="minor"/>
      </rPr>
      <t>p</t>
    </r>
  </si>
  <si>
    <r>
      <t>Altura de Recalque Mínima (m) - H</t>
    </r>
    <r>
      <rPr>
        <vertAlign val="subscript"/>
        <sz val="11"/>
        <rFont val="Calibri"/>
        <family val="2"/>
        <scheme val="minor"/>
      </rPr>
      <t>pm</t>
    </r>
  </si>
  <si>
    <r>
      <t>Altura de Recalque Máxima (m) - H</t>
    </r>
    <r>
      <rPr>
        <vertAlign val="subscript"/>
        <sz val="11"/>
        <rFont val="Calibri"/>
        <family val="2"/>
        <scheme val="minor"/>
      </rPr>
      <t>pM</t>
    </r>
  </si>
  <si>
    <r>
      <t>Potência Nominal (kW) - P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/ P</t>
    </r>
    <r>
      <rPr>
        <vertAlign val="subscript"/>
        <sz val="11"/>
        <rFont val="Calibri"/>
        <family val="2"/>
        <scheme val="minor"/>
      </rPr>
      <t>t</t>
    </r>
  </si>
  <si>
    <r>
      <t>Relação (P</t>
    </r>
    <r>
      <rPr>
        <vertAlign val="subscript"/>
        <sz val="11"/>
        <rFont val="Calibri"/>
        <family val="2"/>
        <scheme val="minor"/>
      </rPr>
      <t xml:space="preserve">p </t>
    </r>
    <r>
      <rPr>
        <sz val="11"/>
        <rFont val="Calibri"/>
        <family val="2"/>
        <scheme val="minor"/>
      </rPr>
      <t>/ P</t>
    </r>
    <r>
      <rPr>
        <vertAlign val="subscript"/>
        <sz val="11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)</t>
    </r>
  </si>
  <si>
    <r>
      <t xml:space="preserve">dam crest elevation </t>
    </r>
    <r>
      <rPr>
        <sz val="11"/>
        <color rgb="FFFF0000"/>
        <rFont val="Calibri"/>
        <family val="2"/>
        <scheme val="minor"/>
      </rPr>
      <t>INTK inf</t>
    </r>
  </si>
  <si>
    <r>
      <t>dam crest width</t>
    </r>
    <r>
      <rPr>
        <sz val="11"/>
        <color rgb="FFFF0000"/>
        <rFont val="Calibri"/>
        <family val="2"/>
        <scheme val="minor"/>
      </rPr>
      <t xml:space="preserve"> INTK inf</t>
    </r>
  </si>
  <si>
    <r>
      <t xml:space="preserve">soil thickness on the site of a reservoir </t>
    </r>
    <r>
      <rPr>
        <sz val="11"/>
        <color rgb="FFFF0000"/>
        <rFont val="Calibri"/>
        <family val="2"/>
        <scheme val="minor"/>
      </rPr>
      <t>INTK inf WATC 1, ROUTE OUTLET</t>
    </r>
  </si>
  <si>
    <r>
      <t xml:space="preserve">soil thickness on the left riverbank </t>
    </r>
    <r>
      <rPr>
        <sz val="11"/>
        <color rgb="FFFF0000"/>
        <rFont val="Calibri"/>
        <family val="2"/>
        <scheme val="minor"/>
      </rPr>
      <t>INTK inf WATC 0, ROUTE OUTLET</t>
    </r>
  </si>
  <si>
    <r>
      <t xml:space="preserve">soil thickness on the right riverbank </t>
    </r>
    <r>
      <rPr>
        <sz val="11"/>
        <color rgb="FFFF0000"/>
        <rFont val="Calibri"/>
        <family val="2"/>
        <scheme val="minor"/>
      </rPr>
      <t>INTK inf WATC 0,  ROUTE OUTLET</t>
    </r>
  </si>
  <si>
    <t>pwh_strc_ugex_m3</t>
  </si>
  <si>
    <t>underground rock excavation volume of the powerhouse</t>
  </si>
  <si>
    <r>
      <t>Vazão (m³/s) - Q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/ Q</t>
    </r>
    <r>
      <rPr>
        <vertAlign val="subscript"/>
        <sz val="11"/>
        <rFont val="Calibri"/>
        <family val="2"/>
        <scheme val="minor"/>
      </rPr>
      <t>t</t>
    </r>
  </si>
  <si>
    <t>nf = número de unidades (B10, em hsrf2pwh)</t>
  </si>
  <si>
    <t>TOMADA D´ÁGUA DO BOMBEAMENTO</t>
  </si>
  <si>
    <t>psh_pump_flow_q</t>
  </si>
  <si>
    <t xml:space="preserve">Quantidade </t>
  </si>
  <si>
    <t>grades: 1,0 m/s</t>
  </si>
  <si>
    <t>estrangulamento: 2,0 m/s</t>
  </si>
  <si>
    <t>comporta: 2,5 m/s</t>
  </si>
  <si>
    <t>Quantidade de circuitos de adução</t>
  </si>
  <si>
    <t xml:space="preserve">Vazão turbinada máxima por circuito (m³/s) </t>
  </si>
  <si>
    <t>0,8* Hcp</t>
  </si>
  <si>
    <t>restrição inserida nesta planilha</t>
  </si>
  <si>
    <t>Equipamento (t)</t>
  </si>
  <si>
    <t>Quantidade de tomadas</t>
  </si>
  <si>
    <t>* Velocidade Admissível = 80% Velocidade Máxima (manual) =&gt; sugestão do grupo = 70%</t>
  </si>
  <si>
    <t>1 por circuito</t>
  </si>
  <si>
    <t>para seção igual a do túnel, como no manual</t>
  </si>
  <si>
    <t>hsy_tunn_0000_n</t>
  </si>
  <si>
    <t>bomba</t>
  </si>
  <si>
    <t>desconta TA</t>
  </si>
  <si>
    <t>variável de saída HTA max = 15</t>
  </si>
  <si>
    <r>
      <t xml:space="preserve">por simplificação, </t>
    </r>
    <r>
      <rPr>
        <sz val="11"/>
        <color rgb="FF0070C0"/>
        <rFont val="Calibri"/>
        <family val="2"/>
        <scheme val="minor"/>
      </rPr>
      <t>1%</t>
    </r>
    <r>
      <rPr>
        <sz val="11"/>
        <color theme="1"/>
        <rFont val="Calibri"/>
        <family val="2"/>
        <scheme val="minor"/>
      </rPr>
      <t xml:space="preserve"> . ( 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med</t>
    </r>
    <r>
      <rPr>
        <sz val="11"/>
        <color rgb="FF0070C0"/>
        <rFont val="Calibri"/>
        <family val="2"/>
        <scheme val="minor"/>
      </rPr>
      <t xml:space="preserve"> (s) - NA</t>
    </r>
    <r>
      <rPr>
        <vertAlign val="subscript"/>
        <sz val="11"/>
        <color rgb="FF0070C0"/>
        <rFont val="Calibri"/>
        <family val="2"/>
        <scheme val="minor"/>
      </rPr>
      <t>med</t>
    </r>
    <r>
      <rPr>
        <sz val="11"/>
        <color rgb="FF0070C0"/>
        <rFont val="Calibri"/>
        <family val="2"/>
        <scheme val="minor"/>
      </rPr>
      <t xml:space="preserve"> (i) </t>
    </r>
    <r>
      <rPr>
        <sz val="11"/>
        <color theme="1"/>
        <rFont val="Calibri"/>
        <family val="2"/>
        <scheme val="minor"/>
      </rPr>
      <t>)</t>
    </r>
  </si>
  <si>
    <t>number of hydraulic conveyances by tunnel</t>
  </si>
  <si>
    <t>NAmin + Hfu + ete</t>
  </si>
  <si>
    <r>
      <t xml:space="preserve">TRECHO BLINDADO </t>
    </r>
    <r>
      <rPr>
        <b/>
        <sz val="11"/>
        <color theme="4"/>
        <rFont val="Calibri"/>
        <family val="2"/>
        <scheme val="minor"/>
      </rPr>
      <t>E CASA DE FORÇA</t>
    </r>
    <r>
      <rPr>
        <b/>
        <sz val="11"/>
        <color theme="1"/>
        <rFont val="Calibri"/>
        <family val="2"/>
        <scheme val="minor"/>
      </rPr>
      <t xml:space="preserve"> - Parâmetros para definição da extensão e posicionamento</t>
    </r>
  </si>
  <si>
    <t xml:space="preserve">pumping inflow </t>
  </si>
  <si>
    <t>f cond.</t>
  </si>
  <si>
    <t>t (seg)</t>
  </si>
  <si>
    <t>yi</t>
  </si>
  <si>
    <t>Vi</t>
  </si>
  <si>
    <t>Vi + 1/2 ΔV</t>
  </si>
  <si>
    <t>g/L x Δt</t>
  </si>
  <si>
    <t>Δt (s)</t>
  </si>
  <si>
    <t>Δy (m)</t>
  </si>
  <si>
    <t>yi + 1/2 Δy</t>
  </si>
  <si>
    <t xml:space="preserve">ΔV </t>
  </si>
  <si>
    <t>A/AC x Δt</t>
  </si>
  <si>
    <t>Queda</t>
  </si>
  <si>
    <t>Bomba</t>
  </si>
  <si>
    <t>Qi (m³/s)</t>
  </si>
  <si>
    <r>
      <t>Perda de carga na entrada da tomada d'água (m), sendo dh = 0,2. v</t>
    </r>
    <r>
      <rPr>
        <vertAlign val="subscript"/>
        <sz val="11"/>
        <color theme="1"/>
        <rFont val="Calibri"/>
        <family val="2"/>
        <scheme val="minor"/>
      </rPr>
      <t>cp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2g</t>
    </r>
  </si>
  <si>
    <t>=(1+V28+V29*G27/G29)/(2*9,81)</t>
  </si>
  <si>
    <t>hf = f V² / 2g</t>
  </si>
  <si>
    <t>C = f / 2g</t>
  </si>
  <si>
    <t>C = hf / V²</t>
  </si>
  <si>
    <r>
      <t>Perda de carga no orifício da chaminé (m) - dh = 0,85. v</t>
    </r>
    <r>
      <rPr>
        <vertAlign val="subscript"/>
        <sz val="11"/>
        <color theme="1"/>
        <rFont val="Calibri"/>
        <family val="2"/>
        <scheme val="minor"/>
      </rPr>
      <t>fu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2g</t>
    </r>
  </si>
  <si>
    <t>f</t>
  </si>
  <si>
    <t>fechamento instantâneo</t>
  </si>
  <si>
    <t xml:space="preserve">Declividade </t>
  </si>
  <si>
    <t>sem coeficiente de maximização, inclusão da perda no orifício</t>
  </si>
  <si>
    <t>Elevação superior máxima da chaminé de equilíbrio (m)</t>
  </si>
  <si>
    <t>Elevação inferior mínima da chaminé de equilíbrio (m)</t>
  </si>
  <si>
    <t>hydraulic system length comprising the underground tailrace and the pumping intake (first value &lt;&gt; 0)</t>
  </si>
  <si>
    <t>Vazão para "n" túneis (m³/s)</t>
  </si>
  <si>
    <t>Extensão até a casa de força (m)</t>
  </si>
  <si>
    <t>pwh_0000_cter_el</t>
  </si>
  <si>
    <t>teste para a segunda passada</t>
  </si>
  <si>
    <r>
      <t xml:space="preserve">por simplificação, LC = 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min</t>
    </r>
    <r>
      <rPr>
        <sz val="11"/>
        <color rgb="FF0070C0"/>
        <rFont val="Calibri"/>
        <family val="2"/>
        <scheme val="minor"/>
      </rPr>
      <t xml:space="preserve"> (i)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- 3Hfu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 xml:space="preserve">a avaliar </t>
    </r>
  </si>
  <si>
    <r>
      <t>NA</t>
    </r>
    <r>
      <rPr>
        <vertAlign val="subscript"/>
        <sz val="11"/>
        <color theme="4"/>
        <rFont val="Calibri"/>
        <family val="2"/>
        <scheme val="minor"/>
      </rPr>
      <t>min</t>
    </r>
    <r>
      <rPr>
        <sz val="11"/>
        <color theme="4"/>
        <rFont val="Calibri"/>
        <family val="2"/>
        <scheme val="minor"/>
      </rPr>
      <t xml:space="preserve"> (i) + 6.H</t>
    </r>
    <r>
      <rPr>
        <vertAlign val="subscript"/>
        <sz val="11"/>
        <color theme="4"/>
        <rFont val="Calibri"/>
        <family val="2"/>
        <scheme val="minor"/>
      </rPr>
      <t>fu</t>
    </r>
    <r>
      <rPr>
        <sz val="11"/>
        <color theme="4"/>
        <rFont val="Calibri"/>
        <family val="2"/>
        <scheme val="minor"/>
      </rPr>
      <t xml:space="preserve"> + esp</t>
    </r>
  </si>
  <si>
    <t>área proposta por ACB, alterada para arco-retângulo</t>
  </si>
  <si>
    <t>L= compr. conduto (m)</t>
  </si>
  <si>
    <t xml:space="preserve">CN = 0,8 (número de Courant) </t>
  </si>
  <si>
    <r>
      <rPr>
        <sz val="11"/>
        <rFont val="Calibri"/>
        <family val="2"/>
        <scheme val="minor"/>
      </rPr>
      <t>Δt = 2 L . CN / a  (s)</t>
    </r>
  </si>
  <si>
    <r>
      <rPr>
        <sz val="11"/>
        <rFont val="Calibri"/>
        <family val="2"/>
        <scheme val="minor"/>
      </rPr>
      <t>a = 1200 m/s (celeridade da onda na água - conduto rígido)</t>
    </r>
  </si>
  <si>
    <t>=ARRED(2*3,1416*(Lc*Ach/(Ac*9,81))^0,5;1)</t>
  </si>
  <si>
    <r>
      <t>t</t>
    </r>
    <r>
      <rPr>
        <vertAlign val="subscript"/>
        <sz val="11"/>
        <color theme="1"/>
        <rFont val="Calibri"/>
        <family val="2"/>
        <scheme val="minor"/>
      </rPr>
      <t>onda</t>
    </r>
    <r>
      <rPr>
        <sz val="11"/>
        <color theme="1"/>
        <rFont val="Calibri"/>
        <family val="2"/>
        <scheme val="minor"/>
      </rPr>
      <t xml:space="preserve"> (s)=</t>
    </r>
  </si>
  <si>
    <t>coeficiente igual a 1</t>
  </si>
  <si>
    <t>cálculo pelas fórmulas do Manual</t>
  </si>
  <si>
    <t xml:space="preserve"> rocha</t>
  </si>
  <si>
    <t>manning</t>
  </si>
  <si>
    <t>Número de Manning ponderado</t>
  </si>
  <si>
    <t>dh =</t>
  </si>
  <si>
    <t>dh/Hb =</t>
  </si>
  <si>
    <t>Geração</t>
  </si>
  <si>
    <t>Bombeamento</t>
  </si>
  <si>
    <t>enr_loss_pump_pc</t>
  </si>
  <si>
    <t>pumping time of the pumped storage hydro</t>
  </si>
  <si>
    <t>pumping head loss (percentage)</t>
  </si>
  <si>
    <t>novo</t>
  </si>
  <si>
    <t xml:space="preserve">
</t>
  </si>
  <si>
    <t>MANUAL DE INVENTÁRIO HIDRELÉTRICO DE BACIAS HIDROGRÁFICAS</t>
  </si>
  <si>
    <r>
      <t xml:space="preserve">TÍTULO: CASA DE FORÇA -TURBINAS PELTON   </t>
    </r>
    <r>
      <rPr>
        <sz val="9"/>
        <rFont val="Arial"/>
        <family val="2"/>
      </rPr>
      <t/>
    </r>
  </si>
  <si>
    <t>ARQUIVO</t>
  </si>
  <si>
    <t>572p.xls</t>
  </si>
  <si>
    <t>REVISÃO:</t>
  </si>
  <si>
    <t>1.  DADOS BÁSICOS:</t>
  </si>
  <si>
    <t>Dados para o dimensionamento</t>
  </si>
  <si>
    <t>P' =</t>
  </si>
  <si>
    <t>(Potência instalada inicial)</t>
  </si>
  <si>
    <r>
      <t>N</t>
    </r>
    <r>
      <rPr>
        <vertAlign val="subscript"/>
        <sz val="10"/>
        <rFont val="Arial"/>
        <family val="2"/>
      </rPr>
      <t xml:space="preserve">g </t>
    </r>
    <r>
      <rPr>
        <sz val="10"/>
        <rFont val="Arial"/>
        <family val="2"/>
      </rPr>
      <t>=</t>
    </r>
  </si>
  <si>
    <t>unidades</t>
  </si>
  <si>
    <t>(Número de unidades geradoras - não o conhecendo, digitar o valor zero; será adotado o valor calculado)</t>
  </si>
  <si>
    <t>valor padrão</t>
  </si>
  <si>
    <r>
      <t>NA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=</t>
    </r>
  </si>
  <si>
    <t>(Nível de água máximo normal do reservatório)</t>
  </si>
  <si>
    <r>
      <t>NA</t>
    </r>
    <r>
      <rPr>
        <vertAlign val="subscript"/>
        <sz val="10"/>
        <rFont val="Arial"/>
        <family val="2"/>
      </rPr>
      <t>med</t>
    </r>
    <r>
      <rPr>
        <sz val="10"/>
        <rFont val="Arial"/>
        <family val="2"/>
      </rPr>
      <t xml:space="preserve"> =</t>
    </r>
  </si>
  <si>
    <t>(Nível de água médio do reservatório)</t>
  </si>
  <si>
    <r>
      <t>NA</t>
    </r>
    <r>
      <rPr>
        <vertAlign val="subscript"/>
        <sz val="10"/>
        <rFont val="Arial"/>
        <family val="2"/>
      </rPr>
      <t>fu</t>
    </r>
    <r>
      <rPr>
        <sz val="10"/>
        <rFont val="Arial"/>
        <family val="2"/>
      </rPr>
      <t xml:space="preserve">  =</t>
    </r>
  </si>
  <si>
    <t>(Nível de água normal do canal de fuga)</t>
  </si>
  <si>
    <r>
      <t>h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%=</t>
    </r>
  </si>
  <si>
    <t>%</t>
  </si>
  <si>
    <r>
      <t>(Perda de carga na adução, em % de H</t>
    </r>
    <r>
      <rPr>
        <vertAlign val="subscript"/>
        <sz val="10"/>
        <rFont val="Arial"/>
        <family val="2"/>
      </rPr>
      <t>b1</t>
    </r>
    <r>
      <rPr>
        <sz val="10"/>
        <rFont val="Arial"/>
        <family val="2"/>
      </rPr>
      <t>)</t>
    </r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</si>
  <si>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</si>
  <si>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(Fator de potência)</t>
  </si>
  <si>
    <r>
      <t>h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=</t>
    </r>
  </si>
  <si>
    <t>(Rendimento médio das turbinas)</t>
  </si>
  <si>
    <t>valor padrão, MI</t>
  </si>
  <si>
    <r>
      <t>h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=</t>
    </r>
  </si>
  <si>
    <t>(Rendimento médio dos geradores)</t>
  </si>
  <si>
    <t xml:space="preserve">f   =  </t>
  </si>
  <si>
    <t xml:space="preserve">Hz  </t>
  </si>
  <si>
    <t>(Freqüência do sistema elétrico)</t>
  </si>
  <si>
    <r>
      <t>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=  </t>
    </r>
  </si>
  <si>
    <t>(Espaçamento livre entre unidades geradoras, definido pelo projetista)</t>
  </si>
  <si>
    <t>fixo, igual a 6</t>
  </si>
  <si>
    <r>
      <t>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=  </t>
    </r>
  </si>
  <si>
    <t>(Espaçamento livre no sentido do fluxo a montante e a jusante da unidade geradora, definido pelo projetista)</t>
  </si>
  <si>
    <t>Dados para a quantificação</t>
  </si>
  <si>
    <r>
      <t>L</t>
    </r>
    <r>
      <rPr>
        <vertAlign val="subscript"/>
        <sz val="10"/>
        <rFont val="Arial"/>
        <family val="2"/>
      </rPr>
      <t>tf</t>
    </r>
    <r>
      <rPr>
        <sz val="10"/>
        <rFont val="Arial"/>
        <family val="2"/>
      </rPr>
      <t xml:space="preserve"> =</t>
    </r>
  </si>
  <si>
    <t>(Comprimento de tratamento de fundação determinado a partir do projeto)</t>
  </si>
  <si>
    <r>
      <t>V</t>
    </r>
    <r>
      <rPr>
        <vertAlign val="subscript"/>
        <sz val="10"/>
        <rFont val="Arial"/>
        <family val="2"/>
      </rPr>
      <t>cie</t>
    </r>
    <r>
      <rPr>
        <sz val="10"/>
        <rFont val="Arial"/>
        <family val="2"/>
      </rPr>
      <t xml:space="preserve"> =</t>
    </r>
  </si>
  <si>
    <t>(Volume de concreto da infra-estrutura e paredes externas)</t>
  </si>
  <si>
    <r>
      <t>V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 xml:space="preserve"> =</t>
    </r>
  </si>
  <si>
    <t>(Volume de concreto do dental)</t>
  </si>
  <si>
    <r>
      <t>V</t>
    </r>
    <r>
      <rPr>
        <vertAlign val="subscript"/>
        <sz val="10"/>
        <rFont val="Arial"/>
        <family val="2"/>
      </rPr>
      <t>cse</t>
    </r>
    <r>
      <rPr>
        <sz val="10"/>
        <rFont val="Arial"/>
        <family val="2"/>
      </rPr>
      <t xml:space="preserve"> =</t>
    </r>
  </si>
  <si>
    <t>(Volume de concreto da superestrutura)</t>
  </si>
  <si>
    <r>
      <t>C</t>
    </r>
    <r>
      <rPr>
        <vertAlign val="subscript"/>
        <sz val="10"/>
        <rFont val="Arial"/>
        <family val="2"/>
      </rPr>
      <t>tp</t>
    </r>
    <r>
      <rPr>
        <sz val="10"/>
        <rFont val="Arial"/>
        <family val="2"/>
      </rPr>
      <t xml:space="preserve"> =</t>
    </r>
  </si>
  <si>
    <t>(Custo unitário de turbina Pelton, obtido com o fabricante)</t>
  </si>
  <si>
    <t>Tipo:</t>
  </si>
  <si>
    <t>(Tipo de casa de força: 1 - externa; 2 - subterrânea)</t>
  </si>
  <si>
    <r>
      <t>NA</t>
    </r>
    <r>
      <rPr>
        <vertAlign val="subscript"/>
        <sz val="10"/>
        <rFont val="Arial"/>
        <family val="2"/>
      </rPr>
      <t>xfu</t>
    </r>
    <r>
      <rPr>
        <sz val="10"/>
        <rFont val="Arial"/>
        <family val="2"/>
      </rPr>
      <t xml:space="preserve"> =</t>
    </r>
  </si>
  <si>
    <t>(Nível de água máximo do canal de fuga)</t>
  </si>
  <si>
    <t>E, ainda, para casa de força externa:</t>
  </si>
  <si>
    <r>
      <t>El</t>
    </r>
    <r>
      <rPr>
        <vertAlign val="subscript"/>
        <sz val="10"/>
        <rFont val="Arial"/>
        <family val="2"/>
      </rPr>
      <t>te</t>
    </r>
    <r>
      <rPr>
        <sz val="10"/>
        <rFont val="Arial"/>
        <family val="2"/>
      </rPr>
      <t xml:space="preserve"> =</t>
    </r>
  </si>
  <si>
    <t>(Cota média do terreno na área da casa de força)</t>
  </si>
  <si>
    <r>
      <t>e</t>
    </r>
    <r>
      <rPr>
        <vertAlign val="subscript"/>
        <sz val="10"/>
        <rFont val="Arial"/>
        <family val="2"/>
      </rPr>
      <t>te</t>
    </r>
    <r>
      <rPr>
        <sz val="10"/>
        <rFont val="Arial"/>
        <family val="2"/>
      </rPr>
      <t xml:space="preserve"> =</t>
    </r>
  </si>
  <si>
    <t>(Espessura média da camada de terra na área da casa de força)</t>
  </si>
  <si>
    <r>
      <t>V</t>
    </r>
    <r>
      <rPr>
        <vertAlign val="subscript"/>
        <sz val="10"/>
        <rFont val="Arial"/>
        <family val="2"/>
      </rPr>
      <t>rcf</t>
    </r>
    <r>
      <rPr>
        <sz val="10"/>
        <rFont val="Arial"/>
        <family val="2"/>
      </rPr>
      <t xml:space="preserve"> =</t>
    </r>
  </si>
  <si>
    <t>(Volume de escav. em rocha a céu aberto abaixo da cota do pátio da área de montagem, determ. a partir do projeto)</t>
  </si>
  <si>
    <t>Mensagens:</t>
  </si>
  <si>
    <t>2.  QUEDAS</t>
  </si>
  <si>
    <t>a)</t>
  </si>
  <si>
    <t xml:space="preserve">QUEDA BRUTA MÁXIMA: </t>
  </si>
  <si>
    <r>
      <t xml:space="preserve">      H</t>
    </r>
    <r>
      <rPr>
        <vertAlign val="subscript"/>
        <sz val="10"/>
        <rFont val="Arial"/>
        <family val="2"/>
      </rPr>
      <t>b1</t>
    </r>
    <r>
      <rPr>
        <sz val="10"/>
        <rFont val="Arial"/>
        <family val="2"/>
      </rPr>
      <t xml:space="preserve"> = NA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- NA</t>
    </r>
    <r>
      <rPr>
        <vertAlign val="subscript"/>
        <sz val="10"/>
        <rFont val="Arial"/>
        <family val="2"/>
      </rPr>
      <t>fu</t>
    </r>
    <r>
      <rPr>
        <sz val="10"/>
        <rFont val="Arial"/>
        <family val="2"/>
      </rPr>
      <t xml:space="preserve">    =</t>
    </r>
  </si>
  <si>
    <t>b)</t>
  </si>
  <si>
    <t>QUEDA BRUTA MÉDIA:</t>
  </si>
  <si>
    <r>
      <t xml:space="preserve">      H</t>
    </r>
    <r>
      <rPr>
        <vertAlign val="subscript"/>
        <sz val="10"/>
        <rFont val="Arial"/>
        <family val="2"/>
      </rPr>
      <t>b2</t>
    </r>
    <r>
      <rPr>
        <sz val="10"/>
        <rFont val="Arial"/>
        <family val="2"/>
      </rPr>
      <t xml:space="preserve"> = NA</t>
    </r>
    <r>
      <rPr>
        <vertAlign val="subscript"/>
        <sz val="10"/>
        <rFont val="Arial"/>
        <family val="2"/>
      </rPr>
      <t>med</t>
    </r>
    <r>
      <rPr>
        <sz val="10"/>
        <rFont val="Arial"/>
        <family val="2"/>
      </rPr>
      <t xml:space="preserve"> - NA</t>
    </r>
    <r>
      <rPr>
        <vertAlign val="subscript"/>
        <sz val="10"/>
        <rFont val="Arial"/>
        <family val="2"/>
      </rPr>
      <t>fu</t>
    </r>
    <r>
      <rPr>
        <sz val="10"/>
        <rFont val="Arial"/>
        <family val="2"/>
      </rPr>
      <t xml:space="preserve">    =</t>
    </r>
  </si>
  <si>
    <t>c)</t>
  </si>
  <si>
    <t>PERDA DE CARGA TOTAL:</t>
  </si>
  <si>
    <t>d)</t>
  </si>
  <si>
    <t>QUEDA LÍQUIDA MÁXIMA:</t>
  </si>
  <si>
    <r>
      <t xml:space="preserve">      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H</t>
    </r>
    <r>
      <rPr>
        <vertAlign val="subscript"/>
        <sz val="10"/>
        <rFont val="Arial"/>
        <family val="2"/>
      </rPr>
      <t>b1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</si>
  <si>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e)</t>
  </si>
  <si>
    <t>QUEDA LÍQUIDA MÉDIA:</t>
  </si>
  <si>
    <r>
      <t xml:space="preserve">     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 H</t>
    </r>
    <r>
      <rPr>
        <vertAlign val="subscript"/>
        <sz val="10"/>
        <rFont val="Arial"/>
        <family val="2"/>
      </rPr>
      <t>b2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</si>
  <si>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3.  POTÊNCIAS</t>
  </si>
  <si>
    <t>POTÊNCIA TOTAL DO CONJUNTO DAS TURBINAS</t>
  </si>
  <si>
    <t>kW</t>
  </si>
  <si>
    <t>NÚMERO DE UNIDADES GERADORAS</t>
  </si>
  <si>
    <r>
      <t>Sendo P</t>
    </r>
    <r>
      <rPr>
        <vertAlign val="subscript"/>
        <sz val="10"/>
        <rFont val="Arial"/>
        <family val="2"/>
      </rPr>
      <t>1xt</t>
    </r>
    <r>
      <rPr>
        <sz val="10"/>
        <rFont val="Arial"/>
        <family val="2"/>
      </rPr>
      <t xml:space="preserve"> a potência máxima da turbina para a queda disponível, calculada abaixo:</t>
    </r>
  </si>
  <si>
    <r>
      <t>Assim, para este aproveitamento, com 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</t>
    </r>
  </si>
  <si>
    <t>m,  tem-se:</t>
  </si>
  <si>
    <r>
      <t>P</t>
    </r>
    <r>
      <rPr>
        <vertAlign val="subscript"/>
        <sz val="10"/>
        <rFont val="Arial"/>
        <family val="2"/>
      </rPr>
      <t>1xt</t>
    </r>
    <r>
      <rPr>
        <sz val="10"/>
        <rFont val="Arial"/>
        <family val="2"/>
      </rPr>
      <t xml:space="preserve"> =</t>
    </r>
  </si>
  <si>
    <t>=SE(E(E84&gt;=150;E84&lt;200);0.000000000000046*E84^6.4526;SE(E(E84&gt;=200;E84&lt;380);0.00002*E84^2.691;SE(E(E84&gt;=380;E84&lt;750);0.5397*E84^0.978;SE(E(E84&gt;=750;E84&lt;=950);350;SE(E(E84&gt;=950;E84&lt;=1500);3331000000*E84^-2.3436;"Fora da faixa de variacao! ERRO!")))))</t>
  </si>
  <si>
    <t>E para o número mínimo de unidades geradoras, considerando a potência máxima, temos</t>
  </si>
  <si>
    <t xml:space="preserve">        ou, considerando a vazão máxima, temos</t>
  </si>
  <si>
    <t xml:space="preserve">       Observação:  O número de unidades geradoras deve ser, de preferência, maior ou igual a dois.</t>
  </si>
  <si>
    <t>Assim:</t>
  </si>
  <si>
    <r>
      <t>N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>=</t>
    </r>
  </si>
  <si>
    <t>(Valor calculado)</t>
  </si>
  <si>
    <t>POTÊNCIA  INICIAL DE UMA UNIDADE GERADORA</t>
  </si>
  <si>
    <r>
      <t>Sendo P</t>
    </r>
    <r>
      <rPr>
        <vertAlign val="subscript"/>
        <sz val="10"/>
        <rFont val="Arial"/>
        <family val="2"/>
      </rPr>
      <t>1nt</t>
    </r>
    <r>
      <rPr>
        <sz val="10"/>
        <rFont val="Arial"/>
        <family val="2"/>
      </rPr>
      <t xml:space="preserve"> a potência mínima da turbina para a queda disponível, dada abaixo:</t>
    </r>
  </si>
  <si>
    <r>
      <t>P</t>
    </r>
    <r>
      <rPr>
        <vertAlign val="subscript"/>
        <sz val="10"/>
        <rFont val="Arial"/>
        <family val="2"/>
      </rPr>
      <t>1nt</t>
    </r>
    <r>
      <rPr>
        <sz val="10"/>
        <rFont val="Arial"/>
        <family val="2"/>
      </rPr>
      <t xml:space="preserve"> =</t>
    </r>
  </si>
  <si>
    <t>limite alterado de 5 para 1</t>
  </si>
  <si>
    <t>E para a potência inicial de uma unidade geradora:</t>
  </si>
  <si>
    <r>
      <t>P'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=</t>
    </r>
  </si>
  <si>
    <t>POTÊNCIA DE UMA UNIDADE GERADORA</t>
  </si>
  <si>
    <t>Sendo:</t>
  </si>
  <si>
    <r>
      <t>k</t>
    </r>
    <r>
      <rPr>
        <vertAlign val="subscript"/>
        <sz val="10"/>
        <rFont val="Arial"/>
        <family val="2"/>
      </rPr>
      <t>p</t>
    </r>
  </si>
  <si>
    <t>Para</t>
  </si>
  <si>
    <r>
      <t>Neste aproveitamento:   k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</si>
  <si>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 xml:space="preserve">POTÊNCIA INSTALADA </t>
  </si>
  <si>
    <t>f)</t>
  </si>
  <si>
    <t>POTÊNCIA POR INJETOR DA TURBINA</t>
  </si>
  <si>
    <r>
      <t>Q</t>
    </r>
    <r>
      <rPr>
        <vertAlign val="subscript"/>
        <sz val="7"/>
        <rFont val="Arial"/>
        <family val="2"/>
      </rPr>
      <t>1</t>
    </r>
    <r>
      <rPr>
        <sz val="10"/>
        <rFont val="Arial"/>
        <family val="2"/>
      </rPr>
      <t>&lt;2,0</t>
    </r>
  </si>
  <si>
    <t>sendo:</t>
  </si>
  <si>
    <t>j</t>
  </si>
  <si>
    <t>-</t>
  </si>
  <si>
    <t>vazão máx. turbinada por unid.</t>
  </si>
  <si>
    <r>
      <t>Q</t>
    </r>
    <r>
      <rPr>
        <vertAlign val="subscript"/>
        <sz val="8"/>
        <rFont val="Arial"/>
        <family val="2"/>
      </rPr>
      <t xml:space="preserve">1 </t>
    </r>
    <r>
      <rPr>
        <sz val="10"/>
        <rFont val="Arial"/>
        <family val="2"/>
      </rPr>
      <t>&lt; 2,0</t>
    </r>
  </si>
  <si>
    <r>
      <t xml:space="preserve">2,0 </t>
    </r>
    <r>
      <rPr>
        <u/>
        <sz val="10"/>
        <rFont val="Arial"/>
        <family val="2"/>
      </rPr>
      <t>&lt;</t>
    </r>
    <r>
      <rPr>
        <sz val="10"/>
        <rFont val="Arial"/>
        <family val="2"/>
      </rPr>
      <t xml:space="preserve"> Q</t>
    </r>
    <r>
      <rPr>
        <vertAlign val="subscript"/>
        <sz val="8"/>
        <rFont val="Arial"/>
        <family val="2"/>
      </rPr>
      <t>1</t>
    </r>
    <r>
      <rPr>
        <sz val="10"/>
        <rFont val="Arial"/>
        <family val="2"/>
      </rPr>
      <t xml:space="preserve"> &lt; 4,7</t>
    </r>
  </si>
  <si>
    <r>
      <t xml:space="preserve">4,7 </t>
    </r>
    <r>
      <rPr>
        <u/>
        <sz val="10"/>
        <rFont val="Arial"/>
        <family val="2"/>
      </rPr>
      <t>&lt;</t>
    </r>
    <r>
      <rPr>
        <sz val="10"/>
        <rFont val="Arial"/>
        <family val="2"/>
      </rPr>
      <t xml:space="preserve"> Q</t>
    </r>
    <r>
      <rPr>
        <vertAlign val="subscript"/>
        <sz val="8"/>
        <rFont val="Arial"/>
        <family val="2"/>
      </rPr>
      <t>1</t>
    </r>
    <r>
      <rPr>
        <sz val="10"/>
        <rFont val="Arial"/>
        <family val="2"/>
      </rPr>
      <t xml:space="preserve"> &lt; 6,7</t>
    </r>
  </si>
  <si>
    <r>
      <t xml:space="preserve">6,7 </t>
    </r>
    <r>
      <rPr>
        <u/>
        <sz val="10"/>
        <rFont val="Arial"/>
        <family val="2"/>
      </rPr>
      <t>&lt;</t>
    </r>
    <r>
      <rPr>
        <sz val="10"/>
        <rFont val="Arial"/>
        <family val="2"/>
      </rPr>
      <t xml:space="preserve"> Q</t>
    </r>
    <r>
      <rPr>
        <vertAlign val="subscript"/>
        <sz val="8"/>
        <rFont val="Arial"/>
        <family val="2"/>
      </rPr>
      <t>1</t>
    </r>
    <r>
      <rPr>
        <sz val="10"/>
        <rFont val="Arial"/>
        <family val="2"/>
      </rPr>
      <t xml:space="preserve"> &lt; 9,3</t>
    </r>
  </si>
  <si>
    <r>
      <t xml:space="preserve">9,3 </t>
    </r>
    <r>
      <rPr>
        <u/>
        <sz val="10"/>
        <rFont val="Arial"/>
        <family val="2"/>
      </rPr>
      <t>&lt;</t>
    </r>
    <r>
      <rPr>
        <sz val="10"/>
        <rFont val="Arial"/>
        <family val="2"/>
      </rPr>
      <t xml:space="preserve"> Q</t>
    </r>
    <r>
      <rPr>
        <vertAlign val="subscript"/>
        <sz val="8"/>
        <rFont val="Arial"/>
        <family val="2"/>
      </rPr>
      <t>1</t>
    </r>
    <r>
      <rPr>
        <sz val="10"/>
        <rFont val="Arial"/>
        <family val="2"/>
      </rPr>
      <t xml:space="preserve"> &lt; 13,3</t>
    </r>
  </si>
  <si>
    <r>
      <t>Q</t>
    </r>
    <r>
      <rPr>
        <vertAlign val="subscript"/>
        <sz val="8"/>
        <rFont val="Arial"/>
        <family val="2"/>
      </rPr>
      <t>1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&gt;</t>
    </r>
    <r>
      <rPr>
        <sz val="10"/>
        <rFont val="Arial"/>
        <family val="2"/>
      </rPr>
      <t xml:space="preserve"> 13,3</t>
    </r>
  </si>
  <si>
    <r>
      <t>Assim, para este aproveitamento, com 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</si>
  <si>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,  tem-se:</t>
    </r>
  </si>
  <si>
    <t>j =</t>
  </si>
  <si>
    <t>4.  DIMENSIONAMENTO DA TURBINA</t>
  </si>
  <si>
    <t>VELOCIDADE ESPECÍFICA INICIAL</t>
  </si>
  <si>
    <t>VAZÃO MÁXIMA TURBINADA DE UMA TURBINA</t>
  </si>
  <si>
    <r>
      <t>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/s</t>
    </r>
  </si>
  <si>
    <r>
      <t>h</t>
    </r>
    <r>
      <rPr>
        <vertAlign val="subscript"/>
        <sz val="10"/>
        <rFont val="Arial"/>
        <family val="2"/>
      </rPr>
      <t>t1</t>
    </r>
    <r>
      <rPr>
        <sz val="10"/>
        <rFont val="Arial"/>
        <family val="2"/>
      </rPr>
      <t xml:space="preserve"> =</t>
    </r>
  </si>
  <si>
    <t>correção da fórmula</t>
  </si>
  <si>
    <r>
      <t>h</t>
    </r>
    <r>
      <rPr>
        <vertAlign val="subscript"/>
        <sz val="10"/>
        <rFont val="Arial"/>
        <family val="2"/>
      </rPr>
      <t>g1</t>
    </r>
    <r>
      <rPr>
        <sz val="10"/>
        <rFont val="Arial"/>
        <family val="2"/>
      </rPr>
      <t xml:space="preserve"> =</t>
    </r>
  </si>
  <si>
    <t>Posição do eixo da turbina:</t>
  </si>
  <si>
    <t>posição</t>
  </si>
  <si>
    <t>horizontal</t>
  </si>
  <si>
    <r>
      <t>Q</t>
    </r>
    <r>
      <rPr>
        <vertAlign val="subscript"/>
        <sz val="8"/>
        <rFont val="Arial"/>
        <family val="2"/>
      </rPr>
      <t>1</t>
    </r>
    <r>
      <rPr>
        <sz val="10"/>
        <rFont val="Arial"/>
        <family val="2"/>
      </rPr>
      <t xml:space="preserve"> &lt; 4,7</t>
    </r>
  </si>
  <si>
    <t>vertical</t>
  </si>
  <si>
    <r>
      <t>Q</t>
    </r>
    <r>
      <rPr>
        <vertAlign val="subscript"/>
        <sz val="8"/>
        <rFont val="Arial"/>
        <family val="2"/>
      </rPr>
      <t>1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&gt;</t>
    </r>
    <r>
      <rPr>
        <sz val="10"/>
        <rFont val="Arial"/>
        <family val="2"/>
      </rPr>
      <t xml:space="preserve"> 4,7</t>
    </r>
  </si>
  <si>
    <r>
      <t>Assim, com 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</t>
    </r>
  </si>
  <si>
    <t>m³/s, tem-se:</t>
  </si>
  <si>
    <r>
      <t>NESTE</t>
    </r>
    <r>
      <rPr>
        <b/>
        <sz val="10"/>
        <rFont val="Arial"/>
        <family val="2"/>
      </rPr>
      <t xml:space="preserve"> CASO </t>
    </r>
  </si>
  <si>
    <t>VELOCIDADE  INICIAL</t>
  </si>
  <si>
    <t>rpm</t>
  </si>
  <si>
    <t>NÚMERO DE PÓLOS DO GERADOR</t>
  </si>
  <si>
    <t>Assim, para este aproveitamento, com      f =</t>
  </si>
  <si>
    <t>Hz</t>
  </si>
  <si>
    <t>e      n' =</t>
  </si>
  <si>
    <t>rpm, tem-se para o número de pólos do gerador :</t>
  </si>
  <si>
    <t>p =</t>
  </si>
  <si>
    <t>VELOCIDADE SÍNCRONA</t>
  </si>
  <si>
    <t>VELOCIDADE ESPECÍFICA POR INJETOR</t>
  </si>
  <si>
    <t>COEFICIENTE DE VELOCIDADE PERIFÉRICA</t>
  </si>
  <si>
    <t>g)</t>
  </si>
  <si>
    <t>DIÂMETRO DA LINHA DE CENTRO DO JATO</t>
  </si>
  <si>
    <t>h)</t>
  </si>
  <si>
    <t>POSIÇÃO DO ROTOR</t>
  </si>
  <si>
    <t>i)</t>
  </si>
  <si>
    <t>DIMENSÕES DO BICO INJETOR, DO ROTOR E DA CÂMARA BLINDADA</t>
  </si>
  <si>
    <t>Cálculo simplificado do volume:</t>
  </si>
  <si>
    <t>j)</t>
  </si>
  <si>
    <t>VERTICAL</t>
  </si>
  <si>
    <t>HORIZONTAL</t>
  </si>
  <si>
    <r>
      <t>&gt;</t>
    </r>
    <r>
      <rPr>
        <sz val="10"/>
        <rFont val="Arial"/>
        <family val="2"/>
      </rPr>
      <t xml:space="preserve">  Largura do bloco da unidade</t>
    </r>
  </si>
  <si>
    <t>BLOCO</t>
  </si>
  <si>
    <t>= 2 + G + 2.F (horizontal)</t>
  </si>
  <si>
    <t>Volume cheio</t>
  </si>
  <si>
    <r>
      <t>&gt;</t>
    </r>
    <r>
      <rPr>
        <sz val="10"/>
        <rFont val="Arial"/>
        <family val="2"/>
      </rPr>
      <t xml:space="preserve">  Largura total da casa de força</t>
    </r>
  </si>
  <si>
    <t>Volume vazio</t>
  </si>
  <si>
    <r>
      <t>&gt;</t>
    </r>
    <r>
      <rPr>
        <sz val="10"/>
        <rFont val="Arial"/>
        <family val="2"/>
      </rPr>
      <t xml:space="preserve">  Largura da área de montagem dos equipamentos</t>
    </r>
  </si>
  <si>
    <t>AM</t>
  </si>
  <si>
    <t xml:space="preserve">     Assim:</t>
  </si>
  <si>
    <r>
      <t>B</t>
    </r>
    <r>
      <rPr>
        <vertAlign val="subscript"/>
        <sz val="10"/>
        <rFont val="Arial"/>
        <family val="2"/>
      </rPr>
      <t>am</t>
    </r>
    <r>
      <rPr>
        <sz val="10"/>
        <rFont val="Arial"/>
        <family val="2"/>
      </rPr>
      <t xml:space="preserve"> =</t>
    </r>
  </si>
  <si>
    <r>
      <t>&gt;</t>
    </r>
    <r>
      <rPr>
        <sz val="10"/>
        <rFont val="Arial"/>
        <family val="2"/>
      </rPr>
      <t xml:space="preserve">  Comprimento da superestrutura</t>
    </r>
  </si>
  <si>
    <t>= p + B + 2 + L + 3 + p + 2 (horizontal)</t>
  </si>
  <si>
    <t>5.  QUANTIFICAÇÃO E CUSTOS</t>
  </si>
  <si>
    <t>ESCAVAÇÃO</t>
  </si>
  <si>
    <r>
      <t>&gt;</t>
    </r>
    <r>
      <rPr>
        <sz val="10"/>
        <rFont val="Arial"/>
        <family val="2"/>
      </rPr>
      <t xml:space="preserve">  Escavação comum</t>
    </r>
  </si>
  <si>
    <t xml:space="preserve">   Para casa de força externa:</t>
  </si>
  <si>
    <t xml:space="preserve">   Para casa de força subterrânea:</t>
  </si>
  <si>
    <r>
      <t>V</t>
    </r>
    <r>
      <rPr>
        <vertAlign val="subscript"/>
        <sz val="10"/>
        <rFont val="Arial"/>
        <family val="2"/>
      </rPr>
      <t>tcf</t>
    </r>
    <r>
      <rPr>
        <sz val="10"/>
        <rFont val="Arial"/>
        <family val="2"/>
      </rPr>
      <t xml:space="preserve"> =</t>
    </r>
  </si>
  <si>
    <r>
      <t>&gt;</t>
    </r>
    <r>
      <rPr>
        <sz val="10"/>
        <rFont val="Arial"/>
        <family val="2"/>
      </rPr>
      <t xml:space="preserve">  Escavação em rocha a céu aberto</t>
    </r>
  </si>
  <si>
    <r>
      <t>&gt;</t>
    </r>
    <r>
      <rPr>
        <sz val="10"/>
        <rFont val="Arial"/>
        <family val="2"/>
      </rPr>
      <t xml:space="preserve">  Escavação subterrânea em rocha (para casa de força subterrânea):</t>
    </r>
  </si>
  <si>
    <t>Área da seção de escavação:</t>
  </si>
  <si>
    <t>Custo unitário de escavação subterrânea em rocha:</t>
  </si>
  <si>
    <t>LIMPEZA E TRATAMENTO DE FUNDAÇÃO</t>
  </si>
  <si>
    <r>
      <t>&gt;</t>
    </r>
    <r>
      <rPr>
        <sz val="10"/>
        <rFont val="Arial"/>
        <family val="2"/>
      </rPr>
      <t xml:space="preserve">  Área de limpeza da fundação</t>
    </r>
  </si>
  <si>
    <r>
      <t>&gt;</t>
    </r>
    <r>
      <rPr>
        <sz val="10"/>
        <rFont val="Arial"/>
        <family val="2"/>
      </rPr>
      <t xml:space="preserve">  Comprimento da injeção de cimento</t>
    </r>
  </si>
  <si>
    <t>Comprimento definido conforme o projeto:</t>
  </si>
  <si>
    <t>Custo de limpeza e tratamento de fundação</t>
  </si>
  <si>
    <r>
      <t>C</t>
    </r>
    <r>
      <rPr>
        <vertAlign val="subscript"/>
        <sz val="10"/>
        <rFont val="Arial"/>
        <family val="2"/>
      </rPr>
      <t>lf</t>
    </r>
    <r>
      <rPr>
        <sz val="10"/>
        <rFont val="Arial"/>
        <family val="2"/>
      </rPr>
      <t xml:space="preserve"> =</t>
    </r>
  </si>
  <si>
    <t>R$/m²</t>
  </si>
  <si>
    <t>(Custo unitário de limpeza de superfície em rocha)</t>
  </si>
  <si>
    <r>
      <t>C</t>
    </r>
    <r>
      <rPr>
        <vertAlign val="subscript"/>
        <sz val="10"/>
        <rFont val="Arial"/>
        <family val="2"/>
      </rPr>
      <t>tf</t>
    </r>
    <r>
      <rPr>
        <sz val="10"/>
        <rFont val="Arial"/>
        <family val="2"/>
      </rPr>
      <t xml:space="preserve"> =</t>
    </r>
  </si>
  <si>
    <t>R$/m</t>
  </si>
  <si>
    <t>(Custo unitário de furo roto-percussivo)</t>
  </si>
  <si>
    <r>
      <t>C</t>
    </r>
    <r>
      <rPr>
        <vertAlign val="subscript"/>
        <sz val="10"/>
        <rFont val="Arial"/>
        <family val="2"/>
      </rPr>
      <t>ic</t>
    </r>
    <r>
      <rPr>
        <sz val="10"/>
        <rFont val="Arial"/>
        <family val="2"/>
      </rPr>
      <t xml:space="preserve"> =</t>
    </r>
  </si>
  <si>
    <t>(Custo unitário de injeção de cimento)</t>
  </si>
  <si>
    <t>CONCRETO</t>
  </si>
  <si>
    <t>Taxas de cimento e armadura</t>
  </si>
  <si>
    <t>Cimento</t>
  </si>
  <si>
    <t>Armadura</t>
  </si>
  <si>
    <t>(kg/m³)</t>
  </si>
  <si>
    <t>Infra-estrutura e paredes externas</t>
  </si>
  <si>
    <t>Dental</t>
  </si>
  <si>
    <t>Superestrutura</t>
  </si>
  <si>
    <t>Totais:</t>
  </si>
  <si>
    <t>CSC</t>
  </si>
  <si>
    <t>Volume</t>
  </si>
  <si>
    <t>C. unitário</t>
  </si>
  <si>
    <t>C. total</t>
  </si>
  <si>
    <t>R$/m³</t>
  </si>
  <si>
    <t>calculado acima</t>
  </si>
  <si>
    <t>20% do volume total</t>
  </si>
  <si>
    <t>TOTAL</t>
  </si>
  <si>
    <t>Pilares, vigas e muros laterais</t>
  </si>
  <si>
    <t>Custo unitário médio:      $ =</t>
  </si>
  <si>
    <t>(C. total/Volume)</t>
  </si>
  <si>
    <t>BENFEITORIAS NA ÁREA DA USINA</t>
  </si>
  <si>
    <t>Equação da curva ajustada no gráfico B.19 (aqui já multiplicada pela Potência Instalada):</t>
  </si>
  <si>
    <t xml:space="preserve">para P &lt; 30 MW, custo constante; </t>
  </si>
  <si>
    <t>INSTALAÇÕES E ACABAMENTOS</t>
  </si>
  <si>
    <t>Equação da curva ajustada no gráfico B.20 (aqui já multiplicada pela Potência Instalada):</t>
  </si>
  <si>
    <t>EQUIPAMENTOS</t>
  </si>
  <si>
    <t>PESOS</t>
  </si>
  <si>
    <r>
      <t>&gt;</t>
    </r>
    <r>
      <rPr>
        <sz val="10"/>
        <rFont val="Arial"/>
        <family val="2"/>
      </rPr>
      <t xml:space="preserve"> TURBINAS</t>
    </r>
  </si>
  <si>
    <t>Dados</t>
  </si>
  <si>
    <t>Custo obtido com o fabricante:</t>
  </si>
  <si>
    <t>R$/unidade</t>
  </si>
  <si>
    <t xml:space="preserve">Custos de transporte e seguros (5%), de montagem e testes (8%) e de impostos e taxas (28%): </t>
  </si>
  <si>
    <t>n</t>
  </si>
  <si>
    <t>Custo da turbina instalada:</t>
  </si>
  <si>
    <r>
      <t>&gt;</t>
    </r>
    <r>
      <rPr>
        <sz val="10"/>
        <rFont val="Arial"/>
        <family val="2"/>
      </rPr>
      <t xml:space="preserve"> GERADORES:</t>
    </r>
  </si>
  <si>
    <t>Rotor</t>
  </si>
  <si>
    <t>Para turbina de eixo vertical:</t>
  </si>
  <si>
    <t>MVA</t>
  </si>
  <si>
    <t>Estator</t>
  </si>
  <si>
    <t>Gerador</t>
  </si>
  <si>
    <t>Equação da curva ajustada no gráfico B.16:</t>
  </si>
  <si>
    <t>equação modificada de 32775.45*(D571-0.023)^0.5279 para</t>
  </si>
  <si>
    <t>=32000*(MVA/rpm)^0.58</t>
  </si>
  <si>
    <r>
      <t>$ = 32775,45 [(MVA/rpm)-0,023]</t>
    </r>
    <r>
      <rPr>
        <vertAlign val="superscript"/>
        <sz val="10"/>
        <rFont val="Arial"/>
        <family val="2"/>
      </rPr>
      <t>0,6298</t>
    </r>
    <r>
      <rPr>
        <sz val="10"/>
        <rFont val="Arial"/>
        <family val="2"/>
      </rPr>
      <t>, para 0,0329 ≤ (MVA/rpm) ≤ 1,9834</t>
    </r>
  </si>
  <si>
    <t xml:space="preserve">limite inferior de 0.0329 modificado para </t>
  </si>
  <si>
    <t xml:space="preserve">limite superior de 1.9834 modificado para </t>
  </si>
  <si>
    <t>MVA/rpm</t>
  </si>
  <si>
    <t>Custo do gerador instalado:</t>
  </si>
  <si>
    <t>Para turbina de eixo horizontal:</t>
  </si>
  <si>
    <t>Equação da curva ajustada no gráfico B.14:</t>
  </si>
  <si>
    <r>
      <t>(0,0004</t>
    </r>
    <r>
      <rPr>
        <sz val="10"/>
        <rFont val="Arial"/>
        <family val="2"/>
      </rPr>
      <t>≤(MVA/rpm)≤0,0483)</t>
    </r>
  </si>
  <si>
    <t xml:space="preserve">limite superior de 0.0483 modificado para </t>
  </si>
  <si>
    <t xml:space="preserve">limite inferior de 0.004 modificado para </t>
  </si>
  <si>
    <t>Para este aproveitamento, com turbina de eixo</t>
  </si>
  <si>
    <t>tem-se para o custo de hidrogeradores:</t>
  </si>
  <si>
    <r>
      <t>&gt;</t>
    </r>
    <r>
      <rPr>
        <sz val="10"/>
        <rFont val="Arial"/>
        <family val="2"/>
      </rPr>
      <t xml:space="preserve"> EQUIPAMENTO ELÉTRICO ACESSÓRIO</t>
    </r>
  </si>
  <si>
    <t>Deve ser considerado como igual a  18% do custo global da Conta .13 - Turbinas e Geradores.</t>
  </si>
  <si>
    <r>
      <t>&gt;</t>
    </r>
    <r>
      <rPr>
        <sz val="10"/>
        <rFont val="Arial"/>
        <family val="2"/>
      </rPr>
      <t xml:space="preserve"> GUINDASTE E PONTE ROLANTE</t>
    </r>
  </si>
  <si>
    <t>Ponte rolante:</t>
  </si>
  <si>
    <t>Turbina de eixo vertical:</t>
  </si>
  <si>
    <t>Capacidade de carga</t>
  </si>
  <si>
    <t>Ponte</t>
  </si>
  <si>
    <t xml:space="preserve">Vão </t>
  </si>
  <si>
    <t>Equação da curva ajustada no primeiro gráfico B.17:</t>
  </si>
  <si>
    <r>
      <t>$ = 25,12 (kVA/rpm)</t>
    </r>
    <r>
      <rPr>
        <vertAlign val="superscript"/>
        <sz val="10"/>
        <rFont val="Arial"/>
        <family val="2"/>
      </rPr>
      <t>0,6961</t>
    </r>
    <r>
      <rPr>
        <sz val="10"/>
        <rFont val="Arial"/>
        <family val="2"/>
      </rPr>
      <t xml:space="preserve"> =</t>
    </r>
    <r>
      <rPr>
        <vertAlign val="superscript"/>
        <sz val="10"/>
        <rFont val="Arial"/>
        <family val="2"/>
      </rPr>
      <t xml:space="preserve"> </t>
    </r>
  </si>
  <si>
    <t xml:space="preserve">limite inferior de 68.9 modificado para </t>
  </si>
  <si>
    <t xml:space="preserve">limite superior de 4583 modificado para </t>
  </si>
  <si>
    <t>Turbina de eixo horizontal:</t>
  </si>
  <si>
    <t>Equação da curva ajustada no segundo gráfico B.17:</t>
  </si>
  <si>
    <t xml:space="preserve">$ = 9,4666 (kVA/rpm) + 9,1722 = </t>
  </si>
  <si>
    <t xml:space="preserve">limite superior de 38 modificado para </t>
  </si>
  <si>
    <t xml:space="preserve">limite inferior de 8 modificado para </t>
  </si>
  <si>
    <t>tem-se para o custo da ponte rolante:</t>
  </si>
  <si>
    <r>
      <t>C</t>
    </r>
    <r>
      <rPr>
        <vertAlign val="subscript"/>
        <sz val="10"/>
        <rFont val="Arial"/>
        <family val="2"/>
      </rPr>
      <t>pr</t>
    </r>
    <r>
      <rPr>
        <sz val="10"/>
        <rFont val="Arial"/>
        <family val="2"/>
      </rPr>
      <t xml:space="preserve"> =</t>
    </r>
  </si>
  <si>
    <t>Custo da ponte rolante instalada:</t>
  </si>
  <si>
    <r>
      <t>&gt;</t>
    </r>
    <r>
      <rPr>
        <sz val="10"/>
        <rFont val="Arial"/>
        <family val="2"/>
      </rPr>
      <t xml:space="preserve"> EQUIPAMENTOS DIVERSOS</t>
    </r>
  </si>
  <si>
    <t>Deve ser considerado como igual a  6% do custo global da Conta .13 - Turbinas e Geradores.</t>
  </si>
  <si>
    <t>6.  EXTRATO DO ORÇAMENTO PADRÃO</t>
  </si>
  <si>
    <t>PREÇO UNITÁRIO</t>
  </si>
  <si>
    <t>CUSTO</t>
  </si>
  <si>
    <t>CONTA</t>
  </si>
  <si>
    <t>ITEM</t>
  </si>
  <si>
    <t>UN.</t>
  </si>
  <si>
    <t>QUANT.</t>
  </si>
  <si>
    <t>10³ R$</t>
  </si>
  <si>
    <t>.11</t>
  </si>
  <si>
    <t>ESTRUTURAS E OUTRAS BENFEITORIAS</t>
  </si>
  <si>
    <t>.11.12</t>
  </si>
  <si>
    <t xml:space="preserve">     BENFEITORIAS NA ÁREA DA USINA</t>
  </si>
  <si>
    <t>gl</t>
  </si>
  <si>
    <t>.11.13</t>
  </si>
  <si>
    <t xml:space="preserve">     CASA DE FORÇA</t>
  </si>
  <si>
    <t>.11.13.00.12</t>
  </si>
  <si>
    <t xml:space="preserve">          Escavação</t>
  </si>
  <si>
    <t>.11.13.00.12.10</t>
  </si>
  <si>
    <t xml:space="preserve">               Comum</t>
  </si>
  <si>
    <t>.11.13.00.12.11</t>
  </si>
  <si>
    <t xml:space="preserve">               Rocha a céu aberto</t>
  </si>
  <si>
    <t>.11.13.00.12.12</t>
  </si>
  <si>
    <t xml:space="preserve">               Subterrânea em rocha</t>
  </si>
  <si>
    <t xml:space="preserve">.11.13.00.13   </t>
  </si>
  <si>
    <t xml:space="preserve">          Limpeza e tratamento de fundação</t>
  </si>
  <si>
    <t>.11.13.00.14</t>
  </si>
  <si>
    <t xml:space="preserve">          Concreto</t>
  </si>
  <si>
    <t>.11.13.00.14.13</t>
  </si>
  <si>
    <t xml:space="preserve">               Cimento</t>
  </si>
  <si>
    <t>.11.13.00.14.14</t>
  </si>
  <si>
    <t xml:space="preserve">               Concreto sem cimento</t>
  </si>
  <si>
    <t>.11.13.00.14.15</t>
  </si>
  <si>
    <t xml:space="preserve">               Armadura</t>
  </si>
  <si>
    <t>.11.13.00.15</t>
  </si>
  <si>
    <t xml:space="preserve">          Instalações e acabamentos</t>
  </si>
  <si>
    <t xml:space="preserve">     Subtotal da conta .11</t>
  </si>
  <si>
    <t>.11.27</t>
  </si>
  <si>
    <t xml:space="preserve">     EVENTUAIS DA CONTA .11</t>
  </si>
  <si>
    <t>.13</t>
  </si>
  <si>
    <t>TURBINAS E GERADORES</t>
  </si>
  <si>
    <t>.13.13.00.23.17</t>
  </si>
  <si>
    <t xml:space="preserve">     Comporta ensecadeira do tubo de sucção </t>
  </si>
  <si>
    <t>un</t>
  </si>
  <si>
    <t>.13.13.00.23.20</t>
  </si>
  <si>
    <t xml:space="preserve">     Guindaste</t>
  </si>
  <si>
    <t>.13.13.00.23.28</t>
  </si>
  <si>
    <t xml:space="preserve">     Turbina tipo Pelton</t>
  </si>
  <si>
    <t>.13.13.00.23.29</t>
  </si>
  <si>
    <t xml:space="preserve">     Hidrogerador</t>
  </si>
  <si>
    <t>.13.13.00.23.56</t>
  </si>
  <si>
    <t xml:space="preserve">     Peças fixas extras </t>
  </si>
  <si>
    <t xml:space="preserve">     Subtotal      .13</t>
  </si>
  <si>
    <t>.13.27</t>
  </si>
  <si>
    <t xml:space="preserve">     EVENTUAIS  .13</t>
  </si>
  <si>
    <t>.14</t>
  </si>
  <si>
    <t>EQUIPAMENTO ELÉTRICO ACESSÓRIO</t>
  </si>
  <si>
    <t>.14.00.00.23</t>
  </si>
  <si>
    <t xml:space="preserve">     Equipamento</t>
  </si>
  <si>
    <t xml:space="preserve">     Subtotal      .14</t>
  </si>
  <si>
    <t>.14.27</t>
  </si>
  <si>
    <t xml:space="preserve">     EVENTUAIS  .14</t>
  </si>
  <si>
    <t>.15</t>
  </si>
  <si>
    <t>DIVERSOS EQUIPAMENTOS DA USINA</t>
  </si>
  <si>
    <t>.15.13.00.23.20</t>
  </si>
  <si>
    <t xml:space="preserve">     Ponte rolante</t>
  </si>
  <si>
    <t xml:space="preserve">     Pórtico rolante </t>
  </si>
  <si>
    <t>.15.00.00.23.31</t>
  </si>
  <si>
    <t xml:space="preserve">     Equipamentos diversos</t>
  </si>
  <si>
    <t xml:space="preserve">     Subtotal    .15.</t>
  </si>
  <si>
    <t>.15.27</t>
  </si>
  <si>
    <t xml:space="preserve">     EVENTUAIS .15</t>
  </si>
  <si>
    <t>TOTAL DA ESTRUTURA</t>
  </si>
  <si>
    <t>6.  RELATÓRIO DE OCORRÊNCIAS</t>
  </si>
  <si>
    <t>LINHA</t>
  </si>
  <si>
    <t>COMENTÁRIO</t>
  </si>
  <si>
    <t>Parâmteros</t>
  </si>
  <si>
    <t>Custo Original</t>
  </si>
  <si>
    <t>euros</t>
  </si>
  <si>
    <t>libras</t>
  </si>
  <si>
    <t>US$</t>
  </si>
  <si>
    <r>
      <t>C</t>
    </r>
    <r>
      <rPr>
        <b/>
        <vertAlign val="subscript"/>
        <sz val="10"/>
        <color rgb="FF333333"/>
        <rFont val="Verdana"/>
        <family val="2"/>
      </rPr>
      <t>P</t>
    </r>
    <r>
      <rPr>
        <b/>
        <sz val="10"/>
        <color rgb="FF333333"/>
        <rFont val="Verdana"/>
        <family val="2"/>
      </rPr>
      <t> =8300 × (Q × H) </t>
    </r>
    <r>
      <rPr>
        <b/>
        <vertAlign val="superscript"/>
        <sz val="10"/>
        <color rgb="FF333333"/>
        <rFont val="Verdana"/>
        <family val="2"/>
      </rPr>
      <t>0.54</t>
    </r>
    <r>
      <rPr>
        <b/>
        <sz val="10"/>
        <color rgb="FF333333"/>
        <rFont val="Verdana"/>
        <family val="2"/>
      </rPr>
      <t> </t>
    </r>
  </si>
  <si>
    <t>http://www.engineering.lancs.ac.uk/lureg/nwhrm/engineering/turbine_costs.php</t>
  </si>
  <si>
    <t>http://www.hydroworld.com/articles/print/volume-20/issue-6/articles/asset-management/simplified-method-for-estimating-the-cost.html</t>
  </si>
  <si>
    <t>NA máx res inferior</t>
  </si>
  <si>
    <t>res superior: NAmed =(NAmax - NAmin)/2; NAmin é dado de entrado</t>
  </si>
  <si>
    <t>res inferior: NAmed =(NAmax - NAmin)/2; NAmin é dado de entrado</t>
  </si>
  <si>
    <t>NA mín res inferior</t>
  </si>
  <si>
    <t>ver D185 em hsrp2pwh</t>
  </si>
  <si>
    <r>
      <t>comparar com NA</t>
    </r>
    <r>
      <rPr>
        <vertAlign val="subscript"/>
        <sz val="11"/>
        <color rgb="FFFF0000"/>
        <rFont val="Calibri"/>
        <family val="2"/>
        <scheme val="minor"/>
      </rPr>
      <t>min</t>
    </r>
    <r>
      <rPr>
        <sz val="11"/>
        <color rgb="FFFF0000"/>
        <rFont val="Calibri"/>
        <family val="2"/>
        <scheme val="minor"/>
      </rPr>
      <t xml:space="preserve"> (i)+ 2*N B51 em hsrp2pwh</t>
    </r>
  </si>
  <si>
    <t>ver B12-B13 em hsrp2stnk</t>
  </si>
  <si>
    <t>ver B21 em hsrp2stnk</t>
  </si>
  <si>
    <t>ver B24 em hsrp2stnk</t>
  </si>
  <si>
    <t>ver B9 em hsrp2stnk</t>
  </si>
  <si>
    <t>ver B10 em hsrp2stnk</t>
  </si>
  <si>
    <t>ver B23 em hsrp2stnk</t>
  </si>
  <si>
    <t>ver F41 em hsrp2tunl</t>
  </si>
  <si>
    <t>ver B16 em hsrp2intk</t>
  </si>
  <si>
    <t>Rendimento da Bomba</t>
  </si>
  <si>
    <t>Rendimento do Motor</t>
  </si>
  <si>
    <t>pwh_turb_cjet_d</t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</si>
  <si>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</si>
  <si>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t>jet diameter</t>
  </si>
  <si>
    <t>I</t>
  </si>
  <si>
    <t>H</t>
  </si>
  <si>
    <t>pwh_valv_sphr_n</t>
  </si>
  <si>
    <t>number of spherical valves</t>
  </si>
  <si>
    <t>pwh_valv_sphr_t</t>
  </si>
  <si>
    <t>weight of the spherical valve</t>
  </si>
  <si>
    <t>pwh_valv_sphr_ct</t>
  </si>
  <si>
    <t>spherical valve cost</t>
  </si>
  <si>
    <t>Válvula Esférica</t>
  </si>
  <si>
    <t>Concreto projetado</t>
  </si>
  <si>
    <t>Coeficiente de maximização para considerar volumes dos conjuntos de bomba</t>
  </si>
  <si>
    <t>Coeficientes utilizados no screening</t>
  </si>
  <si>
    <t>c proj</t>
  </si>
  <si>
    <t xml:space="preserve">2.4 </t>
  </si>
  <si>
    <t>TÚNEL DE FUGA (aba hsrf2new)</t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</si>
  <si>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</si>
  <si>
    <t>NA max inferior + 1,0m</t>
  </si>
  <si>
    <r>
      <t>Nível de água máximo na chaminé de equilíbrio (m) - NA</t>
    </r>
    <r>
      <rPr>
        <vertAlign val="subscript"/>
        <sz val="11"/>
        <color theme="1"/>
        <rFont val="Calibri"/>
        <family val="2"/>
        <scheme val="minor"/>
      </rPr>
      <t>xch</t>
    </r>
  </si>
  <si>
    <r>
      <t>Nível de água mínimo na chaminé de equilíbrio (m) - NA</t>
    </r>
    <r>
      <rPr>
        <vertAlign val="subscript"/>
        <sz val="11"/>
        <color theme="1"/>
        <rFont val="Calibri"/>
        <family val="2"/>
        <scheme val="minor"/>
      </rPr>
      <t>nch</t>
    </r>
  </si>
  <si>
    <r>
      <t>Q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</si>
  <si>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t>dyk_crst_0000_el</t>
  </si>
  <si>
    <t>dyk_crst_0000_l</t>
  </si>
  <si>
    <t>bdg_eqp0_meth_x</t>
  </si>
  <si>
    <t>indicator of the method selected for equipment cost (0 = weight; 1 = 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</si>
</sst>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  <numFmt numFmtId="167" formatCode="#,##0.0"/>
    <numFmt numFmtId="168" formatCode="#,##0.000"/>
    <numFmt numFmtId="169" formatCode="#,##0.00_ ;[Red]\-#,##0.00\ "/>
    <numFmt numFmtId="170" formatCode="_-* #,##0.0_-;\-* #,##0.0_-;_-* &quot;-&quot;??_-;_-@_-"/>
    <numFmt numFmtId="171" formatCode="#,##0.0_ ;\-#,##0.0\ "/>
    <numFmt numFmtId="172" formatCode="0.0%"/>
    <numFmt numFmtId="173" formatCode="0.0000"/>
    <numFmt numFmtId="174" formatCode="0.0000000"/>
    <numFmt numFmtId="175" formatCode="#,##0.0000"/>
  </numFmts>
  <fonts count="8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sz val="10"/>
      <name val="MS Sans Serif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vertAlign val="subscript"/>
      <sz val="11"/>
      <color theme="4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4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3" tint="-0.249977111117893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9"/>
      <name val="Comic Sans MS"/>
      <family val="4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bscript"/>
      <sz val="11"/>
      <color rgb="FF0070C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rgb="FF1D1C1D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Symbol"/>
      <family val="1"/>
      <charset val="2"/>
    </font>
    <font>
      <sz val="9.8000000000000007"/>
      <name val="Arial"/>
      <family val="2"/>
    </font>
    <font>
      <sz val="10"/>
      <color rgb="FFFF0000"/>
      <name val="Arial"/>
      <family val="2"/>
    </font>
    <font>
      <b/>
      <sz val="10"/>
      <name val="MS Sans Serif"/>
      <family val="2"/>
    </font>
    <font>
      <vertAlign val="subscript"/>
      <sz val="7"/>
      <name val="Arial"/>
      <family val="2"/>
    </font>
    <font>
      <vertAlign val="subscript"/>
      <sz val="8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theme="4"/>
      <name val="Arial"/>
      <family val="2"/>
    </font>
    <font>
      <sz val="10"/>
      <name val="MT Extra"/>
      <family val="1"/>
      <charset val="2"/>
    </font>
    <font>
      <sz val="10"/>
      <color theme="4"/>
      <name val="Arial"/>
      <family val="2"/>
    </font>
    <font>
      <sz val="10"/>
      <color rgb="FFFF0000"/>
      <name val="MS Sans Serif"/>
    </font>
    <font>
      <b/>
      <sz val="10"/>
      <color rgb="FFFFC000"/>
      <name val="Arial"/>
      <family val="2"/>
    </font>
    <font>
      <sz val="9"/>
      <name val="MS Sans Serif"/>
    </font>
    <font>
      <sz val="12"/>
      <name val="Arial"/>
      <family val="2"/>
    </font>
    <font>
      <b/>
      <sz val="10"/>
      <color rgb="FF333333"/>
      <name val="Verdana"/>
      <family val="2"/>
    </font>
    <font>
      <b/>
      <vertAlign val="subscript"/>
      <sz val="10"/>
      <color rgb="FF333333"/>
      <name val="Verdana"/>
      <family val="2"/>
    </font>
    <font>
      <b/>
      <vertAlign val="superscript"/>
      <sz val="10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0"/>
    <xf numFmtId="0" fontId="15" fillId="9" borderId="0" applyNumberFormat="0" applyBorder="0" applyAlignment="0" applyProtection="0"/>
    <xf numFmtId="0" fontId="8" fillId="0" borderId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5" borderId="0" applyNumberFormat="0" applyBorder="0" applyAlignment="0" applyProtection="0"/>
    <xf numFmtId="0" fontId="37" fillId="13" borderId="0" applyNumberFormat="0" applyBorder="0" applyAlignment="0" applyProtection="0"/>
    <xf numFmtId="0" fontId="37" fillId="10" borderId="0" applyNumberFormat="0" applyBorder="0" applyAlignment="0" applyProtection="0"/>
    <xf numFmtId="0" fontId="38" fillId="13" borderId="0" applyNumberFormat="0" applyBorder="0" applyAlignment="0" applyProtection="0"/>
    <xf numFmtId="0" fontId="39" fillId="18" borderId="13" applyNumberFormat="0" applyAlignment="0" applyProtection="0"/>
    <xf numFmtId="0" fontId="40" fillId="19" borderId="14" applyNumberFormat="0" applyAlignment="0" applyProtection="0"/>
    <xf numFmtId="0" fontId="16" fillId="0" borderId="15" applyNumberFormat="0" applyFill="0" applyAlignment="0" applyProtection="0"/>
    <xf numFmtId="0" fontId="37" fillId="20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41" fillId="14" borderId="13" applyNumberFormat="0" applyAlignment="0" applyProtection="0"/>
    <xf numFmtId="0" fontId="43" fillId="24" borderId="0" applyNumberFormat="0" applyBorder="0" applyAlignment="0" applyProtection="0"/>
    <xf numFmtId="0" fontId="44" fillId="14" borderId="0" applyNumberFormat="0" applyBorder="0" applyAlignment="0" applyProtection="0"/>
    <xf numFmtId="0" fontId="8" fillId="11" borderId="16" applyNumberFormat="0" applyFont="0" applyAlignment="0" applyProtection="0"/>
    <xf numFmtId="0" fontId="45" fillId="18" borderId="17" applyNumberFormat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8" applyNumberFormat="0" applyFill="0" applyAlignment="0" applyProtection="0"/>
    <xf numFmtId="0" fontId="49" fillId="0" borderId="19" applyNumberFormat="0" applyFill="0" applyAlignment="0" applyProtection="0"/>
    <xf numFmtId="0" fontId="50" fillId="0" borderId="20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21" applyNumberFormat="0" applyFill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0" fontId="43" fillId="24" borderId="0" applyNumberFormat="0" applyBorder="0" applyAlignment="0" applyProtection="0"/>
    <xf numFmtId="0" fontId="44" fillId="1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</cellStyleXfs>
  <cellXfs count="5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7" fillId="0" borderId="0" xfId="0" applyFont="1"/>
    <xf numFmtId="0" fontId="2" fillId="0" borderId="0" xfId="0" quotePrefix="1" applyFont="1" applyAlignment="1">
      <alignment horizontal="center"/>
    </xf>
    <xf numFmtId="40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left" indent="3"/>
    </xf>
    <xf numFmtId="2" fontId="0" fillId="0" borderId="0" xfId="0" applyNumberForma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171" fontId="0" fillId="0" borderId="0" xfId="0" applyNumberFormat="1" applyAlignment="1">
      <alignment horizontal="left"/>
    </xf>
    <xf numFmtId="0" fontId="2" fillId="0" borderId="0" xfId="0" quotePrefix="1" applyFont="1" applyAlignment="1">
      <alignment horizontal="right"/>
    </xf>
    <xf numFmtId="3" fontId="0" fillId="0" borderId="0" xfId="0" applyNumberFormat="1" applyAlignment="1">
      <alignment horizontal="left"/>
    </xf>
    <xf numFmtId="9" fontId="0" fillId="0" borderId="0" xfId="2" applyFont="1" applyAlignment="1">
      <alignment horizontal="left"/>
    </xf>
    <xf numFmtId="4" fontId="17" fillId="0" borderId="12" xfId="3" applyNumberFormat="1" applyFont="1" applyBorder="1" applyAlignment="1">
      <alignment horizontal="center" wrapText="1"/>
    </xf>
    <xf numFmtId="4" fontId="17" fillId="0" borderId="12" xfId="3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 applyAlignment="1">
      <alignment horizontal="left" indent="1"/>
    </xf>
    <xf numFmtId="0" fontId="18" fillId="7" borderId="0" xfId="0" applyFont="1" applyFill="1"/>
    <xf numFmtId="0" fontId="22" fillId="0" borderId="0" xfId="0" applyFont="1"/>
    <xf numFmtId="2" fontId="18" fillId="0" borderId="0" xfId="0" applyNumberFormat="1" applyFont="1"/>
    <xf numFmtId="0" fontId="20" fillId="0" borderId="0" xfId="0" quotePrefix="1" applyFont="1"/>
    <xf numFmtId="0" fontId="18" fillId="0" borderId="0" xfId="0" applyFont="1" applyAlignment="1">
      <alignment horizontal="left" indent="2"/>
    </xf>
    <xf numFmtId="0" fontId="19" fillId="0" borderId="0" xfId="0" applyFont="1" applyAlignment="1">
      <alignment horizontal="left" wrapText="1"/>
    </xf>
    <xf numFmtId="2" fontId="18" fillId="0" borderId="0" xfId="0" applyNumberFormat="1" applyFont="1" applyAlignment="1">
      <alignment horizontal="left" wrapText="1"/>
    </xf>
    <xf numFmtId="0" fontId="24" fillId="0" borderId="0" xfId="0" applyFont="1"/>
    <xf numFmtId="0" fontId="19" fillId="0" borderId="0" xfId="0" applyFont="1" applyAlignment="1">
      <alignment horizontal="left"/>
    </xf>
    <xf numFmtId="0" fontId="19" fillId="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19" fillId="3" borderId="0" xfId="0" applyFont="1" applyFill="1"/>
    <xf numFmtId="0" fontId="18" fillId="3" borderId="0" xfId="0" applyFont="1" applyFill="1"/>
    <xf numFmtId="0" fontId="23" fillId="3" borderId="0" xfId="0" applyFont="1" applyFill="1"/>
    <xf numFmtId="0" fontId="18" fillId="0" borderId="0" xfId="0" quotePrefix="1" applyFont="1"/>
    <xf numFmtId="2" fontId="18" fillId="4" borderId="0" xfId="0" applyNumberFormat="1" applyFont="1" applyFill="1"/>
    <xf numFmtId="0" fontId="18" fillId="3" borderId="0" xfId="0" applyFont="1" applyFill="1" applyAlignment="1">
      <alignment horizontal="left" indent="1"/>
    </xf>
    <xf numFmtId="166" fontId="18" fillId="0" borderId="0" xfId="1" applyNumberFormat="1" applyFont="1"/>
    <xf numFmtId="2" fontId="20" fillId="0" borderId="0" xfId="0" applyNumberFormat="1" applyFont="1"/>
    <xf numFmtId="170" fontId="18" fillId="0" borderId="0" xfId="1" applyNumberFormat="1" applyFont="1"/>
    <xf numFmtId="164" fontId="18" fillId="0" borderId="0" xfId="2" applyNumberFormat="1" applyFont="1"/>
    <xf numFmtId="0" fontId="20" fillId="3" borderId="0" xfId="0" applyFont="1" applyFill="1"/>
    <xf numFmtId="166" fontId="18" fillId="0" borderId="0" xfId="0" applyNumberFormat="1" applyFont="1"/>
    <xf numFmtId="3" fontId="18" fillId="0" borderId="0" xfId="0" applyNumberFormat="1" applyFont="1"/>
    <xf numFmtId="165" fontId="18" fillId="0" borderId="0" xfId="0" applyNumberFormat="1" applyFont="1"/>
    <xf numFmtId="3" fontId="28" fillId="0" borderId="0" xfId="0" applyNumberFormat="1" applyFont="1"/>
    <xf numFmtId="4" fontId="28" fillId="0" borderId="0" xfId="1" applyNumberFormat="1" applyFont="1"/>
    <xf numFmtId="3" fontId="28" fillId="0" borderId="0" xfId="1" applyNumberFormat="1" applyFont="1"/>
    <xf numFmtId="0" fontId="22" fillId="0" borderId="0" xfId="0" applyFont="1" applyAlignment="1">
      <alignment horizontal="left" indent="2"/>
    </xf>
    <xf numFmtId="4" fontId="18" fillId="0" borderId="0" xfId="0" applyNumberFormat="1" applyFont="1"/>
    <xf numFmtId="164" fontId="18" fillId="0" borderId="0" xfId="0" applyNumberFormat="1" applyFont="1"/>
    <xf numFmtId="2" fontId="18" fillId="3" borderId="0" xfId="0" applyNumberFormat="1" applyFont="1" applyFill="1"/>
    <xf numFmtId="0" fontId="18" fillId="0" borderId="0" xfId="0" applyFont="1" applyAlignment="1">
      <alignment horizontal="right"/>
    </xf>
    <xf numFmtId="3" fontId="20" fillId="0" borderId="0" xfId="0" applyNumberFormat="1" applyFont="1"/>
    <xf numFmtId="169" fontId="18" fillId="0" borderId="0" xfId="0" applyNumberFormat="1" applyFont="1"/>
    <xf numFmtId="4" fontId="25" fillId="0" borderId="0" xfId="0" applyNumberFormat="1" applyFont="1"/>
    <xf numFmtId="43" fontId="18" fillId="0" borderId="0" xfId="1" applyFont="1" applyAlignment="1">
      <alignment horizontal="left" indent="2"/>
    </xf>
    <xf numFmtId="3" fontId="25" fillId="0" borderId="0" xfId="0" applyNumberFormat="1" applyFont="1" applyAlignment="1">
      <alignment horizontal="left"/>
    </xf>
    <xf numFmtId="0" fontId="25" fillId="0" borderId="0" xfId="0" applyFont="1"/>
    <xf numFmtId="0" fontId="29" fillId="0" borderId="0" xfId="0" applyFont="1"/>
    <xf numFmtId="0" fontId="30" fillId="0" borderId="0" xfId="0" applyFont="1"/>
    <xf numFmtId="4" fontId="25" fillId="0" borderId="0" xfId="0" applyNumberFormat="1" applyFont="1" applyAlignment="1">
      <alignment horizontal="right"/>
    </xf>
    <xf numFmtId="0" fontId="27" fillId="0" borderId="0" xfId="4" applyFont="1"/>
    <xf numFmtId="2" fontId="18" fillId="8" borderId="0" xfId="0" applyNumberFormat="1" applyFont="1" applyFill="1"/>
    <xf numFmtId="0" fontId="18" fillId="8" borderId="0" xfId="0" applyFont="1" applyFill="1"/>
    <xf numFmtId="0" fontId="31" fillId="6" borderId="0" xfId="0" applyFont="1" applyFill="1"/>
    <xf numFmtId="0" fontId="32" fillId="0" borderId="0" xfId="0" applyFont="1"/>
    <xf numFmtId="0" fontId="33" fillId="0" borderId="0" xfId="0" applyFont="1"/>
    <xf numFmtId="0" fontId="31" fillId="3" borderId="0" xfId="0" applyFont="1" applyFill="1"/>
    <xf numFmtId="2" fontId="32" fillId="3" borderId="0" xfId="0" applyNumberFormat="1" applyFont="1" applyFill="1"/>
    <xf numFmtId="0" fontId="35" fillId="8" borderId="0" xfId="0" applyFont="1" applyFill="1"/>
    <xf numFmtId="0" fontId="35" fillId="0" borderId="0" xfId="0" applyFont="1"/>
    <xf numFmtId="1" fontId="32" fillId="3" borderId="0" xfId="0" applyNumberFormat="1" applyFont="1" applyFill="1"/>
    <xf numFmtId="165" fontId="32" fillId="3" borderId="0" xfId="0" applyNumberFormat="1" applyFont="1" applyFill="1"/>
    <xf numFmtId="164" fontId="32" fillId="3" borderId="0" xfId="0" applyNumberFormat="1" applyFont="1" applyFill="1"/>
    <xf numFmtId="3" fontId="32" fillId="3" borderId="0" xfId="0" applyNumberFormat="1" applyFont="1" applyFill="1"/>
    <xf numFmtId="2" fontId="1" fillId="3" borderId="0" xfId="0" applyNumberFormat="1" applyFont="1" applyFill="1"/>
    <xf numFmtId="0" fontId="1" fillId="0" borderId="0" xfId="0" applyFont="1"/>
    <xf numFmtId="3" fontId="1" fillId="3" borderId="0" xfId="0" applyNumberFormat="1" applyFont="1" applyFill="1"/>
    <xf numFmtId="165" fontId="1" fillId="3" borderId="0" xfId="0" applyNumberFormat="1" applyFont="1" applyFill="1"/>
    <xf numFmtId="0" fontId="7" fillId="8" borderId="0" xfId="0" applyFont="1" applyFill="1"/>
    <xf numFmtId="0" fontId="0" fillId="0" borderId="0" xfId="0" quotePrefix="1"/>
    <xf numFmtId="0" fontId="7" fillId="0" borderId="0" xfId="0" quotePrefix="1" applyFont="1"/>
    <xf numFmtId="0" fontId="7" fillId="2" borderId="0" xfId="0" applyFont="1" applyFill="1"/>
    <xf numFmtId="1" fontId="8" fillId="3" borderId="0" xfId="3" applyNumberFormat="1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2" fontId="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0" fillId="0" borderId="0" xfId="0" quotePrefix="1" applyAlignment="1">
      <alignment horizontal="left" indent="2"/>
    </xf>
    <xf numFmtId="2" fontId="7" fillId="0" borderId="0" xfId="0" applyNumberFormat="1" applyFont="1"/>
    <xf numFmtId="0" fontId="7" fillId="0" borderId="0" xfId="0" applyFont="1" applyAlignment="1">
      <alignment horizontal="right"/>
    </xf>
    <xf numFmtId="0" fontId="15" fillId="0" borderId="0" xfId="4" quotePrefix="1"/>
    <xf numFmtId="0" fontId="1" fillId="0" borderId="0" xfId="0" quotePrefix="1" applyFont="1" applyAlignment="1">
      <alignment horizontal="left" indent="2"/>
    </xf>
    <xf numFmtId="165" fontId="7" fillId="0" borderId="0" xfId="0" quotePrefix="1" applyNumberFormat="1" applyFont="1" applyAlignment="1">
      <alignment horizontal="right"/>
    </xf>
    <xf numFmtId="2" fontId="1" fillId="3" borderId="0" xfId="0" applyNumberFormat="1" applyFont="1" applyFill="1" applyAlignment="1">
      <alignment horizontal="center"/>
    </xf>
    <xf numFmtId="2" fontId="7" fillId="0" borderId="0" xfId="0" quotePrefix="1" applyNumberFormat="1" applyFont="1" applyAlignment="1">
      <alignment horizontal="right"/>
    </xf>
    <xf numFmtId="1" fontId="1" fillId="3" borderId="0" xfId="0" applyNumberFormat="1" applyFont="1" applyFill="1"/>
    <xf numFmtId="1" fontId="8" fillId="3" borderId="0" xfId="81" applyNumberFormat="1" applyFont="1" applyFill="1" applyAlignment="1">
      <alignment horizontal="center"/>
    </xf>
    <xf numFmtId="1" fontId="0" fillId="3" borderId="0" xfId="0" applyNumberFormat="1" applyFill="1"/>
    <xf numFmtId="0" fontId="0" fillId="25" borderId="0" xfId="0" applyFill="1"/>
    <xf numFmtId="0" fontId="0" fillId="25" borderId="0" xfId="0" applyFill="1" applyAlignment="1">
      <alignment horizontal="center"/>
    </xf>
    <xf numFmtId="43" fontId="0" fillId="0" borderId="0" xfId="1" applyFont="1" applyAlignment="1">
      <alignment horizontal="left" indent="2"/>
    </xf>
    <xf numFmtId="0" fontId="0" fillId="2" borderId="0" xfId="0" applyFill="1"/>
    <xf numFmtId="0" fontId="53" fillId="0" borderId="0" xfId="0" applyFont="1"/>
    <xf numFmtId="2" fontId="8" fillId="2" borderId="0" xfId="3" quotePrefix="1" applyNumberFormat="1" applyFont="1" applyFill="1" applyAlignment="1">
      <alignment horizontal="left"/>
    </xf>
    <xf numFmtId="0" fontId="31" fillId="2" borderId="0" xfId="0" applyFont="1" applyFill="1"/>
    <xf numFmtId="0" fontId="35" fillId="26" borderId="0" xfId="0" applyFont="1" applyFill="1"/>
    <xf numFmtId="0" fontId="35" fillId="2" borderId="0" xfId="0" applyFont="1" applyFill="1"/>
    <xf numFmtId="2" fontId="0" fillId="2" borderId="0" xfId="0" applyNumberFormat="1" applyFill="1"/>
    <xf numFmtId="0" fontId="0" fillId="26" borderId="0" xfId="0" applyFill="1"/>
    <xf numFmtId="0" fontId="3" fillId="2" borderId="0" xfId="0" applyFont="1" applyFill="1"/>
    <xf numFmtId="0" fontId="32" fillId="0" borderId="0" xfId="0" applyFont="1" applyAlignment="1">
      <alignment horizontal="left"/>
    </xf>
    <xf numFmtId="0" fontId="3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5" fillId="2" borderId="0" xfId="0" applyFont="1" applyFill="1" applyAlignment="1">
      <alignment horizontal="left"/>
    </xf>
    <xf numFmtId="2" fontId="34" fillId="0" borderId="0" xfId="3" quotePrefix="1" applyNumberFormat="1" applyFont="1" applyAlignment="1">
      <alignment horizontal="left"/>
    </xf>
    <xf numFmtId="2" fontId="8" fillId="0" borderId="0" xfId="3" quotePrefix="1" applyNumberFormat="1" applyFont="1" applyAlignment="1">
      <alignment horizontal="left"/>
    </xf>
    <xf numFmtId="0" fontId="7" fillId="6" borderId="0" xfId="0" applyFont="1" applyFill="1"/>
    <xf numFmtId="0" fontId="7" fillId="8" borderId="0" xfId="0" applyFont="1" applyFill="1" applyAlignment="1">
      <alignment vertical="center"/>
    </xf>
    <xf numFmtId="0" fontId="52" fillId="25" borderId="0" xfId="0" applyFont="1" applyFill="1" applyAlignment="1">
      <alignment vertical="center"/>
    </xf>
    <xf numFmtId="0" fontId="35" fillId="8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4" fontId="34" fillId="2" borderId="0" xfId="3" quotePrefix="1" applyNumberFormat="1" applyFont="1" applyFill="1" applyAlignment="1">
      <alignment horizontal="left"/>
    </xf>
    <xf numFmtId="165" fontId="0" fillId="2" borderId="0" xfId="0" applyNumberFormat="1" applyFill="1"/>
    <xf numFmtId="0" fontId="19" fillId="2" borderId="0" xfId="0" applyFont="1" applyFill="1"/>
    <xf numFmtId="0" fontId="7" fillId="27" borderId="0" xfId="0" applyFont="1" applyFill="1"/>
    <xf numFmtId="2" fontId="18" fillId="2" borderId="0" xfId="0" applyNumberFormat="1" applyFont="1" applyFill="1"/>
    <xf numFmtId="2" fontId="18" fillId="26" borderId="0" xfId="0" applyNumberFormat="1" applyFont="1" applyFill="1"/>
    <xf numFmtId="165" fontId="18" fillId="2" borderId="0" xfId="0" applyNumberFormat="1" applyFont="1" applyFill="1"/>
    <xf numFmtId="4" fontId="18" fillId="2" borderId="0" xfId="0" applyNumberFormat="1" applyFont="1" applyFill="1"/>
    <xf numFmtId="0" fontId="32" fillId="6" borderId="0" xfId="0" applyFont="1" applyFill="1"/>
    <xf numFmtId="0" fontId="0" fillId="6" borderId="0" xfId="0" applyFill="1"/>
    <xf numFmtId="0" fontId="18" fillId="26" borderId="0" xfId="0" applyFont="1" applyFill="1"/>
    <xf numFmtId="0" fontId="22" fillId="26" borderId="0" xfId="0" applyFont="1" applyFill="1"/>
    <xf numFmtId="4" fontId="3" fillId="0" borderId="0" xfId="0" applyNumberFormat="1" applyFont="1"/>
    <xf numFmtId="4" fontId="1" fillId="0" borderId="0" xfId="0" applyNumberFormat="1" applyFont="1" applyAlignment="1">
      <alignment horizontal="right"/>
    </xf>
    <xf numFmtId="0" fontId="1" fillId="0" borderId="12" xfId="0" applyFont="1" applyBorder="1"/>
    <xf numFmtId="4" fontId="1" fillId="0" borderId="1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" fillId="0" borderId="12" xfId="0" applyFont="1" applyBorder="1" applyAlignment="1">
      <alignment vertical="center"/>
    </xf>
    <xf numFmtId="165" fontId="1" fillId="0" borderId="12" xfId="0" applyNumberFormat="1" applyFont="1" applyBorder="1" applyAlignment="1">
      <alignment vertical="center"/>
    </xf>
    <xf numFmtId="0" fontId="23" fillId="3" borderId="12" xfId="11" applyFont="1" applyFill="1" applyBorder="1"/>
    <xf numFmtId="0" fontId="23" fillId="0" borderId="12" xfId="11" applyFont="1" applyBorder="1"/>
    <xf numFmtId="0" fontId="23" fillId="0" borderId="12" xfId="11" applyFont="1" applyBorder="1" applyAlignment="1">
      <alignment horizontal="left" indent="1"/>
    </xf>
    <xf numFmtId="4" fontId="7" fillId="0" borderId="0" xfId="11" applyNumberFormat="1" applyFont="1" applyAlignment="1">
      <alignment horizontal="right"/>
    </xf>
    <xf numFmtId="0" fontId="7" fillId="0" borderId="12" xfId="11" applyFont="1" applyBorder="1" applyAlignment="1">
      <alignment horizontal="left" indent="2"/>
    </xf>
    <xf numFmtId="4" fontId="7" fillId="0" borderId="12" xfId="11" applyNumberFormat="1" applyFont="1" applyBorder="1" applyAlignment="1">
      <alignment horizontal="right"/>
    </xf>
    <xf numFmtId="4" fontId="7" fillId="0" borderId="0" xfId="0" applyNumberFormat="1" applyFont="1" applyAlignment="1">
      <alignment horizontal="right" vertical="center"/>
    </xf>
    <xf numFmtId="3" fontId="7" fillId="0" borderId="12" xfId="11" applyNumberFormat="1" applyFont="1" applyBorder="1" applyAlignment="1">
      <alignment horizontal="right"/>
    </xf>
    <xf numFmtId="0" fontId="7" fillId="0" borderId="0" xfId="11" applyFont="1"/>
    <xf numFmtId="0" fontId="2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164" fontId="7" fillId="0" borderId="12" xfId="0" applyNumberFormat="1" applyFont="1" applyBorder="1" applyAlignment="1">
      <alignment vertical="center"/>
    </xf>
    <xf numFmtId="165" fontId="7" fillId="0" borderId="12" xfId="0" applyNumberFormat="1" applyFont="1" applyBorder="1" applyAlignment="1">
      <alignment vertical="center"/>
    </xf>
    <xf numFmtId="1" fontId="7" fillId="0" borderId="12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4" fontId="1" fillId="0" borderId="12" xfId="0" applyNumberFormat="1" applyFont="1" applyBorder="1"/>
    <xf numFmtId="0" fontId="1" fillId="0" borderId="10" xfId="0" applyFont="1" applyBorder="1"/>
    <xf numFmtId="168" fontId="1" fillId="0" borderId="12" xfId="0" applyNumberFormat="1" applyFont="1" applyBorder="1"/>
    <xf numFmtId="4" fontId="7" fillId="0" borderId="12" xfId="3" applyNumberFormat="1" applyFont="1" applyBorder="1" applyAlignment="1">
      <alignment horizontal="center" wrapText="1"/>
    </xf>
    <xf numFmtId="3" fontId="7" fillId="0" borderId="12" xfId="3" applyNumberFormat="1" applyFont="1" applyBorder="1" applyAlignment="1">
      <alignment horizontal="center" wrapText="1"/>
    </xf>
    <xf numFmtId="168" fontId="7" fillId="0" borderId="12" xfId="3" applyNumberFormat="1" applyFont="1" applyBorder="1" applyAlignment="1">
      <alignment horizontal="center" wrapText="1"/>
    </xf>
    <xf numFmtId="0" fontId="7" fillId="0" borderId="12" xfId="11" applyFont="1" applyBorder="1"/>
    <xf numFmtId="2" fontId="7" fillId="0" borderId="12" xfId="11" applyNumberFormat="1" applyFont="1" applyBorder="1"/>
    <xf numFmtId="3" fontId="7" fillId="0" borderId="12" xfId="11" applyNumberFormat="1" applyFont="1" applyBorder="1"/>
    <xf numFmtId="0" fontId="3" fillId="0" borderId="0" xfId="0" applyFont="1" applyAlignment="1">
      <alignment vertical="center"/>
    </xf>
    <xf numFmtId="2" fontId="1" fillId="0" borderId="12" xfId="0" applyNumberFormat="1" applyFont="1" applyBorder="1"/>
    <xf numFmtId="3" fontId="1" fillId="0" borderId="12" xfId="0" applyNumberFormat="1" applyFont="1" applyBorder="1"/>
    <xf numFmtId="0" fontId="23" fillId="3" borderId="10" xfId="11" applyFont="1" applyFill="1" applyBorder="1"/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left"/>
    </xf>
    <xf numFmtId="0" fontId="7" fillId="0" borderId="0" xfId="0" applyFont="1" applyAlignment="1">
      <alignment horizontal="left" indent="5"/>
    </xf>
    <xf numFmtId="167" fontId="7" fillId="0" borderId="12" xfId="11" applyNumberFormat="1" applyFont="1" applyBorder="1" applyAlignment="1">
      <alignment horizontal="right"/>
    </xf>
    <xf numFmtId="0" fontId="3" fillId="26" borderId="0" xfId="0" applyFont="1" applyFill="1"/>
    <xf numFmtId="0" fontId="23" fillId="0" borderId="0" xfId="11" applyFont="1" applyAlignment="1">
      <alignment horizontal="left" indent="1"/>
    </xf>
    <xf numFmtId="167" fontId="7" fillId="0" borderId="0" xfId="11" applyNumberFormat="1" applyFont="1" applyAlignment="1">
      <alignment horizontal="right"/>
    </xf>
    <xf numFmtId="3" fontId="7" fillId="0" borderId="0" xfId="11" applyNumberFormat="1" applyFont="1" applyAlignment="1">
      <alignment horizontal="right"/>
    </xf>
    <xf numFmtId="3" fontId="7" fillId="2" borderId="12" xfId="11" applyNumberFormat="1" applyFont="1" applyFill="1" applyBorder="1" applyAlignment="1">
      <alignment horizontal="right"/>
    </xf>
    <xf numFmtId="43" fontId="32" fillId="0" borderId="0" xfId="1" applyFont="1" applyAlignment="1">
      <alignment horizontal="left" vertical="center"/>
    </xf>
    <xf numFmtId="2" fontId="7" fillId="4" borderId="0" xfId="0" applyNumberFormat="1" applyFont="1" applyFill="1"/>
    <xf numFmtId="1" fontId="20" fillId="0" borderId="0" xfId="0" applyNumberFormat="1" applyFont="1"/>
    <xf numFmtId="0" fontId="18" fillId="28" borderId="0" xfId="0" applyFont="1" applyFill="1"/>
    <xf numFmtId="0" fontId="0" fillId="28" borderId="0" xfId="0" applyFill="1"/>
    <xf numFmtId="0" fontId="62" fillId="28" borderId="0" xfId="0" applyFont="1" applyFill="1"/>
    <xf numFmtId="0" fontId="3" fillId="28" borderId="0" xfId="0" applyFont="1" applyFill="1"/>
    <xf numFmtId="0" fontId="63" fillId="0" borderId="0" xfId="0" applyFont="1"/>
    <xf numFmtId="0" fontId="0" fillId="0" borderId="12" xfId="0" applyBorder="1"/>
    <xf numFmtId="0" fontId="7" fillId="0" borderId="12" xfId="11" applyFont="1" applyBorder="1" applyAlignment="1">
      <alignment horizontal="left"/>
    </xf>
    <xf numFmtId="0" fontId="7" fillId="28" borderId="0" xfId="0" applyFont="1" applyFill="1"/>
    <xf numFmtId="0" fontId="0" fillId="26" borderId="0" xfId="0" applyFill="1" applyAlignment="1">
      <alignment horizontal="left" indent="1"/>
    </xf>
    <xf numFmtId="0" fontId="1" fillId="0" borderId="0" xfId="0" applyFont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0" fillId="0" borderId="0" xfId="0" applyNumberFormat="1"/>
    <xf numFmtId="165" fontId="7" fillId="0" borderId="11" xfId="0" applyNumberFormat="1" applyFont="1" applyBorder="1" applyAlignment="1">
      <alignment horizontal="center" vertical="center"/>
    </xf>
    <xf numFmtId="165" fontId="0" fillId="0" borderId="11" xfId="0" applyNumberFormat="1" applyBorder="1"/>
    <xf numFmtId="164" fontId="7" fillId="6" borderId="22" xfId="0" applyNumberFormat="1" applyFont="1" applyFill="1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center" vertical="center"/>
    </xf>
    <xf numFmtId="168" fontId="7" fillId="5" borderId="12" xfId="0" applyNumberFormat="1" applyFont="1" applyFill="1" applyBorder="1" applyAlignment="1">
      <alignment horizontal="center" vertical="center"/>
    </xf>
    <xf numFmtId="4" fontId="1" fillId="5" borderId="12" xfId="0" applyNumberFormat="1" applyFont="1" applyFill="1" applyBorder="1"/>
    <xf numFmtId="4" fontId="1" fillId="2" borderId="12" xfId="0" applyNumberFormat="1" applyFont="1" applyFill="1" applyBorder="1"/>
    <xf numFmtId="0" fontId="64" fillId="0" borderId="0" xfId="0" applyFont="1"/>
    <xf numFmtId="0" fontId="35" fillId="5" borderId="0" xfId="0" applyFont="1" applyFill="1"/>
    <xf numFmtId="0" fontId="7" fillId="5" borderId="0" xfId="0" applyFont="1" applyFill="1"/>
    <xf numFmtId="0" fontId="35" fillId="30" borderId="0" xfId="0" applyFont="1" applyFill="1"/>
    <xf numFmtId="0" fontId="3" fillId="5" borderId="0" xfId="0" applyFont="1" applyFill="1"/>
    <xf numFmtId="40" fontId="0" fillId="0" borderId="0" xfId="0" applyNumberFormat="1"/>
    <xf numFmtId="2" fontId="33" fillId="0" borderId="0" xfId="0" applyNumberFormat="1" applyFont="1" applyAlignment="1">
      <alignment horizontal="left"/>
    </xf>
    <xf numFmtId="2" fontId="32" fillId="0" borderId="0" xfId="0" applyNumberFormat="1" applyFont="1"/>
    <xf numFmtId="0" fontId="3" fillId="0" borderId="0" xfId="0" applyFont="1" applyAlignment="1">
      <alignment horizontal="left"/>
    </xf>
    <xf numFmtId="2" fontId="7" fillId="29" borderId="1" xfId="0" applyNumberFormat="1" applyFont="1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0" fontId="1" fillId="6" borderId="0" xfId="0" applyFont="1" applyFill="1"/>
    <xf numFmtId="165" fontId="7" fillId="6" borderId="22" xfId="0" applyNumberFormat="1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73" fontId="1" fillId="0" borderId="12" xfId="0" applyNumberFormat="1" applyFont="1" applyBorder="1"/>
    <xf numFmtId="10" fontId="18" fillId="0" borderId="0" xfId="2" applyNumberFormat="1" applyFont="1"/>
    <xf numFmtId="10" fontId="0" fillId="0" borderId="0" xfId="0" applyNumberFormat="1"/>
    <xf numFmtId="10" fontId="18" fillId="0" borderId="0" xfId="0" applyNumberFormat="1" applyFont="1"/>
    <xf numFmtId="10" fontId="1" fillId="0" borderId="0" xfId="2" applyNumberFormat="1"/>
    <xf numFmtId="10" fontId="32" fillId="0" borderId="0" xfId="2" applyNumberFormat="1" applyFont="1" applyFill="1"/>
    <xf numFmtId="10" fontId="32" fillId="0" borderId="0" xfId="0" applyNumberFormat="1" applyFont="1"/>
    <xf numFmtId="0" fontId="32" fillId="26" borderId="0" xfId="0" applyFont="1" applyFill="1"/>
    <xf numFmtId="164" fontId="1" fillId="3" borderId="0" xfId="0" applyNumberFormat="1" applyFont="1" applyFill="1"/>
    <xf numFmtId="0" fontId="62" fillId="28" borderId="0" xfId="0" applyFont="1" applyFill="1" applyAlignment="1">
      <alignment horizontal="center"/>
    </xf>
    <xf numFmtId="165" fontId="1" fillId="5" borderId="0" xfId="0" applyNumberFormat="1" applyFont="1" applyFill="1"/>
    <xf numFmtId="0" fontId="7" fillId="0" borderId="12" xfId="11" applyFont="1" applyBorder="1" applyAlignment="1">
      <alignment horizontal="center"/>
    </xf>
    <xf numFmtId="2" fontId="8" fillId="0" borderId="2" xfId="0" applyNumberFormat="1" applyFont="1" applyBorder="1" applyAlignment="1">
      <alignment wrapText="1"/>
    </xf>
    <xf numFmtId="2" fontId="8" fillId="0" borderId="3" xfId="0" applyNumberFormat="1" applyFont="1" applyBorder="1" applyAlignment="1">
      <alignment wrapText="1"/>
    </xf>
    <xf numFmtId="2" fontId="65" fillId="0" borderId="3" xfId="0" applyNumberFormat="1" applyFont="1" applyBorder="1" applyAlignment="1">
      <alignment vertical="top" wrapText="1"/>
    </xf>
    <xf numFmtId="0" fontId="8" fillId="0" borderId="4" xfId="0" applyFont="1" applyBorder="1" applyAlignment="1">
      <alignment wrapText="1"/>
    </xf>
    <xf numFmtId="2" fontId="65" fillId="0" borderId="2" xfId="0" applyNumberFormat="1" applyFont="1" applyBorder="1" applyAlignment="1">
      <alignment vertical="top" wrapText="1"/>
    </xf>
    <xf numFmtId="14" fontId="8" fillId="0" borderId="5" xfId="0" applyNumberFormat="1" applyFont="1" applyBorder="1" applyAlignment="1">
      <alignment wrapText="1"/>
    </xf>
    <xf numFmtId="0" fontId="8" fillId="0" borderId="0" xfId="0" applyFont="1"/>
    <xf numFmtId="2" fontId="8" fillId="0" borderId="6" xfId="0" applyNumberFormat="1" applyFont="1" applyBorder="1" applyAlignment="1">
      <alignment wrapText="1"/>
    </xf>
    <xf numFmtId="2" fontId="8" fillId="0" borderId="0" xfId="0" applyNumberFormat="1" applyFont="1" applyAlignment="1">
      <alignment wrapText="1"/>
    </xf>
    <xf numFmtId="2" fontId="65" fillId="0" borderId="7" xfId="0" applyNumberFormat="1" applyFont="1" applyBorder="1" applyAlignment="1">
      <alignment vertical="top" wrapText="1"/>
    </xf>
    <xf numFmtId="2" fontId="30" fillId="0" borderId="8" xfId="0" applyNumberFormat="1" applyFont="1" applyBorder="1" applyAlignment="1">
      <alignment vertical="center" wrapText="1"/>
    </xf>
    <xf numFmtId="2" fontId="65" fillId="0" borderId="9" xfId="0" applyNumberFormat="1" applyFont="1" applyBorder="1" applyAlignment="1">
      <alignment vertical="top" wrapText="1"/>
    </xf>
    <xf numFmtId="0" fontId="8" fillId="0" borderId="7" xfId="0" applyFont="1" applyBorder="1" applyAlignment="1">
      <alignment wrapText="1"/>
    </xf>
    <xf numFmtId="2" fontId="8" fillId="0" borderId="4" xfId="0" applyNumberFormat="1" applyFont="1" applyBorder="1" applyAlignment="1">
      <alignment wrapText="1"/>
    </xf>
    <xf numFmtId="0" fontId="66" fillId="0" borderId="10" xfId="0" applyFont="1" applyBorder="1" applyAlignment="1">
      <alignment horizontal="left" vertical="center" wrapText="1"/>
    </xf>
    <xf numFmtId="2" fontId="8" fillId="0" borderId="23" xfId="0" applyNumberFormat="1" applyFont="1" applyBorder="1" applyAlignment="1">
      <alignment vertical="center" wrapText="1"/>
    </xf>
    <xf numFmtId="2" fontId="8" fillId="0" borderId="1" xfId="0" applyNumberFormat="1" applyFont="1" applyBorder="1" applyAlignment="1">
      <alignment vertical="center" wrapText="1"/>
    </xf>
    <xf numFmtId="2" fontId="66" fillId="0" borderId="23" xfId="0" applyNumberFormat="1" applyFont="1" applyBorder="1" applyAlignment="1">
      <alignment horizontal="left" vertical="center" wrapText="1"/>
    </xf>
    <xf numFmtId="2" fontId="8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vertical="center"/>
    </xf>
    <xf numFmtId="2" fontId="28" fillId="0" borderId="3" xfId="0" applyNumberFormat="1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vertical="center"/>
    </xf>
    <xf numFmtId="2" fontId="28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0" fontId="66" fillId="0" borderId="0" xfId="0" applyFont="1" applyAlignment="1">
      <alignment horizontal="center"/>
    </xf>
    <xf numFmtId="2" fontId="66" fillId="0" borderId="0" xfId="3" applyNumberFormat="1" applyFont="1"/>
    <xf numFmtId="0" fontId="28" fillId="0" borderId="0" xfId="0" applyFont="1"/>
    <xf numFmtId="0" fontId="10" fillId="0" borderId="0" xfId="0" applyFont="1" applyAlignment="1">
      <alignment vertical="center"/>
    </xf>
    <xf numFmtId="2" fontId="30" fillId="0" borderId="0" xfId="0" applyNumberFormat="1" applyFont="1" applyAlignment="1">
      <alignment vertical="center"/>
    </xf>
    <xf numFmtId="2" fontId="30" fillId="31" borderId="24" xfId="0" applyNumberFormat="1" applyFont="1" applyFill="1" applyBorder="1" applyAlignment="1" applyProtection="1">
      <alignment vertical="center"/>
      <protection locked="0"/>
    </xf>
    <xf numFmtId="4" fontId="8" fillId="0" borderId="0" xfId="0" applyNumberFormat="1" applyFont="1" applyAlignment="1">
      <alignment horizontal="left"/>
    </xf>
    <xf numFmtId="1" fontId="30" fillId="31" borderId="24" xfId="0" applyNumberFormat="1" applyFont="1" applyFill="1" applyBorder="1" applyAlignment="1" applyProtection="1">
      <alignment vertical="center"/>
      <protection locked="0"/>
    </xf>
    <xf numFmtId="4" fontId="8" fillId="0" borderId="0" xfId="0" applyNumberFormat="1" applyFont="1"/>
    <xf numFmtId="4" fontId="30" fillId="31" borderId="24" xfId="0" applyNumberFormat="1" applyFont="1" applyFill="1" applyBorder="1" applyAlignment="1" applyProtection="1">
      <alignment vertical="center"/>
      <protection locked="0"/>
    </xf>
    <xf numFmtId="2" fontId="8" fillId="0" borderId="0" xfId="0" quotePrefix="1" applyNumberFormat="1" applyFont="1" applyAlignment="1">
      <alignment horizontal="left" vertical="center"/>
    </xf>
    <xf numFmtId="2" fontId="67" fillId="0" borderId="0" xfId="0" applyNumberFormat="1" applyFont="1" applyAlignment="1">
      <alignment vertical="center"/>
    </xf>
    <xf numFmtId="2" fontId="8" fillId="0" borderId="0" xfId="0" applyNumberFormat="1" applyFont="1" applyAlignment="1">
      <alignment horizontal="left" vertical="center"/>
    </xf>
    <xf numFmtId="3" fontId="30" fillId="31" borderId="24" xfId="0" applyNumberFormat="1" applyFont="1" applyFill="1" applyBorder="1" applyAlignment="1" applyProtection="1">
      <alignment vertical="center"/>
      <protection locked="0"/>
    </xf>
    <xf numFmtId="4" fontId="30" fillId="2" borderId="24" xfId="0" applyNumberFormat="1" applyFont="1" applyFill="1" applyBorder="1" applyAlignment="1" applyProtection="1">
      <alignment vertical="center"/>
      <protection locked="0"/>
    </xf>
    <xf numFmtId="2" fontId="68" fillId="0" borderId="0" xfId="0" applyNumberFormat="1" applyFont="1" applyAlignment="1">
      <alignment vertical="center"/>
    </xf>
    <xf numFmtId="0" fontId="8" fillId="0" borderId="0" xfId="0" applyFont="1" applyAlignment="1">
      <alignment horizontal="left"/>
    </xf>
    <xf numFmtId="3" fontId="30" fillId="2" borderId="24" xfId="0" applyNumberFormat="1" applyFont="1" applyFill="1" applyBorder="1" applyAlignment="1" applyProtection="1">
      <alignment vertical="center"/>
      <protection locked="0"/>
    </xf>
    <xf numFmtId="4" fontId="30" fillId="0" borderId="0" xfId="0" applyNumberFormat="1" applyFont="1"/>
    <xf numFmtId="0" fontId="10" fillId="0" borderId="0" xfId="0" applyFont="1"/>
    <xf numFmtId="2" fontId="8" fillId="0" borderId="0" xfId="0" applyNumberFormat="1" applyFont="1" applyAlignment="1">
      <alignment horizontal="right" vertical="center"/>
    </xf>
    <xf numFmtId="2" fontId="8" fillId="0" borderId="0" xfId="0" quotePrefix="1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4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3" fontId="30" fillId="0" borderId="0" xfId="0" applyNumberFormat="1" applyFont="1" applyAlignment="1">
      <alignment horizontal="right" vertical="center"/>
    </xf>
    <xf numFmtId="1" fontId="30" fillId="6" borderId="0" xfId="0" applyNumberFormat="1" applyFont="1" applyFill="1" applyAlignment="1">
      <alignment vertical="center"/>
    </xf>
    <xf numFmtId="2" fontId="69" fillId="0" borderId="0" xfId="0" quotePrefix="1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3" fontId="8" fillId="0" borderId="0" xfId="0" applyNumberFormat="1" applyFont="1" applyAlignment="1">
      <alignment vertical="center"/>
    </xf>
    <xf numFmtId="3" fontId="30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65" fontId="8" fillId="6" borderId="0" xfId="0" applyNumberFormat="1" applyFont="1" applyFill="1" applyAlignment="1">
      <alignment vertical="center"/>
    </xf>
    <xf numFmtId="2" fontId="69" fillId="0" borderId="0" xfId="0" applyNumberFormat="1" applyFont="1" applyAlignment="1">
      <alignment vertical="center"/>
    </xf>
    <xf numFmtId="3" fontId="30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left"/>
    </xf>
    <xf numFmtId="165" fontId="30" fillId="0" borderId="0" xfId="0" applyNumberFormat="1" applyFont="1" applyAlignment="1">
      <alignment horizontal="right" vertical="center"/>
    </xf>
    <xf numFmtId="0" fontId="70" fillId="0" borderId="0" xfId="0" applyFont="1" applyAlignment="1">
      <alignment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vertical="center"/>
    </xf>
    <xf numFmtId="165" fontId="30" fillId="0" borderId="0" xfId="0" applyNumberFormat="1" applyFont="1" applyAlignment="1">
      <alignment vertical="center"/>
    </xf>
    <xf numFmtId="2" fontId="30" fillId="0" borderId="0" xfId="0" quotePrefix="1" applyNumberFormat="1" applyFont="1" applyAlignment="1">
      <alignment vertical="center"/>
    </xf>
    <xf numFmtId="0" fontId="8" fillId="0" borderId="7" xfId="0" applyFont="1" applyBorder="1" applyAlignment="1">
      <alignment horizontal="right" vertical="center"/>
    </xf>
    <xf numFmtId="3" fontId="8" fillId="0" borderId="7" xfId="0" applyNumberFormat="1" applyFont="1" applyBorder="1" applyAlignment="1">
      <alignment vertical="center"/>
    </xf>
    <xf numFmtId="2" fontId="30" fillId="0" borderId="7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1" fontId="30" fillId="0" borderId="0" xfId="0" applyNumberFormat="1" applyFont="1" applyAlignment="1">
      <alignment vertical="center"/>
    </xf>
    <xf numFmtId="4" fontId="8" fillId="0" borderId="0" xfId="0" applyNumberFormat="1" applyFont="1" applyAlignment="1">
      <alignment vertical="center"/>
    </xf>
    <xf numFmtId="2" fontId="67" fillId="0" borderId="0" xfId="0" applyNumberFormat="1" applyFont="1" applyAlignment="1">
      <alignment horizontal="right" vertical="center"/>
    </xf>
    <xf numFmtId="2" fontId="8" fillId="0" borderId="9" xfId="0" applyNumberFormat="1" applyFont="1" applyBorder="1" applyAlignment="1">
      <alignment vertical="center"/>
    </xf>
    <xf numFmtId="2" fontId="8" fillId="0" borderId="6" xfId="0" applyNumberFormat="1" applyFont="1" applyBorder="1" applyAlignment="1">
      <alignment horizontal="right" vertical="center"/>
    </xf>
    <xf numFmtId="2" fontId="30" fillId="0" borderId="0" xfId="0" applyNumberFormat="1" applyFont="1" applyAlignment="1">
      <alignment horizontal="right" vertical="center"/>
    </xf>
    <xf numFmtId="1" fontId="30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right"/>
    </xf>
    <xf numFmtId="2" fontId="30" fillId="0" borderId="0" xfId="0" applyNumberFormat="1" applyFont="1" applyAlignment="1">
      <alignment horizontal="left" vertical="center"/>
    </xf>
    <xf numFmtId="2" fontId="76" fillId="0" borderId="0" xfId="0" applyNumberFormat="1" applyFont="1" applyAlignment="1">
      <alignment vertical="center"/>
    </xf>
    <xf numFmtId="2" fontId="77" fillId="0" borderId="0" xfId="0" quotePrefix="1" applyNumberFormat="1" applyFont="1" applyAlignment="1">
      <alignment horizontal="left" vertical="center"/>
    </xf>
    <xf numFmtId="2" fontId="30" fillId="2" borderId="0" xfId="0" applyNumberFormat="1" applyFont="1" applyFill="1" applyAlignment="1">
      <alignment horizontal="right" vertical="center"/>
    </xf>
    <xf numFmtId="9" fontId="8" fillId="0" borderId="0" xfId="2" applyFont="1" applyAlignment="1">
      <alignment vertical="center"/>
    </xf>
    <xf numFmtId="0" fontId="78" fillId="0" borderId="0" xfId="0" quotePrefix="1" applyFont="1" applyAlignment="1">
      <alignment horizontal="left" vertical="center" indent="1"/>
    </xf>
    <xf numFmtId="0" fontId="78" fillId="0" borderId="0" xfId="0" applyFont="1" applyAlignment="1">
      <alignment horizontal="left" vertical="center" indent="1"/>
    </xf>
    <xf numFmtId="0" fontId="78" fillId="0" borderId="0" xfId="0" applyFont="1" applyAlignment="1">
      <alignment vertical="center"/>
    </xf>
    <xf numFmtId="166" fontId="78" fillId="0" borderId="0" xfId="1" applyNumberFormat="1" applyFont="1" applyAlignment="1">
      <alignment vertical="center"/>
    </xf>
    <xf numFmtId="0" fontId="69" fillId="0" borderId="0" xfId="0" applyFont="1" applyAlignment="1">
      <alignment vertical="center"/>
    </xf>
    <xf numFmtId="0" fontId="8" fillId="0" borderId="0" xfId="0" quotePrefix="1" applyFont="1" applyAlignment="1">
      <alignment horizontal="right" vertical="center"/>
    </xf>
    <xf numFmtId="0" fontId="79" fillId="0" borderId="0" xfId="0" applyFont="1" applyAlignment="1">
      <alignment horizontal="right"/>
    </xf>
    <xf numFmtId="4" fontId="30" fillId="2" borderId="0" xfId="0" applyNumberFormat="1" applyFont="1" applyFill="1" applyAlignment="1">
      <alignment vertical="center"/>
    </xf>
    <xf numFmtId="0" fontId="79" fillId="0" borderId="0" xfId="0" applyFont="1"/>
    <xf numFmtId="3" fontId="8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vertical="center"/>
    </xf>
    <xf numFmtId="0" fontId="79" fillId="0" borderId="0" xfId="0" applyFont="1" applyAlignment="1">
      <alignment vertical="center"/>
    </xf>
    <xf numFmtId="1" fontId="8" fillId="0" borderId="0" xfId="0" applyNumberFormat="1" applyFont="1" applyAlignment="1">
      <alignment horizontal="right" vertical="center"/>
    </xf>
    <xf numFmtId="174" fontId="30" fillId="0" borderId="0" xfId="0" applyNumberFormat="1" applyFont="1" applyAlignment="1">
      <alignment vertical="center"/>
    </xf>
    <xf numFmtId="2" fontId="8" fillId="0" borderId="0" xfId="0" applyNumberFormat="1" applyFont="1"/>
    <xf numFmtId="43" fontId="8" fillId="0" borderId="0" xfId="1" applyFont="1"/>
    <xf numFmtId="4" fontId="8" fillId="0" borderId="0" xfId="0" applyNumberFormat="1" applyFont="1" applyAlignment="1">
      <alignment horizontal="right"/>
    </xf>
    <xf numFmtId="4" fontId="8" fillId="31" borderId="0" xfId="0" applyNumberFormat="1" applyFont="1" applyFill="1"/>
    <xf numFmtId="3" fontId="30" fillId="0" borderId="0" xfId="0" applyNumberFormat="1" applyFont="1"/>
    <xf numFmtId="0" fontId="0" fillId="0" borderId="7" xfId="0" applyBorder="1"/>
    <xf numFmtId="1" fontId="8" fillId="31" borderId="3" xfId="0" applyNumberFormat="1" applyFont="1" applyFill="1" applyBorder="1" applyAlignment="1">
      <alignment horizontal="center" vertical="center"/>
    </xf>
    <xf numFmtId="1" fontId="8" fillId="31" borderId="0" xfId="0" applyNumberFormat="1" applyFont="1" applyFill="1" applyAlignment="1">
      <alignment horizontal="center" vertical="center"/>
    </xf>
    <xf numFmtId="1" fontId="8" fillId="31" borderId="7" xfId="0" applyNumberFormat="1" applyFont="1" applyFill="1" applyBorder="1" applyAlignment="1">
      <alignment horizontal="center" vertical="center"/>
    </xf>
    <xf numFmtId="2" fontId="8" fillId="0" borderId="23" xfId="3" applyNumberFormat="1" applyFont="1" applyBorder="1" applyAlignment="1">
      <alignment horizontal="centerContinuous"/>
    </xf>
    <xf numFmtId="0" fontId="8" fillId="0" borderId="0" xfId="0" applyFont="1" applyAlignment="1">
      <alignment horizontal="center"/>
    </xf>
    <xf numFmtId="2" fontId="8" fillId="0" borderId="0" xfId="3" applyNumberFormat="1" applyFont="1" applyAlignment="1">
      <alignment horizontal="center"/>
    </xf>
    <xf numFmtId="2" fontId="8" fillId="0" borderId="7" xfId="3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" fontId="8" fillId="0" borderId="0" xfId="3" applyNumberFormat="1" applyFont="1" applyAlignment="1">
      <alignment horizontal="center"/>
    </xf>
    <xf numFmtId="2" fontId="8" fillId="31" borderId="0" xfId="3" applyNumberFormat="1" applyFont="1" applyFill="1" applyAlignment="1">
      <alignment horizontal="center"/>
    </xf>
    <xf numFmtId="0" fontId="0" fillId="0" borderId="0" xfId="0" applyAlignment="1">
      <alignment vertical="center"/>
    </xf>
    <xf numFmtId="2" fontId="8" fillId="31" borderId="0" xfId="0" applyNumberFormat="1" applyFont="1" applyFill="1" applyAlignment="1">
      <alignment horizontal="center" vertical="center"/>
    </xf>
    <xf numFmtId="43" fontId="8" fillId="0" borderId="0" xfId="1" applyFont="1" applyAlignment="1">
      <alignment horizontal="center" vertical="center"/>
    </xf>
    <xf numFmtId="0" fontId="8" fillId="0" borderId="23" xfId="0" applyFont="1" applyBorder="1" applyAlignment="1">
      <alignment vertical="center"/>
    </xf>
    <xf numFmtId="2" fontId="8" fillId="0" borderId="23" xfId="0" applyNumberFormat="1" applyFont="1" applyBorder="1" applyAlignment="1">
      <alignment vertical="center"/>
    </xf>
    <xf numFmtId="3" fontId="30" fillId="0" borderId="23" xfId="0" applyNumberFormat="1" applyFont="1" applyBorder="1" applyAlignment="1">
      <alignment horizontal="center" vertical="center"/>
    </xf>
    <xf numFmtId="2" fontId="8" fillId="0" borderId="0" xfId="3" applyNumberFormat="1" applyFont="1"/>
    <xf numFmtId="4" fontId="69" fillId="0" borderId="0" xfId="0" applyNumberFormat="1" applyFont="1"/>
    <xf numFmtId="4" fontId="77" fillId="0" borderId="0" xfId="0" applyNumberFormat="1" applyFont="1"/>
    <xf numFmtId="4" fontId="8" fillId="2" borderId="0" xfId="0" applyNumberFormat="1" applyFont="1" applyFill="1"/>
    <xf numFmtId="165" fontId="8" fillId="8" borderId="0" xfId="0" applyNumberFormat="1" applyFont="1" applyFill="1" applyAlignment="1">
      <alignment vertical="center"/>
    </xf>
    <xf numFmtId="4" fontId="69" fillId="0" borderId="0" xfId="0" quotePrefix="1" applyNumberFormat="1" applyFont="1"/>
    <xf numFmtId="4" fontId="8" fillId="0" borderId="0" xfId="3" applyNumberFormat="1" applyFont="1"/>
    <xf numFmtId="168" fontId="69" fillId="0" borderId="0" xfId="0" applyNumberFormat="1" applyFont="1" applyAlignment="1">
      <alignment horizontal="left"/>
    </xf>
    <xf numFmtId="168" fontId="69" fillId="0" borderId="0" xfId="3" applyNumberFormat="1" applyFont="1" applyAlignment="1">
      <alignment horizontal="left"/>
    </xf>
    <xf numFmtId="4" fontId="69" fillId="0" borderId="0" xfId="3" applyNumberFormat="1" applyFont="1"/>
    <xf numFmtId="167" fontId="69" fillId="0" borderId="0" xfId="3" applyNumberFormat="1" applyFont="1" applyAlignment="1">
      <alignment horizontal="left"/>
    </xf>
    <xf numFmtId="175" fontId="8" fillId="0" borderId="0" xfId="0" applyNumberFormat="1" applyFont="1"/>
    <xf numFmtId="3" fontId="8" fillId="0" borderId="0" xfId="0" applyNumberFormat="1" applyFont="1" applyAlignment="1">
      <alignment horizontal="left"/>
    </xf>
    <xf numFmtId="175" fontId="69" fillId="6" borderId="0" xfId="0" applyNumberFormat="1" applyFont="1" applyFill="1" applyAlignment="1">
      <alignment horizontal="left"/>
    </xf>
    <xf numFmtId="0" fontId="80" fillId="0" borderId="0" xfId="0" applyFont="1" applyAlignment="1">
      <alignment vertical="center"/>
    </xf>
    <xf numFmtId="165" fontId="8" fillId="2" borderId="0" xfId="0" applyNumberFormat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2" fontId="8" fillId="2" borderId="0" xfId="0" applyNumberFormat="1" applyFont="1" applyFill="1" applyAlignment="1">
      <alignment vertical="center"/>
    </xf>
    <xf numFmtId="4" fontId="69" fillId="0" borderId="0" xfId="0" applyNumberFormat="1" applyFont="1" applyAlignment="1">
      <alignment horizontal="left"/>
    </xf>
    <xf numFmtId="167" fontId="69" fillId="6" borderId="0" xfId="0" applyNumberFormat="1" applyFont="1" applyFill="1" applyAlignment="1">
      <alignment horizontal="left"/>
    </xf>
    <xf numFmtId="3" fontId="69" fillId="0" borderId="0" xfId="0" applyNumberFormat="1" applyFont="1" applyAlignment="1">
      <alignment horizontal="left"/>
    </xf>
    <xf numFmtId="4" fontId="69" fillId="6" borderId="0" xfId="0" applyNumberFormat="1" applyFont="1" applyFill="1" applyAlignment="1">
      <alignment horizontal="left"/>
    </xf>
    <xf numFmtId="4" fontId="28" fillId="0" borderId="0" xfId="0" applyNumberFormat="1" applyFont="1" applyAlignment="1">
      <alignment vertical="center"/>
    </xf>
    <xf numFmtId="43" fontId="8" fillId="0" borderId="0" xfId="1" quotePrefix="1" applyFont="1" applyAlignment="1">
      <alignment horizontal="right" vertical="center"/>
    </xf>
    <xf numFmtId="43" fontId="8" fillId="0" borderId="0" xfId="1" applyFont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Continuous" vertical="center"/>
    </xf>
    <xf numFmtId="0" fontId="8" fillId="0" borderId="27" xfId="0" applyFont="1" applyBorder="1" applyAlignment="1">
      <alignment horizontal="center" vertical="center"/>
    </xf>
    <xf numFmtId="4" fontId="8" fillId="0" borderId="27" xfId="0" applyNumberFormat="1" applyFont="1" applyBorder="1" applyAlignment="1">
      <alignment horizontal="centerContinuous" vertical="center" wrapText="1"/>
    </xf>
    <xf numFmtId="3" fontId="8" fillId="0" borderId="27" xfId="0" applyNumberFormat="1" applyFont="1" applyBorder="1" applyAlignment="1">
      <alignment horizontal="centerContinuous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Continuous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/>
    </xf>
    <xf numFmtId="4" fontId="8" fillId="0" borderId="11" xfId="0" applyNumberFormat="1" applyFont="1" applyBorder="1" applyAlignment="1">
      <alignment horizontal="centerContinuous" vertical="center"/>
    </xf>
    <xf numFmtId="3" fontId="8" fillId="0" borderId="11" xfId="0" applyNumberFormat="1" applyFont="1" applyBorder="1" applyAlignment="1">
      <alignment horizontal="centerContinuous" vertical="center"/>
    </xf>
    <xf numFmtId="0" fontId="8" fillId="0" borderId="28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4" fontId="8" fillId="0" borderId="29" xfId="0" applyNumberFormat="1" applyFont="1" applyBorder="1" applyAlignment="1">
      <alignment horizontal="centerContinuous" vertical="center"/>
    </xf>
    <xf numFmtId="3" fontId="8" fillId="0" borderId="30" xfId="0" applyNumberFormat="1" applyFont="1" applyBorder="1" applyAlignment="1">
      <alignment horizontal="center" vertical="center"/>
    </xf>
    <xf numFmtId="0" fontId="81" fillId="0" borderId="0" xfId="0" applyFont="1" applyAlignment="1">
      <alignment vertical="center"/>
    </xf>
    <xf numFmtId="0" fontId="66" fillId="0" borderId="31" xfId="0" quotePrefix="1" applyFont="1" applyBorder="1" applyAlignment="1">
      <alignment horizontal="left" vertical="center"/>
    </xf>
    <xf numFmtId="0" fontId="66" fillId="0" borderId="31" xfId="0" applyFont="1" applyBorder="1" applyAlignment="1">
      <alignment vertical="center"/>
    </xf>
    <xf numFmtId="4" fontId="28" fillId="0" borderId="32" xfId="0" applyNumberFormat="1" applyFont="1" applyBorder="1" applyAlignment="1">
      <alignment vertical="center"/>
    </xf>
    <xf numFmtId="4" fontId="28" fillId="0" borderId="32" xfId="0" applyNumberFormat="1" applyFont="1" applyBorder="1" applyAlignment="1">
      <alignment horizontal="center" vertical="center"/>
    </xf>
    <xf numFmtId="38" fontId="66" fillId="0" borderId="32" xfId="1" applyNumberFormat="1" applyFont="1" applyBorder="1" applyAlignment="1">
      <alignment vertical="center"/>
    </xf>
    <xf numFmtId="0" fontId="28" fillId="0" borderId="32" xfId="0" quotePrefix="1" applyFont="1" applyBorder="1" applyAlignment="1">
      <alignment horizontal="left" vertical="center"/>
    </xf>
    <xf numFmtId="0" fontId="28" fillId="0" borderId="32" xfId="0" applyFont="1" applyBorder="1" applyAlignment="1">
      <alignment vertical="center"/>
    </xf>
    <xf numFmtId="3" fontId="28" fillId="0" borderId="32" xfId="0" applyNumberFormat="1" applyFont="1" applyBorder="1" applyAlignment="1">
      <alignment horizontal="center" vertical="center"/>
    </xf>
    <xf numFmtId="38" fontId="28" fillId="0" borderId="32" xfId="1" applyNumberFormat="1" applyFont="1" applyBorder="1" applyAlignment="1">
      <alignment vertical="center"/>
    </xf>
    <xf numFmtId="0" fontId="28" fillId="0" borderId="32" xfId="0" applyFont="1" applyBorder="1" applyAlignment="1">
      <alignment horizontal="center" vertical="center"/>
    </xf>
    <xf numFmtId="38" fontId="28" fillId="0" borderId="32" xfId="1" applyNumberFormat="1" applyFont="1" applyBorder="1" applyAlignment="1">
      <alignment horizontal="center" vertical="center"/>
    </xf>
    <xf numFmtId="43" fontId="28" fillId="0" borderId="32" xfId="1" applyFont="1" applyBorder="1" applyAlignment="1">
      <alignment vertical="center"/>
    </xf>
    <xf numFmtId="0" fontId="66" fillId="0" borderId="32" xfId="0" quotePrefix="1" applyFont="1" applyBorder="1" applyAlignment="1">
      <alignment horizontal="left" vertical="center"/>
    </xf>
    <xf numFmtId="1" fontId="28" fillId="0" borderId="32" xfId="2" applyNumberFormat="1" applyFont="1" applyBorder="1" applyAlignment="1">
      <alignment horizontal="center" vertical="center"/>
    </xf>
    <xf numFmtId="38" fontId="66" fillId="0" borderId="31" xfId="1" applyNumberFormat="1" applyFont="1" applyBorder="1" applyAlignment="1">
      <alignment horizontal="center" vertical="center"/>
    </xf>
    <xf numFmtId="43" fontId="66" fillId="0" borderId="31" xfId="1" applyFont="1" applyBorder="1" applyAlignment="1">
      <alignment vertical="center"/>
    </xf>
    <xf numFmtId="3" fontId="66" fillId="0" borderId="31" xfId="1" applyNumberFormat="1" applyFont="1" applyBorder="1" applyAlignment="1">
      <alignment vertical="center"/>
    </xf>
    <xf numFmtId="40" fontId="28" fillId="0" borderId="32" xfId="1" applyNumberFormat="1" applyFont="1" applyBorder="1" applyAlignment="1">
      <alignment vertical="center"/>
    </xf>
    <xf numFmtId="0" fontId="66" fillId="0" borderId="32" xfId="0" applyFont="1" applyBorder="1" applyAlignment="1">
      <alignment vertical="center"/>
    </xf>
    <xf numFmtId="0" fontId="82" fillId="0" borderId="0" xfId="0" applyFont="1" applyAlignment="1">
      <alignment vertical="center"/>
    </xf>
    <xf numFmtId="0" fontId="66" fillId="0" borderId="31" xfId="0" applyFont="1" applyBorder="1" applyAlignment="1">
      <alignment horizontal="center" vertical="center"/>
    </xf>
    <xf numFmtId="3" fontId="8" fillId="0" borderId="32" xfId="0" applyNumberFormat="1" applyFont="1" applyBorder="1" applyAlignment="1">
      <alignment horizontal="center"/>
    </xf>
    <xf numFmtId="0" fontId="28" fillId="0" borderId="29" xfId="0" applyFont="1" applyBorder="1" applyAlignment="1">
      <alignment vertical="center"/>
    </xf>
    <xf numFmtId="0" fontId="28" fillId="0" borderId="29" xfId="0" applyFont="1" applyBorder="1" applyAlignment="1">
      <alignment horizontal="center" vertical="center"/>
    </xf>
    <xf numFmtId="38" fontId="28" fillId="0" borderId="29" xfId="1" applyNumberFormat="1" applyFont="1" applyBorder="1" applyAlignment="1">
      <alignment vertical="center"/>
    </xf>
    <xf numFmtId="43" fontId="28" fillId="0" borderId="29" xfId="1" applyFont="1" applyBorder="1" applyAlignment="1">
      <alignment vertical="center"/>
    </xf>
    <xf numFmtId="4" fontId="28" fillId="0" borderId="0" xfId="0" applyNumberFormat="1" applyFont="1"/>
    <xf numFmtId="3" fontId="66" fillId="0" borderId="0" xfId="1" applyNumberFormat="1" applyFont="1"/>
    <xf numFmtId="4" fontId="8" fillId="0" borderId="29" xfId="0" applyNumberFormat="1" applyFont="1" applyBorder="1"/>
    <xf numFmtId="2" fontId="30" fillId="0" borderId="0" xfId="3" applyNumberFormat="1" applyFont="1" applyAlignment="1">
      <alignment horizontal="left"/>
    </xf>
    <xf numFmtId="1" fontId="8" fillId="0" borderId="39" xfId="3" applyNumberFormat="1" applyFont="1" applyBorder="1" applyAlignment="1">
      <alignment horizontal="center"/>
    </xf>
    <xf numFmtId="4" fontId="8" fillId="0" borderId="39" xfId="3" applyNumberFormat="1" applyFont="1" applyBorder="1" applyAlignment="1">
      <alignment horizontal="left"/>
    </xf>
    <xf numFmtId="2" fontId="8" fillId="0" borderId="32" xfId="3" applyNumberFormat="1" applyFont="1" applyBorder="1" applyAlignment="1">
      <alignment horizontal="left"/>
    </xf>
    <xf numFmtId="4" fontId="8" fillId="0" borderId="31" xfId="3" applyNumberFormat="1" applyFont="1" applyBorder="1"/>
    <xf numFmtId="4" fontId="8" fillId="0" borderId="32" xfId="3" applyNumberFormat="1" applyFont="1" applyBorder="1"/>
    <xf numFmtId="1" fontId="8" fillId="0" borderId="40" xfId="3" applyNumberFormat="1" applyFont="1" applyBorder="1" applyAlignment="1">
      <alignment horizontal="center"/>
    </xf>
    <xf numFmtId="3" fontId="28" fillId="0" borderId="40" xfId="0" applyNumberFormat="1" applyFont="1" applyBorder="1" applyAlignment="1">
      <alignment horizontal="left"/>
    </xf>
    <xf numFmtId="4" fontId="8" fillId="0" borderId="40" xfId="3" applyNumberFormat="1" applyFont="1" applyBorder="1"/>
    <xf numFmtId="1" fontId="8" fillId="0" borderId="0" xfId="0" applyNumberFormat="1" applyFont="1" applyAlignment="1">
      <alignment vertical="center"/>
    </xf>
    <xf numFmtId="43" fontId="30" fillId="0" borderId="0" xfId="1" applyFont="1" applyAlignment="1">
      <alignment vertical="center"/>
    </xf>
    <xf numFmtId="0" fontId="83" fillId="0" borderId="0" xfId="0" applyFont="1"/>
    <xf numFmtId="2" fontId="8" fillId="32" borderId="0" xfId="0" applyNumberFormat="1" applyFont="1" applyFill="1" applyAlignment="1">
      <alignment vertical="center"/>
    </xf>
    <xf numFmtId="0" fontId="8" fillId="0" borderId="23" xfId="0" applyFont="1" applyBorder="1" applyAlignment="1">
      <alignment vertical="center" wrapText="1"/>
    </xf>
    <xf numFmtId="0" fontId="0" fillId="32" borderId="0" xfId="0" applyFill="1"/>
    <xf numFmtId="4" fontId="1" fillId="32" borderId="12" xfId="0" applyNumberFormat="1" applyFont="1" applyFill="1" applyBorder="1" applyAlignment="1">
      <alignment horizontal="right"/>
    </xf>
    <xf numFmtId="0" fontId="18" fillId="32" borderId="0" xfId="0" applyFont="1" applyFill="1"/>
    <xf numFmtId="0" fontId="22" fillId="32" borderId="0" xfId="0" applyFont="1" applyFill="1"/>
    <xf numFmtId="0" fontId="7" fillId="32" borderId="0" xfId="0" quotePrefix="1" applyFont="1" applyFill="1"/>
    <xf numFmtId="0" fontId="1" fillId="32" borderId="0" xfId="0" applyFont="1" applyFill="1"/>
    <xf numFmtId="40" fontId="3" fillId="32" borderId="0" xfId="0" applyNumberFormat="1" applyFont="1" applyFill="1"/>
    <xf numFmtId="2" fontId="3" fillId="32" borderId="0" xfId="0" applyNumberFormat="1" applyFont="1" applyFill="1"/>
    <xf numFmtId="4" fontId="1" fillId="32" borderId="12" xfId="0" applyNumberFormat="1" applyFont="1" applyFill="1" applyBorder="1"/>
    <xf numFmtId="0" fontId="7" fillId="0" borderId="10" xfId="11" applyFont="1" applyBorder="1" applyAlignment="1">
      <alignment horizontal="left"/>
    </xf>
    <xf numFmtId="0" fontId="7" fillId="0" borderId="23" xfId="11" applyFont="1" applyBorder="1" applyAlignment="1">
      <alignment horizontal="left"/>
    </xf>
    <xf numFmtId="0" fontId="7" fillId="0" borderId="1" xfId="11" applyFont="1" applyBorder="1" applyAlignment="1">
      <alignment horizontal="left"/>
    </xf>
    <xf numFmtId="0" fontId="23" fillId="0" borderId="10" xfId="11" applyFont="1" applyBorder="1" applyAlignment="1">
      <alignment horizontal="left"/>
    </xf>
    <xf numFmtId="0" fontId="23" fillId="0" borderId="23" xfId="11" applyFont="1" applyBorder="1" applyAlignment="1">
      <alignment horizontal="left"/>
    </xf>
    <xf numFmtId="0" fontId="23" fillId="0" borderId="1" xfId="11" applyFont="1" applyBorder="1" applyAlignment="1">
      <alignment horizontal="left"/>
    </xf>
    <xf numFmtId="4" fontId="7" fillId="0" borderId="12" xfId="11" applyNumberFormat="1" applyFont="1" applyBorder="1"/>
    <xf numFmtId="2" fontId="18" fillId="32" borderId="0" xfId="0" applyNumberFormat="1" applyFont="1" applyFill="1"/>
    <xf numFmtId="172" fontId="1" fillId="32" borderId="12" xfId="2" applyNumberFormat="1" applyFont="1" applyFill="1" applyBorder="1"/>
    <xf numFmtId="0" fontId="32" fillId="32" borderId="0" xfId="0" applyFont="1" applyFill="1"/>
    <xf numFmtId="0" fontId="0" fillId="3" borderId="0" xfId="0" applyFill="1" applyAlignment="1">
      <alignment horizontal="left" indent="1"/>
    </xf>
    <xf numFmtId="3" fontId="30" fillId="32" borderId="23" xfId="0" applyNumberFormat="1" applyFont="1" applyFill="1" applyBorder="1" applyAlignment="1">
      <alignment horizontal="center" vertical="center"/>
    </xf>
    <xf numFmtId="167" fontId="30" fillId="32" borderId="23" xfId="0" applyNumberFormat="1" applyFont="1" applyFill="1" applyBorder="1" applyAlignment="1">
      <alignment horizontal="center" vertical="center"/>
    </xf>
    <xf numFmtId="0" fontId="1" fillId="26" borderId="0" xfId="0" applyFont="1" applyFill="1"/>
    <xf numFmtId="0" fontId="3" fillId="0" borderId="0" xfId="0" applyFont="1" applyAlignment="1">
      <alignment horizontal="right"/>
    </xf>
    <xf numFmtId="0" fontId="0" fillId="0" borderId="10" xfId="0" applyBorder="1"/>
    <xf numFmtId="10" fontId="1" fillId="0" borderId="0" xfId="2" applyNumberFormat="1" applyFont="1"/>
    <xf numFmtId="0" fontId="18" fillId="2" borderId="0" xfId="0" applyFont="1" applyFill="1"/>
    <xf numFmtId="0" fontId="7" fillId="3" borderId="0" xfId="0" applyFont="1" applyFill="1"/>
    <xf numFmtId="2" fontId="7" fillId="2" borderId="0" xfId="3" applyNumberFormat="1" applyFont="1" applyFill="1"/>
    <xf numFmtId="0" fontId="11" fillId="0" borderId="0" xfId="0" applyFont="1" applyAlignment="1">
      <alignment horizontal="left"/>
    </xf>
    <xf numFmtId="4" fontId="17" fillId="0" borderId="12" xfId="3" applyNumberFormat="1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4" fontId="8" fillId="0" borderId="0" xfId="0" applyNumberFormat="1" applyFont="1" applyAlignment="1">
      <alignment wrapText="1"/>
    </xf>
    <xf numFmtId="2" fontId="8" fillId="0" borderId="33" xfId="3" applyNumberFormat="1" applyFont="1" applyBorder="1" applyAlignment="1">
      <alignment horizontal="center" vertical="center"/>
    </xf>
    <xf numFmtId="2" fontId="30" fillId="0" borderId="36" xfId="3" applyNumberFormat="1" applyFont="1" applyBorder="1" applyAlignment="1">
      <alignment horizontal="center" vertical="center"/>
    </xf>
    <xf numFmtId="2" fontId="8" fillId="0" borderId="34" xfId="3" applyNumberFormat="1" applyFont="1" applyBorder="1" applyAlignment="1">
      <alignment horizontal="center" vertical="center"/>
    </xf>
    <xf numFmtId="2" fontId="8" fillId="0" borderId="26" xfId="3" applyNumberFormat="1" applyFont="1" applyBorder="1" applyAlignment="1">
      <alignment horizontal="center" vertical="center"/>
    </xf>
    <xf numFmtId="2" fontId="8" fillId="0" borderId="35" xfId="3" applyNumberFormat="1" applyFont="1" applyBorder="1" applyAlignment="1">
      <alignment horizontal="center" vertical="center"/>
    </xf>
    <xf numFmtId="2" fontId="8" fillId="0" borderId="37" xfId="3" applyNumberFormat="1" applyFont="1" applyBorder="1" applyAlignment="1">
      <alignment horizontal="center" vertical="center"/>
    </xf>
    <xf numFmtId="2" fontId="8" fillId="0" borderId="29" xfId="3" applyNumberFormat="1" applyFont="1" applyBorder="1" applyAlignment="1">
      <alignment horizontal="center" vertical="center"/>
    </xf>
    <xf numFmtId="2" fontId="8" fillId="0" borderId="38" xfId="3" applyNumberFormat="1" applyFont="1" applyBorder="1" applyAlignment="1">
      <alignment horizontal="center" vertical="center"/>
    </xf>
    <xf numFmtId="2" fontId="30" fillId="0" borderId="2" xfId="0" applyNumberFormat="1" applyFont="1" applyBorder="1" applyAlignment="1">
      <alignment horizontal="center" vertical="center" wrapText="1"/>
    </xf>
    <xf numFmtId="2" fontId="30" fillId="0" borderId="3" xfId="0" applyNumberFormat="1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2" fontId="30" fillId="0" borderId="9" xfId="0" applyNumberFormat="1" applyFont="1" applyBorder="1" applyAlignment="1">
      <alignment horizontal="center" vertical="center" wrapText="1"/>
    </xf>
    <xf numFmtId="2" fontId="30" fillId="0" borderId="7" xfId="0" applyNumberFormat="1" applyFont="1" applyBorder="1" applyAlignment="1">
      <alignment horizontal="center" vertical="center" wrapText="1"/>
    </xf>
    <xf numFmtId="2" fontId="30" fillId="0" borderId="8" xfId="0" applyNumberFormat="1" applyFont="1" applyBorder="1" applyAlignment="1">
      <alignment horizontal="center" vertical="center" wrapText="1"/>
    </xf>
    <xf numFmtId="2" fontId="66" fillId="0" borderId="10" xfId="0" applyNumberFormat="1" applyFont="1" applyBorder="1" applyAlignment="1">
      <alignment horizontal="left" vertical="center" wrapText="1"/>
    </xf>
    <xf numFmtId="2" fontId="66" fillId="0" borderId="23" xfId="0" applyNumberFormat="1" applyFont="1" applyBorder="1" applyAlignment="1">
      <alignment horizontal="left" vertical="center" wrapText="1"/>
    </xf>
    <xf numFmtId="2" fontId="66" fillId="0" borderId="1" xfId="0" applyNumberFormat="1" applyFont="1" applyBorder="1" applyAlignment="1">
      <alignment horizontal="left" vertical="center" wrapText="1"/>
    </xf>
    <xf numFmtId="1" fontId="8" fillId="0" borderId="23" xfId="0" applyNumberFormat="1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left" vertical="center" wrapText="1"/>
    </xf>
    <xf numFmtId="0" fontId="7" fillId="0" borderId="10" xfId="11" applyFont="1" applyBorder="1" applyAlignment="1">
      <alignment horizontal="left"/>
    </xf>
    <xf numFmtId="0" fontId="7" fillId="0" borderId="23" xfId="11" applyFont="1" applyBorder="1" applyAlignment="1">
      <alignment horizontal="left"/>
    </xf>
    <xf numFmtId="0" fontId="7" fillId="0" borderId="1" xfId="11" applyFont="1" applyBorder="1" applyAlignment="1">
      <alignment horizontal="left"/>
    </xf>
    <xf numFmtId="0" fontId="7" fillId="0" borderId="12" xfId="11" applyFont="1" applyBorder="1" applyAlignment="1">
      <alignment horizontal="center" vertical="center"/>
    </xf>
    <xf numFmtId="0" fontId="23" fillId="0" borderId="10" xfId="11" applyFont="1" applyBorder="1" applyAlignment="1">
      <alignment horizontal="left"/>
    </xf>
    <xf numFmtId="0" fontId="23" fillId="0" borderId="23" xfId="11" applyFont="1" applyBorder="1" applyAlignment="1">
      <alignment horizontal="left"/>
    </xf>
    <xf numFmtId="0" fontId="23" fillId="0" borderId="1" xfId="11" applyFont="1" applyBorder="1" applyAlignment="1">
      <alignment horizontal="left"/>
    </xf>
  </cellXfs>
  <cellStyles count="82">
    <cellStyle name="20% - Ênfase1 2" xfId="10" xr:uid="{00000000-0005-0000-0000-000000000000}"/>
    <cellStyle name="20% - Ênfase2 2" xfId="12" xr:uid="{00000000-0005-0000-0000-000001000000}"/>
    <cellStyle name="20% - Ênfase3 2" xfId="13" xr:uid="{00000000-0005-0000-0000-000002000000}"/>
    <cellStyle name="20% - Ênfase4 2" xfId="14" xr:uid="{00000000-0005-0000-0000-000003000000}"/>
    <cellStyle name="20% - Ênfase5 2" xfId="15" xr:uid="{00000000-0005-0000-0000-000004000000}"/>
    <cellStyle name="20% - Ênfase6 2" xfId="16" xr:uid="{00000000-0005-0000-0000-000005000000}"/>
    <cellStyle name="40% - Ênfase1 2" xfId="17" xr:uid="{00000000-0005-0000-0000-000006000000}"/>
    <cellStyle name="40% - Ênfase2 2" xfId="18" xr:uid="{00000000-0005-0000-0000-000007000000}"/>
    <cellStyle name="40% - Ênfase3 2" xfId="19" xr:uid="{00000000-0005-0000-0000-000008000000}"/>
    <cellStyle name="40% - Ênfase4 2" xfId="20" xr:uid="{00000000-0005-0000-0000-000009000000}"/>
    <cellStyle name="40% - Ênfase5 2" xfId="21" xr:uid="{00000000-0005-0000-0000-00000A000000}"/>
    <cellStyle name="40% - Ênfase6 2" xfId="22" xr:uid="{00000000-0005-0000-0000-00000B000000}"/>
    <cellStyle name="60% - Ênfase1 2" xfId="23" xr:uid="{00000000-0005-0000-0000-00000C000000}"/>
    <cellStyle name="60% - Ênfase2 2" xfId="24" xr:uid="{00000000-0005-0000-0000-00000D000000}"/>
    <cellStyle name="60% - Ênfase3 2" xfId="25" xr:uid="{00000000-0005-0000-0000-00000E000000}"/>
    <cellStyle name="60% - Ênfase4 2" xfId="26" xr:uid="{00000000-0005-0000-0000-00000F000000}"/>
    <cellStyle name="60% - Ênfase5 2" xfId="27" xr:uid="{00000000-0005-0000-0000-000010000000}"/>
    <cellStyle name="60% - Ênfase6 2" xfId="28" xr:uid="{00000000-0005-0000-0000-000011000000}"/>
    <cellStyle name="Bom 2" xfId="29" xr:uid="{00000000-0005-0000-0000-000012000000}"/>
    <cellStyle name="Cálculo 2" xfId="30" xr:uid="{00000000-0005-0000-0000-000013000000}"/>
    <cellStyle name="Célula de Verificação 2" xfId="31" xr:uid="{00000000-0005-0000-0000-000014000000}"/>
    <cellStyle name="Célula Vinculada 2" xfId="32" xr:uid="{00000000-0005-0000-0000-000015000000}"/>
    <cellStyle name="Ênfase1 2" xfId="33" xr:uid="{00000000-0005-0000-0000-000016000000}"/>
    <cellStyle name="Ênfase2 2" xfId="34" xr:uid="{00000000-0005-0000-0000-000017000000}"/>
    <cellStyle name="Ênfase3 2" xfId="35" xr:uid="{00000000-0005-0000-0000-000018000000}"/>
    <cellStyle name="Ênfase4 2" xfId="36" xr:uid="{00000000-0005-0000-0000-000019000000}"/>
    <cellStyle name="Ênfase5 2" xfId="37" xr:uid="{00000000-0005-0000-0000-00001A000000}"/>
    <cellStyle name="Ênfase6 2" xfId="38" xr:uid="{00000000-0005-0000-0000-00001B000000}"/>
    <cellStyle name="Entrada 2" xfId="39" xr:uid="{00000000-0005-0000-0000-00001C000000}"/>
    <cellStyle name="Estilo 1" xfId="9" xr:uid="{00000000-0005-0000-0000-00001D000000}"/>
    <cellStyle name="Incorreto 2" xfId="40" xr:uid="{00000000-0005-0000-0000-00001E000000}"/>
    <cellStyle name="Moeda 2" xfId="6" xr:uid="{00000000-0005-0000-0000-000050000000}"/>
    <cellStyle name="Neutra 2" xfId="41" xr:uid="{00000000-0005-0000-0000-00001F000000}"/>
    <cellStyle name="Neutro 2" xfId="59" xr:uid="{00000000-0005-0000-0000-000060000000}"/>
    <cellStyle name="Normal" xfId="0" builtinId="0"/>
    <cellStyle name="Normal 2" xfId="54" xr:uid="{00000000-0005-0000-0000-000021000000}"/>
    <cellStyle name="Normal 2 2" xfId="63" xr:uid="{00000000-0005-0000-0000-000021000000}"/>
    <cellStyle name="Normal 3" xfId="55" xr:uid="{00000000-0005-0000-0000-000022000000}"/>
    <cellStyle name="Normal 3 2" xfId="64" xr:uid="{00000000-0005-0000-0000-000022000000}"/>
    <cellStyle name="Normal 4" xfId="53" xr:uid="{00000000-0005-0000-0000-000023000000}"/>
    <cellStyle name="Normal 4 2" xfId="62" xr:uid="{00000000-0005-0000-0000-000023000000}"/>
    <cellStyle name="Normal 5" xfId="11" xr:uid="{00000000-0005-0000-0000-000024000000}"/>
    <cellStyle name="Normal 5 2" xfId="61" xr:uid="{00000000-0005-0000-0000-000035000000}"/>
    <cellStyle name="Normal 6" xfId="57" xr:uid="{00000000-0005-0000-0000-000061000000}"/>
    <cellStyle name="Normal_Dim_Arranjo_Derivativo_R4_11mar" xfId="4" xr:uid="{00000000-0005-0000-0000-000002000000}"/>
    <cellStyle name="Normal_VERTEDOR" xfId="3" xr:uid="{00000000-0005-0000-0000-000003000000}"/>
    <cellStyle name="Normal_VERTEDOR 2" xfId="81" xr:uid="{2A0DBD20-7EDB-4127-A8A0-BAA85A104250}"/>
    <cellStyle name="Nota 2" xfId="42" xr:uid="{00000000-0005-0000-0000-000026000000}"/>
    <cellStyle name="Porcentagem" xfId="2" builtinId="5"/>
    <cellStyle name="Porcentagem 2" xfId="52" xr:uid="{00000000-0005-0000-0000-000027000000}"/>
    <cellStyle name="Ruim 2" xfId="58" xr:uid="{00000000-0005-0000-0000-000067000000}"/>
    <cellStyle name="Saída 2" xfId="43" xr:uid="{00000000-0005-0000-0000-000028000000}"/>
    <cellStyle name="Separador de milhares 2" xfId="56" xr:uid="{00000000-0005-0000-0000-000029000000}"/>
    <cellStyle name="Separador de milhares 2 2" xfId="69" xr:uid="{00000000-0005-0000-0000-000029000000}"/>
    <cellStyle name="Separador de milhares 2 3" xfId="76" xr:uid="{00000000-0005-0000-0000-000029000000}"/>
    <cellStyle name="Texto de Aviso 2" xfId="44" xr:uid="{00000000-0005-0000-0000-00002A000000}"/>
    <cellStyle name="Texto Explicativo 2" xfId="45" xr:uid="{00000000-0005-0000-0000-00002B000000}"/>
    <cellStyle name="Título 1 2" xfId="47" xr:uid="{00000000-0005-0000-0000-00002C000000}"/>
    <cellStyle name="Título 2 2" xfId="48" xr:uid="{00000000-0005-0000-0000-00002D000000}"/>
    <cellStyle name="Título 3 2" xfId="49" xr:uid="{00000000-0005-0000-0000-00002E000000}"/>
    <cellStyle name="Título 4 2" xfId="50" xr:uid="{00000000-0005-0000-0000-00002F000000}"/>
    <cellStyle name="Título 5" xfId="46" xr:uid="{00000000-0005-0000-0000-000030000000}"/>
    <cellStyle name="Total 2" xfId="51" xr:uid="{00000000-0005-0000-0000-000031000000}"/>
    <cellStyle name="Vírgula" xfId="1" builtinId="3"/>
    <cellStyle name="Vírgula 2" xfId="8" xr:uid="{00000000-0005-0000-0000-000030000000}"/>
    <cellStyle name="Vírgula 2 2" xfId="65" xr:uid="{00000000-0005-0000-0000-000039000000}"/>
    <cellStyle name="Vírgula 2 2 2" xfId="71" xr:uid="{00000000-0005-0000-0000-000039000000}"/>
    <cellStyle name="Vírgula 2 2 3" xfId="78" xr:uid="{00000000-0005-0000-0000-000039000000}"/>
    <cellStyle name="Vírgula 2 3" xfId="68" xr:uid="{00000000-0005-0000-0000-000030000000}"/>
    <cellStyle name="Vírgula 2 4" xfId="75" xr:uid="{00000000-0005-0000-0000-000030000000}"/>
    <cellStyle name="Vírgula 3" xfId="60" xr:uid="{00000000-0005-0000-0000-000068000000}"/>
    <cellStyle name="Vírgula 3 2" xfId="70" xr:uid="{00000000-0005-0000-0000-000068000000}"/>
    <cellStyle name="Vírgula 3 3" xfId="77" xr:uid="{00000000-0005-0000-0000-000068000000}"/>
    <cellStyle name="Vírgula 4" xfId="66" xr:uid="{00000000-0005-0000-0000-000069000000}"/>
    <cellStyle name="Vírgula 4 2" xfId="72" xr:uid="{00000000-0005-0000-0000-000069000000}"/>
    <cellStyle name="Vírgula 4 3" xfId="79" xr:uid="{00000000-0005-0000-0000-000069000000}"/>
    <cellStyle name="Vírgula 5" xfId="7" xr:uid="{00000000-0005-0000-0000-000068000000}"/>
    <cellStyle name="Vírgula 5 2" xfId="73" xr:uid="{00000000-0005-0000-0000-00006C000000}"/>
    <cellStyle name="Vírgula 5 3" xfId="80" xr:uid="{00000000-0005-0000-0000-00006C000000}"/>
    <cellStyle name="Vírgula 6" xfId="5" xr:uid="{00000000-0005-0000-0000-000069000000}"/>
    <cellStyle name="Vírgula 7" xfId="67" xr:uid="{00000000-0005-0000-0000-000070000000}"/>
    <cellStyle name="Vírgula 8" xfId="74" xr:uid="{00000000-0005-0000-0000-00007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4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hsrp2stnk!$P$19:$P$691</c:f>
              <c:numCache>
                <c:formatCode>General</c:formatCode>
                <c:ptCount val="67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</c:numCache>
            </c:numRef>
          </c:xVal>
          <c:yVal>
            <c:numRef>
              <c:f>hsrp2stnk!$R$19:$R$692</c:f>
              <c:numCache>
                <c:formatCode>0.000</c:formatCode>
                <c:ptCount val="67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E-448C-8A72-6A426D9A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61295"/>
        <c:axId val="1"/>
      </c:scatterChart>
      <c:valAx>
        <c:axId val="1723261295"/>
        <c:scaling>
          <c:orientation val="minMax"/>
          <c:max val="30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INTERVALO</a:t>
                </a:r>
                <a:r>
                  <a:rPr lang="pt-BR" sz="11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 TEMPO (s)</a:t>
                </a:r>
                <a:endParaRPr lang="pt-BR" sz="11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89447625864947"/>
              <c:y val="0.951920122887864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14"/>
          <c:min val="-14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ALTURA</a:t>
                </a:r>
                <a:r>
                  <a:rPr lang="pt-BR" sz="11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LÂMINA D'ÁGUA NA CHAMINÉ (m)</a:t>
                </a:r>
                <a:endParaRPr lang="pt-BR" sz="11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929432116439989E-3"/>
              <c:y val="0.151313424531610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23261295"/>
        <c:crosses val="autoZero"/>
        <c:crossBetween val="midCat"/>
        <c:majorUnit val="2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4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hsrp2new!$U$41:$U$714</c:f>
              <c:numCache>
                <c:formatCode>General</c:formatCode>
                <c:ptCount val="674"/>
                <c:pt idx="0">
                  <c:v>0</c:v>
                </c:pt>
                <c:pt idx="2">
                  <c:v>0.2</c:v>
                </c:pt>
                <c:pt idx="4">
                  <c:v>0.4</c:v>
                </c:pt>
                <c:pt idx="6">
                  <c:v>0.60000000000000009</c:v>
                </c:pt>
                <c:pt idx="8">
                  <c:v>0.8</c:v>
                </c:pt>
                <c:pt idx="10">
                  <c:v>1</c:v>
                </c:pt>
                <c:pt idx="12">
                  <c:v>1.2</c:v>
                </c:pt>
                <c:pt idx="14">
                  <c:v>1.4</c:v>
                </c:pt>
                <c:pt idx="16">
                  <c:v>1.5999999999999999</c:v>
                </c:pt>
                <c:pt idx="18">
                  <c:v>1.7999999999999998</c:v>
                </c:pt>
                <c:pt idx="20">
                  <c:v>1.9999999999999998</c:v>
                </c:pt>
                <c:pt idx="22">
                  <c:v>2.1999999999999997</c:v>
                </c:pt>
                <c:pt idx="24">
                  <c:v>2.4</c:v>
                </c:pt>
                <c:pt idx="26">
                  <c:v>2.6</c:v>
                </c:pt>
                <c:pt idx="28">
                  <c:v>2.8000000000000003</c:v>
                </c:pt>
                <c:pt idx="30">
                  <c:v>3.0000000000000004</c:v>
                </c:pt>
                <c:pt idx="32">
                  <c:v>3.2000000000000006</c:v>
                </c:pt>
                <c:pt idx="34">
                  <c:v>3.4000000000000008</c:v>
                </c:pt>
                <c:pt idx="36">
                  <c:v>3.600000000000001</c:v>
                </c:pt>
                <c:pt idx="38">
                  <c:v>3.8000000000000012</c:v>
                </c:pt>
                <c:pt idx="40">
                  <c:v>4.0000000000000009</c:v>
                </c:pt>
                <c:pt idx="42">
                  <c:v>4.2000000000000011</c:v>
                </c:pt>
                <c:pt idx="44">
                  <c:v>4.4000000000000012</c:v>
                </c:pt>
                <c:pt idx="46">
                  <c:v>4.6000000000000014</c:v>
                </c:pt>
                <c:pt idx="48">
                  <c:v>4.8000000000000016</c:v>
                </c:pt>
                <c:pt idx="50">
                  <c:v>5.0000000000000018</c:v>
                </c:pt>
                <c:pt idx="52">
                  <c:v>5.200000000000002</c:v>
                </c:pt>
                <c:pt idx="54">
                  <c:v>5.4000000000000021</c:v>
                </c:pt>
                <c:pt idx="56">
                  <c:v>5.6000000000000023</c:v>
                </c:pt>
                <c:pt idx="58">
                  <c:v>5.8000000000000025</c:v>
                </c:pt>
                <c:pt idx="60">
                  <c:v>6.0000000000000027</c:v>
                </c:pt>
                <c:pt idx="62">
                  <c:v>6.2000000000000028</c:v>
                </c:pt>
                <c:pt idx="64">
                  <c:v>6.400000000000003</c:v>
                </c:pt>
                <c:pt idx="66">
                  <c:v>6.6000000000000032</c:v>
                </c:pt>
                <c:pt idx="68">
                  <c:v>6.8000000000000034</c:v>
                </c:pt>
                <c:pt idx="70">
                  <c:v>7.0000000000000036</c:v>
                </c:pt>
                <c:pt idx="72">
                  <c:v>7.2000000000000037</c:v>
                </c:pt>
                <c:pt idx="74">
                  <c:v>7.4000000000000039</c:v>
                </c:pt>
                <c:pt idx="76">
                  <c:v>7.6000000000000041</c:v>
                </c:pt>
                <c:pt idx="78">
                  <c:v>7.8000000000000043</c:v>
                </c:pt>
                <c:pt idx="80">
                  <c:v>8.0000000000000036</c:v>
                </c:pt>
                <c:pt idx="82">
                  <c:v>8.2000000000000028</c:v>
                </c:pt>
                <c:pt idx="84">
                  <c:v>8.4000000000000021</c:v>
                </c:pt>
                <c:pt idx="86">
                  <c:v>8.6000000000000014</c:v>
                </c:pt>
                <c:pt idx="88">
                  <c:v>8.8000000000000007</c:v>
                </c:pt>
                <c:pt idx="90">
                  <c:v>9</c:v>
                </c:pt>
                <c:pt idx="92">
                  <c:v>9.1999999999999993</c:v>
                </c:pt>
                <c:pt idx="94">
                  <c:v>9.3999999999999986</c:v>
                </c:pt>
                <c:pt idx="96">
                  <c:v>9.5999999999999979</c:v>
                </c:pt>
                <c:pt idx="98">
                  <c:v>9.7999999999999972</c:v>
                </c:pt>
                <c:pt idx="100">
                  <c:v>9.9999999999999964</c:v>
                </c:pt>
                <c:pt idx="102">
                  <c:v>10.199999999999996</c:v>
                </c:pt>
                <c:pt idx="104">
                  <c:v>10.399999999999995</c:v>
                </c:pt>
                <c:pt idx="106">
                  <c:v>10.599999999999994</c:v>
                </c:pt>
                <c:pt idx="108">
                  <c:v>10.799999999999994</c:v>
                </c:pt>
                <c:pt idx="110">
                  <c:v>10.999999999999993</c:v>
                </c:pt>
                <c:pt idx="112">
                  <c:v>11.199999999999992</c:v>
                </c:pt>
                <c:pt idx="114">
                  <c:v>11.399999999999991</c:v>
                </c:pt>
                <c:pt idx="116">
                  <c:v>11.599999999999991</c:v>
                </c:pt>
                <c:pt idx="118">
                  <c:v>11.79999999999999</c:v>
                </c:pt>
                <c:pt idx="120">
                  <c:v>11.999999999999989</c:v>
                </c:pt>
                <c:pt idx="122">
                  <c:v>12.199999999999989</c:v>
                </c:pt>
                <c:pt idx="124">
                  <c:v>12.399999999999988</c:v>
                </c:pt>
                <c:pt idx="126">
                  <c:v>12.599999999999987</c:v>
                </c:pt>
                <c:pt idx="128">
                  <c:v>12.799999999999986</c:v>
                </c:pt>
                <c:pt idx="130">
                  <c:v>12.999999999999986</c:v>
                </c:pt>
                <c:pt idx="132">
                  <c:v>13.199999999999985</c:v>
                </c:pt>
                <c:pt idx="134">
                  <c:v>13.399999999999984</c:v>
                </c:pt>
                <c:pt idx="136">
                  <c:v>13.599999999999984</c:v>
                </c:pt>
                <c:pt idx="138">
                  <c:v>13.799999999999983</c:v>
                </c:pt>
                <c:pt idx="140">
                  <c:v>13.999999999999982</c:v>
                </c:pt>
                <c:pt idx="142">
                  <c:v>14.199999999999982</c:v>
                </c:pt>
                <c:pt idx="144">
                  <c:v>14.399999999999981</c:v>
                </c:pt>
                <c:pt idx="146">
                  <c:v>14.59999999999998</c:v>
                </c:pt>
                <c:pt idx="148">
                  <c:v>14.799999999999979</c:v>
                </c:pt>
                <c:pt idx="150">
                  <c:v>14.999999999999979</c:v>
                </c:pt>
                <c:pt idx="152">
                  <c:v>15.199999999999978</c:v>
                </c:pt>
                <c:pt idx="154">
                  <c:v>15.399999999999977</c:v>
                </c:pt>
                <c:pt idx="156">
                  <c:v>15.599999999999977</c:v>
                </c:pt>
                <c:pt idx="158">
                  <c:v>15.799999999999976</c:v>
                </c:pt>
                <c:pt idx="160">
                  <c:v>15.999999999999975</c:v>
                </c:pt>
                <c:pt idx="162">
                  <c:v>16.199999999999974</c:v>
                </c:pt>
                <c:pt idx="164">
                  <c:v>16.399999999999974</c:v>
                </c:pt>
                <c:pt idx="166">
                  <c:v>16.599999999999973</c:v>
                </c:pt>
                <c:pt idx="168">
                  <c:v>16.799999999999972</c:v>
                </c:pt>
                <c:pt idx="170">
                  <c:v>16.999999999999972</c:v>
                </c:pt>
                <c:pt idx="172">
                  <c:v>17.199999999999971</c:v>
                </c:pt>
                <c:pt idx="174">
                  <c:v>17.39999999999997</c:v>
                </c:pt>
                <c:pt idx="176">
                  <c:v>17.599999999999969</c:v>
                </c:pt>
                <c:pt idx="178">
                  <c:v>17.799999999999969</c:v>
                </c:pt>
                <c:pt idx="180">
                  <c:v>17.999999999999968</c:v>
                </c:pt>
                <c:pt idx="182">
                  <c:v>18.199999999999967</c:v>
                </c:pt>
                <c:pt idx="184">
                  <c:v>18.399999999999967</c:v>
                </c:pt>
                <c:pt idx="186">
                  <c:v>18.599999999999966</c:v>
                </c:pt>
                <c:pt idx="188">
                  <c:v>18.799999999999965</c:v>
                </c:pt>
                <c:pt idx="190">
                  <c:v>18.999999999999964</c:v>
                </c:pt>
                <c:pt idx="192">
                  <c:v>19.199999999999964</c:v>
                </c:pt>
                <c:pt idx="194">
                  <c:v>19.399999999999963</c:v>
                </c:pt>
                <c:pt idx="196">
                  <c:v>19.599999999999962</c:v>
                </c:pt>
                <c:pt idx="198">
                  <c:v>19.799999999999962</c:v>
                </c:pt>
                <c:pt idx="200">
                  <c:v>19.999999999999961</c:v>
                </c:pt>
                <c:pt idx="202">
                  <c:v>20.19999999999996</c:v>
                </c:pt>
                <c:pt idx="204">
                  <c:v>20.399999999999959</c:v>
                </c:pt>
                <c:pt idx="206">
                  <c:v>20.599999999999959</c:v>
                </c:pt>
                <c:pt idx="208">
                  <c:v>20.799999999999958</c:v>
                </c:pt>
                <c:pt idx="210">
                  <c:v>20.999999999999957</c:v>
                </c:pt>
                <c:pt idx="212">
                  <c:v>21.199999999999957</c:v>
                </c:pt>
                <c:pt idx="214">
                  <c:v>21.399999999999956</c:v>
                </c:pt>
                <c:pt idx="216">
                  <c:v>21.599999999999955</c:v>
                </c:pt>
                <c:pt idx="218">
                  <c:v>21.799999999999955</c:v>
                </c:pt>
                <c:pt idx="220">
                  <c:v>21.999999999999954</c:v>
                </c:pt>
                <c:pt idx="222">
                  <c:v>22.199999999999953</c:v>
                </c:pt>
                <c:pt idx="224">
                  <c:v>22.399999999999952</c:v>
                </c:pt>
                <c:pt idx="226">
                  <c:v>22.599999999999952</c:v>
                </c:pt>
                <c:pt idx="228">
                  <c:v>22.799999999999951</c:v>
                </c:pt>
                <c:pt idx="230">
                  <c:v>22.99999999999995</c:v>
                </c:pt>
                <c:pt idx="232">
                  <c:v>23.19999999999995</c:v>
                </c:pt>
                <c:pt idx="234">
                  <c:v>23.399999999999949</c:v>
                </c:pt>
                <c:pt idx="236">
                  <c:v>23.599999999999948</c:v>
                </c:pt>
                <c:pt idx="238">
                  <c:v>23.799999999999947</c:v>
                </c:pt>
                <c:pt idx="240">
                  <c:v>23.999999999999947</c:v>
                </c:pt>
                <c:pt idx="242">
                  <c:v>24.199999999999946</c:v>
                </c:pt>
                <c:pt idx="244">
                  <c:v>24.399999999999945</c:v>
                </c:pt>
                <c:pt idx="246">
                  <c:v>24.599999999999945</c:v>
                </c:pt>
                <c:pt idx="248">
                  <c:v>24.799999999999944</c:v>
                </c:pt>
                <c:pt idx="250">
                  <c:v>24.999999999999943</c:v>
                </c:pt>
                <c:pt idx="252">
                  <c:v>25.199999999999942</c:v>
                </c:pt>
                <c:pt idx="254">
                  <c:v>25.399999999999942</c:v>
                </c:pt>
                <c:pt idx="256">
                  <c:v>25.599999999999941</c:v>
                </c:pt>
                <c:pt idx="258">
                  <c:v>25.79999999999994</c:v>
                </c:pt>
                <c:pt idx="260">
                  <c:v>25.99999999999994</c:v>
                </c:pt>
                <c:pt idx="262">
                  <c:v>26.199999999999939</c:v>
                </c:pt>
                <c:pt idx="264">
                  <c:v>26.399999999999938</c:v>
                </c:pt>
                <c:pt idx="266">
                  <c:v>26.599999999999937</c:v>
                </c:pt>
                <c:pt idx="268">
                  <c:v>26.799999999999937</c:v>
                </c:pt>
                <c:pt idx="270">
                  <c:v>26.999999999999936</c:v>
                </c:pt>
                <c:pt idx="272">
                  <c:v>27.199999999999935</c:v>
                </c:pt>
                <c:pt idx="274">
                  <c:v>27.399999999999935</c:v>
                </c:pt>
                <c:pt idx="276">
                  <c:v>27.599999999999934</c:v>
                </c:pt>
                <c:pt idx="278">
                  <c:v>27.799999999999933</c:v>
                </c:pt>
                <c:pt idx="280">
                  <c:v>27.999999999999932</c:v>
                </c:pt>
                <c:pt idx="282">
                  <c:v>28.199999999999932</c:v>
                </c:pt>
                <c:pt idx="284">
                  <c:v>28.399999999999931</c:v>
                </c:pt>
                <c:pt idx="286">
                  <c:v>28.59999999999993</c:v>
                </c:pt>
                <c:pt idx="288">
                  <c:v>28.79999999999993</c:v>
                </c:pt>
                <c:pt idx="290">
                  <c:v>28.999999999999929</c:v>
                </c:pt>
                <c:pt idx="292">
                  <c:v>29.199999999999928</c:v>
                </c:pt>
                <c:pt idx="294">
                  <c:v>29.399999999999928</c:v>
                </c:pt>
                <c:pt idx="296">
                  <c:v>29.599999999999927</c:v>
                </c:pt>
                <c:pt idx="298">
                  <c:v>29.799999999999926</c:v>
                </c:pt>
                <c:pt idx="300">
                  <c:v>29.999999999999925</c:v>
                </c:pt>
                <c:pt idx="302">
                  <c:v>30.199999999999925</c:v>
                </c:pt>
                <c:pt idx="304">
                  <c:v>30.399999999999924</c:v>
                </c:pt>
                <c:pt idx="306">
                  <c:v>30.599999999999923</c:v>
                </c:pt>
                <c:pt idx="308">
                  <c:v>30.799999999999923</c:v>
                </c:pt>
                <c:pt idx="310">
                  <c:v>30.999999999999922</c:v>
                </c:pt>
                <c:pt idx="312">
                  <c:v>31.199999999999921</c:v>
                </c:pt>
                <c:pt idx="314">
                  <c:v>31.39999999999992</c:v>
                </c:pt>
                <c:pt idx="316">
                  <c:v>31.59999999999992</c:v>
                </c:pt>
                <c:pt idx="318">
                  <c:v>31.799999999999919</c:v>
                </c:pt>
                <c:pt idx="320">
                  <c:v>31.999999999999918</c:v>
                </c:pt>
                <c:pt idx="322">
                  <c:v>32.199999999999918</c:v>
                </c:pt>
                <c:pt idx="324">
                  <c:v>32.39999999999992</c:v>
                </c:pt>
                <c:pt idx="326">
                  <c:v>32.599999999999923</c:v>
                </c:pt>
                <c:pt idx="328">
                  <c:v>32.799999999999926</c:v>
                </c:pt>
                <c:pt idx="330">
                  <c:v>32.999999999999929</c:v>
                </c:pt>
                <c:pt idx="332">
                  <c:v>33.199999999999932</c:v>
                </c:pt>
                <c:pt idx="334">
                  <c:v>33.399999999999935</c:v>
                </c:pt>
                <c:pt idx="336">
                  <c:v>33.599999999999937</c:v>
                </c:pt>
                <c:pt idx="338">
                  <c:v>33.79999999999994</c:v>
                </c:pt>
                <c:pt idx="340">
                  <c:v>33.999999999999943</c:v>
                </c:pt>
                <c:pt idx="342">
                  <c:v>34.199999999999946</c:v>
                </c:pt>
                <c:pt idx="344">
                  <c:v>34.399999999999949</c:v>
                </c:pt>
                <c:pt idx="346">
                  <c:v>34.599999999999952</c:v>
                </c:pt>
                <c:pt idx="348">
                  <c:v>34.799999999999955</c:v>
                </c:pt>
                <c:pt idx="350">
                  <c:v>34.999999999999957</c:v>
                </c:pt>
                <c:pt idx="352">
                  <c:v>35.19999999999996</c:v>
                </c:pt>
                <c:pt idx="354">
                  <c:v>35.399999999999963</c:v>
                </c:pt>
                <c:pt idx="356">
                  <c:v>35.599999999999966</c:v>
                </c:pt>
                <c:pt idx="358">
                  <c:v>35.799999999999969</c:v>
                </c:pt>
                <c:pt idx="360">
                  <c:v>35.999999999999972</c:v>
                </c:pt>
                <c:pt idx="362">
                  <c:v>36.199999999999974</c:v>
                </c:pt>
                <c:pt idx="364">
                  <c:v>36.399999999999977</c:v>
                </c:pt>
                <c:pt idx="366">
                  <c:v>36.59999999999998</c:v>
                </c:pt>
                <c:pt idx="368">
                  <c:v>36.799999999999983</c:v>
                </c:pt>
                <c:pt idx="370">
                  <c:v>36.999999999999986</c:v>
                </c:pt>
                <c:pt idx="372">
                  <c:v>37.199999999999989</c:v>
                </c:pt>
                <c:pt idx="374">
                  <c:v>37.399999999999991</c:v>
                </c:pt>
                <c:pt idx="376">
                  <c:v>37.599999999999994</c:v>
                </c:pt>
                <c:pt idx="378">
                  <c:v>37.799999999999997</c:v>
                </c:pt>
                <c:pt idx="380">
                  <c:v>38</c:v>
                </c:pt>
                <c:pt idx="382">
                  <c:v>38.200000000000003</c:v>
                </c:pt>
                <c:pt idx="384">
                  <c:v>38.400000000000006</c:v>
                </c:pt>
                <c:pt idx="386">
                  <c:v>38.600000000000009</c:v>
                </c:pt>
                <c:pt idx="388">
                  <c:v>38.800000000000011</c:v>
                </c:pt>
                <c:pt idx="390">
                  <c:v>39.000000000000014</c:v>
                </c:pt>
                <c:pt idx="392">
                  <c:v>39.200000000000017</c:v>
                </c:pt>
                <c:pt idx="394">
                  <c:v>39.40000000000002</c:v>
                </c:pt>
                <c:pt idx="396">
                  <c:v>39.600000000000023</c:v>
                </c:pt>
                <c:pt idx="398">
                  <c:v>39.800000000000026</c:v>
                </c:pt>
                <c:pt idx="400">
                  <c:v>40.000000000000028</c:v>
                </c:pt>
                <c:pt idx="402">
                  <c:v>40.200000000000031</c:v>
                </c:pt>
                <c:pt idx="404">
                  <c:v>40.400000000000034</c:v>
                </c:pt>
                <c:pt idx="406">
                  <c:v>40.600000000000037</c:v>
                </c:pt>
                <c:pt idx="408">
                  <c:v>40.80000000000004</c:v>
                </c:pt>
                <c:pt idx="410">
                  <c:v>41.000000000000043</c:v>
                </c:pt>
                <c:pt idx="412">
                  <c:v>41.200000000000045</c:v>
                </c:pt>
                <c:pt idx="414">
                  <c:v>41.400000000000048</c:v>
                </c:pt>
                <c:pt idx="416">
                  <c:v>41.600000000000051</c:v>
                </c:pt>
                <c:pt idx="418">
                  <c:v>41.800000000000054</c:v>
                </c:pt>
                <c:pt idx="420">
                  <c:v>42.000000000000057</c:v>
                </c:pt>
                <c:pt idx="422">
                  <c:v>42.20000000000006</c:v>
                </c:pt>
                <c:pt idx="424">
                  <c:v>42.400000000000063</c:v>
                </c:pt>
                <c:pt idx="426">
                  <c:v>42.600000000000065</c:v>
                </c:pt>
                <c:pt idx="428">
                  <c:v>42.800000000000068</c:v>
                </c:pt>
                <c:pt idx="430">
                  <c:v>43.000000000000071</c:v>
                </c:pt>
                <c:pt idx="432">
                  <c:v>43.200000000000074</c:v>
                </c:pt>
                <c:pt idx="434">
                  <c:v>43.400000000000077</c:v>
                </c:pt>
                <c:pt idx="436">
                  <c:v>43.60000000000008</c:v>
                </c:pt>
                <c:pt idx="438">
                  <c:v>43.800000000000082</c:v>
                </c:pt>
                <c:pt idx="440">
                  <c:v>44.000000000000085</c:v>
                </c:pt>
                <c:pt idx="442">
                  <c:v>44.200000000000088</c:v>
                </c:pt>
                <c:pt idx="444">
                  <c:v>44.400000000000091</c:v>
                </c:pt>
                <c:pt idx="446">
                  <c:v>44.600000000000094</c:v>
                </c:pt>
                <c:pt idx="448">
                  <c:v>44.800000000000097</c:v>
                </c:pt>
                <c:pt idx="450">
                  <c:v>45.000000000000099</c:v>
                </c:pt>
                <c:pt idx="452">
                  <c:v>45.200000000000102</c:v>
                </c:pt>
                <c:pt idx="454">
                  <c:v>45.400000000000105</c:v>
                </c:pt>
                <c:pt idx="456">
                  <c:v>45.600000000000108</c:v>
                </c:pt>
                <c:pt idx="458">
                  <c:v>45.800000000000111</c:v>
                </c:pt>
                <c:pt idx="460">
                  <c:v>46.000000000000114</c:v>
                </c:pt>
                <c:pt idx="462">
                  <c:v>46.200000000000117</c:v>
                </c:pt>
                <c:pt idx="464">
                  <c:v>46.400000000000119</c:v>
                </c:pt>
                <c:pt idx="466">
                  <c:v>46.600000000000122</c:v>
                </c:pt>
                <c:pt idx="468">
                  <c:v>46.800000000000125</c:v>
                </c:pt>
                <c:pt idx="470">
                  <c:v>47.000000000000128</c:v>
                </c:pt>
                <c:pt idx="472">
                  <c:v>47.200000000000131</c:v>
                </c:pt>
                <c:pt idx="474">
                  <c:v>47.400000000000134</c:v>
                </c:pt>
                <c:pt idx="476">
                  <c:v>47.600000000000136</c:v>
                </c:pt>
                <c:pt idx="478">
                  <c:v>47.800000000000139</c:v>
                </c:pt>
                <c:pt idx="480">
                  <c:v>48.000000000000142</c:v>
                </c:pt>
                <c:pt idx="482">
                  <c:v>48.200000000000145</c:v>
                </c:pt>
                <c:pt idx="484">
                  <c:v>48.400000000000148</c:v>
                </c:pt>
                <c:pt idx="486">
                  <c:v>48.600000000000151</c:v>
                </c:pt>
                <c:pt idx="488">
                  <c:v>48.800000000000153</c:v>
                </c:pt>
                <c:pt idx="490">
                  <c:v>49.000000000000156</c:v>
                </c:pt>
                <c:pt idx="492">
                  <c:v>49.200000000000159</c:v>
                </c:pt>
                <c:pt idx="494">
                  <c:v>49.400000000000162</c:v>
                </c:pt>
                <c:pt idx="496">
                  <c:v>49.600000000000165</c:v>
                </c:pt>
                <c:pt idx="498">
                  <c:v>49.800000000000168</c:v>
                </c:pt>
                <c:pt idx="500">
                  <c:v>50.000000000000171</c:v>
                </c:pt>
                <c:pt idx="502">
                  <c:v>50.200000000000173</c:v>
                </c:pt>
                <c:pt idx="504">
                  <c:v>50.400000000000176</c:v>
                </c:pt>
                <c:pt idx="506">
                  <c:v>50.600000000000179</c:v>
                </c:pt>
                <c:pt idx="508">
                  <c:v>50.800000000000182</c:v>
                </c:pt>
                <c:pt idx="510">
                  <c:v>51.000000000000185</c:v>
                </c:pt>
                <c:pt idx="512">
                  <c:v>51.200000000000188</c:v>
                </c:pt>
                <c:pt idx="514">
                  <c:v>51.40000000000019</c:v>
                </c:pt>
                <c:pt idx="516">
                  <c:v>51.600000000000193</c:v>
                </c:pt>
                <c:pt idx="518">
                  <c:v>51.800000000000196</c:v>
                </c:pt>
                <c:pt idx="520">
                  <c:v>52.000000000000199</c:v>
                </c:pt>
                <c:pt idx="522">
                  <c:v>52.200000000000202</c:v>
                </c:pt>
                <c:pt idx="524">
                  <c:v>52.400000000000205</c:v>
                </c:pt>
                <c:pt idx="526">
                  <c:v>52.600000000000207</c:v>
                </c:pt>
                <c:pt idx="528">
                  <c:v>52.80000000000021</c:v>
                </c:pt>
                <c:pt idx="530">
                  <c:v>53.000000000000213</c:v>
                </c:pt>
                <c:pt idx="532">
                  <c:v>53.200000000000216</c:v>
                </c:pt>
                <c:pt idx="534">
                  <c:v>53.400000000000219</c:v>
                </c:pt>
                <c:pt idx="536">
                  <c:v>53.600000000000222</c:v>
                </c:pt>
                <c:pt idx="538">
                  <c:v>53.800000000000225</c:v>
                </c:pt>
                <c:pt idx="540">
                  <c:v>54.000000000000227</c:v>
                </c:pt>
                <c:pt idx="542">
                  <c:v>54.20000000000023</c:v>
                </c:pt>
                <c:pt idx="544">
                  <c:v>54.400000000000233</c:v>
                </c:pt>
                <c:pt idx="546">
                  <c:v>54.600000000000236</c:v>
                </c:pt>
                <c:pt idx="548">
                  <c:v>54.800000000000239</c:v>
                </c:pt>
                <c:pt idx="550">
                  <c:v>55.000000000000242</c:v>
                </c:pt>
                <c:pt idx="552">
                  <c:v>55.200000000000244</c:v>
                </c:pt>
                <c:pt idx="554">
                  <c:v>55.400000000000247</c:v>
                </c:pt>
                <c:pt idx="556">
                  <c:v>55.60000000000025</c:v>
                </c:pt>
                <c:pt idx="558">
                  <c:v>55.800000000000253</c:v>
                </c:pt>
                <c:pt idx="560">
                  <c:v>56.000000000000256</c:v>
                </c:pt>
                <c:pt idx="562">
                  <c:v>56.200000000000259</c:v>
                </c:pt>
                <c:pt idx="564">
                  <c:v>56.400000000000261</c:v>
                </c:pt>
                <c:pt idx="566">
                  <c:v>56.600000000000264</c:v>
                </c:pt>
                <c:pt idx="568">
                  <c:v>56.800000000000267</c:v>
                </c:pt>
                <c:pt idx="570">
                  <c:v>57.00000000000027</c:v>
                </c:pt>
                <c:pt idx="572">
                  <c:v>57.200000000000273</c:v>
                </c:pt>
                <c:pt idx="574">
                  <c:v>57.400000000000276</c:v>
                </c:pt>
                <c:pt idx="576">
                  <c:v>57.600000000000279</c:v>
                </c:pt>
                <c:pt idx="578">
                  <c:v>57.800000000000281</c:v>
                </c:pt>
                <c:pt idx="580">
                  <c:v>58.000000000000284</c:v>
                </c:pt>
                <c:pt idx="582">
                  <c:v>58.200000000000287</c:v>
                </c:pt>
                <c:pt idx="584">
                  <c:v>58.40000000000029</c:v>
                </c:pt>
                <c:pt idx="586">
                  <c:v>58.600000000000293</c:v>
                </c:pt>
                <c:pt idx="588">
                  <c:v>58.800000000000296</c:v>
                </c:pt>
                <c:pt idx="590">
                  <c:v>59.000000000000298</c:v>
                </c:pt>
                <c:pt idx="592">
                  <c:v>59.200000000000301</c:v>
                </c:pt>
                <c:pt idx="594">
                  <c:v>59.400000000000304</c:v>
                </c:pt>
                <c:pt idx="596">
                  <c:v>59.600000000000307</c:v>
                </c:pt>
                <c:pt idx="598">
                  <c:v>59.80000000000031</c:v>
                </c:pt>
                <c:pt idx="600">
                  <c:v>60.000000000000313</c:v>
                </c:pt>
                <c:pt idx="602">
                  <c:v>60.200000000000315</c:v>
                </c:pt>
                <c:pt idx="604">
                  <c:v>60.400000000000318</c:v>
                </c:pt>
                <c:pt idx="606">
                  <c:v>60.600000000000321</c:v>
                </c:pt>
                <c:pt idx="608">
                  <c:v>60.800000000000324</c:v>
                </c:pt>
                <c:pt idx="610">
                  <c:v>61.000000000000327</c:v>
                </c:pt>
                <c:pt idx="612">
                  <c:v>61.20000000000033</c:v>
                </c:pt>
                <c:pt idx="614">
                  <c:v>61.400000000000333</c:v>
                </c:pt>
                <c:pt idx="616">
                  <c:v>61.600000000000335</c:v>
                </c:pt>
                <c:pt idx="618">
                  <c:v>61.800000000000338</c:v>
                </c:pt>
                <c:pt idx="620">
                  <c:v>62.000000000000341</c:v>
                </c:pt>
                <c:pt idx="622">
                  <c:v>62.200000000000344</c:v>
                </c:pt>
                <c:pt idx="624">
                  <c:v>62.400000000000347</c:v>
                </c:pt>
                <c:pt idx="626">
                  <c:v>62.60000000000035</c:v>
                </c:pt>
                <c:pt idx="628">
                  <c:v>62.800000000000352</c:v>
                </c:pt>
                <c:pt idx="630">
                  <c:v>63.000000000000355</c:v>
                </c:pt>
                <c:pt idx="632">
                  <c:v>63.200000000000358</c:v>
                </c:pt>
                <c:pt idx="634">
                  <c:v>63.400000000000361</c:v>
                </c:pt>
                <c:pt idx="636">
                  <c:v>63.600000000000364</c:v>
                </c:pt>
                <c:pt idx="638">
                  <c:v>63.800000000000367</c:v>
                </c:pt>
                <c:pt idx="640">
                  <c:v>64.000000000000369</c:v>
                </c:pt>
                <c:pt idx="642">
                  <c:v>64.200000000000372</c:v>
                </c:pt>
                <c:pt idx="644">
                  <c:v>64.400000000000375</c:v>
                </c:pt>
                <c:pt idx="646">
                  <c:v>64.600000000000378</c:v>
                </c:pt>
                <c:pt idx="648">
                  <c:v>64.800000000000381</c:v>
                </c:pt>
                <c:pt idx="650">
                  <c:v>65.000000000000384</c:v>
                </c:pt>
                <c:pt idx="652">
                  <c:v>65.200000000000387</c:v>
                </c:pt>
                <c:pt idx="654">
                  <c:v>65.400000000000389</c:v>
                </c:pt>
                <c:pt idx="656">
                  <c:v>65.600000000000392</c:v>
                </c:pt>
                <c:pt idx="658">
                  <c:v>65.800000000000395</c:v>
                </c:pt>
                <c:pt idx="660">
                  <c:v>66.000000000000398</c:v>
                </c:pt>
                <c:pt idx="662">
                  <c:v>66.200000000000401</c:v>
                </c:pt>
                <c:pt idx="664">
                  <c:v>66.400000000000404</c:v>
                </c:pt>
                <c:pt idx="666">
                  <c:v>66.600000000000406</c:v>
                </c:pt>
                <c:pt idx="668">
                  <c:v>66.800000000000409</c:v>
                </c:pt>
                <c:pt idx="670">
                  <c:v>67.000000000000412</c:v>
                </c:pt>
                <c:pt idx="672">
                  <c:v>67.200000000000415</c:v>
                </c:pt>
              </c:numCache>
            </c:numRef>
          </c:xVal>
          <c:yVal>
            <c:numRef>
              <c:f>hsrp2new!$W$41:$W$714</c:f>
              <c:numCache>
                <c:formatCode>0.000</c:formatCode>
                <c:ptCount val="674"/>
                <c:pt idx="0">
                  <c:v>-0.11278387116368398</c:v>
                </c:pt>
                <c:pt idx="2">
                  <c:v>0.25071058234415078</c:v>
                </c:pt>
                <c:pt idx="4">
                  <c:v>0.61239734346507957</c:v>
                </c:pt>
                <c:pt idx="6">
                  <c:v>0.79301416405958969</c:v>
                </c:pt>
                <c:pt idx="8">
                  <c:v>0.97155184330937772</c:v>
                </c:pt>
                <c:pt idx="10">
                  <c:v>1.1471575520905752</c:v>
                </c:pt>
                <c:pt idx="12">
                  <c:v>1.3193153851395463</c:v>
                </c:pt>
                <c:pt idx="14">
                  <c:v>1.4875201688853734</c:v>
                </c:pt>
                <c:pt idx="16">
                  <c:v>1.6512787108849829</c:v>
                </c:pt>
                <c:pt idx="18">
                  <c:v>1.8101111407225894</c:v>
                </c:pt>
                <c:pt idx="20">
                  <c:v>1.9635522127411003</c:v>
                </c:pt>
                <c:pt idx="22">
                  <c:v>2.1111525709127852</c:v>
                </c:pt>
                <c:pt idx="24">
                  <c:v>2.2524799759740657</c:v>
                </c:pt>
                <c:pt idx="26">
                  <c:v>2.3871204945548872</c:v>
                </c:pt>
                <c:pt idx="28">
                  <c:v>2.5146796495048518</c:v>
                </c:pt>
                <c:pt idx="30">
                  <c:v>2.6347835299867368</c:v>
                </c:pt>
                <c:pt idx="32">
                  <c:v>2.7470798592084353</c:v>
                </c:pt>
                <c:pt idx="34">
                  <c:v>2.8512390169350881</c:v>
                </c:pt>
                <c:pt idx="36">
                  <c:v>2.9469550132043207</c:v>
                </c:pt>
                <c:pt idx="38">
                  <c:v>3.0339464089992219</c:v>
                </c:pt>
                <c:pt idx="40">
                  <c:v>3.111957179054496</c:v>
                </c:pt>
                <c:pt idx="42">
                  <c:v>3.1807575115163607</c:v>
                </c:pt>
                <c:pt idx="44">
                  <c:v>3.2401445388764452</c:v>
                </c:pt>
                <c:pt idx="46">
                  <c:v>3.2899429944779368</c:v>
                </c:pt>
                <c:pt idx="48">
                  <c:v>3.3300057889644368</c:v>
                </c:pt>
                <c:pt idx="50">
                  <c:v>3.3602145013155091</c:v>
                </c:pt>
                <c:pt idx="52">
                  <c:v>3.3804797795853987</c:v>
                </c:pt>
                <c:pt idx="54">
                  <c:v>3.3907416471208944</c:v>
                </c:pt>
                <c:pt idx="56">
                  <c:v>3.3909697108596442</c:v>
                </c:pt>
                <c:pt idx="58">
                  <c:v>3.3811632692718003</c:v>
                </c:pt>
                <c:pt idx="60">
                  <c:v>3.3613513185691501</c:v>
                </c:pt>
                <c:pt idx="62">
                  <c:v>3.3315924569250597</c:v>
                </c:pt>
                <c:pt idx="64">
                  <c:v>3.2919746875808333</c:v>
                </c:pt>
                <c:pt idx="66">
                  <c:v>3.2426151228138358</c:v>
                </c:pt>
                <c:pt idx="68">
                  <c:v>3.183659591766058</c:v>
                </c:pt>
                <c:pt idx="70">
                  <c:v>3.1152821560387221</c:v>
                </c:pt>
                <c:pt idx="72">
                  <c:v>3.0376845377149864</c:v>
                </c:pt>
                <c:pt idx="74">
                  <c:v>2.9510954650525156</c:v>
                </c:pt>
                <c:pt idx="76">
                  <c:v>2.8557699414730746</c:v>
                </c:pt>
                <c:pt idx="78">
                  <c:v>2.7519884436594855</c:v>
                </c:pt>
                <c:pt idx="80">
                  <c:v>2.6400560545529919</c:v>
                </c:pt>
                <c:pt idx="82">
                  <c:v>2.5203015368374424</c:v>
                </c:pt>
                <c:pt idx="84">
                  <c:v>2.3930763521204117</c:v>
                </c:pt>
                <c:pt idx="86">
                  <c:v>2.2587536305024725</c:v>
                </c:pt>
                <c:pt idx="88">
                  <c:v>2.1177270945972828</c:v>
                </c:pt>
                <c:pt idx="90">
                  <c:v>1.9704099413641827</c:v>
                </c:pt>
                <c:pt idx="92">
                  <c:v>1.8172336843813495</c:v>
                </c:pt>
                <c:pt idx="94">
                  <c:v>1.6586469584617816</c:v>
                </c:pt>
                <c:pt idx="96">
                  <c:v>1.4951142878360451</c:v>
                </c:pt>
                <c:pt idx="98">
                  <c:v>1.3271148185319313</c:v>
                </c:pt>
                <c:pt idx="100">
                  <c:v>1.1551410151050647</c:v>
                </c:pt>
                <c:pt idx="102">
                  <c:v>0.97969732154395561</c:v>
                </c:pt>
                <c:pt idx="104">
                  <c:v>0.80129878600958471</c:v>
                </c:pt>
                <c:pt idx="106">
                  <c:v>0.6204696490876761</c:v>
                </c:pt>
                <c:pt idx="108">
                  <c:v>0.43774189543781394</c:v>
                </c:pt>
                <c:pt idx="110">
                  <c:v>0.25365376911563575</c:v>
                </c:pt>
                <c:pt idx="112">
                  <c:v>6.8748253412157234E-2</c:v>
                </c:pt>
                <c:pt idx="114">
                  <c:v>-9.3142786576638992E-2</c:v>
                </c:pt>
                <c:pt idx="116">
                  <c:v>-0.22243438087234077</c:v>
                </c:pt>
                <c:pt idx="118">
                  <c:v>-0.32529084233097189</c:v>
                </c:pt>
                <c:pt idx="120">
                  <c:v>-0.40673205958596803</c:v>
                </c:pt>
                <c:pt idx="122">
                  <c:v>-0.47082918374551275</c:v>
                </c:pt>
                <c:pt idx="124">
                  <c:v>-0.52088388185719925</c:v>
                </c:pt>
                <c:pt idx="126">
                  <c:v>-0.55957374189460096</c:v>
                </c:pt>
                <c:pt idx="128">
                  <c:v>-0.58907020136058463</c:v>
                </c:pt>
                <c:pt idx="130">
                  <c:v>-0.61113419091002152</c:v>
                </c:pt>
                <c:pt idx="132">
                  <c:v>-0.6271937038932025</c:v>
                </c:pt>
                <c:pt idx="134">
                  <c:v>-0.63840670724709203</c:v>
                </c:pt>
                <c:pt idx="136">
                  <c:v>-0.64571216386998831</c:v>
                </c:pt>
                <c:pt idx="138">
                  <c:v>-0.64987141318611386</c:v>
                </c:pt>
                <c:pt idx="140">
                  <c:v>-0.65150173204848638</c:v>
                </c:pt>
                <c:pt idx="142">
                  <c:v>-0.651103553779255</c:v>
                </c:pt>
                <c:pt idx="144">
                  <c:v>-0.64908254386187136</c:v>
                </c:pt>
                <c:pt idx="146">
                  <c:v>-0.64576750429044605</c:v>
                </c:pt>
                <c:pt idx="148">
                  <c:v>-0.64142489487864873</c:v>
                </c:pt>
                <c:pt idx="150">
                  <c:v>-0.63627061084576142</c:v>
                </c:pt>
                <c:pt idx="152">
                  <c:v>-0.63047953517050304</c:v>
                </c:pt>
                <c:pt idx="154">
                  <c:v>-0.62419328621271264</c:v>
                </c:pt>
                <c:pt idx="156">
                  <c:v>-0.6175265016329492</c:v>
                </c:pt>
                <c:pt idx="158">
                  <c:v>-0.61057193519011632</c:v>
                </c:pt>
                <c:pt idx="160">
                  <c:v>-0.60340459072843078</c:v>
                </c:pt>
                <c:pt idx="162">
                  <c:v>-0.59608507527505028</c:v>
                </c:pt>
                <c:pt idx="164">
                  <c:v>-0.58866231879125297</c:v>
                </c:pt>
                <c:pt idx="166">
                  <c:v>-0.58117578023893424</c:v>
                </c:pt>
                <c:pt idx="168">
                  <c:v>-0.57365723701230464</c:v>
                </c:pt>
                <c:pt idx="170">
                  <c:v>-0.56613223644611466</c:v>
                </c:pt>
                <c:pt idx="172">
                  <c:v>-0.55862127323881683</c:v>
                </c:pt>
                <c:pt idx="174">
                  <c:v>-0.55114074456679918</c:v>
                </c:pt>
                <c:pt idx="176">
                  <c:v>-0.54370372488299235</c:v>
                </c:pt>
                <c:pt idx="178">
                  <c:v>-0.53632059445895208</c:v>
                </c:pt>
                <c:pt idx="180">
                  <c:v>-0.52899954929460469</c:v>
                </c:pt>
                <c:pt idx="182">
                  <c:v>-0.52174701480085595</c:v>
                </c:pt>
                <c:pt idx="184">
                  <c:v>-0.51456798142742677</c:v>
                </c:pt>
                <c:pt idx="186">
                  <c:v>-0.50746627697524371</c:v>
                </c:pt>
                <c:pt idx="188">
                  <c:v>-0.50044478754832078</c:v>
                </c:pt>
                <c:pt idx="190">
                  <c:v>-0.49350563684177495</c:v>
                </c:pt>
                <c:pt idx="192">
                  <c:v>-0.48665033163098537</c:v>
                </c:pt>
                <c:pt idx="194">
                  <c:v>-0.4798798798413354</c:v>
                </c:pt>
                <c:pt idx="196">
                  <c:v>-0.4731948863730624</c:v>
                </c:pt>
                <c:pt idx="198">
                  <c:v>-0.46659563087846467</c:v>
                </c:pt>
                <c:pt idx="200">
                  <c:v>-0.46008213089605959</c:v>
                </c:pt>
                <c:pt idx="202">
                  <c:v>-0.45365419310337424</c:v>
                </c:pt>
                <c:pt idx="204">
                  <c:v>-0.44731145492858471</c:v>
                </c:pt>
                <c:pt idx="206">
                  <c:v>-0.44105341833826039</c:v>
                </c:pt>
                <c:pt idx="208">
                  <c:v>-0.43487947727540244</c:v>
                </c:pt>
                <c:pt idx="210">
                  <c:v>-0.42878893994369816</c:v>
                </c:pt>
                <c:pt idx="212">
                  <c:v>-0.42278104690820445</c:v>
                </c:pt>
                <c:pt idx="214">
                  <c:v>-0.4168549857995924</c:v>
                </c:pt>
                <c:pt idx="216">
                  <c:v>-0.41100990326058062</c:v>
                </c:pt>
                <c:pt idx="218">
                  <c:v>-0.40524491465272522</c:v>
                </c:pt>
                <c:pt idx="220">
                  <c:v>-0.39955911194402033</c:v>
                </c:pt>
                <c:pt idx="222">
                  <c:v>-0.39395157011849863</c:v>
                </c:pt>
                <c:pt idx="224">
                  <c:v>-0.38842135238472381</c:v>
                </c:pt>
                <c:pt idx="226">
                  <c:v>-0.47870939300988136</c:v>
                </c:pt>
                <c:pt idx="228">
                  <c:v>-0.45418261062963111</c:v>
                </c:pt>
                <c:pt idx="230">
                  <c:v>-0.43322025477666704</c:v>
                </c:pt>
                <c:pt idx="232">
                  <c:v>-0.41530526429940101</c:v>
                </c:pt>
                <c:pt idx="234">
                  <c:v>-0.39987492654580609</c:v>
                </c:pt>
                <c:pt idx="236">
                  <c:v>-0.3864725235030913</c:v>
                </c:pt>
                <c:pt idx="238">
                  <c:v>-0.37472742620188981</c:v>
                </c:pt>
                <c:pt idx="240">
                  <c:v>-0.36433883722667704</c:v>
                </c:pt>
                <c:pt idx="242">
                  <c:v>-0.35506260372474774</c:v>
                </c:pt>
                <c:pt idx="244">
                  <c:v>-0.34670052105365229</c:v>
                </c:pt>
                <c:pt idx="246">
                  <c:v>-0.33909165664603974</c:v>
                </c:pt>
                <c:pt idx="248">
                  <c:v>-0.33210531252431874</c:v>
                </c:pt>
                <c:pt idx="250">
                  <c:v>-0.32563531696765868</c:v>
                </c:pt>
                <c:pt idx="252">
                  <c:v>-0.31959539429094447</c:v>
                </c:pt>
                <c:pt idx="254">
                  <c:v>-0.31391540911082028</c:v>
                </c:pt>
                <c:pt idx="256">
                  <c:v>-0.308538319933575</c:v>
                </c:pt>
                <c:pt idx="258">
                  <c:v>-0.30341770809501073</c:v>
                </c:pt>
                <c:pt idx="260">
                  <c:v>-0.2985157733857044</c:v>
                </c:pt>
                <c:pt idx="262">
                  <c:v>-0.29380170821914964</c:v>
                </c:pt>
                <c:pt idx="264">
                  <c:v>-0.28925037884785337</c:v>
                </c:pt>
                <c:pt idx="266">
                  <c:v>-0.28484125563574691</c:v>
                </c:pt>
                <c:pt idx="268">
                  <c:v>-0.28055754534815136</c:v>
                </c:pt>
                <c:pt idx="270">
                  <c:v>-0.27638548730471818</c:v>
                </c:pt>
                <c:pt idx="272">
                  <c:v>-0.27231378244698085</c:v>
                </c:pt>
                <c:pt idx="274">
                  <c:v>-0.26833313021732308</c:v>
                </c:pt>
                <c:pt idx="276">
                  <c:v>-0.26443585288736215</c:v>
                </c:pt>
                <c:pt idx="278">
                  <c:v>-0.26061559081947194</c:v>
                </c:pt>
                <c:pt idx="280">
                  <c:v>-0.25686705526455789</c:v>
                </c:pt>
                <c:pt idx="282">
                  <c:v>-0.25318582782943094</c:v>
                </c:pt>
                <c:pt idx="284">
                  <c:v>-0.2495681977994807</c:v>
                </c:pt>
                <c:pt idx="286">
                  <c:v>-0.24601103016707981</c:v>
                </c:pt>
                <c:pt idx="288">
                  <c:v>-0.24251165856646964</c:v>
                </c:pt>
                <c:pt idx="290">
                  <c:v>-0.23906779841116502</c:v>
                </c:pt>
                <c:pt idx="292">
                  <c:v>-0.23567747641834091</c:v>
                </c:pt>
                <c:pt idx="294">
                  <c:v>-0.23233897342529464</c:v>
                </c:pt>
                <c:pt idx="296">
                  <c:v>-0.22905077798760629</c:v>
                </c:pt>
                <c:pt idx="298">
                  <c:v>-0.22581154872275133</c:v>
                </c:pt>
                <c:pt idx="300">
                  <c:v>-0.22262008374750183</c:v>
                </c:pt>
                <c:pt idx="302">
                  <c:v>-0.21947529586940348</c:v>
                </c:pt>
                <c:pt idx="304">
                  <c:v>-0.21637619244564724</c:v>
                </c:pt>
                <c:pt idx="306">
                  <c:v>-0.21332185902789791</c:v>
                </c:pt>
                <c:pt idx="308">
                  <c:v>-0.21031144607812188</c:v>
                </c:pt>
                <c:pt idx="310">
                  <c:v>-0.20734415817549326</c:v>
                </c:pt>
                <c:pt idx="312">
                  <c:v>-0.20441924524399124</c:v>
                </c:pt>
                <c:pt idx="314">
                  <c:v>-0.20153599541914718</c:v>
                </c:pt>
                <c:pt idx="316">
                  <c:v>-0.19869372924446568</c:v>
                </c:pt>
                <c:pt idx="318">
                  <c:v>-0.19589179494649867</c:v>
                </c:pt>
                <c:pt idx="320">
                  <c:v>-0.19312956458496611</c:v>
                </c:pt>
                <c:pt idx="322">
                  <c:v>-0.19040643091277543</c:v>
                </c:pt>
                <c:pt idx="324">
                  <c:v>-0.18772180481198816</c:v>
                </c:pt>
                <c:pt idx="326">
                  <c:v>-0.18507511319708408</c:v>
                </c:pt>
                <c:pt idx="328">
                  <c:v>-0.1824657972973984</c:v>
                </c:pt>
                <c:pt idx="330">
                  <c:v>-0.17989331124725413</c:v>
                </c:pt>
                <c:pt idx="332">
                  <c:v>-0.17735712092581557</c:v>
                </c:pt>
                <c:pt idx="334">
                  <c:v>-0.17485670299964046</c:v>
                </c:pt>
                <c:pt idx="336">
                  <c:v>-0.17239154412979274</c:v>
                </c:pt>
                <c:pt idx="338">
                  <c:v>-0.16996114031258314</c:v>
                </c:pt>
                <c:pt idx="340">
                  <c:v>-0.16756499632884908</c:v>
                </c:pt>
                <c:pt idx="342">
                  <c:v>-0.16520262528142624</c:v>
                </c:pt>
                <c:pt idx="344">
                  <c:v>-0.16287354820430844</c:v>
                </c:pt>
                <c:pt idx="346">
                  <c:v>-0.16057729373011145</c:v>
                </c:pt>
                <c:pt idx="348">
                  <c:v>-0.15831339780498499</c:v>
                </c:pt>
                <c:pt idx="350">
                  <c:v>-0.15608140344216936</c:v>
                </c:pt>
                <c:pt idx="352">
                  <c:v>-0.15388086050705632</c:v>
                </c:pt>
                <c:pt idx="354">
                  <c:v>-0.15171132552796324</c:v>
                </c:pt>
                <c:pt idx="356">
                  <c:v>-0.14957236152792405</c:v>
                </c:pt>
                <c:pt idx="358">
                  <c:v>-0.14746353787368824</c:v>
                </c:pt>
                <c:pt idx="360">
                  <c:v>-0.14538443013883801</c:v>
                </c:pt>
                <c:pt idx="362">
                  <c:v>-0.14333461997851824</c:v>
                </c:pt>
                <c:pt idx="364">
                  <c:v>-0.14131369501374699</c:v>
                </c:pt>
                <c:pt idx="366">
                  <c:v>-0.13932124872365756</c:v>
                </c:pt>
                <c:pt idx="368">
                  <c:v>-0.13735688034433502</c:v>
                </c:pt>
                <c:pt idx="370">
                  <c:v>-0.13542019477316161</c:v>
                </c:pt>
                <c:pt idx="372">
                  <c:v>-0.13351080247779082</c:v>
                </c:pt>
                <c:pt idx="374">
                  <c:v>-0.1316283194090351</c:v>
                </c:pt>
                <c:pt idx="376">
                  <c:v>-0.12977236691708693</c:v>
                </c:pt>
                <c:pt idx="378">
                  <c:v>-0.12794257167060166</c:v>
                </c:pt>
                <c:pt idx="380">
                  <c:v>-0.12613856557825898</c:v>
                </c:pt>
                <c:pt idx="382">
                  <c:v>-0.12435998571249166</c:v>
                </c:pt>
                <c:pt idx="384">
                  <c:v>-0.12260647423512752</c:v>
                </c:pt>
                <c:pt idx="386">
                  <c:v>-0.12087767832473835</c:v>
                </c:pt>
                <c:pt idx="388">
                  <c:v>-0.11917325010552667</c:v>
                </c:pt>
                <c:pt idx="390">
                  <c:v>-0.11749284657761293</c:v>
                </c:pt>
                <c:pt idx="392">
                  <c:v>-0.11583612954861006</c:v>
                </c:pt>
                <c:pt idx="394">
                  <c:v>-0.11420276556639247</c:v>
                </c:pt>
                <c:pt idx="396">
                  <c:v>-0.11259242585298351</c:v>
                </c:pt>
                <c:pt idx="398">
                  <c:v>-0.11100478623949772</c:v>
                </c:pt>
                <c:pt idx="400">
                  <c:v>-0.10943952710208588</c:v>
                </c:pt>
                <c:pt idx="402">
                  <c:v>-0.10789633329883855</c:v>
                </c:pt>
                <c:pt idx="404">
                  <c:v>-0.10637489410761172</c:v>
                </c:pt>
                <c:pt idx="406">
                  <c:v>-0.10487490316474279</c:v>
                </c:pt>
                <c:pt idx="408">
                  <c:v>-0.10339605840463072</c:v>
                </c:pt>
                <c:pt idx="410">
                  <c:v>-0.10193806200015693</c:v>
                </c:pt>
                <c:pt idx="412">
                  <c:v>-0.10050062030392724</c:v>
                </c:pt>
                <c:pt idx="414">
                  <c:v>-9.9083443790317138E-2</c:v>
                </c:pt>
                <c:pt idx="416">
                  <c:v>-9.7686246998304388E-2</c:v>
                </c:pt>
                <c:pt idx="418">
                  <c:v>-9.630874847507527E-2</c:v>
                </c:pt>
                <c:pt idx="420">
                  <c:v>-9.4950670720391206E-2</c:v>
                </c:pt>
                <c:pt idx="422">
                  <c:v>-9.3611740131704091E-2</c:v>
                </c:pt>
                <c:pt idx="424">
                  <c:v>-9.2291686950009028E-2</c:v>
                </c:pt>
                <c:pt idx="426">
                  <c:v>-9.0990245206424319E-2</c:v>
                </c:pt>
                <c:pt idx="428">
                  <c:v>-8.9707152669488616E-2</c:v>
                </c:pt>
                <c:pt idx="430">
                  <c:v>-8.8442150793165877E-2</c:v>
                </c:pt>
                <c:pt idx="432">
                  <c:v>-8.7194984665548966E-2</c:v>
                </c:pt>
                <c:pt idx="434">
                  <c:v>-8.5965402958253112E-2</c:v>
                </c:pt>
                <c:pt idx="436">
                  <c:v>-8.4753157876490584E-2</c:v>
                </c:pt>
                <c:pt idx="438">
                  <c:v>-8.3558005109818312E-2</c:v>
                </c:pt>
                <c:pt idx="440">
                  <c:v>-8.2379703783550001E-2</c:v>
                </c:pt>
                <c:pt idx="442">
                  <c:v>-8.1218016410824906E-2</c:v>
                </c:pt>
                <c:pt idx="444">
                  <c:v>-8.0072708845325025E-2</c:v>
                </c:pt>
                <c:pt idx="446">
                  <c:v>-7.8943550234632981E-2</c:v>
                </c:pt>
                <c:pt idx="448">
                  <c:v>-7.7830312974222812E-2</c:v>
                </c:pt>
                <c:pt idx="450">
                  <c:v>-9.5915965827594762E-2</c:v>
                </c:pt>
                <c:pt idx="452">
                  <c:v>-9.099726258632912E-2</c:v>
                </c:pt>
                <c:pt idx="454">
                  <c:v>-8.6793075062694708E-2</c:v>
                </c:pt>
                <c:pt idx="456">
                  <c:v>-8.3199791198933865E-2</c:v>
                </c:pt>
                <c:pt idx="458">
                  <c:v>-8.0104641204093746E-2</c:v>
                </c:pt>
                <c:pt idx="460">
                  <c:v>-7.7416094833516927E-2</c:v>
                </c:pt>
                <c:pt idx="462">
                  <c:v>-7.5059871911678455E-2</c:v>
                </c:pt>
                <c:pt idx="464">
                  <c:v>-7.2975685087736455E-2</c:v>
                </c:pt>
                <c:pt idx="466">
                  <c:v>-7.111459771598308E-2</c:v>
                </c:pt>
                <c:pt idx="468">
                  <c:v>-6.9436880707382284E-2</c:v>
                </c:pt>
                <c:pt idx="470">
                  <c:v>-6.7910274118988673E-2</c:v>
                </c:pt>
                <c:pt idx="472">
                  <c:v>-6.6508577044469511E-2</c:v>
                </c:pt>
                <c:pt idx="474">
                  <c:v>-6.5210503804440378E-2</c:v>
                </c:pt>
                <c:pt idx="476">
                  <c:v>-6.3998756144594257E-2</c:v>
                </c:pt>
                <c:pt idx="478">
                  <c:v>-6.2859270647515453E-2</c:v>
                </c:pt>
                <c:pt idx="480">
                  <c:v>-6.1780608268250187E-2</c:v>
                </c:pt>
                <c:pt idx="482">
                  <c:v>-6.0753459152910951E-2</c:v>
                </c:pt>
                <c:pt idx="484">
                  <c:v>-5.9770240968601708E-2</c:v>
                </c:pt>
                <c:pt idx="486">
                  <c:v>-5.8824773084651588E-2</c:v>
                </c:pt>
                <c:pt idx="488">
                  <c:v>-5.7912012280329078E-2</c:v>
                </c:pt>
                <c:pt idx="490">
                  <c:v>-5.7027838359526219E-2</c:v>
                </c:pt>
                <c:pt idx="492">
                  <c:v>-5.6168880247306111E-2</c:v>
                </c:pt>
                <c:pt idx="494">
                  <c:v>-5.5332374923186461E-2</c:v>
                </c:pt>
                <c:pt idx="496">
                  <c:v>-5.4516052989852765E-2</c:v>
                </c:pt>
                <c:pt idx="498">
                  <c:v>-5.3718045847142695E-2</c:v>
                </c:pt>
                <c:pt idx="500">
                  <c:v>-5.293681039111351E-2</c:v>
                </c:pt>
                <c:pt idx="502">
                  <c:v>-5.2171067928568071E-2</c:v>
                </c:pt>
                <c:pt idx="504">
                  <c:v>-5.1419754622453677E-2</c:v>
                </c:pt>
                <c:pt idx="506">
                  <c:v>-5.0681981290544832E-2</c:v>
                </c:pt>
                <c:pt idx="508">
                  <c:v>-4.9957000791068872E-2</c:v>
                </c:pt>
                <c:pt idx="510">
                  <c:v>-4.9244181562515157E-2</c:v>
                </c:pt>
                <c:pt idx="512">
                  <c:v>-4.8542986155451363E-2</c:v>
                </c:pt>
                <c:pt idx="514">
                  <c:v>-4.7852953813652545E-2</c:v>
                </c:pt>
                <c:pt idx="516">
                  <c:v>-4.7173686339880297E-2</c:v>
                </c:pt>
                <c:pt idx="518">
                  <c:v>-4.6504836626058914E-2</c:v>
                </c:pt>
                <c:pt idx="520">
                  <c:v>-4.5846099344732355E-2</c:v>
                </c:pt>
                <c:pt idx="522">
                  <c:v>-4.5197203393701216E-2</c:v>
                </c:pt>
                <c:pt idx="524">
                  <c:v>-4.455790576280954E-2</c:v>
                </c:pt>
                <c:pt idx="526">
                  <c:v>-4.3927986554367526E-2</c:v>
                </c:pt>
                <c:pt idx="528">
                  <c:v>-4.3307244939405222E-2</c:v>
                </c:pt>
                <c:pt idx="530">
                  <c:v>-4.269549587308509E-2</c:v>
                </c:pt>
                <c:pt idx="532">
                  <c:v>-4.2092567425965899E-2</c:v>
                </c:pt>
                <c:pt idx="534">
                  <c:v>-4.1498298614873808E-2</c:v>
                </c:pt>
                <c:pt idx="536">
                  <c:v>-4.0912537639089058E-2</c:v>
                </c:pt>
                <c:pt idx="538">
                  <c:v>-4.0335140445363141E-2</c:v>
                </c:pt>
                <c:pt idx="540">
                  <c:v>-3.9765969559725153E-2</c:v>
                </c:pt>
                <c:pt idx="542">
                  <c:v>-3.9204893135752122E-2</c:v>
                </c:pt>
                <c:pt idx="544">
                  <c:v>-3.8651784178481238E-2</c:v>
                </c:pt>
                <c:pt idx="546">
                  <c:v>-3.810651991085074E-2</c:v>
                </c:pt>
                <c:pt idx="548">
                  <c:v>-3.7568981255808952E-2</c:v>
                </c:pt>
                <c:pt idx="550">
                  <c:v>-3.7039052412302875E-2</c:v>
                </c:pt>
                <c:pt idx="552">
                  <c:v>-3.6516620507472002E-2</c:v>
                </c:pt>
                <c:pt idx="554">
                  <c:v>-3.600157531070991E-2</c:v>
                </c:pt>
                <c:pt idx="556">
                  <c:v>-3.5493808997963332E-2</c:v>
                </c:pt>
                <c:pt idx="558">
                  <c:v>-3.4993215956834016E-2</c:v>
                </c:pt>
                <c:pt idx="560">
                  <c:v>-3.4499692624829728E-2</c:v>
                </c:pt>
                <c:pt idx="562">
                  <c:v>-3.4013137354555446E-2</c:v>
                </c:pt>
                <c:pt idx="564">
                  <c:v>-3.353345030080776E-2</c:v>
                </c:pt>
                <c:pt idx="566">
                  <c:v>-3.3060533325485891E-2</c:v>
                </c:pt>
                <c:pt idx="568">
                  <c:v>-3.2594289917003964E-2</c:v>
                </c:pt>
                <c:pt idx="570">
                  <c:v>-3.2134625121514493E-2</c:v>
                </c:pt>
                <c:pt idx="572">
                  <c:v>-3.1681445483760493E-2</c:v>
                </c:pt>
                <c:pt idx="574">
                  <c:v>-3.1234658995784998E-2</c:v>
                </c:pt>
                <c:pt idx="576">
                  <c:v>-3.0794175052060821E-2</c:v>
                </c:pt>
                <c:pt idx="578">
                  <c:v>-3.0359904409873906E-2</c:v>
                </c:pt>
                <c:pt idx="580">
                  <c:v>-2.9931759154013582E-2</c:v>
                </c:pt>
                <c:pt idx="582">
                  <c:v>-2.9509652665000899E-2</c:v>
                </c:pt>
                <c:pt idx="584">
                  <c:v>-2.9093499590231005E-2</c:v>
                </c:pt>
                <c:pt idx="586">
                  <c:v>-2.8683215817522707E-2</c:v>
                </c:pt>
                <c:pt idx="588">
                  <c:v>-2.8278718450663383E-2</c:v>
                </c:pt>
                <c:pt idx="590">
                  <c:v>-2.7879925786614718E-2</c:v>
                </c:pt>
                <c:pt idx="592">
                  <c:v>-2.7486757294107218E-2</c:v>
                </c:pt>
                <c:pt idx="594">
                  <c:v>-2.7099133593402321E-2</c:v>
                </c:pt>
                <c:pt idx="596">
                  <c:v>-2.671697643704209E-2</c:v>
                </c:pt>
                <c:pt idx="598">
                  <c:v>-2.6340208691439868E-2</c:v>
                </c:pt>
                <c:pt idx="600">
                  <c:v>-2.5968754319192475E-2</c:v>
                </c:pt>
                <c:pt idx="602">
                  <c:v>-2.5602538362016494E-2</c:v>
                </c:pt>
                <c:pt idx="604">
                  <c:v>-2.5241486924228985E-2</c:v>
                </c:pt>
                <c:pt idx="606">
                  <c:v>-2.4885527156707651E-2</c:v>
                </c:pt>
                <c:pt idx="608">
                  <c:v>-2.4534587241276981E-2</c:v>
                </c:pt>
                <c:pt idx="610">
                  <c:v>-2.4188596375476684E-2</c:v>
                </c:pt>
                <c:pt idx="612">
                  <c:v>-2.3847484757676365E-2</c:v>
                </c:pt>
                <c:pt idx="614">
                  <c:v>-2.3511183572506658E-2</c:v>
                </c:pt>
                <c:pt idx="616">
                  <c:v>-2.3179624976582269E-2</c:v>
                </c:pt>
                <c:pt idx="618">
                  <c:v>-2.2852742084496405E-2</c:v>
                </c:pt>
                <c:pt idx="620">
                  <c:v>-2.2530468955069539E-2</c:v>
                </c:pt>
                <c:pt idx="622">
                  <c:v>-2.2212740577838144E-2</c:v>
                </c:pt>
                <c:pt idx="624">
                  <c:v>-2.1899492859771302E-2</c:v>
                </c:pt>
                <c:pt idx="626">
                  <c:v>-2.1590662612204933E-2</c:v>
                </c:pt>
                <c:pt idx="628">
                  <c:v>-2.1286187537984752E-2</c:v>
                </c:pt>
                <c:pt idx="630">
                  <c:v>-2.0986006218810471E-2</c:v>
                </c:pt>
                <c:pt idx="632">
                  <c:v>-2.069005810277454E-2</c:v>
                </c:pt>
                <c:pt idx="634">
                  <c:v>-2.0398283492089685E-2</c:v>
                </c:pt>
                <c:pt idx="636">
                  <c:v>-2.0110623531000061E-2</c:v>
                </c:pt>
                <c:pt idx="638">
                  <c:v>-1.9827020193871468E-2</c:v>
                </c:pt>
                <c:pt idx="640">
                  <c:v>-1.9547416273456412E-2</c:v>
                </c:pt>
                <c:pt idx="642">
                  <c:v>-1.9271755369330276E-2</c:v>
                </c:pt>
                <c:pt idx="644">
                  <c:v>-1.8999981876495087E-2</c:v>
                </c:pt>
                <c:pt idx="646">
                  <c:v>-1.8732040974147674E-2</c:v>
                </c:pt>
                <c:pt idx="648">
                  <c:v>-1.8467878614609159E-2</c:v>
                </c:pt>
                <c:pt idx="650">
                  <c:v>-1.8207441512412974E-2</c:v>
                </c:pt>
                <c:pt idx="652">
                  <c:v>-1.7950677133548667E-2</c:v>
                </c:pt>
                <c:pt idx="654">
                  <c:v>-1.7697533684858963E-2</c:v>
                </c:pt>
                <c:pt idx="656">
                  <c:v>-1.7447960103587613E-2</c:v>
                </c:pt>
                <c:pt idx="658">
                  <c:v>-1.7201906047075607E-2</c:v>
                </c:pt>
                <c:pt idx="660">
                  <c:v>-1.6959321882603545E-2</c:v>
                </c:pt>
                <c:pt idx="662">
                  <c:v>-1.6720158677377871E-2</c:v>
                </c:pt>
                <c:pt idx="664">
                  <c:v>-1.6484368188658848E-2</c:v>
                </c:pt>
                <c:pt idx="666">
                  <c:v>-1.6251902854028166E-2</c:v>
                </c:pt>
                <c:pt idx="668">
                  <c:v>-1.6022715781794129E-2</c:v>
                </c:pt>
                <c:pt idx="670">
                  <c:v>-1.5796760741532394E-2</c:v>
                </c:pt>
                <c:pt idx="672">
                  <c:v>-1.5573992154760333E-2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3-4BA7-82CD-060F740C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61295"/>
        <c:axId val="1"/>
      </c:scatterChart>
      <c:valAx>
        <c:axId val="1723261295"/>
        <c:scaling>
          <c:orientation val="minMax"/>
          <c:max val="30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INTERVALO</a:t>
                </a:r>
                <a:r>
                  <a:rPr lang="pt-BR" sz="11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 TEMPO (s)</a:t>
                </a:r>
                <a:endParaRPr lang="pt-BR" sz="11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89447625864947"/>
              <c:y val="0.951920122887864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14"/>
          <c:min val="-14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ALTURA</a:t>
                </a:r>
                <a:r>
                  <a:rPr lang="pt-BR" sz="11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LÂMINA D'ÁGUA NA CHAMINÉ (m)</a:t>
                </a:r>
                <a:endParaRPr lang="pt-BR" sz="11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929432116439989E-3"/>
              <c:y val="0.151313424531610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23261295"/>
        <c:crosses val="autoZero"/>
        <c:crossBetween val="midCat"/>
        <c:majorUnit val="2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13" Type="http://schemas.openxmlformats.org/officeDocument/2006/relationships/image" Target="../media/image90.jpeg"/><Relationship Id="rId3" Type="http://schemas.openxmlformats.org/officeDocument/2006/relationships/image" Target="../media/image80.emf"/><Relationship Id="rId7" Type="http://schemas.openxmlformats.org/officeDocument/2006/relationships/image" Target="../media/image84.emf"/><Relationship Id="rId12" Type="http://schemas.openxmlformats.org/officeDocument/2006/relationships/image" Target="../media/image89.jpeg"/><Relationship Id="rId2" Type="http://schemas.openxmlformats.org/officeDocument/2006/relationships/image" Target="../media/image79.jpeg"/><Relationship Id="rId1" Type="http://schemas.openxmlformats.org/officeDocument/2006/relationships/image" Target="../media/image78.jpeg"/><Relationship Id="rId6" Type="http://schemas.openxmlformats.org/officeDocument/2006/relationships/image" Target="../media/image83.emf"/><Relationship Id="rId11" Type="http://schemas.openxmlformats.org/officeDocument/2006/relationships/image" Target="../media/image88.jpeg"/><Relationship Id="rId5" Type="http://schemas.openxmlformats.org/officeDocument/2006/relationships/image" Target="../media/image82.emf"/><Relationship Id="rId10" Type="http://schemas.openxmlformats.org/officeDocument/2006/relationships/image" Target="../media/image87.png"/><Relationship Id="rId4" Type="http://schemas.openxmlformats.org/officeDocument/2006/relationships/image" Target="../media/image81.emf"/><Relationship Id="rId9" Type="http://schemas.openxmlformats.org/officeDocument/2006/relationships/image" Target="../media/image86.emf"/><Relationship Id="rId14" Type="http://schemas.openxmlformats.org/officeDocument/2006/relationships/image" Target="../media/image9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9.png"/><Relationship Id="rId6" Type="http://schemas.openxmlformats.org/officeDocument/2006/relationships/image" Target="../media/image93.png"/><Relationship Id="rId5" Type="http://schemas.openxmlformats.org/officeDocument/2006/relationships/image" Target="../media/image92.png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4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emf"/><Relationship Id="rId18" Type="http://schemas.openxmlformats.org/officeDocument/2006/relationships/image" Target="../media/image34.emf"/><Relationship Id="rId26" Type="http://schemas.openxmlformats.org/officeDocument/2006/relationships/image" Target="../media/image42.emf"/><Relationship Id="rId39" Type="http://schemas.openxmlformats.org/officeDocument/2006/relationships/image" Target="../media/image55.emf"/><Relationship Id="rId21" Type="http://schemas.openxmlformats.org/officeDocument/2006/relationships/image" Target="../media/image37.emf"/><Relationship Id="rId34" Type="http://schemas.openxmlformats.org/officeDocument/2006/relationships/image" Target="../media/image50.emf"/><Relationship Id="rId42" Type="http://schemas.openxmlformats.org/officeDocument/2006/relationships/image" Target="../media/image58.emf"/><Relationship Id="rId47" Type="http://schemas.openxmlformats.org/officeDocument/2006/relationships/image" Target="../media/image63.emf"/><Relationship Id="rId50" Type="http://schemas.openxmlformats.org/officeDocument/2006/relationships/image" Target="../media/image66.emf"/><Relationship Id="rId55" Type="http://schemas.openxmlformats.org/officeDocument/2006/relationships/image" Target="../media/image71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6" Type="http://schemas.openxmlformats.org/officeDocument/2006/relationships/image" Target="../media/image32.emf"/><Relationship Id="rId29" Type="http://schemas.openxmlformats.org/officeDocument/2006/relationships/image" Target="../media/image45.emf"/><Relationship Id="rId11" Type="http://schemas.openxmlformats.org/officeDocument/2006/relationships/image" Target="../media/image27.emf"/><Relationship Id="rId24" Type="http://schemas.openxmlformats.org/officeDocument/2006/relationships/image" Target="../media/image40.emf"/><Relationship Id="rId32" Type="http://schemas.openxmlformats.org/officeDocument/2006/relationships/image" Target="../media/image48.emf"/><Relationship Id="rId37" Type="http://schemas.openxmlformats.org/officeDocument/2006/relationships/image" Target="../media/image53.emf"/><Relationship Id="rId40" Type="http://schemas.openxmlformats.org/officeDocument/2006/relationships/image" Target="../media/image56.emf"/><Relationship Id="rId45" Type="http://schemas.openxmlformats.org/officeDocument/2006/relationships/image" Target="../media/image61.emf"/><Relationship Id="rId53" Type="http://schemas.openxmlformats.org/officeDocument/2006/relationships/image" Target="../media/image69.emf"/><Relationship Id="rId58" Type="http://schemas.openxmlformats.org/officeDocument/2006/relationships/image" Target="../media/image74.emf"/><Relationship Id="rId5" Type="http://schemas.openxmlformats.org/officeDocument/2006/relationships/image" Target="../media/image21.emf"/><Relationship Id="rId61" Type="http://schemas.openxmlformats.org/officeDocument/2006/relationships/image" Target="../media/image77.emf"/><Relationship Id="rId19" Type="http://schemas.openxmlformats.org/officeDocument/2006/relationships/image" Target="../media/image35.emf"/><Relationship Id="rId14" Type="http://schemas.openxmlformats.org/officeDocument/2006/relationships/image" Target="../media/image30.emf"/><Relationship Id="rId22" Type="http://schemas.openxmlformats.org/officeDocument/2006/relationships/image" Target="../media/image38.emf"/><Relationship Id="rId27" Type="http://schemas.openxmlformats.org/officeDocument/2006/relationships/image" Target="../media/image43.emf"/><Relationship Id="rId30" Type="http://schemas.openxmlformats.org/officeDocument/2006/relationships/image" Target="../media/image46.emf"/><Relationship Id="rId35" Type="http://schemas.openxmlformats.org/officeDocument/2006/relationships/image" Target="../media/image51.emf"/><Relationship Id="rId43" Type="http://schemas.openxmlformats.org/officeDocument/2006/relationships/image" Target="../media/image59.emf"/><Relationship Id="rId48" Type="http://schemas.openxmlformats.org/officeDocument/2006/relationships/image" Target="../media/image64.emf"/><Relationship Id="rId56" Type="http://schemas.openxmlformats.org/officeDocument/2006/relationships/image" Target="../media/image72.emf"/><Relationship Id="rId8" Type="http://schemas.openxmlformats.org/officeDocument/2006/relationships/image" Target="../media/image24.emf"/><Relationship Id="rId51" Type="http://schemas.openxmlformats.org/officeDocument/2006/relationships/image" Target="../media/image67.emf"/><Relationship Id="rId3" Type="http://schemas.openxmlformats.org/officeDocument/2006/relationships/image" Target="../media/image19.emf"/><Relationship Id="rId12" Type="http://schemas.openxmlformats.org/officeDocument/2006/relationships/image" Target="../media/image28.emf"/><Relationship Id="rId17" Type="http://schemas.openxmlformats.org/officeDocument/2006/relationships/image" Target="../media/image33.emf"/><Relationship Id="rId25" Type="http://schemas.openxmlformats.org/officeDocument/2006/relationships/image" Target="../media/image41.emf"/><Relationship Id="rId33" Type="http://schemas.openxmlformats.org/officeDocument/2006/relationships/image" Target="../media/image49.emf"/><Relationship Id="rId38" Type="http://schemas.openxmlformats.org/officeDocument/2006/relationships/image" Target="../media/image54.emf"/><Relationship Id="rId46" Type="http://schemas.openxmlformats.org/officeDocument/2006/relationships/image" Target="../media/image62.emf"/><Relationship Id="rId59" Type="http://schemas.openxmlformats.org/officeDocument/2006/relationships/image" Target="../media/image75.emf"/><Relationship Id="rId20" Type="http://schemas.openxmlformats.org/officeDocument/2006/relationships/image" Target="../media/image36.emf"/><Relationship Id="rId41" Type="http://schemas.openxmlformats.org/officeDocument/2006/relationships/image" Target="../media/image57.emf"/><Relationship Id="rId54" Type="http://schemas.openxmlformats.org/officeDocument/2006/relationships/image" Target="../media/image70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15" Type="http://schemas.openxmlformats.org/officeDocument/2006/relationships/image" Target="../media/image31.emf"/><Relationship Id="rId23" Type="http://schemas.openxmlformats.org/officeDocument/2006/relationships/image" Target="../media/image39.emf"/><Relationship Id="rId28" Type="http://schemas.openxmlformats.org/officeDocument/2006/relationships/image" Target="../media/image44.emf"/><Relationship Id="rId36" Type="http://schemas.openxmlformats.org/officeDocument/2006/relationships/image" Target="../media/image52.emf"/><Relationship Id="rId49" Type="http://schemas.openxmlformats.org/officeDocument/2006/relationships/image" Target="../media/image65.emf"/><Relationship Id="rId57" Type="http://schemas.openxmlformats.org/officeDocument/2006/relationships/image" Target="../media/image73.emf"/><Relationship Id="rId10" Type="http://schemas.openxmlformats.org/officeDocument/2006/relationships/image" Target="../media/image26.emf"/><Relationship Id="rId31" Type="http://schemas.openxmlformats.org/officeDocument/2006/relationships/image" Target="../media/image47.emf"/><Relationship Id="rId44" Type="http://schemas.openxmlformats.org/officeDocument/2006/relationships/image" Target="../media/image60.emf"/><Relationship Id="rId52" Type="http://schemas.openxmlformats.org/officeDocument/2006/relationships/image" Target="../media/image68.emf"/><Relationship Id="rId60" Type="http://schemas.openxmlformats.org/officeDocument/2006/relationships/image" Target="../media/image76.emf"/><Relationship Id="rId4" Type="http://schemas.openxmlformats.org/officeDocument/2006/relationships/image" Target="../media/image20.emf"/><Relationship Id="rId9" Type="http://schemas.openxmlformats.org/officeDocument/2006/relationships/image" Target="../media/image2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4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2909892</xdr:colOff>
      <xdr:row>20</xdr:row>
      <xdr:rowOff>52386</xdr:rowOff>
    </xdr:from>
    <xdr:to>
      <xdr:col>4</xdr:col>
      <xdr:colOff>0</xdr:colOff>
      <xdr:row>27</xdr:row>
      <xdr:rowOff>66678</xdr:rowOff>
    </xdr:to>
    <xdr:sp macro="" textlink="">
      <xdr:nvSpPr>
        <xdr:cNvPr id="48" name="Forma Livre: Form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 rot="5400000">
          <a:off x="6200775" y="4476753"/>
          <a:ext cx="1347792" cy="271458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361950</xdr:colOff>
      <xdr:row>25</xdr:row>
      <xdr:rowOff>27991</xdr:rowOff>
    </xdr:from>
    <xdr:to>
      <xdr:col>6</xdr:col>
      <xdr:colOff>19058</xdr:colOff>
      <xdr:row>29</xdr:row>
      <xdr:rowOff>28575</xdr:rowOff>
    </xdr:to>
    <xdr:sp macro="" textlink="">
      <xdr:nvSpPr>
        <xdr:cNvPr id="47" name="Forma Livre: Forma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7372350" y="4866691"/>
          <a:ext cx="647708" cy="762584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145676</xdr:colOff>
      <xdr:row>22</xdr:row>
      <xdr:rowOff>133902</xdr:rowOff>
    </xdr:from>
    <xdr:to>
      <xdr:col>3</xdr:col>
      <xdr:colOff>798266</xdr:colOff>
      <xdr:row>27</xdr:row>
      <xdr:rowOff>51301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3344816">
          <a:off x="3866071" y="4509757"/>
          <a:ext cx="869899" cy="652590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287938</xdr:colOff>
      <xdr:row>19</xdr:row>
      <xdr:rowOff>123824</xdr:rowOff>
    </xdr:from>
    <xdr:to>
      <xdr:col>6</xdr:col>
      <xdr:colOff>2524127</xdr:colOff>
      <xdr:row>28</xdr:row>
      <xdr:rowOff>122575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7473598" y="3705224"/>
          <a:ext cx="3257269" cy="1644671"/>
          <a:chOff x="3988169" y="2105024"/>
          <a:chExt cx="4074504" cy="2474694"/>
        </a:xfrm>
      </xdr:grpSpPr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 rot="20010756">
            <a:off x="5821196" y="3352235"/>
            <a:ext cx="396056" cy="3661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ysClr val="windowText" lastClr="000000"/>
                </a:solidFill>
              </a:rPr>
              <a:t>L1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3988169" y="2975486"/>
            <a:ext cx="610630" cy="3329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0000"/>
                </a:solidFill>
              </a:rPr>
              <a:t>CN1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6" name="Forma Livre: Forma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327623" y="3312193"/>
            <a:ext cx="2219605" cy="1267525"/>
          </a:xfrm>
          <a:custGeom>
            <a:avLst/>
            <a:gdLst>
              <a:gd name="connsiteX0" fmla="*/ 0 w 2628900"/>
              <a:gd name="connsiteY0" fmla="*/ 0 h 762000"/>
              <a:gd name="connsiteX1" fmla="*/ 76200 w 2628900"/>
              <a:gd name="connsiteY1" fmla="*/ 76200 h 762000"/>
              <a:gd name="connsiteX2" fmla="*/ 104775 w 2628900"/>
              <a:gd name="connsiteY2" fmla="*/ 104775 h 762000"/>
              <a:gd name="connsiteX3" fmla="*/ 133350 w 2628900"/>
              <a:gd name="connsiteY3" fmla="*/ 123825 h 762000"/>
              <a:gd name="connsiteX4" fmla="*/ 180975 w 2628900"/>
              <a:gd name="connsiteY4" fmla="*/ 161925 h 762000"/>
              <a:gd name="connsiteX5" fmla="*/ 238125 w 2628900"/>
              <a:gd name="connsiteY5" fmla="*/ 209550 h 762000"/>
              <a:gd name="connsiteX6" fmla="*/ 285750 w 2628900"/>
              <a:gd name="connsiteY6" fmla="*/ 219075 h 762000"/>
              <a:gd name="connsiteX7" fmla="*/ 342900 w 2628900"/>
              <a:gd name="connsiteY7" fmla="*/ 257175 h 762000"/>
              <a:gd name="connsiteX8" fmla="*/ 371475 w 2628900"/>
              <a:gd name="connsiteY8" fmla="*/ 276225 h 762000"/>
              <a:gd name="connsiteX9" fmla="*/ 400050 w 2628900"/>
              <a:gd name="connsiteY9" fmla="*/ 304800 h 762000"/>
              <a:gd name="connsiteX10" fmla="*/ 428625 w 2628900"/>
              <a:gd name="connsiteY10" fmla="*/ 314325 h 762000"/>
              <a:gd name="connsiteX11" fmla="*/ 457200 w 2628900"/>
              <a:gd name="connsiteY11" fmla="*/ 333375 h 762000"/>
              <a:gd name="connsiteX12" fmla="*/ 514350 w 2628900"/>
              <a:gd name="connsiteY12" fmla="*/ 361950 h 762000"/>
              <a:gd name="connsiteX13" fmla="*/ 542925 w 2628900"/>
              <a:gd name="connsiteY13" fmla="*/ 390525 h 762000"/>
              <a:gd name="connsiteX14" fmla="*/ 600075 w 2628900"/>
              <a:gd name="connsiteY14" fmla="*/ 428625 h 762000"/>
              <a:gd name="connsiteX15" fmla="*/ 638175 w 2628900"/>
              <a:gd name="connsiteY15" fmla="*/ 457200 h 762000"/>
              <a:gd name="connsiteX16" fmla="*/ 695325 w 2628900"/>
              <a:gd name="connsiteY16" fmla="*/ 476250 h 762000"/>
              <a:gd name="connsiteX17" fmla="*/ 752475 w 2628900"/>
              <a:gd name="connsiteY17" fmla="*/ 514350 h 762000"/>
              <a:gd name="connsiteX18" fmla="*/ 781050 w 2628900"/>
              <a:gd name="connsiteY18" fmla="*/ 533400 h 762000"/>
              <a:gd name="connsiteX19" fmla="*/ 838200 w 2628900"/>
              <a:gd name="connsiteY19" fmla="*/ 552450 h 762000"/>
              <a:gd name="connsiteX20" fmla="*/ 866775 w 2628900"/>
              <a:gd name="connsiteY20" fmla="*/ 561975 h 762000"/>
              <a:gd name="connsiteX21" fmla="*/ 981075 w 2628900"/>
              <a:gd name="connsiteY21" fmla="*/ 533400 h 762000"/>
              <a:gd name="connsiteX22" fmla="*/ 1000125 w 2628900"/>
              <a:gd name="connsiteY22" fmla="*/ 504825 h 762000"/>
              <a:gd name="connsiteX23" fmla="*/ 1019175 w 2628900"/>
              <a:gd name="connsiteY23" fmla="*/ 438150 h 762000"/>
              <a:gd name="connsiteX24" fmla="*/ 1038225 w 2628900"/>
              <a:gd name="connsiteY24" fmla="*/ 381000 h 762000"/>
              <a:gd name="connsiteX25" fmla="*/ 1047750 w 2628900"/>
              <a:gd name="connsiteY25" fmla="*/ 266700 h 762000"/>
              <a:gd name="connsiteX26" fmla="*/ 1076325 w 2628900"/>
              <a:gd name="connsiteY26" fmla="*/ 238125 h 762000"/>
              <a:gd name="connsiteX27" fmla="*/ 1143000 w 2628900"/>
              <a:gd name="connsiteY27" fmla="*/ 200025 h 762000"/>
              <a:gd name="connsiteX28" fmla="*/ 1171575 w 2628900"/>
              <a:gd name="connsiteY28" fmla="*/ 171450 h 762000"/>
              <a:gd name="connsiteX29" fmla="*/ 1266825 w 2628900"/>
              <a:gd name="connsiteY29" fmla="*/ 123825 h 762000"/>
              <a:gd name="connsiteX30" fmla="*/ 1304925 w 2628900"/>
              <a:gd name="connsiteY30" fmla="*/ 152400 h 762000"/>
              <a:gd name="connsiteX31" fmla="*/ 1333500 w 2628900"/>
              <a:gd name="connsiteY31" fmla="*/ 161925 h 762000"/>
              <a:gd name="connsiteX32" fmla="*/ 1390650 w 2628900"/>
              <a:gd name="connsiteY32" fmla="*/ 219075 h 762000"/>
              <a:gd name="connsiteX33" fmla="*/ 1409700 w 2628900"/>
              <a:gd name="connsiteY33" fmla="*/ 276225 h 762000"/>
              <a:gd name="connsiteX34" fmla="*/ 1428750 w 2628900"/>
              <a:gd name="connsiteY34" fmla="*/ 304800 h 762000"/>
              <a:gd name="connsiteX35" fmla="*/ 1457325 w 2628900"/>
              <a:gd name="connsiteY35" fmla="*/ 361950 h 762000"/>
              <a:gd name="connsiteX36" fmla="*/ 1466850 w 2628900"/>
              <a:gd name="connsiteY36" fmla="*/ 438150 h 762000"/>
              <a:gd name="connsiteX37" fmla="*/ 1533525 w 2628900"/>
              <a:gd name="connsiteY37" fmla="*/ 523875 h 762000"/>
              <a:gd name="connsiteX38" fmla="*/ 1543050 w 2628900"/>
              <a:gd name="connsiteY38" fmla="*/ 552450 h 762000"/>
              <a:gd name="connsiteX39" fmla="*/ 1590675 w 2628900"/>
              <a:gd name="connsiteY39" fmla="*/ 609600 h 762000"/>
              <a:gd name="connsiteX40" fmla="*/ 1619250 w 2628900"/>
              <a:gd name="connsiteY40" fmla="*/ 619125 h 762000"/>
              <a:gd name="connsiteX41" fmla="*/ 1647825 w 2628900"/>
              <a:gd name="connsiteY41" fmla="*/ 638175 h 762000"/>
              <a:gd name="connsiteX42" fmla="*/ 1695450 w 2628900"/>
              <a:gd name="connsiteY42" fmla="*/ 676275 h 762000"/>
              <a:gd name="connsiteX43" fmla="*/ 1752600 w 2628900"/>
              <a:gd name="connsiteY43" fmla="*/ 714375 h 762000"/>
              <a:gd name="connsiteX44" fmla="*/ 1790700 w 2628900"/>
              <a:gd name="connsiteY44" fmla="*/ 723900 h 762000"/>
              <a:gd name="connsiteX45" fmla="*/ 1819275 w 2628900"/>
              <a:gd name="connsiteY45" fmla="*/ 733425 h 762000"/>
              <a:gd name="connsiteX46" fmla="*/ 1866900 w 2628900"/>
              <a:gd name="connsiteY46" fmla="*/ 742950 h 762000"/>
              <a:gd name="connsiteX47" fmla="*/ 2019300 w 2628900"/>
              <a:gd name="connsiteY47" fmla="*/ 762000 h 762000"/>
              <a:gd name="connsiteX48" fmla="*/ 2114550 w 2628900"/>
              <a:gd name="connsiteY48" fmla="*/ 752475 h 762000"/>
              <a:gd name="connsiteX49" fmla="*/ 2181225 w 2628900"/>
              <a:gd name="connsiteY49" fmla="*/ 733425 h 762000"/>
              <a:gd name="connsiteX50" fmla="*/ 2228850 w 2628900"/>
              <a:gd name="connsiteY50" fmla="*/ 723900 h 762000"/>
              <a:gd name="connsiteX51" fmla="*/ 2257425 w 2628900"/>
              <a:gd name="connsiteY51" fmla="*/ 695325 h 762000"/>
              <a:gd name="connsiteX52" fmla="*/ 2428875 w 2628900"/>
              <a:gd name="connsiteY52" fmla="*/ 666750 h 762000"/>
              <a:gd name="connsiteX53" fmla="*/ 2486025 w 2628900"/>
              <a:gd name="connsiteY53" fmla="*/ 647700 h 762000"/>
              <a:gd name="connsiteX54" fmla="*/ 2552700 w 2628900"/>
              <a:gd name="connsiteY54" fmla="*/ 628650 h 762000"/>
              <a:gd name="connsiteX55" fmla="*/ 2609850 w 2628900"/>
              <a:gd name="connsiteY55" fmla="*/ 590550 h 762000"/>
              <a:gd name="connsiteX56" fmla="*/ 2628900 w 2628900"/>
              <a:gd name="connsiteY56" fmla="*/ 581025 h 762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</a:cxnLst>
            <a:rect l="l" t="t" r="r" b="b"/>
            <a:pathLst>
              <a:path w="2628900" h="762000">
                <a:moveTo>
                  <a:pt x="0" y="0"/>
                </a:moveTo>
                <a:lnTo>
                  <a:pt x="76200" y="76200"/>
                </a:lnTo>
                <a:cubicBezTo>
                  <a:pt x="85725" y="85725"/>
                  <a:pt x="93567" y="97303"/>
                  <a:pt x="104775" y="104775"/>
                </a:cubicBezTo>
                <a:lnTo>
                  <a:pt x="133350" y="123825"/>
                </a:lnTo>
                <a:cubicBezTo>
                  <a:pt x="175955" y="187732"/>
                  <a:pt x="125766" y="125119"/>
                  <a:pt x="180975" y="161925"/>
                </a:cubicBezTo>
                <a:cubicBezTo>
                  <a:pt x="212740" y="183102"/>
                  <a:pt x="202510" y="196194"/>
                  <a:pt x="238125" y="209550"/>
                </a:cubicBezTo>
                <a:cubicBezTo>
                  <a:pt x="253284" y="215234"/>
                  <a:pt x="269875" y="215900"/>
                  <a:pt x="285750" y="219075"/>
                </a:cubicBezTo>
                <a:lnTo>
                  <a:pt x="342900" y="257175"/>
                </a:lnTo>
                <a:cubicBezTo>
                  <a:pt x="352425" y="263525"/>
                  <a:pt x="363380" y="268130"/>
                  <a:pt x="371475" y="276225"/>
                </a:cubicBezTo>
                <a:cubicBezTo>
                  <a:pt x="381000" y="285750"/>
                  <a:pt x="388842" y="297328"/>
                  <a:pt x="400050" y="304800"/>
                </a:cubicBezTo>
                <a:cubicBezTo>
                  <a:pt x="408404" y="310369"/>
                  <a:pt x="419645" y="309835"/>
                  <a:pt x="428625" y="314325"/>
                </a:cubicBezTo>
                <a:cubicBezTo>
                  <a:pt x="438864" y="319445"/>
                  <a:pt x="446961" y="328255"/>
                  <a:pt x="457200" y="333375"/>
                </a:cubicBezTo>
                <a:cubicBezTo>
                  <a:pt x="500158" y="354854"/>
                  <a:pt x="473404" y="327828"/>
                  <a:pt x="514350" y="361950"/>
                </a:cubicBezTo>
                <a:cubicBezTo>
                  <a:pt x="524698" y="370574"/>
                  <a:pt x="532292" y="382255"/>
                  <a:pt x="542925" y="390525"/>
                </a:cubicBezTo>
                <a:cubicBezTo>
                  <a:pt x="560997" y="404581"/>
                  <a:pt x="581759" y="414888"/>
                  <a:pt x="600075" y="428625"/>
                </a:cubicBezTo>
                <a:cubicBezTo>
                  <a:pt x="612775" y="438150"/>
                  <a:pt x="623976" y="450100"/>
                  <a:pt x="638175" y="457200"/>
                </a:cubicBezTo>
                <a:cubicBezTo>
                  <a:pt x="656136" y="466180"/>
                  <a:pt x="678617" y="465111"/>
                  <a:pt x="695325" y="476250"/>
                </a:cubicBezTo>
                <a:lnTo>
                  <a:pt x="752475" y="514350"/>
                </a:lnTo>
                <a:cubicBezTo>
                  <a:pt x="762000" y="520700"/>
                  <a:pt x="770190" y="529780"/>
                  <a:pt x="781050" y="533400"/>
                </a:cubicBezTo>
                <a:lnTo>
                  <a:pt x="838200" y="552450"/>
                </a:lnTo>
                <a:lnTo>
                  <a:pt x="866775" y="561975"/>
                </a:lnTo>
                <a:cubicBezTo>
                  <a:pt x="914435" y="556679"/>
                  <a:pt x="948264" y="566211"/>
                  <a:pt x="981075" y="533400"/>
                </a:cubicBezTo>
                <a:cubicBezTo>
                  <a:pt x="989170" y="525305"/>
                  <a:pt x="995005" y="515064"/>
                  <a:pt x="1000125" y="504825"/>
                </a:cubicBezTo>
                <a:cubicBezTo>
                  <a:pt x="1008128" y="488820"/>
                  <a:pt x="1014597" y="453409"/>
                  <a:pt x="1019175" y="438150"/>
                </a:cubicBezTo>
                <a:cubicBezTo>
                  <a:pt x="1024945" y="418916"/>
                  <a:pt x="1038225" y="381000"/>
                  <a:pt x="1038225" y="381000"/>
                </a:cubicBezTo>
                <a:cubicBezTo>
                  <a:pt x="1041400" y="342900"/>
                  <a:pt x="1037899" y="303641"/>
                  <a:pt x="1047750" y="266700"/>
                </a:cubicBezTo>
                <a:cubicBezTo>
                  <a:pt x="1051221" y="253684"/>
                  <a:pt x="1065977" y="246749"/>
                  <a:pt x="1076325" y="238125"/>
                </a:cubicBezTo>
                <a:cubicBezTo>
                  <a:pt x="1130319" y="193130"/>
                  <a:pt x="1077786" y="246606"/>
                  <a:pt x="1143000" y="200025"/>
                </a:cubicBezTo>
                <a:cubicBezTo>
                  <a:pt x="1153961" y="192195"/>
                  <a:pt x="1160942" y="179720"/>
                  <a:pt x="1171575" y="171450"/>
                </a:cubicBezTo>
                <a:cubicBezTo>
                  <a:pt x="1225293" y="129670"/>
                  <a:pt x="1214704" y="136855"/>
                  <a:pt x="1266825" y="123825"/>
                </a:cubicBezTo>
                <a:cubicBezTo>
                  <a:pt x="1279525" y="133350"/>
                  <a:pt x="1291142" y="144524"/>
                  <a:pt x="1304925" y="152400"/>
                </a:cubicBezTo>
                <a:cubicBezTo>
                  <a:pt x="1313642" y="157381"/>
                  <a:pt x="1325575" y="155761"/>
                  <a:pt x="1333500" y="161925"/>
                </a:cubicBezTo>
                <a:cubicBezTo>
                  <a:pt x="1354766" y="178465"/>
                  <a:pt x="1390650" y="219075"/>
                  <a:pt x="1390650" y="219075"/>
                </a:cubicBezTo>
                <a:cubicBezTo>
                  <a:pt x="1397000" y="238125"/>
                  <a:pt x="1398561" y="259517"/>
                  <a:pt x="1409700" y="276225"/>
                </a:cubicBezTo>
                <a:cubicBezTo>
                  <a:pt x="1416050" y="285750"/>
                  <a:pt x="1423630" y="294561"/>
                  <a:pt x="1428750" y="304800"/>
                </a:cubicBezTo>
                <a:cubicBezTo>
                  <a:pt x="1468185" y="383670"/>
                  <a:pt x="1402730" y="280058"/>
                  <a:pt x="1457325" y="361950"/>
                </a:cubicBezTo>
                <a:cubicBezTo>
                  <a:pt x="1460500" y="387350"/>
                  <a:pt x="1458241" y="414044"/>
                  <a:pt x="1466850" y="438150"/>
                </a:cubicBezTo>
                <a:cubicBezTo>
                  <a:pt x="1479509" y="473595"/>
                  <a:pt x="1508125" y="498475"/>
                  <a:pt x="1533525" y="523875"/>
                </a:cubicBezTo>
                <a:cubicBezTo>
                  <a:pt x="1536700" y="533400"/>
                  <a:pt x="1538560" y="543470"/>
                  <a:pt x="1543050" y="552450"/>
                </a:cubicBezTo>
                <a:cubicBezTo>
                  <a:pt x="1551835" y="570021"/>
                  <a:pt x="1574876" y="599067"/>
                  <a:pt x="1590675" y="609600"/>
                </a:cubicBezTo>
                <a:cubicBezTo>
                  <a:pt x="1599029" y="615169"/>
                  <a:pt x="1610270" y="614635"/>
                  <a:pt x="1619250" y="619125"/>
                </a:cubicBezTo>
                <a:cubicBezTo>
                  <a:pt x="1629489" y="624245"/>
                  <a:pt x="1638300" y="631825"/>
                  <a:pt x="1647825" y="638175"/>
                </a:cubicBezTo>
                <a:cubicBezTo>
                  <a:pt x="1683024" y="690973"/>
                  <a:pt x="1646736" y="649212"/>
                  <a:pt x="1695450" y="676275"/>
                </a:cubicBezTo>
                <a:cubicBezTo>
                  <a:pt x="1715464" y="687394"/>
                  <a:pt x="1730388" y="708822"/>
                  <a:pt x="1752600" y="714375"/>
                </a:cubicBezTo>
                <a:cubicBezTo>
                  <a:pt x="1765300" y="717550"/>
                  <a:pt x="1778113" y="720304"/>
                  <a:pt x="1790700" y="723900"/>
                </a:cubicBezTo>
                <a:cubicBezTo>
                  <a:pt x="1800354" y="726658"/>
                  <a:pt x="1809535" y="730990"/>
                  <a:pt x="1819275" y="733425"/>
                </a:cubicBezTo>
                <a:cubicBezTo>
                  <a:pt x="1834981" y="737352"/>
                  <a:pt x="1850972" y="740054"/>
                  <a:pt x="1866900" y="742950"/>
                </a:cubicBezTo>
                <a:cubicBezTo>
                  <a:pt x="1939112" y="756080"/>
                  <a:pt x="1931949" y="753265"/>
                  <a:pt x="2019300" y="762000"/>
                </a:cubicBezTo>
                <a:cubicBezTo>
                  <a:pt x="2051050" y="758825"/>
                  <a:pt x="2082962" y="756988"/>
                  <a:pt x="2114550" y="752475"/>
                </a:cubicBezTo>
                <a:cubicBezTo>
                  <a:pt x="2156122" y="746536"/>
                  <a:pt x="2145039" y="742472"/>
                  <a:pt x="2181225" y="733425"/>
                </a:cubicBezTo>
                <a:cubicBezTo>
                  <a:pt x="2196931" y="729498"/>
                  <a:pt x="2212975" y="727075"/>
                  <a:pt x="2228850" y="723900"/>
                </a:cubicBezTo>
                <a:cubicBezTo>
                  <a:pt x="2238375" y="714375"/>
                  <a:pt x="2247077" y="703949"/>
                  <a:pt x="2257425" y="695325"/>
                </a:cubicBezTo>
                <a:cubicBezTo>
                  <a:pt x="2310869" y="650788"/>
                  <a:pt x="2336476" y="672910"/>
                  <a:pt x="2428875" y="666750"/>
                </a:cubicBezTo>
                <a:cubicBezTo>
                  <a:pt x="2447925" y="660400"/>
                  <a:pt x="2466544" y="652570"/>
                  <a:pt x="2486025" y="647700"/>
                </a:cubicBezTo>
                <a:cubicBezTo>
                  <a:pt x="2494993" y="645458"/>
                  <a:pt x="2541520" y="634861"/>
                  <a:pt x="2552700" y="628650"/>
                </a:cubicBezTo>
                <a:cubicBezTo>
                  <a:pt x="2572714" y="617531"/>
                  <a:pt x="2589372" y="600789"/>
                  <a:pt x="2609850" y="590550"/>
                </a:cubicBezTo>
                <a:lnTo>
                  <a:pt x="2628900" y="581025"/>
                </a:ln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>
            <a:stCxn id="6" idx="12"/>
            <a:endCxn id="8" idx="3"/>
          </xdr:cNvCxnSpPr>
        </xdr:nvCxnSpPr>
        <xdr:spPr>
          <a:xfrm flipV="1">
            <a:off x="4761893" y="2829327"/>
            <a:ext cx="1528201" cy="1084940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to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/>
        </xdr:nvCxnSpPr>
        <xdr:spPr>
          <a:xfrm>
            <a:off x="4786020" y="3946512"/>
            <a:ext cx="2844758" cy="221320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to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>
            <a:endCxn id="8" idx="8"/>
          </xdr:cNvCxnSpPr>
        </xdr:nvCxnSpPr>
        <xdr:spPr>
          <a:xfrm flipV="1">
            <a:off x="4787455" y="2919863"/>
            <a:ext cx="1863309" cy="971017"/>
          </a:xfrm>
          <a:prstGeom prst="line">
            <a:avLst/>
          </a:prstGeom>
          <a:ln w="1905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Forma Livre: Forma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6056719" y="2165384"/>
            <a:ext cx="1071403" cy="764540"/>
          </a:xfrm>
          <a:custGeom>
            <a:avLst/>
            <a:gdLst>
              <a:gd name="connsiteX0" fmla="*/ 0 w 962025"/>
              <a:gd name="connsiteY0" fmla="*/ 504825 h 723900"/>
              <a:gd name="connsiteX1" fmla="*/ 57150 w 962025"/>
              <a:gd name="connsiteY1" fmla="*/ 542925 h 723900"/>
              <a:gd name="connsiteX2" fmla="*/ 152400 w 962025"/>
              <a:gd name="connsiteY2" fmla="*/ 590550 h 723900"/>
              <a:gd name="connsiteX3" fmla="*/ 209550 w 962025"/>
              <a:gd name="connsiteY3" fmla="*/ 628650 h 723900"/>
              <a:gd name="connsiteX4" fmla="*/ 304800 w 962025"/>
              <a:gd name="connsiteY4" fmla="*/ 666750 h 723900"/>
              <a:gd name="connsiteX5" fmla="*/ 333375 w 962025"/>
              <a:gd name="connsiteY5" fmla="*/ 676275 h 723900"/>
              <a:gd name="connsiteX6" fmla="*/ 361950 w 962025"/>
              <a:gd name="connsiteY6" fmla="*/ 695325 h 723900"/>
              <a:gd name="connsiteX7" fmla="*/ 419100 w 962025"/>
              <a:gd name="connsiteY7" fmla="*/ 723900 h 723900"/>
              <a:gd name="connsiteX8" fmla="*/ 533400 w 962025"/>
              <a:gd name="connsiteY8" fmla="*/ 714375 h 723900"/>
              <a:gd name="connsiteX9" fmla="*/ 590550 w 962025"/>
              <a:gd name="connsiteY9" fmla="*/ 657225 h 723900"/>
              <a:gd name="connsiteX10" fmla="*/ 619125 w 962025"/>
              <a:gd name="connsiteY10" fmla="*/ 628650 h 723900"/>
              <a:gd name="connsiteX11" fmla="*/ 647700 w 962025"/>
              <a:gd name="connsiteY11" fmla="*/ 600075 h 723900"/>
              <a:gd name="connsiteX12" fmla="*/ 704850 w 962025"/>
              <a:gd name="connsiteY12" fmla="*/ 561975 h 723900"/>
              <a:gd name="connsiteX13" fmla="*/ 762000 w 962025"/>
              <a:gd name="connsiteY13" fmla="*/ 514350 h 723900"/>
              <a:gd name="connsiteX14" fmla="*/ 790575 w 962025"/>
              <a:gd name="connsiteY14" fmla="*/ 457200 h 723900"/>
              <a:gd name="connsiteX15" fmla="*/ 800100 w 962025"/>
              <a:gd name="connsiteY15" fmla="*/ 123825 h 723900"/>
              <a:gd name="connsiteX16" fmla="*/ 828675 w 962025"/>
              <a:gd name="connsiteY16" fmla="*/ 104775 h 723900"/>
              <a:gd name="connsiteX17" fmla="*/ 885825 w 962025"/>
              <a:gd name="connsiteY17" fmla="*/ 66675 h 723900"/>
              <a:gd name="connsiteX18" fmla="*/ 962025 w 962025"/>
              <a:gd name="connsiteY18" fmla="*/ 0 h 723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962025" h="723900">
                <a:moveTo>
                  <a:pt x="0" y="504825"/>
                </a:moveTo>
                <a:cubicBezTo>
                  <a:pt x="19050" y="517525"/>
                  <a:pt x="37050" y="531962"/>
                  <a:pt x="57150" y="542925"/>
                </a:cubicBezTo>
                <a:cubicBezTo>
                  <a:pt x="202657" y="622292"/>
                  <a:pt x="2741" y="495312"/>
                  <a:pt x="152400" y="590550"/>
                </a:cubicBezTo>
                <a:cubicBezTo>
                  <a:pt x="171716" y="602842"/>
                  <a:pt x="187830" y="621410"/>
                  <a:pt x="209550" y="628650"/>
                </a:cubicBezTo>
                <a:cubicBezTo>
                  <a:pt x="339632" y="672011"/>
                  <a:pt x="206694" y="624705"/>
                  <a:pt x="304800" y="666750"/>
                </a:cubicBezTo>
                <a:cubicBezTo>
                  <a:pt x="314028" y="670705"/>
                  <a:pt x="324395" y="671785"/>
                  <a:pt x="333375" y="676275"/>
                </a:cubicBezTo>
                <a:cubicBezTo>
                  <a:pt x="343614" y="681395"/>
                  <a:pt x="351711" y="690205"/>
                  <a:pt x="361950" y="695325"/>
                </a:cubicBezTo>
                <a:cubicBezTo>
                  <a:pt x="440820" y="734760"/>
                  <a:pt x="337208" y="669305"/>
                  <a:pt x="419100" y="723900"/>
                </a:cubicBezTo>
                <a:cubicBezTo>
                  <a:pt x="457200" y="720725"/>
                  <a:pt x="497768" y="728232"/>
                  <a:pt x="533400" y="714375"/>
                </a:cubicBezTo>
                <a:cubicBezTo>
                  <a:pt x="558509" y="704610"/>
                  <a:pt x="571500" y="676275"/>
                  <a:pt x="590550" y="657225"/>
                </a:cubicBezTo>
                <a:lnTo>
                  <a:pt x="619125" y="628650"/>
                </a:lnTo>
                <a:cubicBezTo>
                  <a:pt x="628650" y="619125"/>
                  <a:pt x="636492" y="607547"/>
                  <a:pt x="647700" y="600075"/>
                </a:cubicBezTo>
                <a:lnTo>
                  <a:pt x="704850" y="561975"/>
                </a:lnTo>
                <a:cubicBezTo>
                  <a:pt x="732947" y="543244"/>
                  <a:pt x="739081" y="541852"/>
                  <a:pt x="762000" y="514350"/>
                </a:cubicBezTo>
                <a:cubicBezTo>
                  <a:pt x="782516" y="489731"/>
                  <a:pt x="781029" y="485839"/>
                  <a:pt x="790575" y="457200"/>
                </a:cubicBezTo>
                <a:cubicBezTo>
                  <a:pt x="793750" y="346075"/>
                  <a:pt x="788151" y="234351"/>
                  <a:pt x="800100" y="123825"/>
                </a:cubicBezTo>
                <a:cubicBezTo>
                  <a:pt x="801330" y="112444"/>
                  <a:pt x="819881" y="112104"/>
                  <a:pt x="828675" y="104775"/>
                </a:cubicBezTo>
                <a:cubicBezTo>
                  <a:pt x="876241" y="65137"/>
                  <a:pt x="835607" y="83414"/>
                  <a:pt x="885825" y="66675"/>
                </a:cubicBezTo>
                <a:cubicBezTo>
                  <a:pt x="947995" y="4505"/>
                  <a:pt x="918878" y="21573"/>
                  <a:pt x="962025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7128122" y="2105024"/>
            <a:ext cx="573728" cy="370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0000"/>
                </a:solidFill>
              </a:rPr>
              <a:t>CN2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>
            <a:stCxn id="49" idx="18"/>
          </xdr:cNvCxnSpPr>
        </xdr:nvCxnSpPr>
        <xdr:spPr>
          <a:xfrm flipH="1" flipV="1">
            <a:off x="6629552" y="2960975"/>
            <a:ext cx="1001227" cy="1222144"/>
          </a:xfrm>
          <a:prstGeom prst="line">
            <a:avLst/>
          </a:prstGeom>
          <a:ln w="1905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6534150" y="2838949"/>
            <a:ext cx="161211" cy="180776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664179">
            <a:off x="7173467" y="3620313"/>
            <a:ext cx="129980" cy="22737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 rot="2960453">
            <a:off x="6524400" y="3328520"/>
            <a:ext cx="472958" cy="30762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ysClr val="windowText" lastClr="000000"/>
                </a:solidFill>
              </a:rPr>
              <a:t>L2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14" name="Forma Livre: Forma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6868574" y="3555147"/>
            <a:ext cx="895426" cy="719428"/>
          </a:xfrm>
          <a:custGeom>
            <a:avLst/>
            <a:gdLst>
              <a:gd name="connsiteX0" fmla="*/ 0 w 895426"/>
              <a:gd name="connsiteY0" fmla="*/ 666750 h 666750"/>
              <a:gd name="connsiteX1" fmla="*/ 66675 w 895426"/>
              <a:gd name="connsiteY1" fmla="*/ 638175 h 666750"/>
              <a:gd name="connsiteX2" fmla="*/ 152400 w 895426"/>
              <a:gd name="connsiteY2" fmla="*/ 619125 h 666750"/>
              <a:gd name="connsiteX3" fmla="*/ 228600 w 895426"/>
              <a:gd name="connsiteY3" fmla="*/ 600075 h 666750"/>
              <a:gd name="connsiteX4" fmla="*/ 276225 w 895426"/>
              <a:gd name="connsiteY4" fmla="*/ 590550 h 666750"/>
              <a:gd name="connsiteX5" fmla="*/ 333375 w 895426"/>
              <a:gd name="connsiteY5" fmla="*/ 571500 h 666750"/>
              <a:gd name="connsiteX6" fmla="*/ 390525 w 895426"/>
              <a:gd name="connsiteY6" fmla="*/ 561975 h 666750"/>
              <a:gd name="connsiteX7" fmla="*/ 447675 w 895426"/>
              <a:gd name="connsiteY7" fmla="*/ 542925 h 666750"/>
              <a:gd name="connsiteX8" fmla="*/ 504825 w 895426"/>
              <a:gd name="connsiteY8" fmla="*/ 504825 h 666750"/>
              <a:gd name="connsiteX9" fmla="*/ 600075 w 895426"/>
              <a:gd name="connsiteY9" fmla="*/ 495300 h 666750"/>
              <a:gd name="connsiteX10" fmla="*/ 657225 w 895426"/>
              <a:gd name="connsiteY10" fmla="*/ 447675 h 666750"/>
              <a:gd name="connsiteX11" fmla="*/ 676275 w 895426"/>
              <a:gd name="connsiteY11" fmla="*/ 409575 h 666750"/>
              <a:gd name="connsiteX12" fmla="*/ 733425 w 895426"/>
              <a:gd name="connsiteY12" fmla="*/ 352425 h 666750"/>
              <a:gd name="connsiteX13" fmla="*/ 752475 w 895426"/>
              <a:gd name="connsiteY13" fmla="*/ 323850 h 666750"/>
              <a:gd name="connsiteX14" fmla="*/ 809625 w 895426"/>
              <a:gd name="connsiteY14" fmla="*/ 285750 h 666750"/>
              <a:gd name="connsiteX15" fmla="*/ 838200 w 895426"/>
              <a:gd name="connsiteY15" fmla="*/ 228600 h 666750"/>
              <a:gd name="connsiteX16" fmla="*/ 847725 w 895426"/>
              <a:gd name="connsiteY16" fmla="*/ 200025 h 666750"/>
              <a:gd name="connsiteX17" fmla="*/ 866775 w 895426"/>
              <a:gd name="connsiteY17" fmla="*/ 171450 h 666750"/>
              <a:gd name="connsiteX18" fmla="*/ 885825 w 895426"/>
              <a:gd name="connsiteY18" fmla="*/ 114300 h 666750"/>
              <a:gd name="connsiteX19" fmla="*/ 895350 w 895426"/>
              <a:gd name="connsiteY19" fmla="*/ 0 h 666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895426" h="666750">
                <a:moveTo>
                  <a:pt x="0" y="666750"/>
                </a:moveTo>
                <a:cubicBezTo>
                  <a:pt x="22225" y="657225"/>
                  <a:pt x="43951" y="646438"/>
                  <a:pt x="66675" y="638175"/>
                </a:cubicBezTo>
                <a:cubicBezTo>
                  <a:pt x="85785" y="631226"/>
                  <a:pt x="134847" y="623176"/>
                  <a:pt x="152400" y="619125"/>
                </a:cubicBezTo>
                <a:cubicBezTo>
                  <a:pt x="177911" y="613238"/>
                  <a:pt x="203089" y="605962"/>
                  <a:pt x="228600" y="600075"/>
                </a:cubicBezTo>
                <a:cubicBezTo>
                  <a:pt x="244375" y="596435"/>
                  <a:pt x="260606" y="594810"/>
                  <a:pt x="276225" y="590550"/>
                </a:cubicBezTo>
                <a:cubicBezTo>
                  <a:pt x="295598" y="585266"/>
                  <a:pt x="313894" y="576370"/>
                  <a:pt x="333375" y="571500"/>
                </a:cubicBezTo>
                <a:cubicBezTo>
                  <a:pt x="352111" y="566816"/>
                  <a:pt x="371789" y="566659"/>
                  <a:pt x="390525" y="561975"/>
                </a:cubicBezTo>
                <a:cubicBezTo>
                  <a:pt x="410006" y="557105"/>
                  <a:pt x="430967" y="554064"/>
                  <a:pt x="447675" y="542925"/>
                </a:cubicBezTo>
                <a:cubicBezTo>
                  <a:pt x="466725" y="530225"/>
                  <a:pt x="482043" y="507103"/>
                  <a:pt x="504825" y="504825"/>
                </a:cubicBezTo>
                <a:lnTo>
                  <a:pt x="600075" y="495300"/>
                </a:lnTo>
                <a:cubicBezTo>
                  <a:pt x="622860" y="480110"/>
                  <a:pt x="640557" y="471010"/>
                  <a:pt x="657225" y="447675"/>
                </a:cubicBezTo>
                <a:cubicBezTo>
                  <a:pt x="665478" y="436121"/>
                  <a:pt x="667405" y="420663"/>
                  <a:pt x="676275" y="409575"/>
                </a:cubicBezTo>
                <a:cubicBezTo>
                  <a:pt x="693105" y="388538"/>
                  <a:pt x="718481" y="374841"/>
                  <a:pt x="733425" y="352425"/>
                </a:cubicBezTo>
                <a:cubicBezTo>
                  <a:pt x="739775" y="342900"/>
                  <a:pt x="743860" y="331388"/>
                  <a:pt x="752475" y="323850"/>
                </a:cubicBezTo>
                <a:cubicBezTo>
                  <a:pt x="769705" y="308773"/>
                  <a:pt x="809625" y="285750"/>
                  <a:pt x="809625" y="285750"/>
                </a:cubicBezTo>
                <a:cubicBezTo>
                  <a:pt x="833566" y="213926"/>
                  <a:pt x="801271" y="302458"/>
                  <a:pt x="838200" y="228600"/>
                </a:cubicBezTo>
                <a:cubicBezTo>
                  <a:pt x="842690" y="219620"/>
                  <a:pt x="843235" y="209005"/>
                  <a:pt x="847725" y="200025"/>
                </a:cubicBezTo>
                <a:cubicBezTo>
                  <a:pt x="852845" y="189786"/>
                  <a:pt x="862126" y="181911"/>
                  <a:pt x="866775" y="171450"/>
                </a:cubicBezTo>
                <a:cubicBezTo>
                  <a:pt x="874930" y="153100"/>
                  <a:pt x="885825" y="114300"/>
                  <a:pt x="885825" y="114300"/>
                </a:cubicBezTo>
                <a:cubicBezTo>
                  <a:pt x="896925" y="25498"/>
                  <a:pt x="895350" y="63698"/>
                  <a:pt x="895350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7461306" y="3241207"/>
            <a:ext cx="601367" cy="31791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0000"/>
                </a:solidFill>
              </a:rPr>
              <a:t>CN3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32" name="Conector reto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CxnSpPr>
            <a:endCxn id="8" idx="1"/>
          </xdr:cNvCxnSpPr>
        </xdr:nvCxnSpPr>
        <xdr:spPr>
          <a:xfrm flipV="1">
            <a:off x="4813653" y="2738789"/>
            <a:ext cx="1306714" cy="1134369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 rot="268446">
            <a:off x="6066134" y="4127499"/>
            <a:ext cx="591438" cy="3880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ysClr val="windowText" lastClr="000000"/>
                </a:solidFill>
              </a:rPr>
              <a:t>Lad</a:t>
            </a:r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>
            <a:stCxn id="6" idx="14"/>
            <a:endCxn id="6" idx="9"/>
          </xdr:cNvCxnSpPr>
        </xdr:nvCxnSpPr>
        <xdr:spPr>
          <a:xfrm flipH="1" flipV="1">
            <a:off x="4665389" y="3819203"/>
            <a:ext cx="168883" cy="20597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195813</xdr:colOff>
      <xdr:row>19</xdr:row>
      <xdr:rowOff>152401</xdr:rowOff>
    </xdr:from>
    <xdr:to>
      <xdr:col>3</xdr:col>
      <xdr:colOff>3119339</xdr:colOff>
      <xdr:row>25</xdr:row>
      <xdr:rowOff>144730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4112493" y="3733801"/>
          <a:ext cx="2923526" cy="1089609"/>
          <a:chOff x="4121517" y="3030520"/>
          <a:chExt cx="3889011" cy="1347936"/>
        </a:xfrm>
      </xdr:grpSpPr>
      <xdr:cxnSp macro="">
        <xdr:nvCxnSpPr>
          <xdr:cNvPr id="43" name="Conector reto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CxnSpPr>
            <a:cxnSpLocks/>
            <a:endCxn id="48" idx="17"/>
          </xdr:cNvCxnSpPr>
        </xdr:nvCxnSpPr>
        <xdr:spPr>
          <a:xfrm flipV="1">
            <a:off x="4680362" y="3898427"/>
            <a:ext cx="3096654" cy="262044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to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>
            <a:stCxn id="48" idx="17"/>
            <a:endCxn id="41" idx="12"/>
          </xdr:cNvCxnSpPr>
        </xdr:nvCxnSpPr>
        <xdr:spPr>
          <a:xfrm flipH="1">
            <a:off x="4950652" y="3898427"/>
            <a:ext cx="2826363" cy="29312"/>
          </a:xfrm>
          <a:prstGeom prst="line">
            <a:avLst/>
          </a:prstGeom>
          <a:ln w="1905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6958973" y="3771655"/>
            <a:ext cx="129980" cy="227372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6008837" y="3434286"/>
            <a:ext cx="437002" cy="3076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ysClr val="windowText" lastClr="000000"/>
                </a:solidFill>
              </a:rPr>
              <a:t>L2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37" name="Forma Livre: Forma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6991350" y="3305174"/>
            <a:ext cx="704850" cy="981075"/>
          </a:xfrm>
          <a:custGeom>
            <a:avLst/>
            <a:gdLst>
              <a:gd name="connsiteX0" fmla="*/ 0 w 895426"/>
              <a:gd name="connsiteY0" fmla="*/ 666750 h 666750"/>
              <a:gd name="connsiteX1" fmla="*/ 66675 w 895426"/>
              <a:gd name="connsiteY1" fmla="*/ 638175 h 666750"/>
              <a:gd name="connsiteX2" fmla="*/ 152400 w 895426"/>
              <a:gd name="connsiteY2" fmla="*/ 619125 h 666750"/>
              <a:gd name="connsiteX3" fmla="*/ 228600 w 895426"/>
              <a:gd name="connsiteY3" fmla="*/ 600075 h 666750"/>
              <a:gd name="connsiteX4" fmla="*/ 276225 w 895426"/>
              <a:gd name="connsiteY4" fmla="*/ 590550 h 666750"/>
              <a:gd name="connsiteX5" fmla="*/ 333375 w 895426"/>
              <a:gd name="connsiteY5" fmla="*/ 571500 h 666750"/>
              <a:gd name="connsiteX6" fmla="*/ 390525 w 895426"/>
              <a:gd name="connsiteY6" fmla="*/ 561975 h 666750"/>
              <a:gd name="connsiteX7" fmla="*/ 447675 w 895426"/>
              <a:gd name="connsiteY7" fmla="*/ 542925 h 666750"/>
              <a:gd name="connsiteX8" fmla="*/ 504825 w 895426"/>
              <a:gd name="connsiteY8" fmla="*/ 504825 h 666750"/>
              <a:gd name="connsiteX9" fmla="*/ 600075 w 895426"/>
              <a:gd name="connsiteY9" fmla="*/ 495300 h 666750"/>
              <a:gd name="connsiteX10" fmla="*/ 657225 w 895426"/>
              <a:gd name="connsiteY10" fmla="*/ 447675 h 666750"/>
              <a:gd name="connsiteX11" fmla="*/ 676275 w 895426"/>
              <a:gd name="connsiteY11" fmla="*/ 409575 h 666750"/>
              <a:gd name="connsiteX12" fmla="*/ 733425 w 895426"/>
              <a:gd name="connsiteY12" fmla="*/ 352425 h 666750"/>
              <a:gd name="connsiteX13" fmla="*/ 752475 w 895426"/>
              <a:gd name="connsiteY13" fmla="*/ 323850 h 666750"/>
              <a:gd name="connsiteX14" fmla="*/ 809625 w 895426"/>
              <a:gd name="connsiteY14" fmla="*/ 285750 h 666750"/>
              <a:gd name="connsiteX15" fmla="*/ 838200 w 895426"/>
              <a:gd name="connsiteY15" fmla="*/ 228600 h 666750"/>
              <a:gd name="connsiteX16" fmla="*/ 847725 w 895426"/>
              <a:gd name="connsiteY16" fmla="*/ 200025 h 666750"/>
              <a:gd name="connsiteX17" fmla="*/ 866775 w 895426"/>
              <a:gd name="connsiteY17" fmla="*/ 171450 h 666750"/>
              <a:gd name="connsiteX18" fmla="*/ 885825 w 895426"/>
              <a:gd name="connsiteY18" fmla="*/ 114300 h 666750"/>
              <a:gd name="connsiteX19" fmla="*/ 895350 w 895426"/>
              <a:gd name="connsiteY19" fmla="*/ 0 h 666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895426" h="666750">
                <a:moveTo>
                  <a:pt x="0" y="666750"/>
                </a:moveTo>
                <a:cubicBezTo>
                  <a:pt x="22225" y="657225"/>
                  <a:pt x="43951" y="646438"/>
                  <a:pt x="66675" y="638175"/>
                </a:cubicBezTo>
                <a:cubicBezTo>
                  <a:pt x="85785" y="631226"/>
                  <a:pt x="134847" y="623176"/>
                  <a:pt x="152400" y="619125"/>
                </a:cubicBezTo>
                <a:cubicBezTo>
                  <a:pt x="177911" y="613238"/>
                  <a:pt x="203089" y="605962"/>
                  <a:pt x="228600" y="600075"/>
                </a:cubicBezTo>
                <a:cubicBezTo>
                  <a:pt x="244375" y="596435"/>
                  <a:pt x="260606" y="594810"/>
                  <a:pt x="276225" y="590550"/>
                </a:cubicBezTo>
                <a:cubicBezTo>
                  <a:pt x="295598" y="585266"/>
                  <a:pt x="313894" y="576370"/>
                  <a:pt x="333375" y="571500"/>
                </a:cubicBezTo>
                <a:cubicBezTo>
                  <a:pt x="352111" y="566816"/>
                  <a:pt x="371789" y="566659"/>
                  <a:pt x="390525" y="561975"/>
                </a:cubicBezTo>
                <a:cubicBezTo>
                  <a:pt x="410006" y="557105"/>
                  <a:pt x="430967" y="554064"/>
                  <a:pt x="447675" y="542925"/>
                </a:cubicBezTo>
                <a:cubicBezTo>
                  <a:pt x="466725" y="530225"/>
                  <a:pt x="482043" y="507103"/>
                  <a:pt x="504825" y="504825"/>
                </a:cubicBezTo>
                <a:lnTo>
                  <a:pt x="600075" y="495300"/>
                </a:lnTo>
                <a:cubicBezTo>
                  <a:pt x="622860" y="480110"/>
                  <a:pt x="640557" y="471010"/>
                  <a:pt x="657225" y="447675"/>
                </a:cubicBezTo>
                <a:cubicBezTo>
                  <a:pt x="665478" y="436121"/>
                  <a:pt x="667405" y="420663"/>
                  <a:pt x="676275" y="409575"/>
                </a:cubicBezTo>
                <a:cubicBezTo>
                  <a:pt x="693105" y="388538"/>
                  <a:pt x="718481" y="374841"/>
                  <a:pt x="733425" y="352425"/>
                </a:cubicBezTo>
                <a:cubicBezTo>
                  <a:pt x="739775" y="342900"/>
                  <a:pt x="743860" y="331388"/>
                  <a:pt x="752475" y="323850"/>
                </a:cubicBezTo>
                <a:cubicBezTo>
                  <a:pt x="769705" y="308773"/>
                  <a:pt x="809625" y="285750"/>
                  <a:pt x="809625" y="285750"/>
                </a:cubicBezTo>
                <a:cubicBezTo>
                  <a:pt x="833566" y="213926"/>
                  <a:pt x="801271" y="302458"/>
                  <a:pt x="838200" y="228600"/>
                </a:cubicBezTo>
                <a:cubicBezTo>
                  <a:pt x="842690" y="219620"/>
                  <a:pt x="843235" y="209005"/>
                  <a:pt x="847725" y="200025"/>
                </a:cubicBezTo>
                <a:cubicBezTo>
                  <a:pt x="852845" y="189786"/>
                  <a:pt x="862126" y="181911"/>
                  <a:pt x="866775" y="171450"/>
                </a:cubicBezTo>
                <a:cubicBezTo>
                  <a:pt x="874930" y="153100"/>
                  <a:pt x="885825" y="114300"/>
                  <a:pt x="885825" y="114300"/>
                </a:cubicBezTo>
                <a:cubicBezTo>
                  <a:pt x="896925" y="25498"/>
                  <a:pt x="895350" y="63698"/>
                  <a:pt x="895350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7383463" y="3049570"/>
            <a:ext cx="627065" cy="2917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rgbClr val="FF0000"/>
                </a:solidFill>
              </a:rPr>
              <a:t>CN3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41" name="Forma Livre: Forma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4909796">
            <a:off x="4469204" y="3289094"/>
            <a:ext cx="909892" cy="697473"/>
          </a:xfrm>
          <a:custGeom>
            <a:avLst/>
            <a:gdLst>
              <a:gd name="connsiteX0" fmla="*/ 0 w 895426"/>
              <a:gd name="connsiteY0" fmla="*/ 666750 h 666750"/>
              <a:gd name="connsiteX1" fmla="*/ 66675 w 895426"/>
              <a:gd name="connsiteY1" fmla="*/ 638175 h 666750"/>
              <a:gd name="connsiteX2" fmla="*/ 152400 w 895426"/>
              <a:gd name="connsiteY2" fmla="*/ 619125 h 666750"/>
              <a:gd name="connsiteX3" fmla="*/ 228600 w 895426"/>
              <a:gd name="connsiteY3" fmla="*/ 600075 h 666750"/>
              <a:gd name="connsiteX4" fmla="*/ 276225 w 895426"/>
              <a:gd name="connsiteY4" fmla="*/ 590550 h 666750"/>
              <a:gd name="connsiteX5" fmla="*/ 333375 w 895426"/>
              <a:gd name="connsiteY5" fmla="*/ 571500 h 666750"/>
              <a:gd name="connsiteX6" fmla="*/ 390525 w 895426"/>
              <a:gd name="connsiteY6" fmla="*/ 561975 h 666750"/>
              <a:gd name="connsiteX7" fmla="*/ 447675 w 895426"/>
              <a:gd name="connsiteY7" fmla="*/ 542925 h 666750"/>
              <a:gd name="connsiteX8" fmla="*/ 504825 w 895426"/>
              <a:gd name="connsiteY8" fmla="*/ 504825 h 666750"/>
              <a:gd name="connsiteX9" fmla="*/ 600075 w 895426"/>
              <a:gd name="connsiteY9" fmla="*/ 495300 h 666750"/>
              <a:gd name="connsiteX10" fmla="*/ 657225 w 895426"/>
              <a:gd name="connsiteY10" fmla="*/ 447675 h 666750"/>
              <a:gd name="connsiteX11" fmla="*/ 676275 w 895426"/>
              <a:gd name="connsiteY11" fmla="*/ 409575 h 666750"/>
              <a:gd name="connsiteX12" fmla="*/ 733425 w 895426"/>
              <a:gd name="connsiteY12" fmla="*/ 352425 h 666750"/>
              <a:gd name="connsiteX13" fmla="*/ 752475 w 895426"/>
              <a:gd name="connsiteY13" fmla="*/ 323850 h 666750"/>
              <a:gd name="connsiteX14" fmla="*/ 809625 w 895426"/>
              <a:gd name="connsiteY14" fmla="*/ 285750 h 666750"/>
              <a:gd name="connsiteX15" fmla="*/ 838200 w 895426"/>
              <a:gd name="connsiteY15" fmla="*/ 228600 h 666750"/>
              <a:gd name="connsiteX16" fmla="*/ 847725 w 895426"/>
              <a:gd name="connsiteY16" fmla="*/ 200025 h 666750"/>
              <a:gd name="connsiteX17" fmla="*/ 866775 w 895426"/>
              <a:gd name="connsiteY17" fmla="*/ 171450 h 666750"/>
              <a:gd name="connsiteX18" fmla="*/ 885825 w 895426"/>
              <a:gd name="connsiteY18" fmla="*/ 114300 h 666750"/>
              <a:gd name="connsiteX19" fmla="*/ 895350 w 895426"/>
              <a:gd name="connsiteY19" fmla="*/ 0 h 666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895426" h="666750">
                <a:moveTo>
                  <a:pt x="0" y="666750"/>
                </a:moveTo>
                <a:cubicBezTo>
                  <a:pt x="22225" y="657225"/>
                  <a:pt x="43951" y="646438"/>
                  <a:pt x="66675" y="638175"/>
                </a:cubicBezTo>
                <a:cubicBezTo>
                  <a:pt x="85785" y="631226"/>
                  <a:pt x="134847" y="623176"/>
                  <a:pt x="152400" y="619125"/>
                </a:cubicBezTo>
                <a:cubicBezTo>
                  <a:pt x="177911" y="613238"/>
                  <a:pt x="203089" y="605962"/>
                  <a:pt x="228600" y="600075"/>
                </a:cubicBezTo>
                <a:cubicBezTo>
                  <a:pt x="244375" y="596435"/>
                  <a:pt x="260606" y="594810"/>
                  <a:pt x="276225" y="590550"/>
                </a:cubicBezTo>
                <a:cubicBezTo>
                  <a:pt x="295598" y="585266"/>
                  <a:pt x="313894" y="576370"/>
                  <a:pt x="333375" y="571500"/>
                </a:cubicBezTo>
                <a:cubicBezTo>
                  <a:pt x="352111" y="566816"/>
                  <a:pt x="371789" y="566659"/>
                  <a:pt x="390525" y="561975"/>
                </a:cubicBezTo>
                <a:cubicBezTo>
                  <a:pt x="410006" y="557105"/>
                  <a:pt x="430967" y="554064"/>
                  <a:pt x="447675" y="542925"/>
                </a:cubicBezTo>
                <a:cubicBezTo>
                  <a:pt x="466725" y="530225"/>
                  <a:pt x="482043" y="507103"/>
                  <a:pt x="504825" y="504825"/>
                </a:cubicBezTo>
                <a:lnTo>
                  <a:pt x="600075" y="495300"/>
                </a:lnTo>
                <a:cubicBezTo>
                  <a:pt x="622860" y="480110"/>
                  <a:pt x="640557" y="471010"/>
                  <a:pt x="657225" y="447675"/>
                </a:cubicBezTo>
                <a:cubicBezTo>
                  <a:pt x="665478" y="436121"/>
                  <a:pt x="667405" y="420663"/>
                  <a:pt x="676275" y="409575"/>
                </a:cubicBezTo>
                <a:cubicBezTo>
                  <a:pt x="693105" y="388538"/>
                  <a:pt x="718481" y="374841"/>
                  <a:pt x="733425" y="352425"/>
                </a:cubicBezTo>
                <a:cubicBezTo>
                  <a:pt x="739775" y="342900"/>
                  <a:pt x="743860" y="331388"/>
                  <a:pt x="752475" y="323850"/>
                </a:cubicBezTo>
                <a:cubicBezTo>
                  <a:pt x="769705" y="308773"/>
                  <a:pt x="809625" y="285750"/>
                  <a:pt x="809625" y="285750"/>
                </a:cubicBezTo>
                <a:cubicBezTo>
                  <a:pt x="833566" y="213926"/>
                  <a:pt x="801271" y="302458"/>
                  <a:pt x="838200" y="228600"/>
                </a:cubicBezTo>
                <a:cubicBezTo>
                  <a:pt x="842690" y="219620"/>
                  <a:pt x="843235" y="209005"/>
                  <a:pt x="847725" y="200025"/>
                </a:cubicBezTo>
                <a:cubicBezTo>
                  <a:pt x="852845" y="189786"/>
                  <a:pt x="862126" y="181911"/>
                  <a:pt x="866775" y="171450"/>
                </a:cubicBezTo>
                <a:cubicBezTo>
                  <a:pt x="874930" y="153100"/>
                  <a:pt x="885825" y="114300"/>
                  <a:pt x="885825" y="114300"/>
                </a:cubicBezTo>
                <a:cubicBezTo>
                  <a:pt x="896925" y="25498"/>
                  <a:pt x="895350" y="63698"/>
                  <a:pt x="895350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4121517" y="3030520"/>
            <a:ext cx="613792" cy="2917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rgbClr val="FF0000"/>
                </a:solidFill>
              </a:rPr>
              <a:t>CN1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 rot="21257934">
            <a:off x="6154597" y="4086724"/>
            <a:ext cx="529069" cy="2917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ysClr val="windowText" lastClr="000000"/>
                </a:solidFill>
              </a:rPr>
              <a:t>Lad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40" name="Conector reto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CxnSpPr/>
        </xdr:nvCxnSpPr>
        <xdr:spPr>
          <a:xfrm flipH="1" flipV="1">
            <a:off x="4886325" y="4026927"/>
            <a:ext cx="26372" cy="23624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364788</xdr:colOff>
      <xdr:row>19</xdr:row>
      <xdr:rowOff>0</xdr:rowOff>
    </xdr:from>
    <xdr:to>
      <xdr:col>10</xdr:col>
      <xdr:colOff>819150</xdr:colOff>
      <xdr:row>20</xdr:row>
      <xdr:rowOff>66277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13871238" y="3238500"/>
          <a:ext cx="454362" cy="256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CN2</a:t>
          </a: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1127760</xdr:colOff>
          <xdr:row>48</xdr:row>
          <xdr:rowOff>7620</xdr:rowOff>
        </xdr:from>
        <xdr:to>
          <xdr:col>3</xdr:col>
          <xdr:colOff>2651760</xdr:colOff>
          <xdr:row>49</xdr:row>
          <xdr:rowOff>160020</xdr:rowOff>
        </xdr:to>
        <xdr:sp macro="" textlink="">
          <xdr:nvSpPr>
            <xdr:cNvPr id="1027" name="Figura 167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213360</xdr:rowOff>
        </xdr:from>
        <xdr:to>
          <xdr:col>3</xdr:col>
          <xdr:colOff>2613660</xdr:colOff>
          <xdr:row>53</xdr:row>
          <xdr:rowOff>121920</xdr:rowOff>
        </xdr:to>
        <xdr:sp macro="" textlink="">
          <xdr:nvSpPr>
            <xdr:cNvPr id="1028" name="Figura 16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1685633</xdr:colOff>
      <xdr:row>26</xdr:row>
      <xdr:rowOff>116930</xdr:rowOff>
    </xdr:from>
    <xdr:to>
      <xdr:col>7</xdr:col>
      <xdr:colOff>128716</xdr:colOff>
      <xdr:row>28</xdr:row>
      <xdr:rowOff>51075</xdr:rowOff>
    </xdr:to>
    <xdr:sp macro="" textlink="">
      <xdr:nvSpPr>
        <xdr:cNvPr id="49" name="Forma Livre: Forma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 rot="8204128">
          <a:off x="9686633" y="5146130"/>
          <a:ext cx="1310108" cy="315145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8</xdr:row>
      <xdr:rowOff>11430</xdr:rowOff>
    </xdr:from>
    <xdr:to>
      <xdr:col>12</xdr:col>
      <xdr:colOff>158115</xdr:colOff>
      <xdr:row>25</xdr:row>
      <xdr:rowOff>135255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519" t="35682" r="34325" b="13530"/>
        <a:stretch/>
      </xdr:blipFill>
      <xdr:spPr>
        <a:xfrm>
          <a:off x="8656320" y="1504950"/>
          <a:ext cx="2017395" cy="33851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51</xdr:row>
          <xdr:rowOff>7620</xdr:rowOff>
        </xdr:from>
        <xdr:to>
          <xdr:col>7</xdr:col>
          <xdr:colOff>76200</xdr:colOff>
          <xdr:row>52</xdr:row>
          <xdr:rowOff>15240</xdr:rowOff>
        </xdr:to>
        <xdr:sp macro="" textlink="">
          <xdr:nvSpPr>
            <xdr:cNvPr id="2049" name="Figura 143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200026</xdr:colOff>
      <xdr:row>109</xdr:row>
      <xdr:rowOff>76206</xdr:rowOff>
    </xdr:from>
    <xdr:to>
      <xdr:col>12</xdr:col>
      <xdr:colOff>962026</xdr:colOff>
      <xdr:row>113</xdr:row>
      <xdr:rowOff>66676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1713846" y="20878806"/>
          <a:ext cx="762000" cy="752470"/>
          <a:chOff x="7267575" y="11944355"/>
          <a:chExt cx="837525" cy="895357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7277100" y="12382500"/>
            <a:ext cx="800100" cy="43815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8" name="Arco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>
            <a:spLocks/>
          </xdr:cNvSpPr>
        </xdr:nvSpPr>
        <xdr:spPr>
          <a:xfrm>
            <a:off x="7267575" y="11944355"/>
            <a:ext cx="828000" cy="874085"/>
          </a:xfrm>
          <a:prstGeom prst="arc">
            <a:avLst>
              <a:gd name="adj1" fmla="val 10557175"/>
              <a:gd name="adj2" fmla="val 0"/>
            </a:avLst>
          </a:prstGeom>
          <a:solidFill>
            <a:schemeClr val="accent5">
              <a:lumMod val="20000"/>
              <a:lumOff val="80000"/>
            </a:schemeClr>
          </a:solidFill>
          <a:ln w="25400">
            <a:rou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59" name="Conector reto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/>
        </xdr:nvCxnSpPr>
        <xdr:spPr>
          <a:xfrm>
            <a:off x="7267575" y="12402290"/>
            <a:ext cx="9525" cy="431775"/>
          </a:xfrm>
          <a:prstGeom prst="line">
            <a:avLst/>
          </a:prstGeom>
          <a:solidFill>
            <a:schemeClr val="accent5">
              <a:lumMod val="20000"/>
              <a:lumOff val="80000"/>
            </a:schemeClr>
          </a:solidFill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ector reto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CxnSpPr>
            <a:stCxn id="58" idx="2"/>
          </xdr:cNvCxnSpPr>
        </xdr:nvCxnSpPr>
        <xdr:spPr>
          <a:xfrm>
            <a:off x="8095575" y="12386672"/>
            <a:ext cx="675" cy="453040"/>
          </a:xfrm>
          <a:prstGeom prst="line">
            <a:avLst/>
          </a:prstGeom>
          <a:solidFill>
            <a:schemeClr val="accent5">
              <a:lumMod val="20000"/>
              <a:lumOff val="80000"/>
            </a:schemeClr>
          </a:solidFill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reto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CxnSpPr/>
        </xdr:nvCxnSpPr>
        <xdr:spPr>
          <a:xfrm flipV="1">
            <a:off x="7277100" y="12829354"/>
            <a:ext cx="828000" cy="0"/>
          </a:xfrm>
          <a:prstGeom prst="line">
            <a:avLst/>
          </a:prstGeom>
          <a:solidFill>
            <a:schemeClr val="accent5">
              <a:lumMod val="20000"/>
              <a:lumOff val="80000"/>
            </a:schemeClr>
          </a:solidFill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7467600" y="12208941"/>
            <a:ext cx="432000" cy="451007"/>
          </a:xfrm>
          <a:prstGeom prst="ellipse">
            <a:avLst/>
          </a:prstGeom>
          <a:solidFill>
            <a:schemeClr val="bg1"/>
          </a:solidFill>
          <a:ln w="254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12</xdr:col>
      <xdr:colOff>200025</xdr:colOff>
      <xdr:row>146</xdr:row>
      <xdr:rowOff>86852</xdr:rowOff>
    </xdr:from>
    <xdr:to>
      <xdr:col>12</xdr:col>
      <xdr:colOff>552450</xdr:colOff>
      <xdr:row>148</xdr:row>
      <xdr:rowOff>47625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12986385" y="28090352"/>
          <a:ext cx="352425" cy="341773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781050</xdr:colOff>
      <xdr:row>146</xdr:row>
      <xdr:rowOff>85725</xdr:rowOff>
    </xdr:from>
    <xdr:to>
      <xdr:col>12</xdr:col>
      <xdr:colOff>1133475</xdr:colOff>
      <xdr:row>148</xdr:row>
      <xdr:rowOff>46498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3567410" y="28089225"/>
          <a:ext cx="352425" cy="341773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899160</xdr:colOff>
          <xdr:row>127</xdr:row>
          <xdr:rowOff>7620</xdr:rowOff>
        </xdr:from>
        <xdr:to>
          <xdr:col>7</xdr:col>
          <xdr:colOff>1516380</xdr:colOff>
          <xdr:row>128</xdr:row>
          <xdr:rowOff>7620</xdr:rowOff>
        </xdr:to>
        <xdr:sp macro="" textlink="">
          <xdr:nvSpPr>
            <xdr:cNvPr id="14339" name="Figura 212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3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899160</xdr:colOff>
          <xdr:row>128</xdr:row>
          <xdr:rowOff>22860</xdr:rowOff>
        </xdr:from>
        <xdr:to>
          <xdr:col>7</xdr:col>
          <xdr:colOff>1516380</xdr:colOff>
          <xdr:row>129</xdr:row>
          <xdr:rowOff>0</xdr:rowOff>
        </xdr:to>
        <xdr:sp macro="" textlink="">
          <xdr:nvSpPr>
            <xdr:cNvPr id="14340" name="Figura 213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3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11</xdr:col>
      <xdr:colOff>815340</xdr:colOff>
      <xdr:row>29</xdr:row>
      <xdr:rowOff>7621</xdr:rowOff>
    </xdr:from>
    <xdr:to>
      <xdr:col>12</xdr:col>
      <xdr:colOff>3520440</xdr:colOff>
      <xdr:row>40</xdr:row>
      <xdr:rowOff>93237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918" t="22003" r="33200" b="22731"/>
        <a:stretch/>
      </xdr:blipFill>
      <xdr:spPr>
        <a:xfrm>
          <a:off x="12687300" y="5387341"/>
          <a:ext cx="3619500" cy="2127776"/>
        </a:xfrm>
        <a:prstGeom prst="rect">
          <a:avLst/>
        </a:prstGeom>
      </xdr:spPr>
    </xdr:pic>
    <xdr:clientData/>
  </xdr:twoCellAnchor>
  <xdr:twoCellAnchor editAs="oneCell">
    <xdr:from>
      <xdr:col>11</xdr:col>
      <xdr:colOff>433144</xdr:colOff>
      <xdr:row>40</xdr:row>
      <xdr:rowOff>144780</xdr:rowOff>
    </xdr:from>
    <xdr:to>
      <xdr:col>12</xdr:col>
      <xdr:colOff>3703320</xdr:colOff>
      <xdr:row>51</xdr:row>
      <xdr:rowOff>160020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835" t="36153" r="32658" b="15693"/>
        <a:stretch/>
      </xdr:blipFill>
      <xdr:spPr>
        <a:xfrm>
          <a:off x="12305104" y="7566660"/>
          <a:ext cx="4184576" cy="21183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53340</xdr:rowOff>
        </xdr:from>
        <xdr:to>
          <xdr:col>11</xdr:col>
          <xdr:colOff>632460</xdr:colOff>
          <xdr:row>13</xdr:row>
          <xdr:rowOff>76200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3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15</xdr:row>
          <xdr:rowOff>60960</xdr:rowOff>
        </xdr:from>
        <xdr:to>
          <xdr:col>12</xdr:col>
          <xdr:colOff>1272540</xdr:colOff>
          <xdr:row>27</xdr:row>
          <xdr:rowOff>15240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3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15</xdr:col>
      <xdr:colOff>967740</xdr:colOff>
      <xdr:row>143</xdr:row>
      <xdr:rowOff>144780</xdr:rowOff>
    </xdr:from>
    <xdr:to>
      <xdr:col>19</xdr:col>
      <xdr:colOff>1482090</xdr:colOff>
      <xdr:row>154</xdr:row>
      <xdr:rowOff>120216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14423" t="30863" r="38426" b="20173"/>
        <a:stretch/>
      </xdr:blipFill>
      <xdr:spPr>
        <a:xfrm>
          <a:off x="19011900" y="27538680"/>
          <a:ext cx="3859530" cy="2093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19</xdr:row>
          <xdr:rowOff>53340</xdr:rowOff>
        </xdr:from>
        <xdr:to>
          <xdr:col>7</xdr:col>
          <xdr:colOff>350520</xdr:colOff>
          <xdr:row>21</xdr:row>
          <xdr:rowOff>53340</xdr:rowOff>
        </xdr:to>
        <xdr:sp macro="" textlink="">
          <xdr:nvSpPr>
            <xdr:cNvPr id="25601" name="Figura 164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21</xdr:row>
          <xdr:rowOff>38100</xdr:rowOff>
        </xdr:from>
        <xdr:to>
          <xdr:col>5</xdr:col>
          <xdr:colOff>396240</xdr:colOff>
          <xdr:row>23</xdr:row>
          <xdr:rowOff>0</xdr:rowOff>
        </xdr:to>
        <xdr:sp macro="" textlink="">
          <xdr:nvSpPr>
            <xdr:cNvPr id="25602" name="Figura 167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22</xdr:row>
          <xdr:rowOff>190500</xdr:rowOff>
        </xdr:from>
        <xdr:to>
          <xdr:col>7</xdr:col>
          <xdr:colOff>30480</xdr:colOff>
          <xdr:row>24</xdr:row>
          <xdr:rowOff>99060</xdr:rowOff>
        </xdr:to>
        <xdr:sp macro="" textlink="">
          <xdr:nvSpPr>
            <xdr:cNvPr id="25603" name="Figura 168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167640</xdr:colOff>
          <xdr:row>24</xdr:row>
          <xdr:rowOff>68580</xdr:rowOff>
        </xdr:from>
        <xdr:to>
          <xdr:col>6</xdr:col>
          <xdr:colOff>807720</xdr:colOff>
          <xdr:row>25</xdr:row>
          <xdr:rowOff>68580</xdr:rowOff>
        </xdr:to>
        <xdr:sp macro="" textlink="">
          <xdr:nvSpPr>
            <xdr:cNvPr id="25604" name="Figura 169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4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138590</xdr:colOff>
      <xdr:row>0</xdr:row>
      <xdr:rowOff>142874</xdr:rowOff>
    </xdr:from>
    <xdr:to>
      <xdr:col>12</xdr:col>
      <xdr:colOff>533400</xdr:colOff>
      <xdr:row>18</xdr:row>
      <xdr:rowOff>51673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95" t="34249" r="61049" b="11969"/>
        <a:stretch/>
      </xdr:blipFill>
      <xdr:spPr>
        <a:xfrm>
          <a:off x="8840630" y="142874"/>
          <a:ext cx="2894170" cy="3337799"/>
        </a:xfrm>
        <a:prstGeom prst="rect">
          <a:avLst/>
        </a:prstGeom>
      </xdr:spPr>
    </xdr:pic>
    <xdr:clientData/>
  </xdr:twoCellAnchor>
  <xdr:twoCellAnchor>
    <xdr:from>
      <xdr:col>15</xdr:col>
      <xdr:colOff>190500</xdr:colOff>
      <xdr:row>14</xdr:row>
      <xdr:rowOff>167876</xdr:rowOff>
    </xdr:from>
    <xdr:to>
      <xdr:col>17</xdr:col>
      <xdr:colOff>622742</xdr:colOff>
      <xdr:row>16</xdr:row>
      <xdr:rowOff>106680</xdr:rowOff>
    </xdr:to>
    <xdr:pic>
      <xdr:nvPicPr>
        <xdr:cNvPr id="17" name="Imagem 1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6420" y="2850116"/>
          <a:ext cx="1681922" cy="31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404206</xdr:colOff>
      <xdr:row>14</xdr:row>
      <xdr:rowOff>114300</xdr:rowOff>
    </xdr:from>
    <xdr:to>
      <xdr:col>22</xdr:col>
      <xdr:colOff>480060</xdr:colOff>
      <xdr:row>16</xdr:row>
      <xdr:rowOff>121920</xdr:rowOff>
    </xdr:to>
    <xdr:pic>
      <xdr:nvPicPr>
        <xdr:cNvPr id="18" name="Imagem 13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4646" y="2796540"/>
          <a:ext cx="2575214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0</xdr:colOff>
      <xdr:row>17</xdr:row>
      <xdr:rowOff>0</xdr:rowOff>
    </xdr:from>
    <xdr:to>
      <xdr:col>38</xdr:col>
      <xdr:colOff>274320</xdr:colOff>
      <xdr:row>38</xdr:row>
      <xdr:rowOff>30480</xdr:rowOff>
    </xdr:to>
    <xdr:graphicFrame macro="">
      <xdr:nvGraphicFramePr>
        <xdr:cNvPr id="19" name="Gráfico 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258</xdr:row>
      <xdr:rowOff>28575</xdr:rowOff>
    </xdr:from>
    <xdr:to>
      <xdr:col>4</xdr:col>
      <xdr:colOff>561975</xdr:colOff>
      <xdr:row>259</xdr:row>
      <xdr:rowOff>38100</xdr:rowOff>
    </xdr:to>
    <xdr:sp macro="" textlink="">
      <xdr:nvSpPr>
        <xdr:cNvPr id="2" name="Caixa de Texto 41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3451860" y="49520475"/>
          <a:ext cx="523875" cy="2000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MS Sans Serif"/>
            </a:rPr>
            <a:t>R$/m3</a:t>
          </a:r>
        </a:p>
      </xdr:txBody>
    </xdr:sp>
    <xdr:clientData/>
  </xdr:twoCellAnchor>
  <xdr:twoCellAnchor>
    <xdr:from>
      <xdr:col>0</xdr:col>
      <xdr:colOff>190500</xdr:colOff>
      <xdr:row>0</xdr:row>
      <xdr:rowOff>133350</xdr:rowOff>
    </xdr:from>
    <xdr:to>
      <xdr:col>0</xdr:col>
      <xdr:colOff>561975</xdr:colOff>
      <xdr:row>1</xdr:row>
      <xdr:rowOff>342900</xdr:rowOff>
    </xdr:to>
    <xdr:pic>
      <xdr:nvPicPr>
        <xdr:cNvPr id="3" name="Imagem 392" descr="Ministério de Minas e Energia - MM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3714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733425</xdr:colOff>
      <xdr:row>0</xdr:row>
      <xdr:rowOff>142875</xdr:rowOff>
    </xdr:from>
    <xdr:to>
      <xdr:col>3</xdr:col>
      <xdr:colOff>428625</xdr:colOff>
      <xdr:row>1</xdr:row>
      <xdr:rowOff>314325</xdr:rowOff>
    </xdr:to>
    <xdr:sp macro="" textlink="">
      <xdr:nvSpPr>
        <xdr:cNvPr id="4" name="Caixa de Texto 39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733425" y="142875"/>
          <a:ext cx="229362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0" rIns="91440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Ministério de Minas e Energia – MME</a:t>
          </a:r>
        </a:p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SECRETARIA EXECUTIVA</a:t>
          </a: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19050</xdr:colOff>
      <xdr:row>0</xdr:row>
      <xdr:rowOff>123825</xdr:rowOff>
    </xdr:from>
    <xdr:to>
      <xdr:col>9</xdr:col>
      <xdr:colOff>657225</xdr:colOff>
      <xdr:row>1</xdr:row>
      <xdr:rowOff>285750</xdr:rowOff>
    </xdr:to>
    <xdr:pic>
      <xdr:nvPicPr>
        <xdr:cNvPr id="5" name="Imagem 394" descr="PCE azul complet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56"/>
        <a:stretch>
          <a:fillRect/>
        </a:stretch>
      </xdr:blipFill>
      <xdr:spPr bwMode="auto">
        <a:xfrm>
          <a:off x="6976110" y="123825"/>
          <a:ext cx="152209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304800</xdr:colOff>
      <xdr:row>0</xdr:row>
      <xdr:rowOff>161925</xdr:rowOff>
    </xdr:from>
    <xdr:to>
      <xdr:col>11</xdr:col>
      <xdr:colOff>0</xdr:colOff>
      <xdr:row>1</xdr:row>
      <xdr:rowOff>428625</xdr:rowOff>
    </xdr:to>
    <xdr:pic>
      <xdr:nvPicPr>
        <xdr:cNvPr id="6" name="Imagem 39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780" y="161925"/>
          <a:ext cx="156972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390525</xdr:colOff>
      <xdr:row>299</xdr:row>
      <xdr:rowOff>123825</xdr:rowOff>
    </xdr:from>
    <xdr:to>
      <xdr:col>7</xdr:col>
      <xdr:colOff>438150</xdr:colOff>
      <xdr:row>314</xdr:row>
      <xdr:rowOff>66675</xdr:rowOff>
    </xdr:to>
    <xdr:pic>
      <xdr:nvPicPr>
        <xdr:cNvPr id="7" name="Imagem 39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3605" y="57426225"/>
          <a:ext cx="433006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742950</xdr:colOff>
      <xdr:row>318</xdr:row>
      <xdr:rowOff>114300</xdr:rowOff>
    </xdr:from>
    <xdr:to>
      <xdr:col>7</xdr:col>
      <xdr:colOff>781050</xdr:colOff>
      <xdr:row>333</xdr:row>
      <xdr:rowOff>47625</xdr:rowOff>
    </xdr:to>
    <xdr:pic>
      <xdr:nvPicPr>
        <xdr:cNvPr id="8" name="Imagem 39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030" y="61036200"/>
          <a:ext cx="4320540" cy="279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190500</xdr:colOff>
      <xdr:row>377</xdr:row>
      <xdr:rowOff>28575</xdr:rowOff>
    </xdr:from>
    <xdr:to>
      <xdr:col>8</xdr:col>
      <xdr:colOff>66675</xdr:colOff>
      <xdr:row>392</xdr:row>
      <xdr:rowOff>114300</xdr:rowOff>
    </xdr:to>
    <xdr:pic>
      <xdr:nvPicPr>
        <xdr:cNvPr id="9" name="Imagem 405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72670035"/>
          <a:ext cx="505015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412</xdr:row>
      <xdr:rowOff>0</xdr:rowOff>
    </xdr:from>
    <xdr:to>
      <xdr:col>7</xdr:col>
      <xdr:colOff>666750</xdr:colOff>
      <xdr:row>427</xdr:row>
      <xdr:rowOff>95250</xdr:rowOff>
    </xdr:to>
    <xdr:pic>
      <xdr:nvPicPr>
        <xdr:cNvPr id="10" name="Imagem 43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" y="79552800"/>
          <a:ext cx="5863590" cy="295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433</xdr:row>
      <xdr:rowOff>0</xdr:rowOff>
    </xdr:from>
    <xdr:to>
      <xdr:col>7</xdr:col>
      <xdr:colOff>666750</xdr:colOff>
      <xdr:row>448</xdr:row>
      <xdr:rowOff>95250</xdr:rowOff>
    </xdr:to>
    <xdr:pic>
      <xdr:nvPicPr>
        <xdr:cNvPr id="11" name="Imagem 43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" y="83553300"/>
          <a:ext cx="5863590" cy="295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600075</xdr:colOff>
      <xdr:row>347</xdr:row>
      <xdr:rowOff>47625</xdr:rowOff>
    </xdr:from>
    <xdr:to>
      <xdr:col>7</xdr:col>
      <xdr:colOff>714375</xdr:colOff>
      <xdr:row>362</xdr:row>
      <xdr:rowOff>85725</xdr:rowOff>
    </xdr:to>
    <xdr:pic>
      <xdr:nvPicPr>
        <xdr:cNvPr id="12" name="Imagem 437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155" y="66722625"/>
          <a:ext cx="4396740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110173</xdr:colOff>
      <xdr:row>534</xdr:row>
      <xdr:rowOff>57149</xdr:rowOff>
    </xdr:from>
    <xdr:to>
      <xdr:col>6</xdr:col>
      <xdr:colOff>523781</xdr:colOff>
      <xdr:row>552</xdr:row>
      <xdr:rowOff>123825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5229" t="24743" r="40037" b="22646"/>
        <a:stretch/>
      </xdr:blipFill>
      <xdr:spPr>
        <a:xfrm>
          <a:off x="978853" y="102904289"/>
          <a:ext cx="4696048" cy="3107056"/>
        </a:xfrm>
        <a:prstGeom prst="rect">
          <a:avLst/>
        </a:prstGeom>
      </xdr:spPr>
    </xdr:pic>
    <xdr:clientData/>
  </xdr:twoCellAnchor>
  <xdr:twoCellAnchor editAs="oneCell">
    <xdr:from>
      <xdr:col>12</xdr:col>
      <xdr:colOff>747677</xdr:colOff>
      <xdr:row>208</xdr:row>
      <xdr:rowOff>793</xdr:rowOff>
    </xdr:from>
    <xdr:to>
      <xdr:col>23</xdr:col>
      <xdr:colOff>323442</xdr:colOff>
      <xdr:row>224</xdr:row>
      <xdr:rowOff>104775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957" t="17109" r="8389" b="10659"/>
        <a:stretch/>
      </xdr:blipFill>
      <xdr:spPr>
        <a:xfrm>
          <a:off x="10630817" y="39967693"/>
          <a:ext cx="6182305" cy="3151982"/>
        </a:xfrm>
        <a:prstGeom prst="rect">
          <a:avLst/>
        </a:prstGeom>
      </xdr:spPr>
    </xdr:pic>
    <xdr:clientData/>
  </xdr:twoCellAnchor>
  <xdr:twoCellAnchor editAs="oneCell">
    <xdr:from>
      <xdr:col>10</xdr:col>
      <xdr:colOff>54365</xdr:colOff>
      <xdr:row>207</xdr:row>
      <xdr:rowOff>190499</xdr:rowOff>
    </xdr:from>
    <xdr:to>
      <xdr:col>13</xdr:col>
      <xdr:colOff>615075</xdr:colOff>
      <xdr:row>224</xdr:row>
      <xdr:rowOff>95250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9765" y="39966899"/>
          <a:ext cx="2275210" cy="3143251"/>
        </a:xfrm>
        <a:prstGeom prst="rect">
          <a:avLst/>
        </a:prstGeom>
      </xdr:spPr>
    </xdr:pic>
    <xdr:clientData/>
  </xdr:twoCellAnchor>
  <xdr:twoCellAnchor editAs="oneCell">
    <xdr:from>
      <xdr:col>10</xdr:col>
      <xdr:colOff>56724</xdr:colOff>
      <xdr:row>224</xdr:row>
      <xdr:rowOff>76200</xdr:rowOff>
    </xdr:from>
    <xdr:to>
      <xdr:col>13</xdr:col>
      <xdr:colOff>647700</xdr:colOff>
      <xdr:row>240</xdr:row>
      <xdr:rowOff>92869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124" y="43091100"/>
          <a:ext cx="2305476" cy="3064669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224</xdr:row>
      <xdr:rowOff>76200</xdr:rowOff>
    </xdr:from>
    <xdr:to>
      <xdr:col>23</xdr:col>
      <xdr:colOff>362254</xdr:colOff>
      <xdr:row>236</xdr:row>
      <xdr:rowOff>47625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530" b="26330"/>
        <a:stretch/>
      </xdr:blipFill>
      <xdr:spPr>
        <a:xfrm>
          <a:off x="10629901" y="43091100"/>
          <a:ext cx="6222033" cy="22574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70</xdr:row>
          <xdr:rowOff>76200</xdr:rowOff>
        </xdr:from>
        <xdr:to>
          <xdr:col>4</xdr:col>
          <xdr:colOff>563880</xdr:colOff>
          <xdr:row>72</xdr:row>
          <xdr:rowOff>83820</xdr:rowOff>
        </xdr:to>
        <xdr:sp macro="" textlink="">
          <xdr:nvSpPr>
            <xdr:cNvPr id="28673" name="Figura 62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5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114</xdr:row>
          <xdr:rowOff>114300</xdr:rowOff>
        </xdr:from>
        <xdr:to>
          <xdr:col>2</xdr:col>
          <xdr:colOff>746760</xdr:colOff>
          <xdr:row>116</xdr:row>
          <xdr:rowOff>99060</xdr:rowOff>
        </xdr:to>
        <xdr:sp macro="" textlink="">
          <xdr:nvSpPr>
            <xdr:cNvPr id="28674" name="Figura 63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5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693420</xdr:colOff>
          <xdr:row>176</xdr:row>
          <xdr:rowOff>38100</xdr:rowOff>
        </xdr:from>
        <xdr:to>
          <xdr:col>3</xdr:col>
          <xdr:colOff>449580</xdr:colOff>
          <xdr:row>177</xdr:row>
          <xdr:rowOff>45720</xdr:rowOff>
        </xdr:to>
        <xdr:sp macro="" textlink="">
          <xdr:nvSpPr>
            <xdr:cNvPr id="28675" name="Figura 64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05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165</xdr:row>
          <xdr:rowOff>60960</xdr:rowOff>
        </xdr:from>
        <xdr:to>
          <xdr:col>2</xdr:col>
          <xdr:colOff>403860</xdr:colOff>
          <xdr:row>167</xdr:row>
          <xdr:rowOff>68580</xdr:rowOff>
        </xdr:to>
        <xdr:sp macro="" textlink="">
          <xdr:nvSpPr>
            <xdr:cNvPr id="28676" name="Figura 6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5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172</xdr:row>
          <xdr:rowOff>182880</xdr:rowOff>
        </xdr:from>
        <xdr:to>
          <xdr:col>4</xdr:col>
          <xdr:colOff>419100</xdr:colOff>
          <xdr:row>174</xdr:row>
          <xdr:rowOff>38100</xdr:rowOff>
        </xdr:to>
        <xdr:sp macro="" textlink="">
          <xdr:nvSpPr>
            <xdr:cNvPr id="28677" name="Figura 66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5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693420</xdr:colOff>
          <xdr:row>179</xdr:row>
          <xdr:rowOff>76200</xdr:rowOff>
        </xdr:from>
        <xdr:to>
          <xdr:col>5</xdr:col>
          <xdr:colOff>365760</xdr:colOff>
          <xdr:row>181</xdr:row>
          <xdr:rowOff>121920</xdr:rowOff>
        </xdr:to>
        <xdr:sp macro="" textlink="">
          <xdr:nvSpPr>
            <xdr:cNvPr id="28678" name="Figura 67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5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66</xdr:row>
          <xdr:rowOff>137160</xdr:rowOff>
        </xdr:from>
        <xdr:to>
          <xdr:col>2</xdr:col>
          <xdr:colOff>464820</xdr:colOff>
          <xdr:row>68</xdr:row>
          <xdr:rowOff>144780</xdr:rowOff>
        </xdr:to>
        <xdr:sp macro="" textlink="">
          <xdr:nvSpPr>
            <xdr:cNvPr id="28679" name="Figura 7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5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259080</xdr:colOff>
          <xdr:row>50</xdr:row>
          <xdr:rowOff>106680</xdr:rowOff>
        </xdr:from>
        <xdr:to>
          <xdr:col>3</xdr:col>
          <xdr:colOff>160020</xdr:colOff>
          <xdr:row>52</xdr:row>
          <xdr:rowOff>76200</xdr:rowOff>
        </xdr:to>
        <xdr:sp macro="" textlink="">
          <xdr:nvSpPr>
            <xdr:cNvPr id="28680" name="Figura 8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05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93</xdr:row>
          <xdr:rowOff>76200</xdr:rowOff>
        </xdr:from>
        <xdr:to>
          <xdr:col>3</xdr:col>
          <xdr:colOff>137160</xdr:colOff>
          <xdr:row>95</xdr:row>
          <xdr:rowOff>60960</xdr:rowOff>
        </xdr:to>
        <xdr:sp macro="" textlink="">
          <xdr:nvSpPr>
            <xdr:cNvPr id="28681" name="Figura 90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05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110</xdr:row>
          <xdr:rowOff>30480</xdr:rowOff>
        </xdr:from>
        <xdr:to>
          <xdr:col>2</xdr:col>
          <xdr:colOff>388620</xdr:colOff>
          <xdr:row>111</xdr:row>
          <xdr:rowOff>38100</xdr:rowOff>
        </xdr:to>
        <xdr:sp macro="" textlink="">
          <xdr:nvSpPr>
            <xdr:cNvPr id="28682" name="Figura 91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05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192</xdr:row>
          <xdr:rowOff>22860</xdr:rowOff>
        </xdr:from>
        <xdr:to>
          <xdr:col>3</xdr:col>
          <xdr:colOff>426720</xdr:colOff>
          <xdr:row>192</xdr:row>
          <xdr:rowOff>182880</xdr:rowOff>
        </xdr:to>
        <xdr:sp macro="" textlink="">
          <xdr:nvSpPr>
            <xdr:cNvPr id="28683" name="Figura 99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05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194</xdr:row>
          <xdr:rowOff>30480</xdr:rowOff>
        </xdr:from>
        <xdr:to>
          <xdr:col>3</xdr:col>
          <xdr:colOff>381000</xdr:colOff>
          <xdr:row>195</xdr:row>
          <xdr:rowOff>0</xdr:rowOff>
        </xdr:to>
        <xdr:sp macro="" textlink="">
          <xdr:nvSpPr>
            <xdr:cNvPr id="28684" name="Figura 100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05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204</xdr:row>
          <xdr:rowOff>30480</xdr:rowOff>
        </xdr:from>
        <xdr:to>
          <xdr:col>3</xdr:col>
          <xdr:colOff>373380</xdr:colOff>
          <xdr:row>205</xdr:row>
          <xdr:rowOff>0</xdr:rowOff>
        </xdr:to>
        <xdr:sp macro="" textlink="">
          <xdr:nvSpPr>
            <xdr:cNvPr id="28685" name="Figura 105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05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259080</xdr:colOff>
          <xdr:row>212</xdr:row>
          <xdr:rowOff>0</xdr:rowOff>
        </xdr:from>
        <xdr:to>
          <xdr:col>3</xdr:col>
          <xdr:colOff>175260</xdr:colOff>
          <xdr:row>213</xdr:row>
          <xdr:rowOff>0</xdr:rowOff>
        </xdr:to>
        <xdr:sp macro="" textlink="">
          <xdr:nvSpPr>
            <xdr:cNvPr id="28686" name="Figura 1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05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215</xdr:row>
          <xdr:rowOff>30480</xdr:rowOff>
        </xdr:from>
        <xdr:to>
          <xdr:col>3</xdr:col>
          <xdr:colOff>335280</xdr:colOff>
          <xdr:row>216</xdr:row>
          <xdr:rowOff>38100</xdr:rowOff>
        </xdr:to>
        <xdr:sp macro="" textlink="">
          <xdr:nvSpPr>
            <xdr:cNvPr id="28687" name="Figura 1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05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225</xdr:row>
          <xdr:rowOff>7620</xdr:rowOff>
        </xdr:from>
        <xdr:to>
          <xdr:col>3</xdr:col>
          <xdr:colOff>152400</xdr:colOff>
          <xdr:row>226</xdr:row>
          <xdr:rowOff>7620</xdr:rowOff>
        </xdr:to>
        <xdr:sp macro="" textlink="">
          <xdr:nvSpPr>
            <xdr:cNvPr id="28688" name="Figura 119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05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218</xdr:row>
          <xdr:rowOff>22860</xdr:rowOff>
        </xdr:from>
        <xdr:to>
          <xdr:col>4</xdr:col>
          <xdr:colOff>335280</xdr:colOff>
          <xdr:row>220</xdr:row>
          <xdr:rowOff>152400</xdr:rowOff>
        </xdr:to>
        <xdr:sp macro="" textlink="">
          <xdr:nvSpPr>
            <xdr:cNvPr id="28689" name="Figura 121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05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75</xdr:row>
          <xdr:rowOff>22860</xdr:rowOff>
        </xdr:from>
        <xdr:to>
          <xdr:col>6</xdr:col>
          <xdr:colOff>251460</xdr:colOff>
          <xdr:row>76</xdr:row>
          <xdr:rowOff>45720</xdr:rowOff>
        </xdr:to>
        <xdr:sp macro="" textlink="">
          <xdr:nvSpPr>
            <xdr:cNvPr id="28690" name="Figura 125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05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76</xdr:row>
          <xdr:rowOff>137160</xdr:rowOff>
        </xdr:from>
        <xdr:to>
          <xdr:col>6</xdr:col>
          <xdr:colOff>160020</xdr:colOff>
          <xdr:row>77</xdr:row>
          <xdr:rowOff>152400</xdr:rowOff>
        </xdr:to>
        <xdr:sp macro="" textlink="">
          <xdr:nvSpPr>
            <xdr:cNvPr id="28691" name="Figura 126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05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78</xdr:row>
          <xdr:rowOff>99060</xdr:rowOff>
        </xdr:from>
        <xdr:to>
          <xdr:col>5</xdr:col>
          <xdr:colOff>746760</xdr:colOff>
          <xdr:row>79</xdr:row>
          <xdr:rowOff>121920</xdr:rowOff>
        </xdr:to>
        <xdr:sp macro="" textlink="">
          <xdr:nvSpPr>
            <xdr:cNvPr id="28692" name="Figura 127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05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79</xdr:row>
          <xdr:rowOff>175260</xdr:rowOff>
        </xdr:from>
        <xdr:to>
          <xdr:col>5</xdr:col>
          <xdr:colOff>99060</xdr:colOff>
          <xdr:row>81</xdr:row>
          <xdr:rowOff>7620</xdr:rowOff>
        </xdr:to>
        <xdr:sp macro="" textlink="">
          <xdr:nvSpPr>
            <xdr:cNvPr id="28693" name="Figura 128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05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104</xdr:row>
          <xdr:rowOff>114300</xdr:rowOff>
        </xdr:from>
        <xdr:to>
          <xdr:col>3</xdr:col>
          <xdr:colOff>419100</xdr:colOff>
          <xdr:row>106</xdr:row>
          <xdr:rowOff>144780</xdr:rowOff>
        </xdr:to>
        <xdr:sp macro="" textlink="">
          <xdr:nvSpPr>
            <xdr:cNvPr id="28694" name="Figura 134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05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716280</xdr:colOff>
          <xdr:row>105</xdr:row>
          <xdr:rowOff>22860</xdr:rowOff>
        </xdr:from>
        <xdr:to>
          <xdr:col>8</xdr:col>
          <xdr:colOff>236220</xdr:colOff>
          <xdr:row>107</xdr:row>
          <xdr:rowOff>182880</xdr:rowOff>
        </xdr:to>
        <xdr:sp macro="" textlink="">
          <xdr:nvSpPr>
            <xdr:cNvPr id="28695" name="Figura 135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05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213360</xdr:colOff>
          <xdr:row>136</xdr:row>
          <xdr:rowOff>99060</xdr:rowOff>
        </xdr:from>
        <xdr:to>
          <xdr:col>3</xdr:col>
          <xdr:colOff>160020</xdr:colOff>
          <xdr:row>138</xdr:row>
          <xdr:rowOff>68580</xdr:rowOff>
        </xdr:to>
        <xdr:sp macro="" textlink="">
          <xdr:nvSpPr>
            <xdr:cNvPr id="28696" name="Figura 138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05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182880</xdr:colOff>
          <xdr:row>170</xdr:row>
          <xdr:rowOff>121920</xdr:rowOff>
        </xdr:from>
        <xdr:to>
          <xdr:col>2</xdr:col>
          <xdr:colOff>198120</xdr:colOff>
          <xdr:row>172</xdr:row>
          <xdr:rowOff>99060</xdr:rowOff>
        </xdr:to>
        <xdr:sp macro="" textlink="">
          <xdr:nvSpPr>
            <xdr:cNvPr id="28697" name="Figura 142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05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155</xdr:row>
          <xdr:rowOff>114300</xdr:rowOff>
        </xdr:from>
        <xdr:to>
          <xdr:col>9</xdr:col>
          <xdr:colOff>381000</xdr:colOff>
          <xdr:row>157</xdr:row>
          <xdr:rowOff>106680</xdr:rowOff>
        </xdr:to>
        <xdr:sp macro="" textlink="">
          <xdr:nvSpPr>
            <xdr:cNvPr id="28698" name="Figura 144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05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157</xdr:row>
          <xdr:rowOff>144780</xdr:rowOff>
        </xdr:from>
        <xdr:to>
          <xdr:col>6</xdr:col>
          <xdr:colOff>114300</xdr:colOff>
          <xdr:row>159</xdr:row>
          <xdr:rowOff>121920</xdr:rowOff>
        </xdr:to>
        <xdr:sp macro="" textlink="">
          <xdr:nvSpPr>
            <xdr:cNvPr id="28699" name="Figura 145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05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838200</xdr:colOff>
          <xdr:row>250</xdr:row>
          <xdr:rowOff>38100</xdr:rowOff>
        </xdr:from>
        <xdr:to>
          <xdr:col>5</xdr:col>
          <xdr:colOff>297180</xdr:colOff>
          <xdr:row>251</xdr:row>
          <xdr:rowOff>38100</xdr:rowOff>
        </xdr:to>
        <xdr:sp macro="" textlink="">
          <xdr:nvSpPr>
            <xdr:cNvPr id="28700" name="Figura 155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05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276</xdr:row>
          <xdr:rowOff>30480</xdr:rowOff>
        </xdr:from>
        <xdr:to>
          <xdr:col>4</xdr:col>
          <xdr:colOff>289560</xdr:colOff>
          <xdr:row>277</xdr:row>
          <xdr:rowOff>30480</xdr:rowOff>
        </xdr:to>
        <xdr:sp macro="" textlink="">
          <xdr:nvSpPr>
            <xdr:cNvPr id="28701" name="Figura 213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05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315</xdr:row>
          <xdr:rowOff>175260</xdr:rowOff>
        </xdr:from>
        <xdr:to>
          <xdr:col>4</xdr:col>
          <xdr:colOff>7620</xdr:colOff>
          <xdr:row>316</xdr:row>
          <xdr:rowOff>182880</xdr:rowOff>
        </xdr:to>
        <xdr:sp macro="" textlink="">
          <xdr:nvSpPr>
            <xdr:cNvPr id="28702" name="Figura 215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05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335</xdr:row>
          <xdr:rowOff>38100</xdr:rowOff>
        </xdr:from>
        <xdr:to>
          <xdr:col>3</xdr:col>
          <xdr:colOff>22860</xdr:colOff>
          <xdr:row>336</xdr:row>
          <xdr:rowOff>30480</xdr:rowOff>
        </xdr:to>
        <xdr:sp macro="" textlink="">
          <xdr:nvSpPr>
            <xdr:cNvPr id="28703" name="Figura 217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05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370</xdr:row>
          <xdr:rowOff>137160</xdr:rowOff>
        </xdr:from>
        <xdr:to>
          <xdr:col>3</xdr:col>
          <xdr:colOff>335280</xdr:colOff>
          <xdr:row>372</xdr:row>
          <xdr:rowOff>83820</xdr:rowOff>
        </xdr:to>
        <xdr:sp macro="" textlink="">
          <xdr:nvSpPr>
            <xdr:cNvPr id="28704" name="Figura 224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05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</xdr:colOff>
          <xdr:row>454</xdr:row>
          <xdr:rowOff>45720</xdr:rowOff>
        </xdr:from>
        <xdr:to>
          <xdr:col>3</xdr:col>
          <xdr:colOff>327660</xdr:colOff>
          <xdr:row>455</xdr:row>
          <xdr:rowOff>106680</xdr:rowOff>
        </xdr:to>
        <xdr:sp macro="" textlink="">
          <xdr:nvSpPr>
            <xdr:cNvPr id="28705" name="Figura 229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05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455</xdr:row>
          <xdr:rowOff>137160</xdr:rowOff>
        </xdr:from>
        <xdr:to>
          <xdr:col>2</xdr:col>
          <xdr:colOff>388620</xdr:colOff>
          <xdr:row>457</xdr:row>
          <xdr:rowOff>114300</xdr:rowOff>
        </xdr:to>
        <xdr:sp macro="" textlink="">
          <xdr:nvSpPr>
            <xdr:cNvPr id="28706" name="Figura 230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05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430</xdr:row>
          <xdr:rowOff>0</xdr:rowOff>
        </xdr:from>
        <xdr:to>
          <xdr:col>7</xdr:col>
          <xdr:colOff>266700</xdr:colOff>
          <xdr:row>431</xdr:row>
          <xdr:rowOff>22860</xdr:rowOff>
        </xdr:to>
        <xdr:sp macro="" textlink="">
          <xdr:nvSpPr>
            <xdr:cNvPr id="28707" name="Figura 238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05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746760</xdr:colOff>
          <xdr:row>368</xdr:row>
          <xdr:rowOff>0</xdr:rowOff>
        </xdr:from>
        <xdr:to>
          <xdr:col>3</xdr:col>
          <xdr:colOff>365760</xdr:colOff>
          <xdr:row>369</xdr:row>
          <xdr:rowOff>144780</xdr:rowOff>
        </xdr:to>
        <xdr:sp macro="" textlink="">
          <xdr:nvSpPr>
            <xdr:cNvPr id="28708" name="Figura 244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05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196</xdr:row>
          <xdr:rowOff>30480</xdr:rowOff>
        </xdr:from>
        <xdr:to>
          <xdr:col>3</xdr:col>
          <xdr:colOff>403860</xdr:colOff>
          <xdr:row>197</xdr:row>
          <xdr:rowOff>0</xdr:rowOff>
        </xdr:to>
        <xdr:sp macro="" textlink="">
          <xdr:nvSpPr>
            <xdr:cNvPr id="28709" name="Figura 251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05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190</xdr:row>
          <xdr:rowOff>7620</xdr:rowOff>
        </xdr:from>
        <xdr:to>
          <xdr:col>3</xdr:col>
          <xdr:colOff>373380</xdr:colOff>
          <xdr:row>191</xdr:row>
          <xdr:rowOff>7620</xdr:rowOff>
        </xdr:to>
        <xdr:sp macro="" textlink="">
          <xdr:nvSpPr>
            <xdr:cNvPr id="28710" name="Figura 252" hidden="1">
              <a:extLst>
                <a:ext uri="{63B3BB69-23CF-44E3-9099-C40C66FF867C}">
                  <a14:compatExt spid="_x0000_s28710"/>
                </a:ext>
                <a:ext uri="{FF2B5EF4-FFF2-40B4-BE49-F238E27FC236}">
                  <a16:creationId xmlns:a16="http://schemas.microsoft.com/office/drawing/2014/main" id="{00000000-0008-0000-0500-00002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274320</xdr:colOff>
          <xdr:row>206</xdr:row>
          <xdr:rowOff>30480</xdr:rowOff>
        </xdr:from>
        <xdr:to>
          <xdr:col>3</xdr:col>
          <xdr:colOff>228600</xdr:colOff>
          <xdr:row>207</xdr:row>
          <xdr:rowOff>0</xdr:rowOff>
        </xdr:to>
        <xdr:sp macro="" textlink="">
          <xdr:nvSpPr>
            <xdr:cNvPr id="28711" name="Figura 253" hidden="1">
              <a:extLst>
                <a:ext uri="{63B3BB69-23CF-44E3-9099-C40C66FF867C}">
                  <a14:compatExt spid="_x0000_s28711"/>
                </a:ext>
                <a:ext uri="{FF2B5EF4-FFF2-40B4-BE49-F238E27FC236}">
                  <a16:creationId xmlns:a16="http://schemas.microsoft.com/office/drawing/2014/main" id="{00000000-0008-0000-0500-00002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81</xdr:row>
          <xdr:rowOff>45720</xdr:rowOff>
        </xdr:from>
        <xdr:to>
          <xdr:col>6</xdr:col>
          <xdr:colOff>731520</xdr:colOff>
          <xdr:row>82</xdr:row>
          <xdr:rowOff>76200</xdr:rowOff>
        </xdr:to>
        <xdr:sp macro="" textlink="">
          <xdr:nvSpPr>
            <xdr:cNvPr id="28712" name="Figura 257" hidden="1">
              <a:extLst>
                <a:ext uri="{63B3BB69-23CF-44E3-9099-C40C66FF867C}">
                  <a14:compatExt spid="_x0000_s28712"/>
                </a:ext>
                <a:ext uri="{FF2B5EF4-FFF2-40B4-BE49-F238E27FC236}">
                  <a16:creationId xmlns:a16="http://schemas.microsoft.com/office/drawing/2014/main" id="{00000000-0008-0000-0500-00002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138</xdr:row>
          <xdr:rowOff>182880</xdr:rowOff>
        </xdr:from>
        <xdr:to>
          <xdr:col>4</xdr:col>
          <xdr:colOff>266700</xdr:colOff>
          <xdr:row>140</xdr:row>
          <xdr:rowOff>0</xdr:rowOff>
        </xdr:to>
        <xdr:sp macro="" textlink="">
          <xdr:nvSpPr>
            <xdr:cNvPr id="28713" name="Figura 259" hidden="1">
              <a:extLst>
                <a:ext uri="{63B3BB69-23CF-44E3-9099-C40C66FF867C}">
                  <a14:compatExt spid="_x0000_s28713"/>
                </a:ext>
                <a:ext uri="{FF2B5EF4-FFF2-40B4-BE49-F238E27FC236}">
                  <a16:creationId xmlns:a16="http://schemas.microsoft.com/office/drawing/2014/main" id="{00000000-0008-0000-0500-00002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132</xdr:row>
          <xdr:rowOff>182880</xdr:rowOff>
        </xdr:from>
        <xdr:to>
          <xdr:col>4</xdr:col>
          <xdr:colOff>251460</xdr:colOff>
          <xdr:row>134</xdr:row>
          <xdr:rowOff>30480</xdr:rowOff>
        </xdr:to>
        <xdr:sp macro="" textlink="">
          <xdr:nvSpPr>
            <xdr:cNvPr id="28714" name="Figura 270" hidden="1">
              <a:extLst>
                <a:ext uri="{63B3BB69-23CF-44E3-9099-C40C66FF867C}">
                  <a14:compatExt spid="_x0000_s28714"/>
                </a:ext>
                <a:ext uri="{FF2B5EF4-FFF2-40B4-BE49-F238E27FC236}">
                  <a16:creationId xmlns:a16="http://schemas.microsoft.com/office/drawing/2014/main" id="{00000000-0008-0000-0500-00002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</xdr:colOff>
          <xdr:row>188</xdr:row>
          <xdr:rowOff>0</xdr:rowOff>
        </xdr:from>
        <xdr:to>
          <xdr:col>4</xdr:col>
          <xdr:colOff>464820</xdr:colOff>
          <xdr:row>189</xdr:row>
          <xdr:rowOff>45720</xdr:rowOff>
        </xdr:to>
        <xdr:sp macro="" textlink="">
          <xdr:nvSpPr>
            <xdr:cNvPr id="28715" name="Figura 272" hidden="1">
              <a:extLst>
                <a:ext uri="{63B3BB69-23CF-44E3-9099-C40C66FF867C}">
                  <a14:compatExt spid="_x0000_s28715"/>
                </a:ext>
                <a:ext uri="{FF2B5EF4-FFF2-40B4-BE49-F238E27FC236}">
                  <a16:creationId xmlns:a16="http://schemas.microsoft.com/office/drawing/2014/main" id="{00000000-0008-0000-0500-00002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274320</xdr:colOff>
          <xdr:row>198</xdr:row>
          <xdr:rowOff>30480</xdr:rowOff>
        </xdr:from>
        <xdr:to>
          <xdr:col>3</xdr:col>
          <xdr:colOff>304800</xdr:colOff>
          <xdr:row>199</xdr:row>
          <xdr:rowOff>0</xdr:rowOff>
        </xdr:to>
        <xdr:sp macro="" textlink="">
          <xdr:nvSpPr>
            <xdr:cNvPr id="28716" name="Figura 273" hidden="1">
              <a:extLst>
                <a:ext uri="{63B3BB69-23CF-44E3-9099-C40C66FF867C}">
                  <a14:compatExt spid="_x0000_s28716"/>
                </a:ext>
                <a:ext uri="{FF2B5EF4-FFF2-40B4-BE49-F238E27FC236}">
                  <a16:creationId xmlns:a16="http://schemas.microsoft.com/office/drawing/2014/main" id="{00000000-0008-0000-0500-00002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148</xdr:row>
          <xdr:rowOff>83820</xdr:rowOff>
        </xdr:from>
        <xdr:to>
          <xdr:col>2</xdr:col>
          <xdr:colOff>708660</xdr:colOff>
          <xdr:row>150</xdr:row>
          <xdr:rowOff>106680</xdr:rowOff>
        </xdr:to>
        <xdr:sp macro="" textlink="">
          <xdr:nvSpPr>
            <xdr:cNvPr id="28717" name="Figura 276" hidden="1">
              <a:extLst>
                <a:ext uri="{63B3BB69-23CF-44E3-9099-C40C66FF867C}">
                  <a14:compatExt spid="_x0000_s28717"/>
                </a:ext>
                <a:ext uri="{FF2B5EF4-FFF2-40B4-BE49-F238E27FC236}">
                  <a16:creationId xmlns:a16="http://schemas.microsoft.com/office/drawing/2014/main" id="{00000000-0008-0000-0500-00002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259080</xdr:colOff>
          <xdr:row>202</xdr:row>
          <xdr:rowOff>7620</xdr:rowOff>
        </xdr:from>
        <xdr:to>
          <xdr:col>3</xdr:col>
          <xdr:colOff>441960</xdr:colOff>
          <xdr:row>202</xdr:row>
          <xdr:rowOff>175260</xdr:rowOff>
        </xdr:to>
        <xdr:sp macro="" textlink="">
          <xdr:nvSpPr>
            <xdr:cNvPr id="28718" name="Figura 278" hidden="1">
              <a:extLst>
                <a:ext uri="{63B3BB69-23CF-44E3-9099-C40C66FF867C}">
                  <a14:compatExt spid="_x0000_s28718"/>
                </a:ext>
                <a:ext uri="{FF2B5EF4-FFF2-40B4-BE49-F238E27FC236}">
                  <a16:creationId xmlns:a16="http://schemas.microsoft.com/office/drawing/2014/main" id="{00000000-0008-0000-0500-00002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254</xdr:row>
          <xdr:rowOff>0</xdr:rowOff>
        </xdr:from>
        <xdr:to>
          <xdr:col>2</xdr:col>
          <xdr:colOff>335280</xdr:colOff>
          <xdr:row>255</xdr:row>
          <xdr:rowOff>38100</xdr:rowOff>
        </xdr:to>
        <xdr:sp macro="" textlink="">
          <xdr:nvSpPr>
            <xdr:cNvPr id="28719" name="Figura 279" hidden="1">
              <a:extLst>
                <a:ext uri="{63B3BB69-23CF-44E3-9099-C40C66FF867C}">
                  <a14:compatExt spid="_x0000_s28719"/>
                </a:ext>
                <a:ext uri="{FF2B5EF4-FFF2-40B4-BE49-F238E27FC236}">
                  <a16:creationId xmlns:a16="http://schemas.microsoft.com/office/drawing/2014/main" id="{00000000-0008-0000-0500-00002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579120</xdr:colOff>
          <xdr:row>258</xdr:row>
          <xdr:rowOff>22860</xdr:rowOff>
        </xdr:from>
        <xdr:to>
          <xdr:col>3</xdr:col>
          <xdr:colOff>373380</xdr:colOff>
          <xdr:row>259</xdr:row>
          <xdr:rowOff>0</xdr:rowOff>
        </xdr:to>
        <xdr:sp macro="" textlink="">
          <xdr:nvSpPr>
            <xdr:cNvPr id="28720" name="Figura 280" hidden="1">
              <a:extLst>
                <a:ext uri="{63B3BB69-23CF-44E3-9099-C40C66FF867C}">
                  <a14:compatExt spid="_x0000_s28720"/>
                </a:ext>
                <a:ext uri="{FF2B5EF4-FFF2-40B4-BE49-F238E27FC236}">
                  <a16:creationId xmlns:a16="http://schemas.microsoft.com/office/drawing/2014/main" id="{00000000-0008-0000-0500-00003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394</xdr:row>
          <xdr:rowOff>30480</xdr:rowOff>
        </xdr:from>
        <xdr:to>
          <xdr:col>2</xdr:col>
          <xdr:colOff>723900</xdr:colOff>
          <xdr:row>395</xdr:row>
          <xdr:rowOff>7620</xdr:rowOff>
        </xdr:to>
        <xdr:sp macro="" textlink="">
          <xdr:nvSpPr>
            <xdr:cNvPr id="28721" name="Figura 284" hidden="1">
              <a:extLst>
                <a:ext uri="{63B3BB69-23CF-44E3-9099-C40C66FF867C}">
                  <a14:compatExt spid="_x0000_s28721"/>
                </a:ext>
                <a:ext uri="{FF2B5EF4-FFF2-40B4-BE49-F238E27FC236}">
                  <a16:creationId xmlns:a16="http://schemas.microsoft.com/office/drawing/2014/main" id="{00000000-0008-0000-0500-00003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451</xdr:row>
          <xdr:rowOff>0</xdr:rowOff>
        </xdr:from>
        <xdr:to>
          <xdr:col>7</xdr:col>
          <xdr:colOff>60960</xdr:colOff>
          <xdr:row>452</xdr:row>
          <xdr:rowOff>22860</xdr:rowOff>
        </xdr:to>
        <xdr:sp macro="" textlink="">
          <xdr:nvSpPr>
            <xdr:cNvPr id="28722" name="Figura 298" hidden="1">
              <a:extLst>
                <a:ext uri="{63B3BB69-23CF-44E3-9099-C40C66FF867C}">
                  <a14:compatExt spid="_x0000_s28722"/>
                </a:ext>
                <a:ext uri="{FF2B5EF4-FFF2-40B4-BE49-F238E27FC236}">
                  <a16:creationId xmlns:a16="http://schemas.microsoft.com/office/drawing/2014/main" id="{00000000-0008-0000-0500-00003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235</xdr:row>
          <xdr:rowOff>7620</xdr:rowOff>
        </xdr:from>
        <xdr:to>
          <xdr:col>4</xdr:col>
          <xdr:colOff>601980</xdr:colOff>
          <xdr:row>236</xdr:row>
          <xdr:rowOff>7620</xdr:rowOff>
        </xdr:to>
        <xdr:sp macro="" textlink="">
          <xdr:nvSpPr>
            <xdr:cNvPr id="28723" name="Figura 305" hidden="1">
              <a:extLst>
                <a:ext uri="{63B3BB69-23CF-44E3-9099-C40C66FF867C}">
                  <a14:compatExt spid="_x0000_s28723"/>
                </a:ext>
                <a:ext uri="{FF2B5EF4-FFF2-40B4-BE49-F238E27FC236}">
                  <a16:creationId xmlns:a16="http://schemas.microsoft.com/office/drawing/2014/main" id="{00000000-0008-0000-0500-00003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238</xdr:row>
          <xdr:rowOff>0</xdr:rowOff>
        </xdr:from>
        <xdr:to>
          <xdr:col>4</xdr:col>
          <xdr:colOff>769620</xdr:colOff>
          <xdr:row>239</xdr:row>
          <xdr:rowOff>22860</xdr:rowOff>
        </xdr:to>
        <xdr:sp macro="" textlink="">
          <xdr:nvSpPr>
            <xdr:cNvPr id="28724" name="Figura 306" hidden="1">
              <a:extLst>
                <a:ext uri="{63B3BB69-23CF-44E3-9099-C40C66FF867C}">
                  <a14:compatExt spid="_x0000_s28724"/>
                </a:ext>
                <a:ext uri="{FF2B5EF4-FFF2-40B4-BE49-F238E27FC236}">
                  <a16:creationId xmlns:a16="http://schemas.microsoft.com/office/drawing/2014/main" id="{00000000-0008-0000-0500-00003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746760</xdr:colOff>
          <xdr:row>263</xdr:row>
          <xdr:rowOff>144780</xdr:rowOff>
        </xdr:from>
        <xdr:to>
          <xdr:col>3</xdr:col>
          <xdr:colOff>68580</xdr:colOff>
          <xdr:row>264</xdr:row>
          <xdr:rowOff>144780</xdr:rowOff>
        </xdr:to>
        <xdr:sp macro="" textlink="">
          <xdr:nvSpPr>
            <xdr:cNvPr id="28725" name="Figura 307" hidden="1">
              <a:extLst>
                <a:ext uri="{63B3BB69-23CF-44E3-9099-C40C66FF867C}">
                  <a14:compatExt spid="_x0000_s28725"/>
                </a:ext>
                <a:ext uri="{FF2B5EF4-FFF2-40B4-BE49-F238E27FC236}">
                  <a16:creationId xmlns:a16="http://schemas.microsoft.com/office/drawing/2014/main" id="{00000000-0008-0000-0500-00003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83820</xdr:rowOff>
        </xdr:from>
        <xdr:to>
          <xdr:col>8</xdr:col>
          <xdr:colOff>182880</xdr:colOff>
          <xdr:row>202</xdr:row>
          <xdr:rowOff>137160</xdr:rowOff>
        </xdr:to>
        <xdr:sp macro="" textlink="">
          <xdr:nvSpPr>
            <xdr:cNvPr id="28726" name="Figura 314" hidden="1">
              <a:extLst>
                <a:ext uri="{63B3BB69-23CF-44E3-9099-C40C66FF867C}">
                  <a14:compatExt spid="_x0000_s28726"/>
                </a:ext>
                <a:ext uri="{FF2B5EF4-FFF2-40B4-BE49-F238E27FC236}">
                  <a16:creationId xmlns:a16="http://schemas.microsoft.com/office/drawing/2014/main" id="{00000000-0008-0000-0500-00003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411480</xdr:colOff>
          <xdr:row>192</xdr:row>
          <xdr:rowOff>99060</xdr:rowOff>
        </xdr:from>
        <xdr:to>
          <xdr:col>12</xdr:col>
          <xdr:colOff>60960</xdr:colOff>
          <xdr:row>202</xdr:row>
          <xdr:rowOff>22860</xdr:rowOff>
        </xdr:to>
        <xdr:sp macro="" textlink="">
          <xdr:nvSpPr>
            <xdr:cNvPr id="28727" name="Figura 315" hidden="1">
              <a:extLst>
                <a:ext uri="{63B3BB69-23CF-44E3-9099-C40C66FF867C}">
                  <a14:compatExt spid="_x0000_s28727"/>
                </a:ext>
                <a:ext uri="{FF2B5EF4-FFF2-40B4-BE49-F238E27FC236}">
                  <a16:creationId xmlns:a16="http://schemas.microsoft.com/office/drawing/2014/main" id="{00000000-0008-0000-0500-00003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244</xdr:row>
          <xdr:rowOff>7620</xdr:rowOff>
        </xdr:from>
        <xdr:to>
          <xdr:col>3</xdr:col>
          <xdr:colOff>289560</xdr:colOff>
          <xdr:row>245</xdr:row>
          <xdr:rowOff>7620</xdr:rowOff>
        </xdr:to>
        <xdr:sp macro="" textlink="">
          <xdr:nvSpPr>
            <xdr:cNvPr id="28728" name="Figura 153" hidden="1">
              <a:extLst>
                <a:ext uri="{63B3BB69-23CF-44E3-9099-C40C66FF867C}">
                  <a14:compatExt spid="_x0000_s28728"/>
                </a:ext>
                <a:ext uri="{FF2B5EF4-FFF2-40B4-BE49-F238E27FC236}">
                  <a16:creationId xmlns:a16="http://schemas.microsoft.com/office/drawing/2014/main" id="{00000000-0008-0000-0500-00003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327660</xdr:colOff>
          <xdr:row>246</xdr:row>
          <xdr:rowOff>0</xdr:rowOff>
        </xdr:from>
        <xdr:to>
          <xdr:col>7</xdr:col>
          <xdr:colOff>175260</xdr:colOff>
          <xdr:row>247</xdr:row>
          <xdr:rowOff>0</xdr:rowOff>
        </xdr:to>
        <xdr:sp macro="" textlink="">
          <xdr:nvSpPr>
            <xdr:cNvPr id="28729" name="Figura 154" hidden="1">
              <a:extLst>
                <a:ext uri="{63B3BB69-23CF-44E3-9099-C40C66FF867C}">
                  <a14:compatExt spid="_x0000_s28729"/>
                </a:ext>
                <a:ext uri="{FF2B5EF4-FFF2-40B4-BE49-F238E27FC236}">
                  <a16:creationId xmlns:a16="http://schemas.microsoft.com/office/drawing/2014/main" id="{00000000-0008-0000-0500-00003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183</xdr:row>
          <xdr:rowOff>114300</xdr:rowOff>
        </xdr:from>
        <xdr:to>
          <xdr:col>3</xdr:col>
          <xdr:colOff>198120</xdr:colOff>
          <xdr:row>185</xdr:row>
          <xdr:rowOff>83820</xdr:rowOff>
        </xdr:to>
        <xdr:sp macro="" textlink="">
          <xdr:nvSpPr>
            <xdr:cNvPr id="28730" name="Object 58" hidden="1">
              <a:extLst>
                <a:ext uri="{63B3BB69-23CF-44E3-9099-C40C66FF867C}">
                  <a14:compatExt spid="_x0000_s28730"/>
                </a:ext>
                <a:ext uri="{FF2B5EF4-FFF2-40B4-BE49-F238E27FC236}">
                  <a16:creationId xmlns:a16="http://schemas.microsoft.com/office/drawing/2014/main" id="{00000000-0008-0000-0500-00003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868680</xdr:colOff>
          <xdr:row>150</xdr:row>
          <xdr:rowOff>121920</xdr:rowOff>
        </xdr:from>
        <xdr:to>
          <xdr:col>3</xdr:col>
          <xdr:colOff>335280</xdr:colOff>
          <xdr:row>152</xdr:row>
          <xdr:rowOff>121920</xdr:rowOff>
        </xdr:to>
        <xdr:sp macro="" textlink="">
          <xdr:nvSpPr>
            <xdr:cNvPr id="28731" name="Object 59" hidden="1">
              <a:extLst>
                <a:ext uri="{63B3BB69-23CF-44E3-9099-C40C66FF867C}">
                  <a14:compatExt spid="_x0000_s28731"/>
                </a:ext>
                <a:ext uri="{FF2B5EF4-FFF2-40B4-BE49-F238E27FC236}">
                  <a16:creationId xmlns:a16="http://schemas.microsoft.com/office/drawing/2014/main" id="{00000000-0008-0000-0500-00003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200</xdr:row>
          <xdr:rowOff>60960</xdr:rowOff>
        </xdr:from>
        <xdr:to>
          <xdr:col>3</xdr:col>
          <xdr:colOff>403860</xdr:colOff>
          <xdr:row>201</xdr:row>
          <xdr:rowOff>7620</xdr:rowOff>
        </xdr:to>
        <xdr:sp macro="" textlink="">
          <xdr:nvSpPr>
            <xdr:cNvPr id="28732" name="Object 60" hidden="1">
              <a:extLst>
                <a:ext uri="{63B3BB69-23CF-44E3-9099-C40C66FF867C}">
                  <a14:compatExt spid="_x0000_s28732"/>
                </a:ext>
                <a:ext uri="{FF2B5EF4-FFF2-40B4-BE49-F238E27FC236}">
                  <a16:creationId xmlns:a16="http://schemas.microsoft.com/office/drawing/2014/main" id="{00000000-0008-0000-0500-00003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298</xdr:row>
          <xdr:rowOff>68580</xdr:rowOff>
        </xdr:from>
        <xdr:to>
          <xdr:col>15</xdr:col>
          <xdr:colOff>289560</xdr:colOff>
          <xdr:row>299</xdr:row>
          <xdr:rowOff>76200</xdr:rowOff>
        </xdr:to>
        <xdr:sp macro="" textlink="">
          <xdr:nvSpPr>
            <xdr:cNvPr id="28733" name="Figura 172" hidden="1">
              <a:extLst>
                <a:ext uri="{63B3BB69-23CF-44E3-9099-C40C66FF867C}">
                  <a14:compatExt spid="_x0000_s28733"/>
                </a:ext>
                <a:ext uri="{FF2B5EF4-FFF2-40B4-BE49-F238E27FC236}">
                  <a16:creationId xmlns:a16="http://schemas.microsoft.com/office/drawing/2014/main" id="{00000000-0008-0000-0500-00003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</xdr:colOff>
          <xdr:row>42</xdr:row>
          <xdr:rowOff>91440</xdr:rowOff>
        </xdr:from>
        <xdr:to>
          <xdr:col>13</xdr:col>
          <xdr:colOff>419100</xdr:colOff>
          <xdr:row>44</xdr:row>
          <xdr:rowOff>76200</xdr:rowOff>
        </xdr:to>
        <xdr:sp macro="" textlink="">
          <xdr:nvSpPr>
            <xdr:cNvPr id="23553" name="Figura 164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91440</xdr:colOff>
          <xdr:row>44</xdr:row>
          <xdr:rowOff>152400</xdr:rowOff>
        </xdr:from>
        <xdr:to>
          <xdr:col>11</xdr:col>
          <xdr:colOff>510540</xdr:colOff>
          <xdr:row>46</xdr:row>
          <xdr:rowOff>106680</xdr:rowOff>
        </xdr:to>
        <xdr:sp macro="" textlink="">
          <xdr:nvSpPr>
            <xdr:cNvPr id="23554" name="Figura 167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6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46</xdr:row>
          <xdr:rowOff>68580</xdr:rowOff>
        </xdr:from>
        <xdr:to>
          <xdr:col>13</xdr:col>
          <xdr:colOff>129540</xdr:colOff>
          <xdr:row>47</xdr:row>
          <xdr:rowOff>144780</xdr:rowOff>
        </xdr:to>
        <xdr:sp macro="" textlink="">
          <xdr:nvSpPr>
            <xdr:cNvPr id="23555" name="Figura 168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6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99060</xdr:colOff>
          <xdr:row>47</xdr:row>
          <xdr:rowOff>175260</xdr:rowOff>
        </xdr:from>
        <xdr:to>
          <xdr:col>12</xdr:col>
          <xdr:colOff>617220</xdr:colOff>
          <xdr:row>48</xdr:row>
          <xdr:rowOff>160020</xdr:rowOff>
        </xdr:to>
        <xdr:sp macro="" textlink="">
          <xdr:nvSpPr>
            <xdr:cNvPr id="23556" name="Figura 169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6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11</xdr:col>
      <xdr:colOff>899160</xdr:colOff>
      <xdr:row>4</xdr:row>
      <xdr:rowOff>30480</xdr:rowOff>
    </xdr:from>
    <xdr:to>
      <xdr:col>17</xdr:col>
      <xdr:colOff>182880</xdr:colOff>
      <xdr:row>15</xdr:row>
      <xdr:rowOff>11956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918" t="22003" r="33200" b="22731"/>
        <a:stretch/>
      </xdr:blipFill>
      <xdr:spPr>
        <a:xfrm>
          <a:off x="14317980" y="762000"/>
          <a:ext cx="3619500" cy="2127776"/>
        </a:xfrm>
        <a:prstGeom prst="rect">
          <a:avLst/>
        </a:prstGeom>
      </xdr:spPr>
    </xdr:pic>
    <xdr:clientData/>
  </xdr:twoCellAnchor>
  <xdr:twoCellAnchor>
    <xdr:from>
      <xdr:col>20</xdr:col>
      <xdr:colOff>190500</xdr:colOff>
      <xdr:row>36</xdr:row>
      <xdr:rowOff>167876</xdr:rowOff>
    </xdr:from>
    <xdr:to>
      <xdr:col>22</xdr:col>
      <xdr:colOff>767522</xdr:colOff>
      <xdr:row>38</xdr:row>
      <xdr:rowOff>106680</xdr:rowOff>
    </xdr:to>
    <xdr:pic>
      <xdr:nvPicPr>
        <xdr:cNvPr id="7" name="Imagem 1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0" y="6782036"/>
          <a:ext cx="1643822" cy="31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404206</xdr:colOff>
      <xdr:row>36</xdr:row>
      <xdr:rowOff>114300</xdr:rowOff>
    </xdr:from>
    <xdr:to>
      <xdr:col>27</xdr:col>
      <xdr:colOff>480060</xdr:colOff>
      <xdr:row>38</xdr:row>
      <xdr:rowOff>121920</xdr:rowOff>
    </xdr:to>
    <xdr:pic>
      <xdr:nvPicPr>
        <xdr:cNvPr id="8" name="Imagem 1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8386" y="6728460"/>
          <a:ext cx="2773334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609600</xdr:colOff>
      <xdr:row>37</xdr:row>
      <xdr:rowOff>22860</xdr:rowOff>
    </xdr:from>
    <xdr:to>
      <xdr:col>42</xdr:col>
      <xdr:colOff>525780</xdr:colOff>
      <xdr:row>58</xdr:row>
      <xdr:rowOff>38100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83820</xdr:colOff>
      <xdr:row>17</xdr:row>
      <xdr:rowOff>190500</xdr:rowOff>
    </xdr:from>
    <xdr:to>
      <xdr:col>43</xdr:col>
      <xdr:colOff>126154</xdr:colOff>
      <xdr:row>36</xdr:row>
      <xdr:rowOff>190077</xdr:rowOff>
    </xdr:to>
    <xdr:pic>
      <xdr:nvPicPr>
        <xdr:cNvPr id="15" name="Imagem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74" t="24202" r="20303" b="13507"/>
        <a:stretch>
          <a:fillRect/>
        </a:stretch>
      </xdr:blipFill>
      <xdr:spPr bwMode="auto">
        <a:xfrm>
          <a:off x="27881580" y="3467100"/>
          <a:ext cx="6290734" cy="3747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971550</xdr:colOff>
      <xdr:row>59</xdr:row>
      <xdr:rowOff>38100</xdr:rowOff>
    </xdr:from>
    <xdr:to>
      <xdr:col>36</xdr:col>
      <xdr:colOff>609332</xdr:colOff>
      <xdr:row>75</xdr:row>
      <xdr:rowOff>82550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5801" t="38101" r="35722" b="14433"/>
        <a:stretch/>
      </xdr:blipFill>
      <xdr:spPr>
        <a:xfrm>
          <a:off x="26589990" y="11407140"/>
          <a:ext cx="4369802" cy="3001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7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9.bin"/><Relationship Id="rId11" Type="http://schemas.openxmlformats.org/officeDocument/2006/relationships/image" Target="../media/image13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8.bin"/><Relationship Id="rId9" Type="http://schemas.openxmlformats.org/officeDocument/2006/relationships/image" Target="../media/image12.emf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23.bin"/><Relationship Id="rId117" Type="http://schemas.openxmlformats.org/officeDocument/2006/relationships/image" Target="../media/image73.emf"/><Relationship Id="rId21" Type="http://schemas.openxmlformats.org/officeDocument/2006/relationships/image" Target="../media/image25.emf"/><Relationship Id="rId42" Type="http://schemas.openxmlformats.org/officeDocument/2006/relationships/oleObject" Target="../embeddings/oleObject31.bin"/><Relationship Id="rId47" Type="http://schemas.openxmlformats.org/officeDocument/2006/relationships/image" Target="../media/image38.emf"/><Relationship Id="rId63" Type="http://schemas.openxmlformats.org/officeDocument/2006/relationships/image" Target="../media/image46.emf"/><Relationship Id="rId68" Type="http://schemas.openxmlformats.org/officeDocument/2006/relationships/oleObject" Target="../embeddings/oleObject44.bin"/><Relationship Id="rId84" Type="http://schemas.openxmlformats.org/officeDocument/2006/relationships/oleObject" Target="../embeddings/oleObject52.bin"/><Relationship Id="rId89" Type="http://schemas.openxmlformats.org/officeDocument/2006/relationships/image" Target="../media/image59.emf"/><Relationship Id="rId112" Type="http://schemas.openxmlformats.org/officeDocument/2006/relationships/oleObject" Target="../embeddings/Microsoft_Word_97_-_2003_Document1.doc"/><Relationship Id="rId16" Type="http://schemas.openxmlformats.org/officeDocument/2006/relationships/oleObject" Target="../embeddings/oleObject18.bin"/><Relationship Id="rId107" Type="http://schemas.openxmlformats.org/officeDocument/2006/relationships/image" Target="../media/image68.emf"/><Relationship Id="rId11" Type="http://schemas.openxmlformats.org/officeDocument/2006/relationships/image" Target="../media/image20.emf"/><Relationship Id="rId32" Type="http://schemas.openxmlformats.org/officeDocument/2006/relationships/oleObject" Target="../embeddings/oleObject26.bin"/><Relationship Id="rId37" Type="http://schemas.openxmlformats.org/officeDocument/2006/relationships/image" Target="../media/image33.emf"/><Relationship Id="rId53" Type="http://schemas.openxmlformats.org/officeDocument/2006/relationships/image" Target="../media/image41.emf"/><Relationship Id="rId58" Type="http://schemas.openxmlformats.org/officeDocument/2006/relationships/oleObject" Target="../embeddings/oleObject39.bin"/><Relationship Id="rId74" Type="http://schemas.openxmlformats.org/officeDocument/2006/relationships/oleObject" Target="../embeddings/oleObject47.bin"/><Relationship Id="rId79" Type="http://schemas.openxmlformats.org/officeDocument/2006/relationships/image" Target="../media/image54.emf"/><Relationship Id="rId102" Type="http://schemas.openxmlformats.org/officeDocument/2006/relationships/oleObject" Target="../embeddings/oleObject61.bin"/><Relationship Id="rId123" Type="http://schemas.openxmlformats.org/officeDocument/2006/relationships/image" Target="../media/image76.emf"/><Relationship Id="rId5" Type="http://schemas.openxmlformats.org/officeDocument/2006/relationships/image" Target="../media/image17.emf"/><Relationship Id="rId90" Type="http://schemas.openxmlformats.org/officeDocument/2006/relationships/oleObject" Target="../embeddings/oleObject55.bin"/><Relationship Id="rId95" Type="http://schemas.openxmlformats.org/officeDocument/2006/relationships/image" Target="../media/image62.emf"/><Relationship Id="rId22" Type="http://schemas.openxmlformats.org/officeDocument/2006/relationships/oleObject" Target="../embeddings/oleObject21.bin"/><Relationship Id="rId27" Type="http://schemas.openxmlformats.org/officeDocument/2006/relationships/image" Target="../media/image28.emf"/><Relationship Id="rId43" Type="http://schemas.openxmlformats.org/officeDocument/2006/relationships/image" Target="../media/image36.emf"/><Relationship Id="rId48" Type="http://schemas.openxmlformats.org/officeDocument/2006/relationships/oleObject" Target="../embeddings/oleObject34.bin"/><Relationship Id="rId64" Type="http://schemas.openxmlformats.org/officeDocument/2006/relationships/oleObject" Target="../embeddings/oleObject42.bin"/><Relationship Id="rId69" Type="http://schemas.openxmlformats.org/officeDocument/2006/relationships/image" Target="../media/image49.emf"/><Relationship Id="rId113" Type="http://schemas.openxmlformats.org/officeDocument/2006/relationships/image" Target="../media/image71.emf"/><Relationship Id="rId118" Type="http://schemas.openxmlformats.org/officeDocument/2006/relationships/oleObject" Target="../embeddings/oleObject67.bin"/><Relationship Id="rId80" Type="http://schemas.openxmlformats.org/officeDocument/2006/relationships/oleObject" Target="../embeddings/oleObject50.bin"/><Relationship Id="rId85" Type="http://schemas.openxmlformats.org/officeDocument/2006/relationships/image" Target="../media/image57.emf"/><Relationship Id="rId12" Type="http://schemas.openxmlformats.org/officeDocument/2006/relationships/oleObject" Target="../embeddings/oleObject16.bin"/><Relationship Id="rId17" Type="http://schemas.openxmlformats.org/officeDocument/2006/relationships/image" Target="../media/image23.emf"/><Relationship Id="rId33" Type="http://schemas.openxmlformats.org/officeDocument/2006/relationships/image" Target="../media/image31.emf"/><Relationship Id="rId38" Type="http://schemas.openxmlformats.org/officeDocument/2006/relationships/oleObject" Target="../embeddings/oleObject29.bin"/><Relationship Id="rId59" Type="http://schemas.openxmlformats.org/officeDocument/2006/relationships/image" Target="../media/image44.emf"/><Relationship Id="rId103" Type="http://schemas.openxmlformats.org/officeDocument/2006/relationships/image" Target="../media/image66.emf"/><Relationship Id="rId108" Type="http://schemas.openxmlformats.org/officeDocument/2006/relationships/oleObject" Target="../embeddings/oleObject64.bin"/><Relationship Id="rId124" Type="http://schemas.openxmlformats.org/officeDocument/2006/relationships/oleObject" Target="../embeddings/oleObject70.bin"/><Relationship Id="rId54" Type="http://schemas.openxmlformats.org/officeDocument/2006/relationships/oleObject" Target="../embeddings/oleObject37.bin"/><Relationship Id="rId70" Type="http://schemas.openxmlformats.org/officeDocument/2006/relationships/oleObject" Target="../embeddings/oleObject45.bin"/><Relationship Id="rId75" Type="http://schemas.openxmlformats.org/officeDocument/2006/relationships/image" Target="../media/image52.emf"/><Relationship Id="rId91" Type="http://schemas.openxmlformats.org/officeDocument/2006/relationships/image" Target="../media/image60.emf"/><Relationship Id="rId96" Type="http://schemas.openxmlformats.org/officeDocument/2006/relationships/oleObject" Target="../embeddings/oleObject58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3.bin"/><Relationship Id="rId23" Type="http://schemas.openxmlformats.org/officeDocument/2006/relationships/image" Target="../media/image26.emf"/><Relationship Id="rId28" Type="http://schemas.openxmlformats.org/officeDocument/2006/relationships/oleObject" Target="../embeddings/oleObject24.bin"/><Relationship Id="rId49" Type="http://schemas.openxmlformats.org/officeDocument/2006/relationships/image" Target="../media/image39.emf"/><Relationship Id="rId114" Type="http://schemas.openxmlformats.org/officeDocument/2006/relationships/oleObject" Target="../embeddings/oleObject65.bin"/><Relationship Id="rId119" Type="http://schemas.openxmlformats.org/officeDocument/2006/relationships/image" Target="../media/image74.emf"/><Relationship Id="rId44" Type="http://schemas.openxmlformats.org/officeDocument/2006/relationships/oleObject" Target="../embeddings/oleObject32.bin"/><Relationship Id="rId60" Type="http://schemas.openxmlformats.org/officeDocument/2006/relationships/oleObject" Target="../embeddings/oleObject40.bin"/><Relationship Id="rId65" Type="http://schemas.openxmlformats.org/officeDocument/2006/relationships/image" Target="../media/image47.emf"/><Relationship Id="rId81" Type="http://schemas.openxmlformats.org/officeDocument/2006/relationships/image" Target="../media/image55.emf"/><Relationship Id="rId86" Type="http://schemas.openxmlformats.org/officeDocument/2006/relationships/oleObject" Target="../embeddings/oleObject53.bin"/><Relationship Id="rId13" Type="http://schemas.openxmlformats.org/officeDocument/2006/relationships/image" Target="../media/image21.emf"/><Relationship Id="rId18" Type="http://schemas.openxmlformats.org/officeDocument/2006/relationships/oleObject" Target="../embeddings/oleObject19.bin"/><Relationship Id="rId39" Type="http://schemas.openxmlformats.org/officeDocument/2006/relationships/image" Target="../media/image34.emf"/><Relationship Id="rId109" Type="http://schemas.openxmlformats.org/officeDocument/2006/relationships/image" Target="../media/image69.emf"/><Relationship Id="rId34" Type="http://schemas.openxmlformats.org/officeDocument/2006/relationships/oleObject" Target="../embeddings/oleObject27.bin"/><Relationship Id="rId50" Type="http://schemas.openxmlformats.org/officeDocument/2006/relationships/oleObject" Target="../embeddings/oleObject35.bin"/><Relationship Id="rId55" Type="http://schemas.openxmlformats.org/officeDocument/2006/relationships/image" Target="../media/image42.emf"/><Relationship Id="rId76" Type="http://schemas.openxmlformats.org/officeDocument/2006/relationships/oleObject" Target="../embeddings/oleObject48.bin"/><Relationship Id="rId97" Type="http://schemas.openxmlformats.org/officeDocument/2006/relationships/image" Target="../media/image63.emf"/><Relationship Id="rId104" Type="http://schemas.openxmlformats.org/officeDocument/2006/relationships/oleObject" Target="../embeddings/oleObject62.bin"/><Relationship Id="rId120" Type="http://schemas.openxmlformats.org/officeDocument/2006/relationships/oleObject" Target="../embeddings/oleObject68.bin"/><Relationship Id="rId125" Type="http://schemas.openxmlformats.org/officeDocument/2006/relationships/image" Target="../media/image77.emf"/><Relationship Id="rId7" Type="http://schemas.openxmlformats.org/officeDocument/2006/relationships/image" Target="../media/image18.emf"/><Relationship Id="rId71" Type="http://schemas.openxmlformats.org/officeDocument/2006/relationships/image" Target="../media/image50.emf"/><Relationship Id="rId92" Type="http://schemas.openxmlformats.org/officeDocument/2006/relationships/oleObject" Target="../embeddings/oleObject56.bin"/><Relationship Id="rId2" Type="http://schemas.openxmlformats.org/officeDocument/2006/relationships/drawing" Target="../drawings/drawing5.xml"/><Relationship Id="rId29" Type="http://schemas.openxmlformats.org/officeDocument/2006/relationships/image" Target="../media/image29.emf"/><Relationship Id="rId24" Type="http://schemas.openxmlformats.org/officeDocument/2006/relationships/oleObject" Target="../embeddings/oleObject22.bin"/><Relationship Id="rId40" Type="http://schemas.openxmlformats.org/officeDocument/2006/relationships/oleObject" Target="../embeddings/oleObject30.bin"/><Relationship Id="rId45" Type="http://schemas.openxmlformats.org/officeDocument/2006/relationships/image" Target="../media/image37.emf"/><Relationship Id="rId66" Type="http://schemas.openxmlformats.org/officeDocument/2006/relationships/oleObject" Target="../embeddings/oleObject43.bin"/><Relationship Id="rId87" Type="http://schemas.openxmlformats.org/officeDocument/2006/relationships/image" Target="../media/image58.emf"/><Relationship Id="rId110" Type="http://schemas.openxmlformats.org/officeDocument/2006/relationships/oleObject" Target="../embeddings/Microsoft_Word_97_-_2003_Document.doc"/><Relationship Id="rId115" Type="http://schemas.openxmlformats.org/officeDocument/2006/relationships/image" Target="../media/image72.emf"/><Relationship Id="rId61" Type="http://schemas.openxmlformats.org/officeDocument/2006/relationships/image" Target="../media/image45.emf"/><Relationship Id="rId82" Type="http://schemas.openxmlformats.org/officeDocument/2006/relationships/oleObject" Target="../embeddings/oleObject51.bin"/><Relationship Id="rId19" Type="http://schemas.openxmlformats.org/officeDocument/2006/relationships/image" Target="../media/image24.emf"/><Relationship Id="rId14" Type="http://schemas.openxmlformats.org/officeDocument/2006/relationships/oleObject" Target="../embeddings/oleObject17.bin"/><Relationship Id="rId30" Type="http://schemas.openxmlformats.org/officeDocument/2006/relationships/oleObject" Target="../embeddings/oleObject25.bin"/><Relationship Id="rId35" Type="http://schemas.openxmlformats.org/officeDocument/2006/relationships/image" Target="../media/image32.emf"/><Relationship Id="rId56" Type="http://schemas.openxmlformats.org/officeDocument/2006/relationships/oleObject" Target="../embeddings/oleObject38.bin"/><Relationship Id="rId77" Type="http://schemas.openxmlformats.org/officeDocument/2006/relationships/image" Target="../media/image53.emf"/><Relationship Id="rId100" Type="http://schemas.openxmlformats.org/officeDocument/2006/relationships/oleObject" Target="../embeddings/oleObject60.bin"/><Relationship Id="rId105" Type="http://schemas.openxmlformats.org/officeDocument/2006/relationships/image" Target="../media/image67.emf"/><Relationship Id="rId8" Type="http://schemas.openxmlformats.org/officeDocument/2006/relationships/oleObject" Target="../embeddings/oleObject14.bin"/><Relationship Id="rId51" Type="http://schemas.openxmlformats.org/officeDocument/2006/relationships/image" Target="../media/image40.emf"/><Relationship Id="rId72" Type="http://schemas.openxmlformats.org/officeDocument/2006/relationships/oleObject" Target="../embeddings/oleObject46.bin"/><Relationship Id="rId93" Type="http://schemas.openxmlformats.org/officeDocument/2006/relationships/image" Target="../media/image61.emf"/><Relationship Id="rId98" Type="http://schemas.openxmlformats.org/officeDocument/2006/relationships/oleObject" Target="../embeddings/oleObject59.bin"/><Relationship Id="rId121" Type="http://schemas.openxmlformats.org/officeDocument/2006/relationships/image" Target="../media/image75.emf"/><Relationship Id="rId3" Type="http://schemas.openxmlformats.org/officeDocument/2006/relationships/vmlDrawing" Target="../drawings/vmlDrawing5.vml"/><Relationship Id="rId25" Type="http://schemas.openxmlformats.org/officeDocument/2006/relationships/image" Target="../media/image27.emf"/><Relationship Id="rId46" Type="http://schemas.openxmlformats.org/officeDocument/2006/relationships/oleObject" Target="../embeddings/oleObject33.bin"/><Relationship Id="rId67" Type="http://schemas.openxmlformats.org/officeDocument/2006/relationships/image" Target="../media/image48.emf"/><Relationship Id="rId116" Type="http://schemas.openxmlformats.org/officeDocument/2006/relationships/oleObject" Target="../embeddings/oleObject66.bin"/><Relationship Id="rId20" Type="http://schemas.openxmlformats.org/officeDocument/2006/relationships/oleObject" Target="../embeddings/oleObject20.bin"/><Relationship Id="rId41" Type="http://schemas.openxmlformats.org/officeDocument/2006/relationships/image" Target="../media/image35.emf"/><Relationship Id="rId62" Type="http://schemas.openxmlformats.org/officeDocument/2006/relationships/oleObject" Target="../embeddings/oleObject41.bin"/><Relationship Id="rId83" Type="http://schemas.openxmlformats.org/officeDocument/2006/relationships/image" Target="../media/image56.emf"/><Relationship Id="rId88" Type="http://schemas.openxmlformats.org/officeDocument/2006/relationships/oleObject" Target="../embeddings/oleObject54.bin"/><Relationship Id="rId111" Type="http://schemas.openxmlformats.org/officeDocument/2006/relationships/image" Target="../media/image70.emf"/><Relationship Id="rId15" Type="http://schemas.openxmlformats.org/officeDocument/2006/relationships/image" Target="../media/image22.emf"/><Relationship Id="rId36" Type="http://schemas.openxmlformats.org/officeDocument/2006/relationships/oleObject" Target="../embeddings/oleObject28.bin"/><Relationship Id="rId57" Type="http://schemas.openxmlformats.org/officeDocument/2006/relationships/image" Target="../media/image43.emf"/><Relationship Id="rId106" Type="http://schemas.openxmlformats.org/officeDocument/2006/relationships/oleObject" Target="../embeddings/oleObject63.bin"/><Relationship Id="rId10" Type="http://schemas.openxmlformats.org/officeDocument/2006/relationships/oleObject" Target="../embeddings/oleObject15.bin"/><Relationship Id="rId31" Type="http://schemas.openxmlformats.org/officeDocument/2006/relationships/image" Target="../media/image30.emf"/><Relationship Id="rId52" Type="http://schemas.openxmlformats.org/officeDocument/2006/relationships/oleObject" Target="../embeddings/oleObject36.bin"/><Relationship Id="rId73" Type="http://schemas.openxmlformats.org/officeDocument/2006/relationships/image" Target="../media/image51.emf"/><Relationship Id="rId78" Type="http://schemas.openxmlformats.org/officeDocument/2006/relationships/oleObject" Target="../embeddings/oleObject49.bin"/><Relationship Id="rId94" Type="http://schemas.openxmlformats.org/officeDocument/2006/relationships/oleObject" Target="../embeddings/oleObject57.bin"/><Relationship Id="rId99" Type="http://schemas.openxmlformats.org/officeDocument/2006/relationships/image" Target="../media/image64.emf"/><Relationship Id="rId101" Type="http://schemas.openxmlformats.org/officeDocument/2006/relationships/image" Target="../media/image65.emf"/><Relationship Id="rId122" Type="http://schemas.openxmlformats.org/officeDocument/2006/relationships/oleObject" Target="../embeddings/oleObject69.bin"/><Relationship Id="rId4" Type="http://schemas.openxmlformats.org/officeDocument/2006/relationships/oleObject" Target="../embeddings/oleObject12.bin"/><Relationship Id="rId9" Type="http://schemas.openxmlformats.org/officeDocument/2006/relationships/image" Target="../media/image19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3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72.bin"/><Relationship Id="rId11" Type="http://schemas.openxmlformats.org/officeDocument/2006/relationships/image" Target="../media/image13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74.bin"/><Relationship Id="rId4" Type="http://schemas.openxmlformats.org/officeDocument/2006/relationships/oleObject" Target="../embeddings/oleObject71.bin"/><Relationship Id="rId9" Type="http://schemas.openxmlformats.org/officeDocument/2006/relationships/image" Target="../media/image1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2"/>
  <sheetViews>
    <sheetView topLeftCell="A16" zoomScaleNormal="100" workbookViewId="0">
      <selection activeCell="I126" sqref="I126"/>
    </sheetView>
  </sheetViews>
  <sheetFormatPr defaultColWidth="9.109375" defaultRowHeight="15" customHeight="1" x14ac:dyDescent="0.3"/>
  <cols>
    <col min="1" max="1" width="22.33203125" style="81" bestFit="1" customWidth="1"/>
    <col min="2" max="2" width="7.5546875" style="81" bestFit="1" customWidth="1"/>
    <col min="3" max="3" width="4.6640625" style="81" customWidth="1"/>
    <col min="4" max="4" width="2" style="81" customWidth="1"/>
    <col min="5" max="5" width="6.109375" style="82" customWidth="1"/>
    <col min="6" max="6" width="88.44140625" style="138" bestFit="1" customWidth="1"/>
    <col min="7" max="7" width="6" style="81" bestFit="1" customWidth="1"/>
    <col min="8" max="8" width="22.33203125" style="81" bestFit="1" customWidth="1"/>
    <col min="9" max="9" width="12.6640625" style="81" bestFit="1" customWidth="1"/>
    <col min="10" max="10" width="4.77734375" style="81" bestFit="1" customWidth="1"/>
    <col min="11" max="11" width="2.6640625" style="81" customWidth="1"/>
    <col min="12" max="12" width="5.5546875" style="82" customWidth="1"/>
    <col min="13" max="13" width="75" style="81" bestFit="1" customWidth="1"/>
    <col min="14" max="14" width="49.44140625" style="128" bestFit="1" customWidth="1"/>
    <col min="15" max="16384" width="9.109375" style="81"/>
  </cols>
  <sheetData>
    <row r="1" spans="1:13" ht="15" customHeight="1" x14ac:dyDescent="0.3">
      <c r="A1" s="80" t="s">
        <v>120</v>
      </c>
      <c r="F1" s="136" t="s">
        <v>351</v>
      </c>
      <c r="H1" s="80" t="s">
        <v>121</v>
      </c>
    </row>
    <row r="2" spans="1:13" ht="15" customHeight="1" x14ac:dyDescent="0.3">
      <c r="A2" s="83" t="s">
        <v>147</v>
      </c>
      <c r="B2" s="100">
        <v>1</v>
      </c>
      <c r="D2" s="99">
        <v>1</v>
      </c>
      <c r="E2" s="86"/>
      <c r="F2" s="137" t="s">
        <v>270</v>
      </c>
      <c r="H2" s="122" t="s">
        <v>739</v>
      </c>
      <c r="I2" s="94">
        <f>hsrp2new!B10</f>
        <v>78.272746497358796</v>
      </c>
      <c r="J2" s="469" t="s">
        <v>0</v>
      </c>
      <c r="K2" s="99"/>
      <c r="L2" s="210"/>
      <c r="M2" s="135" t="s">
        <v>761</v>
      </c>
    </row>
    <row r="3" spans="1:13" ht="15" customHeight="1" x14ac:dyDescent="0.35">
      <c r="A3" s="122" t="s">
        <v>535</v>
      </c>
      <c r="B3" s="91">
        <v>0.5</v>
      </c>
      <c r="C3" s="92" t="s">
        <v>1</v>
      </c>
      <c r="D3" s="99">
        <v>1</v>
      </c>
      <c r="E3" s="121" t="s">
        <v>220</v>
      </c>
      <c r="F3" s="135" t="s">
        <v>711</v>
      </c>
      <c r="H3" s="83" t="s">
        <v>157</v>
      </c>
      <c r="I3" s="84">
        <f>hsrp2rout!D34</f>
        <v>2133</v>
      </c>
      <c r="J3" s="81" t="s">
        <v>1</v>
      </c>
      <c r="K3" s="99">
        <v>1</v>
      </c>
      <c r="L3" s="86"/>
      <c r="M3" s="85" t="s">
        <v>304</v>
      </c>
    </row>
    <row r="4" spans="1:13" ht="15" customHeight="1" x14ac:dyDescent="0.3">
      <c r="A4" s="83" t="s">
        <v>150</v>
      </c>
      <c r="B4" s="100">
        <v>1200</v>
      </c>
      <c r="C4" s="81" t="s">
        <v>2</v>
      </c>
      <c r="D4" s="99">
        <v>1</v>
      </c>
      <c r="E4" s="86" t="s">
        <v>122</v>
      </c>
      <c r="F4" s="137" t="s">
        <v>268</v>
      </c>
      <c r="H4" s="83" t="s">
        <v>158</v>
      </c>
      <c r="I4" s="84">
        <f>hsrp2rout!D44</f>
        <v>0</v>
      </c>
      <c r="J4" s="81" t="s">
        <v>1</v>
      </c>
      <c r="K4" s="99">
        <v>1</v>
      </c>
      <c r="L4" s="86"/>
      <c r="M4" s="85" t="s">
        <v>294</v>
      </c>
    </row>
    <row r="5" spans="1:13" ht="15" customHeight="1" x14ac:dyDescent="0.35">
      <c r="A5" s="83" t="s">
        <v>151</v>
      </c>
      <c r="B5" s="257">
        <v>0.05</v>
      </c>
      <c r="C5" s="92"/>
      <c r="D5" s="99">
        <v>1</v>
      </c>
      <c r="E5" s="12" t="s">
        <v>359</v>
      </c>
      <c r="F5" s="135" t="s">
        <v>269</v>
      </c>
      <c r="H5" s="83" t="s">
        <v>159</v>
      </c>
      <c r="I5" s="84">
        <f>hsrp2rout!D63</f>
        <v>592.14362000528024</v>
      </c>
      <c r="J5" s="81" t="s">
        <v>1</v>
      </c>
      <c r="K5" s="99">
        <v>1</v>
      </c>
      <c r="L5" s="86"/>
      <c r="M5" s="85" t="s">
        <v>307</v>
      </c>
    </row>
    <row r="6" spans="1:13" ht="15" customHeight="1" x14ac:dyDescent="0.35">
      <c r="A6" s="83" t="s">
        <v>811</v>
      </c>
      <c r="B6" s="257">
        <v>0.05</v>
      </c>
      <c r="C6" s="258" t="s">
        <v>814</v>
      </c>
      <c r="D6" s="99">
        <v>1</v>
      </c>
      <c r="E6" s="12" t="s">
        <v>359</v>
      </c>
      <c r="F6" s="135" t="s">
        <v>813</v>
      </c>
      <c r="H6" s="83" t="s">
        <v>262</v>
      </c>
      <c r="I6" s="84">
        <f>hsrp2rout!E72</f>
        <v>1769.8400093398404</v>
      </c>
      <c r="J6" s="81" t="s">
        <v>1</v>
      </c>
      <c r="K6" s="99">
        <v>1</v>
      </c>
      <c r="L6" s="86"/>
      <c r="M6" s="85" t="s">
        <v>309</v>
      </c>
    </row>
    <row r="7" spans="1:13" ht="15" customHeight="1" x14ac:dyDescent="0.3">
      <c r="A7" s="122" t="s">
        <v>549</v>
      </c>
      <c r="B7" s="100">
        <v>8</v>
      </c>
      <c r="C7" s="92" t="s">
        <v>551</v>
      </c>
      <c r="D7" s="99"/>
      <c r="E7" s="98"/>
      <c r="F7" s="135" t="s">
        <v>552</v>
      </c>
      <c r="H7" s="83" t="s">
        <v>261</v>
      </c>
      <c r="I7" s="84">
        <f>hsrp2rout!E71</f>
        <v>3000</v>
      </c>
      <c r="J7" t="s">
        <v>1</v>
      </c>
      <c r="K7" s="99">
        <v>1</v>
      </c>
      <c r="L7" s="86"/>
      <c r="M7" s="85" t="s">
        <v>310</v>
      </c>
    </row>
    <row r="8" spans="1:13" ht="15" customHeight="1" x14ac:dyDescent="0.3">
      <c r="A8" s="122" t="s">
        <v>550</v>
      </c>
      <c r="B8" s="100">
        <v>9</v>
      </c>
      <c r="C8" s="92" t="s">
        <v>551</v>
      </c>
      <c r="D8" s="99"/>
      <c r="E8" s="258" t="s">
        <v>814</v>
      </c>
      <c r="F8" s="135" t="s">
        <v>812</v>
      </c>
      <c r="H8" s="122" t="s">
        <v>791</v>
      </c>
      <c r="I8" s="84">
        <f>hsrp2rout!E73</f>
        <v>623.36172003168167</v>
      </c>
      <c r="J8" t="s">
        <v>1</v>
      </c>
      <c r="K8" s="99">
        <v>1</v>
      </c>
      <c r="L8" s="124"/>
      <c r="M8" s="95" t="s">
        <v>441</v>
      </c>
    </row>
    <row r="9" spans="1:13" ht="15" customHeight="1" x14ac:dyDescent="0.35">
      <c r="A9" s="122" t="s">
        <v>483</v>
      </c>
      <c r="B9" s="94">
        <v>2000</v>
      </c>
      <c r="C9" s="81" t="s">
        <v>1</v>
      </c>
      <c r="D9" s="99">
        <v>1</v>
      </c>
      <c r="E9" s="143"/>
      <c r="F9" s="135" t="s">
        <v>625</v>
      </c>
      <c r="H9" s="83" t="s">
        <v>245</v>
      </c>
      <c r="I9" s="84">
        <f>hsrp2intk!B32</f>
        <v>14.98912418773814</v>
      </c>
      <c r="J9" s="81" t="s">
        <v>1</v>
      </c>
      <c r="K9" s="99">
        <v>2</v>
      </c>
      <c r="L9" s="86" t="s">
        <v>219</v>
      </c>
      <c r="M9" s="85" t="s">
        <v>272</v>
      </c>
    </row>
    <row r="10" spans="1:13" ht="15" customHeight="1" x14ac:dyDescent="0.35">
      <c r="A10" s="83" t="s">
        <v>153</v>
      </c>
      <c r="B10" s="94">
        <v>0</v>
      </c>
      <c r="C10" s="81" t="s">
        <v>1</v>
      </c>
      <c r="D10" s="99">
        <v>2</v>
      </c>
      <c r="E10" s="86"/>
      <c r="F10" s="135" t="s">
        <v>352</v>
      </c>
      <c r="H10" s="83" t="s">
        <v>160</v>
      </c>
      <c r="I10" s="84">
        <f>hsrp2intk!B26</f>
        <v>2067.4685627434496</v>
      </c>
      <c r="J10" s="81" t="s">
        <v>1</v>
      </c>
      <c r="K10" s="99">
        <v>2</v>
      </c>
      <c r="L10" s="86" t="s">
        <v>221</v>
      </c>
      <c r="M10" s="85" t="s">
        <v>271</v>
      </c>
    </row>
    <row r="11" spans="1:13" ht="15" customHeight="1" x14ac:dyDescent="0.35">
      <c r="A11" s="83" t="s">
        <v>154</v>
      </c>
      <c r="B11" s="259">
        <f>B9*0.75</f>
        <v>1500</v>
      </c>
      <c r="C11" s="81" t="s">
        <v>1</v>
      </c>
      <c r="D11" s="99">
        <v>2</v>
      </c>
      <c r="E11" s="86"/>
      <c r="F11" s="135" t="s">
        <v>379</v>
      </c>
      <c r="H11" s="83" t="s">
        <v>161</v>
      </c>
      <c r="I11" s="87">
        <f>hsrp2intk!B28</f>
        <v>2</v>
      </c>
      <c r="K11" s="99">
        <v>2</v>
      </c>
      <c r="L11" s="86" t="s">
        <v>222</v>
      </c>
      <c r="M11" s="85" t="s">
        <v>278</v>
      </c>
    </row>
    <row r="12" spans="1:13" ht="15" customHeight="1" x14ac:dyDescent="0.35">
      <c r="A12" s="83" t="s">
        <v>155</v>
      </c>
      <c r="B12" s="259">
        <f>B9-B11</f>
        <v>500</v>
      </c>
      <c r="C12" s="81" t="s">
        <v>1</v>
      </c>
      <c r="D12" s="99">
        <v>2</v>
      </c>
      <c r="E12" s="86"/>
      <c r="F12" s="135" t="s">
        <v>380</v>
      </c>
      <c r="H12" s="83" t="s">
        <v>162</v>
      </c>
      <c r="I12" s="84">
        <f>hsrp2intk!B24</f>
        <v>7.3242701564484509</v>
      </c>
      <c r="J12" s="81" t="s">
        <v>1</v>
      </c>
      <c r="K12" s="99">
        <v>2</v>
      </c>
      <c r="L12" s="86" t="s">
        <v>223</v>
      </c>
      <c r="M12" s="85" t="s">
        <v>279</v>
      </c>
    </row>
    <row r="13" spans="1:13" ht="15" customHeight="1" x14ac:dyDescent="0.35">
      <c r="A13" s="83" t="s">
        <v>156</v>
      </c>
      <c r="B13" s="94">
        <v>0</v>
      </c>
      <c r="C13" s="81" t="s">
        <v>1</v>
      </c>
      <c r="D13" s="99">
        <v>2</v>
      </c>
      <c r="E13" s="86"/>
      <c r="F13" s="135" t="s">
        <v>312</v>
      </c>
      <c r="H13" s="83" t="s">
        <v>163</v>
      </c>
      <c r="I13" s="84">
        <f>hsrp2intk!B25</f>
        <v>9.1553376955605632</v>
      </c>
      <c r="J13" s="81" t="s">
        <v>1</v>
      </c>
      <c r="K13" s="99">
        <v>2</v>
      </c>
      <c r="L13" s="86" t="s">
        <v>224</v>
      </c>
      <c r="M13" s="85" t="s">
        <v>277</v>
      </c>
    </row>
    <row r="14" spans="1:13" ht="15" customHeight="1" x14ac:dyDescent="0.35">
      <c r="A14" s="122" t="s">
        <v>440</v>
      </c>
      <c r="B14" s="94">
        <v>0</v>
      </c>
      <c r="C14" s="81" t="s">
        <v>1</v>
      </c>
      <c r="D14" s="99">
        <v>2</v>
      </c>
      <c r="E14" s="124"/>
      <c r="F14" s="135" t="s">
        <v>624</v>
      </c>
      <c r="H14" s="83" t="s">
        <v>164</v>
      </c>
      <c r="I14" s="84">
        <f>hsrp2intk!B26</f>
        <v>2067.4685627434496</v>
      </c>
      <c r="J14" s="81" t="s">
        <v>1</v>
      </c>
      <c r="K14" s="99">
        <v>2</v>
      </c>
      <c r="L14" s="86" t="s">
        <v>226</v>
      </c>
      <c r="M14" s="85" t="s">
        <v>281</v>
      </c>
    </row>
    <row r="15" spans="1:13" ht="15" customHeight="1" x14ac:dyDescent="0.35">
      <c r="A15" s="122" t="s">
        <v>472</v>
      </c>
      <c r="B15" s="259">
        <v>130</v>
      </c>
      <c r="C15" s="81" t="s">
        <v>1</v>
      </c>
      <c r="D15" s="99">
        <v>2</v>
      </c>
      <c r="E15" s="124"/>
      <c r="F15" s="135" t="s">
        <v>788</v>
      </c>
      <c r="G15" s="240"/>
      <c r="H15" s="83" t="s">
        <v>165</v>
      </c>
      <c r="I15" s="84">
        <f>hsrp2intk!B32</f>
        <v>14.98912418773814</v>
      </c>
      <c r="J15" s="81" t="s">
        <v>1</v>
      </c>
      <c r="K15" s="99">
        <v>2</v>
      </c>
      <c r="L15" s="86" t="s">
        <v>227</v>
      </c>
      <c r="M15" s="85" t="s">
        <v>287</v>
      </c>
    </row>
    <row r="16" spans="1:13" ht="15" customHeight="1" x14ac:dyDescent="0.35">
      <c r="A16" s="83" t="s">
        <v>177</v>
      </c>
      <c r="B16" s="91">
        <v>0</v>
      </c>
      <c r="C16" s="92" t="s">
        <v>1</v>
      </c>
      <c r="D16" s="99">
        <v>2</v>
      </c>
      <c r="E16" s="12"/>
      <c r="F16" s="135" t="s">
        <v>371</v>
      </c>
      <c r="H16" s="83" t="s">
        <v>166</v>
      </c>
      <c r="I16" s="84">
        <f>hsrp2intk!B33</f>
        <v>15.406287451310073</v>
      </c>
      <c r="J16" s="81" t="s">
        <v>1</v>
      </c>
      <c r="K16" s="99">
        <v>2</v>
      </c>
      <c r="L16" s="86" t="s">
        <v>228</v>
      </c>
      <c r="M16" s="85" t="s">
        <v>286</v>
      </c>
    </row>
    <row r="17" spans="1:13" ht="15" customHeight="1" x14ac:dyDescent="0.35">
      <c r="A17" s="83" t="s">
        <v>178</v>
      </c>
      <c r="B17" s="91">
        <v>0</v>
      </c>
      <c r="C17" t="s">
        <v>1</v>
      </c>
      <c r="D17" s="99">
        <v>2</v>
      </c>
      <c r="E17" s="12"/>
      <c r="F17" s="135" t="s">
        <v>361</v>
      </c>
      <c r="H17" s="83" t="s">
        <v>255</v>
      </c>
      <c r="I17" s="94">
        <f>hsrp2intk!B30</f>
        <v>57.031437256550362</v>
      </c>
      <c r="J17" t="s">
        <v>1</v>
      </c>
      <c r="K17" s="99">
        <v>2</v>
      </c>
      <c r="L17" s="12" t="s">
        <v>256</v>
      </c>
      <c r="M17" s="85" t="s">
        <v>285</v>
      </c>
    </row>
    <row r="18" spans="1:13" ht="15" customHeight="1" x14ac:dyDescent="0.35">
      <c r="A18" s="83" t="s">
        <v>373</v>
      </c>
      <c r="B18" s="113">
        <v>0</v>
      </c>
      <c r="C18" s="92"/>
      <c r="D18" s="114">
        <v>2</v>
      </c>
      <c r="E18" s="12"/>
      <c r="F18" s="135" t="s">
        <v>378</v>
      </c>
      <c r="H18" s="83" t="s">
        <v>257</v>
      </c>
      <c r="I18" s="94">
        <f>hsrp2intk!B18</f>
        <v>3.3760995609896951</v>
      </c>
      <c r="J18" t="s">
        <v>1</v>
      </c>
      <c r="K18" s="99">
        <v>2</v>
      </c>
      <c r="L18" s="12" t="s">
        <v>258</v>
      </c>
      <c r="M18" s="85" t="s">
        <v>284</v>
      </c>
    </row>
    <row r="19" spans="1:13" ht="15" customHeight="1" x14ac:dyDescent="0.3">
      <c r="A19" s="83" t="s">
        <v>419</v>
      </c>
      <c r="B19" s="113">
        <v>50</v>
      </c>
      <c r="C19" s="92" t="s">
        <v>420</v>
      </c>
      <c r="D19" s="114">
        <v>1</v>
      </c>
      <c r="E19" s="12"/>
      <c r="F19" s="135" t="s">
        <v>421</v>
      </c>
      <c r="H19" s="122" t="s">
        <v>753</v>
      </c>
      <c r="I19" s="113">
        <f>hsrp2tunl!F36</f>
        <v>1</v>
      </c>
      <c r="J19"/>
      <c r="K19" s="99"/>
      <c r="L19" s="98"/>
      <c r="M19" s="95" t="s">
        <v>758</v>
      </c>
    </row>
    <row r="20" spans="1:13" ht="15" customHeight="1" x14ac:dyDescent="0.3">
      <c r="A20" s="122" t="s">
        <v>556</v>
      </c>
      <c r="B20" s="113">
        <v>0</v>
      </c>
      <c r="C20" s="92"/>
      <c r="D20" s="114">
        <v>1</v>
      </c>
      <c r="E20" s="98"/>
      <c r="F20" s="135" t="s">
        <v>557</v>
      </c>
      <c r="H20" s="83" t="s">
        <v>154</v>
      </c>
      <c r="I20" s="84">
        <f>hsrp2tunl!F35</f>
        <v>0</v>
      </c>
      <c r="J20" s="81" t="s">
        <v>1</v>
      </c>
      <c r="K20" s="99">
        <v>2</v>
      </c>
      <c r="L20" s="86"/>
      <c r="M20" s="85" t="s">
        <v>302</v>
      </c>
    </row>
    <row r="21" spans="1:13" ht="15" customHeight="1" x14ac:dyDescent="0.3">
      <c r="A21" s="83" t="s">
        <v>353</v>
      </c>
      <c r="B21" s="91">
        <v>0.42735042735042739</v>
      </c>
      <c r="C21"/>
      <c r="D21" s="99">
        <v>1</v>
      </c>
      <c r="E21" s="152"/>
      <c r="F21" s="135" t="s">
        <v>425</v>
      </c>
      <c r="H21" s="83" t="s">
        <v>167</v>
      </c>
      <c r="I21" s="84">
        <f>VLOOKUP(hsrp2tunl!D26,hsrp2tunl!B29:D31,2)*I20</f>
        <v>0</v>
      </c>
      <c r="J21" s="81" t="s">
        <v>1</v>
      </c>
      <c r="K21" s="99">
        <v>2</v>
      </c>
      <c r="L21" s="86"/>
      <c r="M21" s="85" t="s">
        <v>301</v>
      </c>
    </row>
    <row r="22" spans="1:13" ht="15" customHeight="1" x14ac:dyDescent="0.3">
      <c r="A22" s="83" t="s">
        <v>354</v>
      </c>
      <c r="B22" s="91">
        <v>1.1772503980700835</v>
      </c>
      <c r="C22"/>
      <c r="D22" s="99">
        <v>1</v>
      </c>
      <c r="E22" s="152"/>
      <c r="F22" s="135" t="s">
        <v>426</v>
      </c>
      <c r="H22" s="83" t="s">
        <v>168</v>
      </c>
      <c r="I22" s="84">
        <f>VLOOKUP(hsrp2tunl!D26,hsrp2tunl!B29:D31,3)*I20</f>
        <v>0</v>
      </c>
      <c r="J22" s="81" t="s">
        <v>1</v>
      </c>
      <c r="K22" s="99">
        <v>2</v>
      </c>
      <c r="L22" s="86"/>
      <c r="M22" s="85" t="s">
        <v>299</v>
      </c>
    </row>
    <row r="23" spans="1:13" ht="15" customHeight="1" x14ac:dyDescent="0.3">
      <c r="A23" s="83" t="s">
        <v>1207</v>
      </c>
      <c r="B23" s="496">
        <v>0</v>
      </c>
      <c r="C23" s="92"/>
      <c r="D23" s="99">
        <v>1</v>
      </c>
      <c r="E23" s="497"/>
      <c r="F23" s="135" t="s">
        <v>1208</v>
      </c>
      <c r="H23" s="83" t="s">
        <v>169</v>
      </c>
      <c r="I23" s="84">
        <f>hsrp2tunl!F38</f>
        <v>8.1887829776958778</v>
      </c>
      <c r="J23" s="81" t="s">
        <v>1</v>
      </c>
      <c r="K23" s="99">
        <v>2</v>
      </c>
      <c r="L23" s="86"/>
      <c r="M23" s="85" t="s">
        <v>298</v>
      </c>
    </row>
    <row r="24" spans="1:13" ht="15" customHeight="1" x14ac:dyDescent="0.3">
      <c r="F24" s="239"/>
      <c r="H24" s="83" t="s">
        <v>170</v>
      </c>
      <c r="I24" s="84">
        <f>hsrp2tunl!C12</f>
        <v>2067.4685627434496</v>
      </c>
      <c r="J24" s="81" t="s">
        <v>1</v>
      </c>
      <c r="K24" s="99">
        <v>2</v>
      </c>
      <c r="L24" s="86"/>
      <c r="M24" s="85" t="s">
        <v>303</v>
      </c>
    </row>
    <row r="25" spans="1:13" ht="15" customHeight="1" x14ac:dyDescent="0.3">
      <c r="A25" s="80" t="s">
        <v>473</v>
      </c>
      <c r="H25" s="83" t="s">
        <v>171</v>
      </c>
      <c r="I25" s="84">
        <f>hsrp2tunl!C13</f>
        <v>2067.4685627434496</v>
      </c>
      <c r="J25" s="81" t="s">
        <v>1</v>
      </c>
      <c r="K25" s="99">
        <v>2</v>
      </c>
      <c r="L25" s="86"/>
      <c r="M25" s="85" t="s">
        <v>300</v>
      </c>
    </row>
    <row r="26" spans="1:13" ht="15" customHeight="1" x14ac:dyDescent="0.35">
      <c r="A26" s="83" t="s">
        <v>474</v>
      </c>
      <c r="B26" s="91">
        <v>2120</v>
      </c>
      <c r="C26" s="81" t="s">
        <v>1</v>
      </c>
      <c r="D26" s="99">
        <v>1</v>
      </c>
      <c r="E26" s="132" t="s">
        <v>218</v>
      </c>
      <c r="F26" s="135" t="s">
        <v>427</v>
      </c>
      <c r="H26" s="83" t="s">
        <v>172</v>
      </c>
      <c r="I26" s="84">
        <f>IF(hsrp2rout!D44=0,0,hsrp2stnk!B24)</f>
        <v>0</v>
      </c>
      <c r="J26" s="81" t="s">
        <v>1</v>
      </c>
      <c r="K26" s="99">
        <v>2</v>
      </c>
      <c r="L26" s="234"/>
      <c r="M26" s="85" t="s">
        <v>295</v>
      </c>
    </row>
    <row r="27" spans="1:13" ht="15" customHeight="1" x14ac:dyDescent="0.35">
      <c r="A27" s="83" t="s">
        <v>475</v>
      </c>
      <c r="B27" s="91">
        <v>2080</v>
      </c>
      <c r="C27" s="81" t="s">
        <v>1</v>
      </c>
      <c r="D27" s="99">
        <v>1</v>
      </c>
      <c r="E27" s="133" t="s">
        <v>477</v>
      </c>
      <c r="F27" s="135" t="s">
        <v>428</v>
      </c>
      <c r="H27" s="83" t="s">
        <v>173</v>
      </c>
      <c r="I27" s="84">
        <f>hsrp2stnk!B25</f>
        <v>0</v>
      </c>
      <c r="J27" s="81" t="s">
        <v>1</v>
      </c>
      <c r="K27" s="99">
        <v>2</v>
      </c>
      <c r="L27" s="234"/>
      <c r="M27" s="85" t="s">
        <v>296</v>
      </c>
    </row>
    <row r="28" spans="1:13" ht="15" customHeight="1" x14ac:dyDescent="0.3">
      <c r="A28" s="83" t="s">
        <v>1205</v>
      </c>
      <c r="B28" s="91">
        <f>B26+2</f>
        <v>2122</v>
      </c>
      <c r="C28" s="81" t="s">
        <v>1</v>
      </c>
      <c r="D28" s="99">
        <v>1</v>
      </c>
      <c r="E28" s="86"/>
      <c r="F28" s="135" t="s">
        <v>481</v>
      </c>
      <c r="H28" s="83" t="s">
        <v>174</v>
      </c>
      <c r="I28" s="84">
        <f>hsrp2stnk!B22</f>
        <v>0</v>
      </c>
      <c r="J28" s="81" t="s">
        <v>1</v>
      </c>
      <c r="K28" s="99">
        <v>2</v>
      </c>
      <c r="L28" s="234"/>
      <c r="M28" s="85" t="s">
        <v>293</v>
      </c>
    </row>
    <row r="29" spans="1:13" ht="15" customHeight="1" x14ac:dyDescent="0.3">
      <c r="A29" s="83" t="s">
        <v>1206</v>
      </c>
      <c r="B29" s="91">
        <v>4</v>
      </c>
      <c r="C29" s="92" t="s">
        <v>1</v>
      </c>
      <c r="D29" s="99">
        <v>2</v>
      </c>
      <c r="E29" s="12"/>
      <c r="F29" s="135" t="s">
        <v>482</v>
      </c>
      <c r="H29" s="83" t="s">
        <v>175</v>
      </c>
      <c r="I29" s="84">
        <f>hsrp2tunl!F53</f>
        <v>1456.8320928763565</v>
      </c>
      <c r="J29" s="81" t="s">
        <v>1</v>
      </c>
      <c r="K29" s="99">
        <v>3</v>
      </c>
      <c r="L29" s="86"/>
      <c r="M29" s="85" t="s">
        <v>316</v>
      </c>
    </row>
    <row r="30" spans="1:13" ht="15" customHeight="1" x14ac:dyDescent="0.3">
      <c r="A30" s="83" t="s">
        <v>448</v>
      </c>
      <c r="B30" s="113">
        <v>1</v>
      </c>
      <c r="D30" s="99">
        <v>2</v>
      </c>
      <c r="E30" s="127"/>
      <c r="F30" s="135" t="s">
        <v>449</v>
      </c>
      <c r="H30" s="83" t="s">
        <v>176</v>
      </c>
      <c r="I30" s="84">
        <f>hsrp2tunl!F56</f>
        <v>6.3223266840412844</v>
      </c>
      <c r="J30" s="81" t="s">
        <v>1</v>
      </c>
      <c r="K30" s="99">
        <v>2</v>
      </c>
      <c r="L30" s="86"/>
      <c r="M30" s="85" t="s">
        <v>315</v>
      </c>
    </row>
    <row r="31" spans="1:13" ht="15" customHeight="1" x14ac:dyDescent="0.35">
      <c r="A31" s="83" t="s">
        <v>480</v>
      </c>
      <c r="B31" s="91">
        <v>1</v>
      </c>
      <c r="C31" s="92" t="s">
        <v>1</v>
      </c>
      <c r="D31" s="99">
        <v>1</v>
      </c>
      <c r="E31" s="121" t="s">
        <v>220</v>
      </c>
      <c r="F31" s="135" t="s">
        <v>712</v>
      </c>
      <c r="H31" s="83" t="s">
        <v>155</v>
      </c>
      <c r="I31" s="84">
        <f>hsrp2tunl!F60</f>
        <v>2000</v>
      </c>
      <c r="J31" s="81" t="s">
        <v>1</v>
      </c>
      <c r="K31" s="99">
        <v>2</v>
      </c>
      <c r="L31" s="86"/>
      <c r="M31" s="85" t="s">
        <v>306</v>
      </c>
    </row>
    <row r="32" spans="1:13" ht="15" customHeight="1" x14ac:dyDescent="0.35">
      <c r="A32" s="83" t="s">
        <v>148</v>
      </c>
      <c r="B32" s="91">
        <v>2</v>
      </c>
      <c r="C32" s="81" t="s">
        <v>1</v>
      </c>
      <c r="D32" s="99">
        <v>1</v>
      </c>
      <c r="E32" s="132" t="s">
        <v>220</v>
      </c>
      <c r="F32" s="135" t="s">
        <v>713</v>
      </c>
      <c r="H32" s="83" t="s">
        <v>177</v>
      </c>
      <c r="I32" s="84">
        <f>MAX(hsrp2tunl!D129,hsrp2tunl!F62)</f>
        <v>5.9301967984524797</v>
      </c>
      <c r="J32" s="81" t="s">
        <v>1</v>
      </c>
      <c r="K32" s="99">
        <v>3</v>
      </c>
      <c r="L32" s="86"/>
      <c r="M32" s="85" t="s">
        <v>305</v>
      </c>
    </row>
    <row r="33" spans="1:13" ht="15" customHeight="1" x14ac:dyDescent="0.35">
      <c r="A33" s="83" t="s">
        <v>149</v>
      </c>
      <c r="B33" s="91">
        <v>3</v>
      </c>
      <c r="C33" s="81" t="s">
        <v>1</v>
      </c>
      <c r="D33" s="99">
        <v>1</v>
      </c>
      <c r="E33" s="132" t="s">
        <v>220</v>
      </c>
      <c r="F33" s="135" t="s">
        <v>714</v>
      </c>
      <c r="H33" s="83" t="s">
        <v>156</v>
      </c>
      <c r="I33" s="84">
        <f>hsrp2tunl!F104</f>
        <v>0</v>
      </c>
      <c r="J33" s="81" t="s">
        <v>1</v>
      </c>
      <c r="K33" s="99">
        <v>2</v>
      </c>
      <c r="L33" s="86"/>
      <c r="M33" s="85" t="s">
        <v>312</v>
      </c>
    </row>
    <row r="34" spans="1:13" ht="15" customHeight="1" x14ac:dyDescent="0.3">
      <c r="A34" s="83" t="s">
        <v>152</v>
      </c>
      <c r="B34" s="111" t="s">
        <v>145</v>
      </c>
      <c r="D34" s="99">
        <v>2</v>
      </c>
      <c r="E34" s="86"/>
      <c r="F34" s="135" t="s">
        <v>346</v>
      </c>
      <c r="H34" s="83" t="s">
        <v>178</v>
      </c>
      <c r="I34" s="84">
        <f>MAX(hsrp2tunl!F107,hsrp2tunl!D130)</f>
        <v>5.0691386440588015</v>
      </c>
      <c r="J34" s="81" t="s">
        <v>1</v>
      </c>
      <c r="K34" s="99">
        <v>2</v>
      </c>
      <c r="L34" s="86"/>
      <c r="M34" s="85" t="s">
        <v>311</v>
      </c>
    </row>
    <row r="35" spans="1:13" ht="15" customHeight="1" x14ac:dyDescent="0.3">
      <c r="A35" s="12"/>
      <c r="B35" s="106"/>
      <c r="C35" s="12"/>
      <c r="D35" s="12"/>
      <c r="E35" s="12"/>
      <c r="F35" s="139"/>
      <c r="H35" s="83" t="s">
        <v>254</v>
      </c>
      <c r="I35" s="94">
        <f>hsrp2tunl!N105</f>
        <v>300.84031744476925</v>
      </c>
      <c r="J35" t="s">
        <v>39</v>
      </c>
      <c r="K35" s="99">
        <v>3</v>
      </c>
      <c r="L35" s="12"/>
      <c r="M35" s="85" t="s">
        <v>313</v>
      </c>
    </row>
    <row r="36" spans="1:13" ht="15" customHeight="1" x14ac:dyDescent="0.3">
      <c r="A36" s="80" t="s">
        <v>476</v>
      </c>
      <c r="B36" s="240"/>
      <c r="H36" s="83" t="s">
        <v>179</v>
      </c>
      <c r="I36" s="84">
        <f>hsrp2tunl!C16</f>
        <v>617.86543067797061</v>
      </c>
      <c r="J36" s="81" t="s">
        <v>1</v>
      </c>
      <c r="K36" s="99">
        <v>3</v>
      </c>
      <c r="L36" s="86"/>
      <c r="M36" s="85" t="s">
        <v>314</v>
      </c>
    </row>
    <row r="37" spans="1:13" ht="15" customHeight="1" x14ac:dyDescent="0.35">
      <c r="A37" s="83" t="s">
        <v>474</v>
      </c>
      <c r="B37" s="91">
        <v>620</v>
      </c>
      <c r="C37" s="81" t="s">
        <v>1</v>
      </c>
      <c r="D37" s="99"/>
      <c r="E37" s="132" t="s">
        <v>218</v>
      </c>
      <c r="F37" s="135" t="s">
        <v>429</v>
      </c>
      <c r="H37" s="83" t="s">
        <v>180</v>
      </c>
      <c r="I37" s="84">
        <f>hsrp2tunl!C17</f>
        <v>617.86543067797061</v>
      </c>
      <c r="J37" s="81" t="s">
        <v>1</v>
      </c>
      <c r="K37" s="99">
        <v>3</v>
      </c>
      <c r="L37" s="86"/>
      <c r="M37" s="85" t="s">
        <v>308</v>
      </c>
    </row>
    <row r="38" spans="1:13" ht="15" customHeight="1" x14ac:dyDescent="0.35">
      <c r="A38" s="83" t="s">
        <v>475</v>
      </c>
      <c r="B38" s="91">
        <v>580</v>
      </c>
      <c r="C38" s="81" t="s">
        <v>1</v>
      </c>
      <c r="D38" s="99"/>
      <c r="E38" s="133" t="s">
        <v>477</v>
      </c>
      <c r="F38" s="135" t="s">
        <v>430</v>
      </c>
      <c r="H38" s="83" t="s">
        <v>181</v>
      </c>
      <c r="I38" s="87">
        <f>hsrp2tunl!F137</f>
        <v>10</v>
      </c>
      <c r="K38" s="99">
        <v>2</v>
      </c>
      <c r="L38" s="86" t="s">
        <v>229</v>
      </c>
      <c r="M38" s="85" t="s">
        <v>290</v>
      </c>
    </row>
    <row r="39" spans="1:13" ht="15" customHeight="1" x14ac:dyDescent="0.35">
      <c r="A39" s="83" t="s">
        <v>1205</v>
      </c>
      <c r="B39" s="91">
        <f>B37+2</f>
        <v>622</v>
      </c>
      <c r="C39" s="81" t="s">
        <v>1</v>
      </c>
      <c r="D39" s="99">
        <v>1</v>
      </c>
      <c r="E39" s="86"/>
      <c r="F39" s="135" t="s">
        <v>729</v>
      </c>
      <c r="H39" s="83" t="s">
        <v>182</v>
      </c>
      <c r="I39" s="84">
        <f>hsrp2tunl!F136</f>
        <v>2.1376380415943008</v>
      </c>
      <c r="J39" s="81" t="s">
        <v>1</v>
      </c>
      <c r="K39" s="99">
        <v>3</v>
      </c>
      <c r="L39" s="86" t="s">
        <v>230</v>
      </c>
      <c r="M39" s="85" t="s">
        <v>288</v>
      </c>
    </row>
    <row r="40" spans="1:13" ht="15" customHeight="1" x14ac:dyDescent="0.35">
      <c r="A40" s="83" t="s">
        <v>1206</v>
      </c>
      <c r="B40" s="91">
        <v>4</v>
      </c>
      <c r="C40" s="92" t="s">
        <v>1</v>
      </c>
      <c r="D40" s="99">
        <v>2</v>
      </c>
      <c r="E40" s="12"/>
      <c r="F40" s="135" t="s">
        <v>730</v>
      </c>
      <c r="H40" s="83" t="s">
        <v>183</v>
      </c>
      <c r="I40" s="88">
        <f>hsrp2tunl!F134</f>
        <v>26</v>
      </c>
      <c r="J40" s="81" t="s">
        <v>1</v>
      </c>
      <c r="K40" s="99">
        <v>2</v>
      </c>
      <c r="L40" s="86" t="s">
        <v>231</v>
      </c>
      <c r="M40" s="85" t="s">
        <v>289</v>
      </c>
    </row>
    <row r="41" spans="1:13" ht="15" customHeight="1" x14ac:dyDescent="0.3">
      <c r="A41" s="83" t="s">
        <v>448</v>
      </c>
      <c r="B41" s="113">
        <v>0</v>
      </c>
      <c r="D41" s="99">
        <v>2</v>
      </c>
      <c r="E41" s="127"/>
      <c r="F41" s="135" t="s">
        <v>449</v>
      </c>
      <c r="H41" s="83" t="s">
        <v>253</v>
      </c>
      <c r="I41" s="94">
        <f>hsrp2tunl!N135</f>
        <v>127.73076520166103</v>
      </c>
      <c r="J41" t="s">
        <v>39</v>
      </c>
      <c r="K41" s="99">
        <v>3</v>
      </c>
      <c r="L41" s="12"/>
      <c r="M41" s="85" t="s">
        <v>292</v>
      </c>
    </row>
    <row r="42" spans="1:13" ht="15" customHeight="1" x14ac:dyDescent="0.35">
      <c r="A42" s="83" t="s">
        <v>480</v>
      </c>
      <c r="B42" s="91">
        <v>4</v>
      </c>
      <c r="C42" s="92" t="s">
        <v>1</v>
      </c>
      <c r="D42" s="99">
        <v>1</v>
      </c>
      <c r="E42" s="121" t="s">
        <v>220</v>
      </c>
      <c r="F42" s="135" t="s">
        <v>731</v>
      </c>
      <c r="H42" s="83" t="s">
        <v>184</v>
      </c>
      <c r="I42" s="87">
        <f>hsrp2pwh!G100</f>
        <v>10</v>
      </c>
      <c r="J42" s="487"/>
      <c r="K42" s="99">
        <v>2</v>
      </c>
      <c r="L42" s="234" t="s">
        <v>232</v>
      </c>
      <c r="M42" s="85" t="s">
        <v>331</v>
      </c>
    </row>
    <row r="43" spans="1:13" ht="15" customHeight="1" x14ac:dyDescent="0.35">
      <c r="A43" s="83" t="s">
        <v>148</v>
      </c>
      <c r="B43" s="91">
        <v>5</v>
      </c>
      <c r="C43" s="81" t="s">
        <v>1</v>
      </c>
      <c r="D43" s="99">
        <v>1</v>
      </c>
      <c r="E43" s="132" t="s">
        <v>220</v>
      </c>
      <c r="F43" s="135" t="s">
        <v>732</v>
      </c>
      <c r="H43" s="83" t="s">
        <v>185</v>
      </c>
      <c r="I43" s="84">
        <f>hsrp2pwh!E189</f>
        <v>3.0919917992634005</v>
      </c>
      <c r="J43" s="487" t="s">
        <v>1</v>
      </c>
      <c r="K43" s="99">
        <v>2</v>
      </c>
      <c r="L43" s="86" t="s">
        <v>233</v>
      </c>
      <c r="M43" s="85" t="s">
        <v>344</v>
      </c>
    </row>
    <row r="44" spans="1:13" ht="15" customHeight="1" x14ac:dyDescent="0.35">
      <c r="A44" s="83" t="s">
        <v>149</v>
      </c>
      <c r="B44" s="91">
        <v>6</v>
      </c>
      <c r="C44" s="81" t="s">
        <v>1</v>
      </c>
      <c r="D44" s="99">
        <v>1</v>
      </c>
      <c r="E44" s="132" t="s">
        <v>220</v>
      </c>
      <c r="F44" s="135" t="s">
        <v>733</v>
      </c>
      <c r="H44" s="83" t="s">
        <v>1182</v>
      </c>
      <c r="I44" s="91">
        <f>hsrp2pwh!F181</f>
        <v>2.83</v>
      </c>
      <c r="J44" s="469" t="s">
        <v>1</v>
      </c>
      <c r="K44" s="99">
        <v>2</v>
      </c>
      <c r="L44" s="12" t="s">
        <v>1183</v>
      </c>
      <c r="M44" s="95" t="s">
        <v>1184</v>
      </c>
    </row>
    <row r="45" spans="1:13" ht="15" customHeight="1" x14ac:dyDescent="0.35">
      <c r="A45" s="83" t="s">
        <v>152</v>
      </c>
      <c r="B45" s="111" t="s">
        <v>145</v>
      </c>
      <c r="D45" s="99">
        <v>2</v>
      </c>
      <c r="E45" s="86"/>
      <c r="F45" s="135" t="s">
        <v>346</v>
      </c>
      <c r="H45" s="83" t="s">
        <v>422</v>
      </c>
      <c r="I45" s="91">
        <f>hsrp2pwh!E174</f>
        <v>10.539976945741891</v>
      </c>
      <c r="J45" s="474"/>
      <c r="K45" s="99">
        <v>2</v>
      </c>
      <c r="L45" s="12" t="s">
        <v>423</v>
      </c>
      <c r="M45" s="95" t="s">
        <v>424</v>
      </c>
    </row>
    <row r="46" spans="1:13" ht="15" customHeight="1" x14ac:dyDescent="0.35">
      <c r="A46" s="12"/>
      <c r="B46" s="12"/>
      <c r="C46" s="12"/>
      <c r="D46" s="12"/>
      <c r="E46" s="12"/>
      <c r="F46" s="139"/>
      <c r="H46" s="83" t="s">
        <v>186</v>
      </c>
      <c r="I46" s="84">
        <f>hsrp2pwh!D185</f>
        <v>621</v>
      </c>
      <c r="J46" s="487" t="s">
        <v>1</v>
      </c>
      <c r="K46" s="99">
        <v>2</v>
      </c>
      <c r="L46" s="86" t="s">
        <v>234</v>
      </c>
      <c r="M46" s="85" t="s">
        <v>342</v>
      </c>
    </row>
    <row r="47" spans="1:13" ht="15" customHeight="1" x14ac:dyDescent="0.35">
      <c r="D47" s="99">
        <v>1</v>
      </c>
      <c r="E47" s="5"/>
      <c r="F47" s="140" t="s">
        <v>347</v>
      </c>
      <c r="H47" s="83" t="s">
        <v>187</v>
      </c>
      <c r="I47" s="84">
        <f>hsrp2pwh!D216</f>
        <v>169.80417268307099</v>
      </c>
      <c r="J47" s="487" t="s">
        <v>1</v>
      </c>
      <c r="K47" s="99">
        <v>2</v>
      </c>
      <c r="L47" s="86" t="s">
        <v>235</v>
      </c>
      <c r="M47" s="85" t="s">
        <v>339</v>
      </c>
    </row>
    <row r="48" spans="1:13" ht="15" customHeight="1" x14ac:dyDescent="0.35">
      <c r="D48" s="5"/>
      <c r="E48" s="5"/>
      <c r="F48" s="140" t="s">
        <v>348</v>
      </c>
      <c r="H48" s="83" t="s">
        <v>250</v>
      </c>
      <c r="I48" s="91">
        <f>hsrp2pwh!D213</f>
        <v>16.780417268307097</v>
      </c>
      <c r="J48" s="474" t="s">
        <v>1</v>
      </c>
      <c r="K48" s="99">
        <v>2</v>
      </c>
      <c r="L48" s="12" t="s">
        <v>246</v>
      </c>
      <c r="M48" s="85" t="s">
        <v>332</v>
      </c>
    </row>
    <row r="49" spans="1:14" ht="15" customHeight="1" x14ac:dyDescent="0.35">
      <c r="D49" s="100">
        <v>2</v>
      </c>
      <c r="E49" s="5"/>
      <c r="F49" s="141" t="s">
        <v>349</v>
      </c>
      <c r="H49" s="83" t="s">
        <v>188</v>
      </c>
      <c r="I49" s="84">
        <f>hsrp2pwh!D222</f>
        <v>37.755938853690971</v>
      </c>
      <c r="J49" s="487" t="s">
        <v>1</v>
      </c>
      <c r="K49" s="99">
        <v>2</v>
      </c>
      <c r="L49" s="86" t="s">
        <v>236</v>
      </c>
      <c r="M49" s="85" t="s">
        <v>318</v>
      </c>
    </row>
    <row r="50" spans="1:14" ht="15" customHeight="1" x14ac:dyDescent="0.35">
      <c r="D50" s="92"/>
      <c r="E50" s="5"/>
      <c r="F50" s="142" t="s">
        <v>362</v>
      </c>
      <c r="H50" s="83" t="s">
        <v>189</v>
      </c>
      <c r="I50" s="84">
        <f>hsrp2pwh!D226</f>
        <v>20.775380436344559</v>
      </c>
      <c r="J50" s="487" t="s">
        <v>1</v>
      </c>
      <c r="K50" s="99">
        <v>2</v>
      </c>
      <c r="L50" s="86" t="s">
        <v>237</v>
      </c>
      <c r="M50" s="85" t="s">
        <v>338</v>
      </c>
    </row>
    <row r="51" spans="1:14" ht="15" customHeight="1" x14ac:dyDescent="0.3">
      <c r="D51" s="100">
        <v>3</v>
      </c>
      <c r="E51" s="5"/>
      <c r="F51" s="141" t="s">
        <v>350</v>
      </c>
      <c r="H51" s="83" t="s">
        <v>190</v>
      </c>
      <c r="I51" s="84">
        <f>hsrp2pwh!D185+hsrp2pwh!D203+1.5</f>
        <v>625.38421316803749</v>
      </c>
      <c r="J51" s="487" t="s">
        <v>1</v>
      </c>
      <c r="K51" s="99">
        <v>2</v>
      </c>
      <c r="L51" s="234"/>
      <c r="M51" s="85" t="s">
        <v>335</v>
      </c>
      <c r="N51" s="129" t="s">
        <v>448</v>
      </c>
    </row>
    <row r="52" spans="1:14" ht="15" customHeight="1" x14ac:dyDescent="0.35">
      <c r="C52"/>
      <c r="D52" s="92"/>
      <c r="E52" s="5"/>
      <c r="H52" s="83" t="s">
        <v>191</v>
      </c>
      <c r="I52" s="84">
        <f>I50-4</f>
        <v>16.775380436344559</v>
      </c>
      <c r="J52" s="487" t="s">
        <v>1</v>
      </c>
      <c r="K52" s="99">
        <v>2</v>
      </c>
      <c r="L52" s="86" t="s">
        <v>238</v>
      </c>
      <c r="M52" s="85" t="s">
        <v>317</v>
      </c>
    </row>
    <row r="53" spans="1:14" ht="15" customHeight="1" x14ac:dyDescent="0.3">
      <c r="C53"/>
      <c r="D53" s="92"/>
      <c r="E53" s="5"/>
      <c r="H53" s="83" t="s">
        <v>251</v>
      </c>
      <c r="I53" s="91">
        <f>I39</f>
        <v>2.1376380415943008</v>
      </c>
      <c r="J53" s="469" t="s">
        <v>1</v>
      </c>
      <c r="K53" s="99">
        <v>2</v>
      </c>
      <c r="L53" s="12" t="s">
        <v>247</v>
      </c>
      <c r="M53" s="85" t="s">
        <v>343</v>
      </c>
    </row>
    <row r="54" spans="1:14" ht="15" customHeight="1" x14ac:dyDescent="0.35">
      <c r="A54" s="83" t="s">
        <v>266</v>
      </c>
      <c r="B54" s="100">
        <v>205.64236461739407</v>
      </c>
      <c r="C54" s="81" t="s">
        <v>0</v>
      </c>
      <c r="D54" s="99">
        <v>1</v>
      </c>
      <c r="E54" s="123"/>
      <c r="F54" s="137" t="s">
        <v>319</v>
      </c>
      <c r="H54" s="83" t="s">
        <v>192</v>
      </c>
      <c r="I54" s="84">
        <f>(hsrp2pwh!D193+2+hsrp2pwh!D191)/8+hsrp2pwh!D193+2+hsrp2pwh!D191/2</f>
        <v>12.969788991937921</v>
      </c>
      <c r="J54" s="487" t="s">
        <v>1</v>
      </c>
      <c r="K54" s="99">
        <v>2</v>
      </c>
      <c r="L54" s="86" t="s">
        <v>239</v>
      </c>
      <c r="M54" s="85" t="s">
        <v>340</v>
      </c>
    </row>
    <row r="55" spans="1:14" ht="15" customHeight="1" x14ac:dyDescent="0.35">
      <c r="C55"/>
      <c r="D55" s="92"/>
      <c r="E55" s="5"/>
      <c r="H55" s="83" t="s">
        <v>193</v>
      </c>
      <c r="I55" s="113">
        <v>1</v>
      </c>
      <c r="J55" s="474"/>
      <c r="K55" s="99">
        <v>2</v>
      </c>
      <c r="L55" s="12" t="s">
        <v>240</v>
      </c>
      <c r="M55" s="95" t="s">
        <v>322</v>
      </c>
    </row>
    <row r="56" spans="1:14" ht="15" customHeight="1" x14ac:dyDescent="0.3">
      <c r="C56"/>
      <c r="D56" s="92"/>
      <c r="E56" s="5"/>
      <c r="H56" s="83" t="s">
        <v>194</v>
      </c>
      <c r="I56" s="91">
        <f>hsrp2pwh!D207</f>
        <v>3.9253161493985642</v>
      </c>
      <c r="J56" s="474" t="s">
        <v>1</v>
      </c>
      <c r="K56" s="99">
        <v>2</v>
      </c>
      <c r="L56" s="12" t="s">
        <v>1185</v>
      </c>
      <c r="M56" s="95" t="s">
        <v>323</v>
      </c>
    </row>
    <row r="57" spans="1:14" ht="15" customHeight="1" x14ac:dyDescent="0.3">
      <c r="C57"/>
      <c r="D57" s="92"/>
      <c r="E57" s="5"/>
      <c r="H57" s="83" t="s">
        <v>195</v>
      </c>
      <c r="I57" s="91">
        <f>hsrp2pwh!D205</f>
        <v>4.287695093625576</v>
      </c>
      <c r="J57" s="474" t="s">
        <v>1</v>
      </c>
      <c r="K57" s="99">
        <v>2</v>
      </c>
      <c r="L57" s="12" t="s">
        <v>1186</v>
      </c>
      <c r="M57" s="95" t="s">
        <v>321</v>
      </c>
      <c r="N57" s="130" t="s">
        <v>249</v>
      </c>
    </row>
    <row r="58" spans="1:14" ht="15" customHeight="1" x14ac:dyDescent="0.3">
      <c r="C58"/>
      <c r="D58" s="92"/>
      <c r="E58" s="5"/>
      <c r="H58" s="83" t="s">
        <v>197</v>
      </c>
      <c r="I58" s="84">
        <f>IF(hsrp2pwh!G147=1,hsrp2pwh!D185-hsrp2pwh!D201-2,hsrp2pwh!D185-iohsrp2!I51/2-3)</f>
        <v>612.83385279439733</v>
      </c>
      <c r="J58" s="487" t="s">
        <v>1</v>
      </c>
      <c r="K58" s="99">
        <v>2</v>
      </c>
      <c r="L58" s="234"/>
      <c r="M58" s="85" t="s">
        <v>336</v>
      </c>
    </row>
    <row r="59" spans="1:14" ht="15" customHeight="1" x14ac:dyDescent="0.3">
      <c r="C59"/>
      <c r="D59" s="92"/>
      <c r="E59" s="5"/>
      <c r="H59" s="83" t="s">
        <v>196</v>
      </c>
      <c r="I59" s="84">
        <f>I58</f>
        <v>612.83385279439733</v>
      </c>
      <c r="J59" s="487" t="s">
        <v>1</v>
      </c>
      <c r="K59" s="99">
        <v>2</v>
      </c>
      <c r="L59" s="234"/>
      <c r="M59" s="85" t="s">
        <v>337</v>
      </c>
      <c r="N59" s="130" t="s">
        <v>450</v>
      </c>
    </row>
    <row r="60" spans="1:14" ht="15" customHeight="1" x14ac:dyDescent="0.35">
      <c r="C60"/>
      <c r="D60" s="92"/>
      <c r="E60" s="5"/>
      <c r="H60" s="83" t="s">
        <v>198</v>
      </c>
      <c r="I60" s="90">
        <f>hsrp2intk!B55</f>
        <v>1</v>
      </c>
      <c r="K60" s="99">
        <v>2</v>
      </c>
      <c r="L60" s="86"/>
      <c r="M60" s="85" t="s">
        <v>276</v>
      </c>
      <c r="N60" s="131" t="s">
        <v>241</v>
      </c>
    </row>
    <row r="61" spans="1:14" ht="15" customHeight="1" x14ac:dyDescent="0.3">
      <c r="C61"/>
      <c r="D61" s="92"/>
      <c r="E61" s="5"/>
      <c r="H61" s="83" t="s">
        <v>397</v>
      </c>
      <c r="I61" s="93">
        <f>hsrp2intk!B67</f>
        <v>89.136376840491153</v>
      </c>
      <c r="J61" t="s">
        <v>40</v>
      </c>
      <c r="K61" s="99">
        <v>2</v>
      </c>
      <c r="L61" s="98"/>
      <c r="M61" s="95" t="s">
        <v>398</v>
      </c>
    </row>
    <row r="62" spans="1:14" ht="15" customHeight="1" x14ac:dyDescent="0.3">
      <c r="H62" s="83" t="s">
        <v>199</v>
      </c>
      <c r="I62" s="90">
        <f>IF(B23=0,0,ROUND(hsrp2intk!B71*B21*B22,-3))</f>
        <v>0</v>
      </c>
      <c r="J62" s="151" t="s">
        <v>263</v>
      </c>
      <c r="K62" s="99">
        <v>2</v>
      </c>
      <c r="L62" s="86"/>
      <c r="M62" s="85" t="s">
        <v>275</v>
      </c>
    </row>
    <row r="63" spans="1:14" ht="15" customHeight="1" x14ac:dyDescent="0.3">
      <c r="H63" s="83" t="s">
        <v>200</v>
      </c>
      <c r="I63" s="90">
        <f>hsrp2intk!B74</f>
        <v>1</v>
      </c>
      <c r="K63" s="99">
        <v>2</v>
      </c>
      <c r="L63" s="86"/>
      <c r="M63" s="85" t="s">
        <v>283</v>
      </c>
    </row>
    <row r="64" spans="1:14" ht="15" customHeight="1" x14ac:dyDescent="0.3">
      <c r="H64" s="83" t="s">
        <v>399</v>
      </c>
      <c r="I64" s="93">
        <f>hsrp2intk!B88</f>
        <v>55.641026301134175</v>
      </c>
      <c r="J64" t="s">
        <v>40</v>
      </c>
      <c r="K64" s="99">
        <v>2</v>
      </c>
      <c r="L64" s="98"/>
      <c r="M64" s="95" t="s">
        <v>400</v>
      </c>
    </row>
    <row r="65" spans="8:13" ht="15" customHeight="1" x14ac:dyDescent="0.3">
      <c r="H65" s="83" t="s">
        <v>201</v>
      </c>
      <c r="I65" s="90">
        <f>IF(B23=0,0,ROUND(hsrp2intk!B93*B21*B22,-3))</f>
        <v>0</v>
      </c>
      <c r="J65" s="151" t="s">
        <v>263</v>
      </c>
      <c r="K65" s="99">
        <v>2</v>
      </c>
      <c r="L65" s="86"/>
      <c r="M65" s="85" t="s">
        <v>282</v>
      </c>
    </row>
    <row r="66" spans="8:13" ht="15" customHeight="1" x14ac:dyDescent="0.3">
      <c r="H66" s="83" t="s">
        <v>401</v>
      </c>
      <c r="I66" s="93">
        <f>hsrp2intk!B101+hsrp2intk!B102</f>
        <v>81.731799259333286</v>
      </c>
      <c r="J66" t="s">
        <v>40</v>
      </c>
      <c r="K66" s="99">
        <v>2</v>
      </c>
      <c r="L66" s="98"/>
      <c r="M66" s="95" t="s">
        <v>402</v>
      </c>
    </row>
    <row r="67" spans="8:13" ht="15" customHeight="1" x14ac:dyDescent="0.3">
      <c r="H67" s="83" t="s">
        <v>202</v>
      </c>
      <c r="I67" s="90">
        <f>IF(B23=0,0,ROUND(hsrp2intk!B106*B21*B22,-3))</f>
        <v>0</v>
      </c>
      <c r="J67" s="151" t="s">
        <v>263</v>
      </c>
      <c r="K67" s="99">
        <v>2</v>
      </c>
      <c r="L67" s="86"/>
      <c r="M67" s="85" t="s">
        <v>273</v>
      </c>
    </row>
    <row r="68" spans="8:13" ht="15" customHeight="1" x14ac:dyDescent="0.3">
      <c r="H68" s="83" t="s">
        <v>403</v>
      </c>
      <c r="I68" s="93">
        <f>hsrp2intk!B126</f>
        <v>12.070109998044318</v>
      </c>
      <c r="J68" t="s">
        <v>40</v>
      </c>
      <c r="K68" s="99">
        <v>2</v>
      </c>
      <c r="L68" s="98"/>
      <c r="M68" s="95" t="s">
        <v>404</v>
      </c>
    </row>
    <row r="69" spans="8:13" ht="15" customHeight="1" x14ac:dyDescent="0.3">
      <c r="H69" s="83" t="s">
        <v>203</v>
      </c>
      <c r="I69" s="90">
        <f>IF(B23=0,0,ROUND(hsrp2intk!B128*B21*B22,-3))</f>
        <v>0</v>
      </c>
      <c r="J69" s="151" t="s">
        <v>263</v>
      </c>
      <c r="K69" s="99">
        <v>2</v>
      </c>
      <c r="L69" s="86"/>
      <c r="M69" s="85" t="s">
        <v>280</v>
      </c>
    </row>
    <row r="70" spans="8:13" ht="15" customHeight="1" x14ac:dyDescent="0.3">
      <c r="H70" s="83" t="s">
        <v>405</v>
      </c>
      <c r="I70" s="93">
        <f>(hsrp2intk!B66+hsrp2intk!B87+hsrp2intk!B125)*iohsrp2!I60</f>
        <v>47.840403516376647</v>
      </c>
      <c r="J70" t="s">
        <v>40</v>
      </c>
      <c r="K70" s="99">
        <v>2</v>
      </c>
      <c r="L70" s="98"/>
      <c r="M70" s="95" t="s">
        <v>406</v>
      </c>
    </row>
    <row r="71" spans="8:13" ht="15" customHeight="1" x14ac:dyDescent="0.3">
      <c r="H71" s="83" t="s">
        <v>204</v>
      </c>
      <c r="I71" s="90">
        <f>IF(B23=0,0,ROUND(hsrp2intk!$B$52*B21*B22,-3))</f>
        <v>0</v>
      </c>
      <c r="J71" s="151" t="s">
        <v>263</v>
      </c>
      <c r="K71" s="99">
        <v>2</v>
      </c>
      <c r="L71" s="86"/>
      <c r="M71" s="85" t="s">
        <v>274</v>
      </c>
    </row>
    <row r="72" spans="8:13" ht="15" customHeight="1" x14ac:dyDescent="0.3">
      <c r="H72" s="83" t="s">
        <v>205</v>
      </c>
      <c r="I72" s="90"/>
      <c r="J72" s="81" t="s">
        <v>40</v>
      </c>
      <c r="K72" s="99">
        <v>2</v>
      </c>
      <c r="L72" s="236"/>
      <c r="M72" s="85" t="s">
        <v>297</v>
      </c>
    </row>
    <row r="73" spans="8:13" ht="15" customHeight="1" x14ac:dyDescent="0.3">
      <c r="H73" s="83" t="s">
        <v>206</v>
      </c>
      <c r="I73" s="90">
        <f>hsrp2tunl!N109+hsrp2tunl!N139</f>
        <v>1748.5134078283616</v>
      </c>
      <c r="J73" s="81" t="s">
        <v>40</v>
      </c>
      <c r="K73" s="99">
        <v>2</v>
      </c>
      <c r="L73" s="86"/>
      <c r="M73" s="85" t="s">
        <v>291</v>
      </c>
    </row>
    <row r="74" spans="8:13" ht="15" customHeight="1" x14ac:dyDescent="0.3">
      <c r="H74" s="83" t="s">
        <v>207</v>
      </c>
      <c r="I74" s="90">
        <f>hsrp2pwh!G100</f>
        <v>10</v>
      </c>
      <c r="J74" s="487"/>
      <c r="K74" s="99">
        <v>2</v>
      </c>
      <c r="L74" s="234"/>
      <c r="M74" s="85" t="s">
        <v>345</v>
      </c>
    </row>
    <row r="75" spans="8:13" ht="15" customHeight="1" x14ac:dyDescent="0.3">
      <c r="H75" s="83" t="s">
        <v>407</v>
      </c>
      <c r="I75" s="93">
        <f>hsrp2pwh!O348</f>
        <v>952.36096895011644</v>
      </c>
      <c r="J75" s="469" t="s">
        <v>40</v>
      </c>
      <c r="K75" s="99">
        <v>2</v>
      </c>
      <c r="L75" s="98"/>
      <c r="M75" s="95" t="s">
        <v>408</v>
      </c>
    </row>
    <row r="76" spans="8:13" ht="15" customHeight="1" x14ac:dyDescent="0.3">
      <c r="H76" s="83" t="s">
        <v>208</v>
      </c>
      <c r="I76" s="90">
        <f>IF(B23=0,0,ROUND(hsrp2pwh!F345*B21*B22,-4))</f>
        <v>0</v>
      </c>
      <c r="J76" s="487" t="s">
        <v>263</v>
      </c>
      <c r="K76" s="99">
        <v>2</v>
      </c>
      <c r="L76" s="86"/>
      <c r="M76" s="85" t="s">
        <v>341</v>
      </c>
    </row>
    <row r="77" spans="8:13" ht="15" customHeight="1" x14ac:dyDescent="0.3">
      <c r="H77" s="83" t="s">
        <v>209</v>
      </c>
      <c r="I77" s="90">
        <f>hsrp2pwh!G100</f>
        <v>10</v>
      </c>
      <c r="J77" s="487"/>
      <c r="K77" s="99">
        <v>2</v>
      </c>
      <c r="L77" s="234"/>
      <c r="M77" s="85" t="s">
        <v>328</v>
      </c>
    </row>
    <row r="78" spans="8:13" ht="15" customHeight="1" x14ac:dyDescent="0.3">
      <c r="H78" s="83" t="s">
        <v>409</v>
      </c>
      <c r="I78" s="93">
        <f>hsrp2pwh!O359</f>
        <v>376.65797456023233</v>
      </c>
      <c r="J78" s="469" t="s">
        <v>40</v>
      </c>
      <c r="K78" s="99">
        <v>2</v>
      </c>
      <c r="L78" s="98"/>
      <c r="M78" s="95" t="s">
        <v>410</v>
      </c>
    </row>
    <row r="79" spans="8:13" ht="15" customHeight="1" x14ac:dyDescent="0.3">
      <c r="H79" s="83" t="s">
        <v>210</v>
      </c>
      <c r="I79" s="90">
        <f>IF(B23=0,0,ROUND(hsrp2pwh!F375*B21*B22,-4))</f>
        <v>0</v>
      </c>
      <c r="J79" s="487" t="s">
        <v>263</v>
      </c>
      <c r="K79" s="99">
        <v>2</v>
      </c>
      <c r="L79" s="86"/>
      <c r="M79" s="85" t="s">
        <v>327</v>
      </c>
    </row>
    <row r="80" spans="8:13" ht="15" customHeight="1" x14ac:dyDescent="0.3">
      <c r="H80" s="83" t="s">
        <v>211</v>
      </c>
      <c r="I80" s="90">
        <v>0</v>
      </c>
      <c r="J80" s="487"/>
      <c r="K80" s="99">
        <v>2</v>
      </c>
      <c r="L80" s="234"/>
      <c r="M80" s="85" t="s">
        <v>326</v>
      </c>
    </row>
    <row r="81" spans="8:13" ht="15" customHeight="1" x14ac:dyDescent="0.3">
      <c r="H81" s="83" t="s">
        <v>411</v>
      </c>
      <c r="I81" s="93">
        <v>0</v>
      </c>
      <c r="J81" s="469" t="s">
        <v>40</v>
      </c>
      <c r="K81" s="99">
        <v>2</v>
      </c>
      <c r="L81" s="98"/>
      <c r="M81" s="95" t="s">
        <v>412</v>
      </c>
    </row>
    <row r="82" spans="8:13" ht="15" customHeight="1" x14ac:dyDescent="0.3">
      <c r="H82" s="83" t="s">
        <v>212</v>
      </c>
      <c r="I82" s="90">
        <v>0</v>
      </c>
      <c r="J82" s="487" t="s">
        <v>263</v>
      </c>
      <c r="K82" s="99">
        <v>2</v>
      </c>
      <c r="L82" s="86"/>
      <c r="M82" s="85" t="s">
        <v>325</v>
      </c>
    </row>
    <row r="83" spans="8:13" ht="15" customHeight="1" x14ac:dyDescent="0.3">
      <c r="H83" s="83" t="s">
        <v>413</v>
      </c>
      <c r="I83" s="93">
        <f>hsrp2pwh!X413</f>
        <v>133.03059505602837</v>
      </c>
      <c r="J83" s="469" t="s">
        <v>40</v>
      </c>
      <c r="K83" s="99">
        <v>2</v>
      </c>
      <c r="L83" s="98"/>
      <c r="M83" s="95" t="s">
        <v>414</v>
      </c>
    </row>
    <row r="84" spans="8:13" ht="15" customHeight="1" x14ac:dyDescent="0.3">
      <c r="H84" s="83" t="s">
        <v>213</v>
      </c>
      <c r="I84" s="90">
        <f>IF(B23=0,0,ROUND(hsrp2pwh!F463*B21*B22,-4))</f>
        <v>0</v>
      </c>
      <c r="J84" s="487" t="s">
        <v>263</v>
      </c>
      <c r="K84" s="99">
        <v>2</v>
      </c>
      <c r="L84" s="86"/>
      <c r="M84" s="85" t="s">
        <v>333</v>
      </c>
    </row>
    <row r="85" spans="8:13" ht="15" customHeight="1" x14ac:dyDescent="0.3">
      <c r="H85" s="83" t="s">
        <v>415</v>
      </c>
      <c r="I85" s="93">
        <v>0</v>
      </c>
      <c r="J85" s="469" t="s">
        <v>40</v>
      </c>
      <c r="K85" s="99">
        <v>2</v>
      </c>
      <c r="L85" s="98"/>
      <c r="M85" s="95" t="s">
        <v>416</v>
      </c>
    </row>
    <row r="86" spans="8:13" ht="15" customHeight="1" x14ac:dyDescent="0.3">
      <c r="H86" s="83" t="s">
        <v>214</v>
      </c>
      <c r="I86" s="90">
        <v>0</v>
      </c>
      <c r="J86" s="487" t="s">
        <v>263</v>
      </c>
      <c r="K86" s="99">
        <v>2</v>
      </c>
      <c r="L86" s="86"/>
      <c r="M86" s="85" t="s">
        <v>324</v>
      </c>
    </row>
    <row r="87" spans="8:13" ht="15" customHeight="1" x14ac:dyDescent="0.3">
      <c r="H87" s="83" t="s">
        <v>417</v>
      </c>
      <c r="I87" s="93">
        <v>0</v>
      </c>
      <c r="J87" s="469" t="s">
        <v>40</v>
      </c>
      <c r="K87" s="99">
        <v>2</v>
      </c>
      <c r="L87" s="98"/>
      <c r="M87" s="95" t="s">
        <v>418</v>
      </c>
    </row>
    <row r="88" spans="8:13" ht="15" customHeight="1" x14ac:dyDescent="0.3">
      <c r="H88" s="83" t="s">
        <v>215</v>
      </c>
      <c r="I88" s="90">
        <v>0</v>
      </c>
      <c r="J88" s="487" t="s">
        <v>263</v>
      </c>
      <c r="K88" s="99">
        <v>2</v>
      </c>
      <c r="L88" s="86"/>
      <c r="M88" s="85" t="s">
        <v>320</v>
      </c>
    </row>
    <row r="89" spans="8:13" ht="15" customHeight="1" x14ac:dyDescent="0.3">
      <c r="H89" s="83" t="s">
        <v>216</v>
      </c>
      <c r="I89" s="90">
        <f>ROUND(hsrp2pwh!E317*B21*B22,-3)</f>
        <v>1334000</v>
      </c>
      <c r="J89" s="487" t="s">
        <v>263</v>
      </c>
      <c r="K89" s="99">
        <v>2</v>
      </c>
      <c r="L89" s="86"/>
      <c r="M89" s="85" t="s">
        <v>330</v>
      </c>
    </row>
    <row r="90" spans="8:13" ht="15" customHeight="1" x14ac:dyDescent="0.3">
      <c r="H90" s="83" t="s">
        <v>217</v>
      </c>
      <c r="I90" s="90">
        <f>ROUND(hsrp2pwh!D336*B21*B22,-4)</f>
        <v>4090000</v>
      </c>
      <c r="J90" s="487" t="s">
        <v>263</v>
      </c>
      <c r="K90" s="99">
        <v>2</v>
      </c>
      <c r="L90" s="86"/>
      <c r="M90" s="85" t="s">
        <v>329</v>
      </c>
    </row>
    <row r="91" spans="8:13" ht="15" customHeight="1" x14ac:dyDescent="0.3">
      <c r="H91" s="83" t="s">
        <v>1187</v>
      </c>
      <c r="I91" s="93">
        <f>I38</f>
        <v>10</v>
      </c>
      <c r="J91" s="474" t="s">
        <v>263</v>
      </c>
      <c r="K91" s="99">
        <v>2</v>
      </c>
      <c r="L91" s="12"/>
      <c r="M91" s="95" t="s">
        <v>1188</v>
      </c>
    </row>
    <row r="92" spans="8:13" ht="15" customHeight="1" x14ac:dyDescent="0.3">
      <c r="H92" s="83" t="s">
        <v>1189</v>
      </c>
      <c r="I92" s="93">
        <f>hsrp2tunl!O145</f>
        <v>464.77961086689322</v>
      </c>
      <c r="J92" s="469" t="s">
        <v>40</v>
      </c>
      <c r="K92" s="99">
        <v>1</v>
      </c>
      <c r="L92" s="12"/>
      <c r="M92" s="95" t="s">
        <v>1190</v>
      </c>
    </row>
    <row r="93" spans="8:13" ht="15" customHeight="1" x14ac:dyDescent="0.3">
      <c r="H93" s="83" t="s">
        <v>1191</v>
      </c>
      <c r="I93" s="93">
        <f>IF(B23=0,0,ROUND(hsrp2tunl!$O$146*B29*B30,-5))</f>
        <v>0</v>
      </c>
      <c r="J93" s="474" t="s">
        <v>263</v>
      </c>
      <c r="K93" s="99">
        <v>2</v>
      </c>
      <c r="L93" s="12"/>
      <c r="M93" s="95" t="s">
        <v>1192</v>
      </c>
    </row>
    <row r="94" spans="8:13" ht="15" customHeight="1" x14ac:dyDescent="0.35">
      <c r="H94" s="83" t="s">
        <v>151</v>
      </c>
      <c r="I94" s="89">
        <f>MAX(hsrp2tunl!F155:F156)</f>
        <v>2.6254890266311733E-3</v>
      </c>
      <c r="K94" s="99">
        <v>2</v>
      </c>
      <c r="L94" s="86" t="s">
        <v>225</v>
      </c>
      <c r="M94" s="85" t="s">
        <v>269</v>
      </c>
    </row>
    <row r="95" spans="8:13" ht="15" customHeight="1" x14ac:dyDescent="0.3">
      <c r="H95" s="83" t="s">
        <v>811</v>
      </c>
      <c r="I95" s="89">
        <f>MAX(hsrp2tunl!J155:J156)</f>
        <v>1.6448365661940053E-3</v>
      </c>
      <c r="J95" s="256"/>
      <c r="K95" s="99"/>
      <c r="L95" s="86"/>
      <c r="M95" s="135" t="s">
        <v>813</v>
      </c>
    </row>
    <row r="96" spans="8:13" ht="15" customHeight="1" x14ac:dyDescent="0.3">
      <c r="H96" s="83" t="s">
        <v>252</v>
      </c>
      <c r="I96" s="93">
        <f>hsrp2pwh!H296</f>
        <v>77619.429252107249</v>
      </c>
      <c r="J96" s="469" t="s">
        <v>37</v>
      </c>
      <c r="K96" s="99">
        <v>2</v>
      </c>
      <c r="L96" s="237"/>
      <c r="M96" s="85" t="s">
        <v>334</v>
      </c>
    </row>
    <row r="97" spans="6:13" ht="15" customHeight="1" x14ac:dyDescent="0.3">
      <c r="H97" s="122" t="s">
        <v>622</v>
      </c>
      <c r="I97" s="93">
        <f>hsrp2pwh!O298</f>
        <v>2588.6425396321856</v>
      </c>
      <c r="J97" s="469" t="s">
        <v>37</v>
      </c>
      <c r="K97" s="99"/>
      <c r="L97" s="98"/>
      <c r="M97" s="95" t="s">
        <v>626</v>
      </c>
    </row>
    <row r="98" spans="6:13" ht="15" customHeight="1" x14ac:dyDescent="0.3">
      <c r="H98" s="83" t="s">
        <v>734</v>
      </c>
      <c r="I98" s="93">
        <f>hsrp2pwh!$F$251</f>
        <v>305536.19084073772</v>
      </c>
      <c r="J98" s="469" t="s">
        <v>37</v>
      </c>
      <c r="K98" s="99"/>
      <c r="L98" s="237"/>
      <c r="M98" s="95" t="s">
        <v>735</v>
      </c>
    </row>
    <row r="99" spans="6:13" ht="15" customHeight="1" x14ac:dyDescent="0.3">
      <c r="H99" s="122" t="s">
        <v>553</v>
      </c>
      <c r="I99" s="84">
        <f>hsrp2new!G20</f>
        <v>7.2629781152474955</v>
      </c>
      <c r="J99" s="81" t="s">
        <v>1</v>
      </c>
      <c r="K99" s="99">
        <v>2</v>
      </c>
      <c r="L99" s="98"/>
      <c r="M99" s="95" t="s">
        <v>627</v>
      </c>
    </row>
    <row r="100" spans="6:13" ht="15" customHeight="1" x14ac:dyDescent="0.3">
      <c r="F100" s="200"/>
      <c r="H100" s="122" t="s">
        <v>623</v>
      </c>
      <c r="I100" s="84">
        <f>hsrp2new!G5</f>
        <v>114.84882523426272</v>
      </c>
      <c r="J100" s="81" t="s">
        <v>1</v>
      </c>
      <c r="K100" s="99">
        <v>2</v>
      </c>
      <c r="L100" s="98"/>
      <c r="M100" s="95" t="s">
        <v>628</v>
      </c>
    </row>
    <row r="101" spans="6:13" ht="15" customHeight="1" x14ac:dyDescent="0.3">
      <c r="G101" s="256"/>
      <c r="H101" s="122" t="s">
        <v>554</v>
      </c>
      <c r="I101" s="84">
        <f>hsrp2new!G10</f>
        <v>614.83385279439733</v>
      </c>
      <c r="J101" s="81" t="s">
        <v>1</v>
      </c>
      <c r="K101" s="99">
        <v>2</v>
      </c>
      <c r="L101" s="98"/>
      <c r="M101" s="95" t="s">
        <v>601</v>
      </c>
    </row>
    <row r="102" spans="6:13" ht="15" customHeight="1" x14ac:dyDescent="0.3">
      <c r="F102" s="191"/>
      <c r="H102" s="122" t="s">
        <v>555</v>
      </c>
      <c r="I102" s="84">
        <f>hsrp2new!G9</f>
        <v>568.74412617131361</v>
      </c>
      <c r="J102" s="81" t="s">
        <v>1</v>
      </c>
      <c r="K102" s="99">
        <v>2</v>
      </c>
      <c r="L102" s="98"/>
      <c r="M102" s="95" t="s">
        <v>602</v>
      </c>
    </row>
    <row r="103" spans="6:13" ht="15" customHeight="1" x14ac:dyDescent="0.3">
      <c r="H103" s="122" t="s">
        <v>545</v>
      </c>
      <c r="I103" s="84">
        <f>hsrp2new!G47</f>
        <v>623.39096971085962</v>
      </c>
      <c r="J103" s="81" t="s">
        <v>1</v>
      </c>
      <c r="K103" s="99">
        <v>2</v>
      </c>
      <c r="L103" s="235"/>
      <c r="M103" s="95" t="s">
        <v>598</v>
      </c>
    </row>
    <row r="104" spans="6:13" ht="15" customHeight="1" x14ac:dyDescent="0.3">
      <c r="H104" s="122" t="s">
        <v>546</v>
      </c>
      <c r="I104" s="84">
        <f>hsrp2new!G48</f>
        <v>579.34849826795153</v>
      </c>
      <c r="J104" s="81" t="s">
        <v>1</v>
      </c>
      <c r="K104" s="99">
        <v>2</v>
      </c>
      <c r="L104" s="235"/>
      <c r="M104" s="95" t="s">
        <v>599</v>
      </c>
    </row>
    <row r="105" spans="6:13" ht="15" customHeight="1" x14ac:dyDescent="0.3">
      <c r="H105" s="122" t="s">
        <v>547</v>
      </c>
      <c r="I105" s="84">
        <f>hsrp2new!G45</f>
        <v>8.32</v>
      </c>
      <c r="J105" s="487" t="s">
        <v>1</v>
      </c>
      <c r="K105" s="99">
        <v>2</v>
      </c>
      <c r="L105" s="98"/>
      <c r="M105" s="95" t="s">
        <v>600</v>
      </c>
    </row>
    <row r="106" spans="6:13" ht="15" customHeight="1" x14ac:dyDescent="0.35">
      <c r="H106" s="122" t="s">
        <v>578</v>
      </c>
      <c r="I106" s="87">
        <f>hsrp2new!B27</f>
        <v>2</v>
      </c>
      <c r="K106" s="99">
        <v>2</v>
      </c>
      <c r="L106" s="234" t="s">
        <v>222</v>
      </c>
      <c r="M106" s="85" t="s">
        <v>558</v>
      </c>
    </row>
    <row r="107" spans="6:13" ht="15" customHeight="1" x14ac:dyDescent="0.35">
      <c r="H107" s="122" t="s">
        <v>579</v>
      </c>
      <c r="I107" s="84">
        <f>hsrp2new!B23</f>
        <v>6.1377966586884547</v>
      </c>
      <c r="J107" s="81" t="s">
        <v>1</v>
      </c>
      <c r="K107" s="99">
        <v>2</v>
      </c>
      <c r="L107" s="124" t="s">
        <v>223</v>
      </c>
      <c r="M107" s="85" t="s">
        <v>559</v>
      </c>
    </row>
    <row r="108" spans="6:13" ht="15" customHeight="1" x14ac:dyDescent="0.35">
      <c r="H108" s="122" t="s">
        <v>580</v>
      </c>
      <c r="I108" s="84">
        <f>hsrp2new!B24</f>
        <v>7.6722458233605675</v>
      </c>
      <c r="J108" s="81" t="s">
        <v>1</v>
      </c>
      <c r="K108" s="99">
        <v>2</v>
      </c>
      <c r="L108" s="124" t="s">
        <v>224</v>
      </c>
      <c r="M108" s="85" t="s">
        <v>560</v>
      </c>
    </row>
    <row r="109" spans="6:13" ht="15" customHeight="1" x14ac:dyDescent="0.35">
      <c r="H109" s="122" t="s">
        <v>581</v>
      </c>
      <c r="I109" s="84">
        <f>hsrp2new!B25</f>
        <v>568.74412617131361</v>
      </c>
      <c r="J109" s="81" t="s">
        <v>1</v>
      </c>
      <c r="K109" s="99">
        <v>2</v>
      </c>
      <c r="L109" s="124" t="s">
        <v>226</v>
      </c>
      <c r="M109" s="85" t="s">
        <v>561</v>
      </c>
    </row>
    <row r="110" spans="6:13" ht="15" customHeight="1" x14ac:dyDescent="0.35">
      <c r="H110" s="122" t="s">
        <v>582</v>
      </c>
      <c r="I110" s="84">
        <f>hsrp2new!B31</f>
        <v>21.13071198085229</v>
      </c>
      <c r="J110" s="81" t="s">
        <v>1</v>
      </c>
      <c r="K110" s="99">
        <v>2</v>
      </c>
      <c r="L110" s="124" t="s">
        <v>227</v>
      </c>
      <c r="M110" s="85" t="s">
        <v>562</v>
      </c>
    </row>
    <row r="111" spans="6:13" ht="15" customHeight="1" x14ac:dyDescent="0.35">
      <c r="H111" s="122" t="s">
        <v>583</v>
      </c>
      <c r="I111" s="84">
        <f>hsrp2new!B32</f>
        <v>15.151174765737279</v>
      </c>
      <c r="J111" s="81" t="s">
        <v>1</v>
      </c>
      <c r="K111" s="99">
        <v>2</v>
      </c>
      <c r="L111" s="124" t="s">
        <v>228</v>
      </c>
      <c r="M111" s="85" t="s">
        <v>563</v>
      </c>
    </row>
    <row r="112" spans="6:13" ht="15" customHeight="1" x14ac:dyDescent="0.35">
      <c r="H112" s="122" t="s">
        <v>584</v>
      </c>
      <c r="I112" s="94">
        <f>hsrp2new!B29</f>
        <v>55.75587382868639</v>
      </c>
      <c r="J112" t="s">
        <v>1</v>
      </c>
      <c r="K112" s="99">
        <v>2</v>
      </c>
      <c r="L112" s="98" t="s">
        <v>256</v>
      </c>
      <c r="M112" s="85" t="s">
        <v>564</v>
      </c>
    </row>
    <row r="113" spans="8:13" ht="15" customHeight="1" x14ac:dyDescent="0.35">
      <c r="H113" s="122" t="s">
        <v>585</v>
      </c>
      <c r="I113" s="94">
        <f>hsrp2new!B17</f>
        <v>3.5836280053258913</v>
      </c>
      <c r="J113" t="s">
        <v>1</v>
      </c>
      <c r="K113" s="99">
        <v>2</v>
      </c>
      <c r="L113" s="98" t="s">
        <v>258</v>
      </c>
      <c r="M113" s="85" t="s">
        <v>565</v>
      </c>
    </row>
    <row r="114" spans="8:13" ht="15" customHeight="1" x14ac:dyDescent="0.3">
      <c r="H114" s="122" t="s">
        <v>586</v>
      </c>
      <c r="I114" s="90">
        <f>hsrp2new!B54</f>
        <v>2</v>
      </c>
      <c r="K114" s="99">
        <v>2</v>
      </c>
      <c r="L114" s="234"/>
      <c r="M114" s="85" t="s">
        <v>566</v>
      </c>
    </row>
    <row r="115" spans="8:13" ht="15" customHeight="1" x14ac:dyDescent="0.3">
      <c r="H115" s="122" t="s">
        <v>587</v>
      </c>
      <c r="I115" s="93">
        <f>hsrp2new!B66</f>
        <v>60.582745579367263</v>
      </c>
      <c r="J115" t="s">
        <v>40</v>
      </c>
      <c r="K115" s="99">
        <v>2</v>
      </c>
      <c r="L115" s="98"/>
      <c r="M115" s="95" t="s">
        <v>567</v>
      </c>
    </row>
    <row r="116" spans="8:13" ht="15" customHeight="1" x14ac:dyDescent="0.3">
      <c r="H116" s="122" t="s">
        <v>588</v>
      </c>
      <c r="I116" s="90">
        <f>IF(B23=0,0,ROUND(hsrp2new!B70*B21*B22,-3))</f>
        <v>0</v>
      </c>
      <c r="J116" s="151" t="s">
        <v>263</v>
      </c>
      <c r="K116" s="99">
        <v>2</v>
      </c>
      <c r="L116" s="86"/>
      <c r="M116" s="85" t="s">
        <v>568</v>
      </c>
    </row>
    <row r="117" spans="8:13" ht="15" customHeight="1" x14ac:dyDescent="0.3">
      <c r="H117" s="122" t="s">
        <v>589</v>
      </c>
      <c r="I117" s="90">
        <f>hsrp2new!B73</f>
        <v>1</v>
      </c>
      <c r="K117" s="99">
        <v>2</v>
      </c>
      <c r="L117" s="234"/>
      <c r="M117" s="85" t="s">
        <v>569</v>
      </c>
    </row>
    <row r="118" spans="8:13" ht="15" customHeight="1" x14ac:dyDescent="0.3">
      <c r="H118" s="122" t="s">
        <v>590</v>
      </c>
      <c r="I118" s="93">
        <f>hsrp2new!B87</f>
        <v>34.883944761071419</v>
      </c>
      <c r="J118" t="s">
        <v>40</v>
      </c>
      <c r="K118" s="99">
        <v>2</v>
      </c>
      <c r="L118" s="98"/>
      <c r="M118" s="95" t="s">
        <v>570</v>
      </c>
    </row>
    <row r="119" spans="8:13" ht="15" customHeight="1" x14ac:dyDescent="0.3">
      <c r="H119" s="122" t="s">
        <v>591</v>
      </c>
      <c r="I119" s="90">
        <f>IF(B23=0,0,ROUND(hsrp2new!B92*B21*B22,-3))</f>
        <v>0</v>
      </c>
      <c r="J119" s="151" t="s">
        <v>263</v>
      </c>
      <c r="K119" s="99">
        <v>2</v>
      </c>
      <c r="L119" s="86"/>
      <c r="M119" s="85" t="s">
        <v>571</v>
      </c>
    </row>
    <row r="120" spans="8:13" ht="15" customHeight="1" x14ac:dyDescent="0.3">
      <c r="H120" s="122" t="s">
        <v>592</v>
      </c>
      <c r="I120" s="93">
        <f>hsrp2new!B100+hsrp2new!B101</f>
        <v>14.590017785050179</v>
      </c>
      <c r="J120" t="s">
        <v>40</v>
      </c>
      <c r="K120" s="99">
        <v>2</v>
      </c>
      <c r="L120" s="98"/>
      <c r="M120" s="95" t="s">
        <v>572</v>
      </c>
    </row>
    <row r="121" spans="8:13" ht="15" customHeight="1" x14ac:dyDescent="0.3">
      <c r="H121" s="122" t="s">
        <v>593</v>
      </c>
      <c r="I121" s="90">
        <f>IF(B23=0,0,ROUND(hsrp2new!B105*B21*B22,-3))</f>
        <v>0</v>
      </c>
      <c r="J121" s="151" t="s">
        <v>263</v>
      </c>
      <c r="K121" s="99">
        <v>2</v>
      </c>
      <c r="L121" s="86"/>
      <c r="M121" s="85" t="s">
        <v>573</v>
      </c>
    </row>
    <row r="122" spans="8:13" ht="15" customHeight="1" x14ac:dyDescent="0.3">
      <c r="H122" s="122" t="s">
        <v>594</v>
      </c>
      <c r="I122" s="93">
        <f>hsrp2new!B113</f>
        <v>2</v>
      </c>
      <c r="J122" t="s">
        <v>40</v>
      </c>
      <c r="K122" s="99">
        <v>2</v>
      </c>
      <c r="L122" s="124"/>
      <c r="M122" s="95" t="s">
        <v>574</v>
      </c>
    </row>
    <row r="123" spans="8:13" ht="15" customHeight="1" x14ac:dyDescent="0.3">
      <c r="H123" s="122" t="s">
        <v>595</v>
      </c>
      <c r="I123" s="90">
        <f>IF(B23=0,0,ROUND(hsrp2new!B127*B21*B22,-3))</f>
        <v>0</v>
      </c>
      <c r="J123" s="151" t="s">
        <v>263</v>
      </c>
      <c r="K123" s="99">
        <v>2</v>
      </c>
      <c r="L123" s="86"/>
      <c r="M123" s="85" t="s">
        <v>575</v>
      </c>
    </row>
    <row r="124" spans="8:13" ht="15" customHeight="1" x14ac:dyDescent="0.3">
      <c r="H124" s="122" t="s">
        <v>596</v>
      </c>
      <c r="I124" s="93">
        <f>(hsrp2new!B65+hsrp2new!B82+hsrp2new!B112)*iohsrp2!I60</f>
        <v>67.929654621209892</v>
      </c>
      <c r="J124" t="s">
        <v>40</v>
      </c>
      <c r="K124" s="99">
        <v>2</v>
      </c>
      <c r="L124" s="98"/>
      <c r="M124" s="95" t="s">
        <v>576</v>
      </c>
    </row>
    <row r="125" spans="8:13" ht="15" customHeight="1" x14ac:dyDescent="0.3">
      <c r="H125" s="122" t="s">
        <v>597</v>
      </c>
      <c r="I125" s="90">
        <f>IF(B23=0,0,ROUND(hsrp2new!B51*B21*B22,-3))</f>
        <v>0</v>
      </c>
      <c r="J125" s="151" t="s">
        <v>263</v>
      </c>
      <c r="K125" s="99">
        <v>2</v>
      </c>
      <c r="L125" s="86"/>
      <c r="M125" s="85" t="s">
        <v>577</v>
      </c>
    </row>
    <row r="126" spans="8:13" ht="15" customHeight="1" x14ac:dyDescent="0.3">
      <c r="H126" s="83" t="s">
        <v>374</v>
      </c>
      <c r="I126" s="90">
        <f>IF(ABS(B17/I34-1)&gt;0.001,1,0)</f>
        <v>1</v>
      </c>
      <c r="J126" s="92"/>
      <c r="K126" s="114">
        <v>2</v>
      </c>
      <c r="L126" s="5"/>
      <c r="M126" s="85" t="s">
        <v>375</v>
      </c>
    </row>
    <row r="127" spans="8:13" ht="15" customHeight="1" x14ac:dyDescent="0.3">
      <c r="H127" s="83" t="s">
        <v>376</v>
      </c>
      <c r="I127" s="115" t="str">
        <f>VLOOKUP(1,L130:M132,2,FALSE)</f>
        <v/>
      </c>
      <c r="J127" s="92"/>
      <c r="K127" s="114">
        <v>2</v>
      </c>
      <c r="L127" s="5"/>
      <c r="M127" s="85" t="s">
        <v>377</v>
      </c>
    </row>
    <row r="129" spans="12:15" ht="15" customHeight="1" x14ac:dyDescent="0.3">
      <c r="L129" s="116" t="s">
        <v>381</v>
      </c>
      <c r="M129" s="116"/>
    </row>
    <row r="130" spans="12:15" ht="15" customHeight="1" x14ac:dyDescent="0.3">
      <c r="L130" s="9" cm="1">
        <f t="array" ref="L130">IFERROR(MIN(ABS(I3:I126),0),1)</f>
        <v>0</v>
      </c>
      <c r="M130" t="s">
        <v>383</v>
      </c>
      <c r="O130" s="233"/>
    </row>
    <row r="131" spans="12:15" ht="15" customHeight="1" x14ac:dyDescent="0.3">
      <c r="L131" s="9">
        <f>IF(B18&gt;50,1,0)</f>
        <v>0</v>
      </c>
      <c r="M131" t="s">
        <v>382</v>
      </c>
      <c r="O131" s="233"/>
    </row>
    <row r="132" spans="12:15" ht="15" customHeight="1" x14ac:dyDescent="0.3">
      <c r="L132" s="117">
        <v>1</v>
      </c>
      <c r="M132" s="92" t="str">
        <f>""</f>
        <v/>
      </c>
      <c r="O132" s="233"/>
    </row>
  </sheetData>
  <phoneticPr fontId="5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2"/>
  <sheetViews>
    <sheetView zoomScaleNormal="100" workbookViewId="0">
      <selection activeCell="H73" sqref="H73"/>
    </sheetView>
  </sheetViews>
  <sheetFormatPr defaultRowHeight="14.4" x14ac:dyDescent="0.3"/>
  <cols>
    <col min="1" max="1" width="3.5546875" bestFit="1" customWidth="1"/>
    <col min="3" max="3" width="44.6640625" customWidth="1"/>
    <col min="4" max="4" width="47.6640625" customWidth="1"/>
    <col min="5" max="5" width="8" customWidth="1"/>
    <col min="6" max="6" width="6.88671875" customWidth="1"/>
    <col min="7" max="7" width="43" bestFit="1" customWidth="1"/>
    <col min="8" max="8" width="8.88671875" bestFit="1" customWidth="1"/>
    <col min="9" max="10" width="16.88671875" bestFit="1" customWidth="1"/>
    <col min="11" max="11" width="16.33203125" bestFit="1" customWidth="1"/>
  </cols>
  <sheetData>
    <row r="1" spans="1:11" x14ac:dyDescent="0.3">
      <c r="A1" s="1">
        <v>1</v>
      </c>
      <c r="B1" s="1" t="s">
        <v>13</v>
      </c>
      <c r="J1" s="499" t="s">
        <v>144</v>
      </c>
      <c r="K1" s="499"/>
    </row>
    <row r="2" spans="1:11" x14ac:dyDescent="0.3">
      <c r="A2" s="1"/>
      <c r="B2" s="1"/>
      <c r="I2" s="25" t="s">
        <v>143</v>
      </c>
      <c r="J2" s="25" t="s">
        <v>484</v>
      </c>
      <c r="K2" s="25" t="s">
        <v>485</v>
      </c>
    </row>
    <row r="3" spans="1:11" x14ac:dyDescent="0.3">
      <c r="B3" s="1" t="s">
        <v>53</v>
      </c>
      <c r="H3" s="126"/>
      <c r="I3" s="26" t="s">
        <v>145</v>
      </c>
      <c r="J3" s="26">
        <f>iohsrp2!B32</f>
        <v>2</v>
      </c>
      <c r="K3" s="26">
        <f>iohsrp2!B43</f>
        <v>5</v>
      </c>
    </row>
    <row r="4" spans="1:11" x14ac:dyDescent="0.3">
      <c r="H4" s="126"/>
      <c r="I4" s="26"/>
      <c r="J4" s="26"/>
      <c r="K4" s="26"/>
    </row>
    <row r="5" spans="1:11" ht="15.6" x14ac:dyDescent="0.35">
      <c r="A5" s="119"/>
      <c r="B5" t="s">
        <v>639</v>
      </c>
      <c r="C5" t="s">
        <v>431</v>
      </c>
      <c r="D5" s="192">
        <f>iohsrp2!B26</f>
        <v>2120</v>
      </c>
      <c r="H5" s="126"/>
      <c r="I5" s="26" t="s">
        <v>146</v>
      </c>
      <c r="J5" s="26">
        <f>iohsrp2!B33</f>
        <v>3</v>
      </c>
      <c r="K5" s="26">
        <f>iohsrp2!B44</f>
        <v>6</v>
      </c>
    </row>
    <row r="6" spans="1:11" ht="15.6" x14ac:dyDescent="0.35">
      <c r="A6" s="119"/>
      <c r="B6" t="s">
        <v>640</v>
      </c>
      <c r="C6" t="s">
        <v>432</v>
      </c>
      <c r="D6" s="192">
        <f>iohsrp2!B27</f>
        <v>2080</v>
      </c>
    </row>
    <row r="7" spans="1:11" ht="15.6" x14ac:dyDescent="0.35">
      <c r="A7" s="119"/>
      <c r="B7" t="s">
        <v>641</v>
      </c>
      <c r="C7" t="s">
        <v>433</v>
      </c>
      <c r="D7" s="192">
        <f>iohsrp2!B37</f>
        <v>620</v>
      </c>
    </row>
    <row r="8" spans="1:11" ht="15.6" x14ac:dyDescent="0.35">
      <c r="A8" s="119"/>
      <c r="B8" t="s">
        <v>642</v>
      </c>
      <c r="C8" t="s">
        <v>434</v>
      </c>
      <c r="D8" s="192">
        <f>iohsrp2!B38</f>
        <v>580</v>
      </c>
    </row>
    <row r="9" spans="1:11" x14ac:dyDescent="0.3">
      <c r="B9" t="s">
        <v>60</v>
      </c>
      <c r="C9" t="s">
        <v>647</v>
      </c>
      <c r="D9" s="23">
        <f>3/4*iohsrp2!B9</f>
        <v>1500</v>
      </c>
      <c r="E9" s="5" t="s">
        <v>648</v>
      </c>
    </row>
    <row r="10" spans="1:11" x14ac:dyDescent="0.3">
      <c r="C10" t="s">
        <v>790</v>
      </c>
      <c r="D10" s="23">
        <f>SUM(iohsrp2!B10:B11)</f>
        <v>1500</v>
      </c>
      <c r="E10" s="5" t="s">
        <v>792</v>
      </c>
      <c r="H10" s="238"/>
    </row>
    <row r="12" spans="1:11" x14ac:dyDescent="0.3">
      <c r="B12" t="s">
        <v>65</v>
      </c>
      <c r="C12" t="s">
        <v>72</v>
      </c>
      <c r="D12" s="2">
        <f>iohsrp2!B4</f>
        <v>1200</v>
      </c>
    </row>
    <row r="13" spans="1:11" ht="15.6" x14ac:dyDescent="0.35">
      <c r="B13" t="s">
        <v>659</v>
      </c>
      <c r="C13" t="s">
        <v>70</v>
      </c>
      <c r="D13" s="24">
        <f>iohsrp2!B5</f>
        <v>0.05</v>
      </c>
      <c r="E13" s="5"/>
    </row>
    <row r="14" spans="1:11" ht="15.6" x14ac:dyDescent="0.35">
      <c r="A14" s="119"/>
      <c r="B14" t="s">
        <v>658</v>
      </c>
      <c r="C14" t="s">
        <v>71</v>
      </c>
      <c r="D14" s="17">
        <f>(D5+D6)/2-(D7+D8)/2</f>
        <v>1500</v>
      </c>
      <c r="E14" s="5" t="s">
        <v>644</v>
      </c>
    </row>
    <row r="15" spans="1:11" ht="15.6" x14ac:dyDescent="0.35">
      <c r="B15" t="s">
        <v>643</v>
      </c>
      <c r="C15" t="s">
        <v>54</v>
      </c>
      <c r="D15" s="17">
        <f>D12/(9.81*0.92*0.97*(1-D13)*D14)*1000</f>
        <v>96.191747089580389</v>
      </c>
      <c r="E15" s="5" t="s">
        <v>662</v>
      </c>
    </row>
    <row r="16" spans="1:11" x14ac:dyDescent="0.3">
      <c r="C16" t="s">
        <v>789</v>
      </c>
      <c r="D16" s="17">
        <f>IF(E38&lt;15,D15,IF(E38&lt;21,D15/3,D15/2))</f>
        <v>96.191747089580389</v>
      </c>
      <c r="E16" s="204"/>
    </row>
    <row r="17" spans="1:8" x14ac:dyDescent="0.3">
      <c r="D17" s="17"/>
    </row>
    <row r="18" spans="1:8" x14ac:dyDescent="0.3">
      <c r="A18" s="1"/>
      <c r="B18" s="1" t="s">
        <v>35</v>
      </c>
      <c r="D18" s="1" t="s">
        <v>107</v>
      </c>
    </row>
    <row r="19" spans="1:8" x14ac:dyDescent="0.3">
      <c r="A19" s="1"/>
      <c r="B19" t="s">
        <v>36</v>
      </c>
      <c r="D19" s="19" t="s">
        <v>103</v>
      </c>
      <c r="E19" s="19" t="s">
        <v>104</v>
      </c>
    </row>
    <row r="20" spans="1:8" x14ac:dyDescent="0.3">
      <c r="A20" s="1"/>
      <c r="B20" t="s">
        <v>78</v>
      </c>
    </row>
    <row r="21" spans="1:8" x14ac:dyDescent="0.3">
      <c r="A21" s="1"/>
      <c r="B21" t="s">
        <v>77</v>
      </c>
    </row>
    <row r="22" spans="1:8" x14ac:dyDescent="0.3">
      <c r="A22" s="1"/>
    </row>
    <row r="23" spans="1:8" x14ac:dyDescent="0.3">
      <c r="B23" s="1" t="s">
        <v>73</v>
      </c>
      <c r="D23" s="13"/>
    </row>
    <row r="24" spans="1:8" x14ac:dyDescent="0.3">
      <c r="B24" t="s">
        <v>105</v>
      </c>
    </row>
    <row r="25" spans="1:8" x14ac:dyDescent="0.3">
      <c r="B25" t="s">
        <v>69</v>
      </c>
      <c r="C25" s="21">
        <f>IF(D10=3/4*iohsrp2!B9,D9/D14,D10/D14)</f>
        <v>1</v>
      </c>
    </row>
    <row r="26" spans="1:8" x14ac:dyDescent="0.3">
      <c r="B26" s="4" t="s">
        <v>60</v>
      </c>
      <c r="C26" t="s">
        <v>108</v>
      </c>
    </row>
    <row r="27" spans="1:8" x14ac:dyDescent="0.3">
      <c r="B27" s="4" t="s">
        <v>66</v>
      </c>
      <c r="C27" t="s">
        <v>106</v>
      </c>
    </row>
    <row r="28" spans="1:8" x14ac:dyDescent="0.3">
      <c r="B28" s="22" t="s">
        <v>109</v>
      </c>
      <c r="C28" s="1" t="str">
        <f>IF(iohsrp2!B11=0,"circuito sem chamine",IF(AND(D12&gt;=100,hsrp2rout!C25&gt;6),"circuito com chamine",IF(AND(D12&lt;100,hsrp2rout!C25&gt;4),"circuito com chamine","circuito sem chamine")))</f>
        <v>circuito sem chamine</v>
      </c>
    </row>
    <row r="32" spans="1:8" x14ac:dyDescent="0.3">
      <c r="A32" s="1" t="s">
        <v>14</v>
      </c>
      <c r="B32" s="1" t="s">
        <v>93</v>
      </c>
      <c r="G32" s="498" t="s">
        <v>64</v>
      </c>
      <c r="H32" s="498"/>
    </row>
    <row r="33" spans="1:10" x14ac:dyDescent="0.3">
      <c r="F33" s="120" t="s">
        <v>436</v>
      </c>
    </row>
    <row r="34" spans="1:10" ht="15.6" x14ac:dyDescent="0.35">
      <c r="A34" s="119"/>
      <c r="B34" t="s">
        <v>629</v>
      </c>
      <c r="D34" s="6">
        <f>ROUNDUP(D5-E37+2*IF(E38=E39,E38,E39)+E40,0)</f>
        <v>2133</v>
      </c>
      <c r="E34" s="205" t="s">
        <v>1</v>
      </c>
      <c r="F34" s="5" t="s">
        <v>51</v>
      </c>
    </row>
    <row r="35" spans="1:10" x14ac:dyDescent="0.3">
      <c r="D35" s="6"/>
      <c r="F35" s="5" t="s">
        <v>110</v>
      </c>
    </row>
    <row r="36" spans="1:10" ht="15.6" x14ac:dyDescent="0.35">
      <c r="A36" s="119"/>
      <c r="B36" s="4" t="s">
        <v>630</v>
      </c>
      <c r="C36" t="s">
        <v>445</v>
      </c>
      <c r="J36" s="3"/>
    </row>
    <row r="37" spans="1:10" ht="16.8" x14ac:dyDescent="0.35">
      <c r="B37" s="4" t="s">
        <v>9</v>
      </c>
      <c r="C37" t="s">
        <v>10</v>
      </c>
      <c r="D37" t="s">
        <v>660</v>
      </c>
      <c r="E37" s="6">
        <f>0.8*1.76*IF(E38=E39,E38,E39)^0.5</f>
        <v>3.93851548517579</v>
      </c>
      <c r="F37" s="205" t="s">
        <v>1</v>
      </c>
      <c r="G37" s="5" t="s">
        <v>1179</v>
      </c>
      <c r="H37" s="14">
        <f>hsrp2intk!B18</f>
        <v>3.3760995609896951</v>
      </c>
      <c r="I37" s="5" t="s">
        <v>1</v>
      </c>
    </row>
    <row r="38" spans="1:10" ht="16.8" x14ac:dyDescent="0.35">
      <c r="B38" s="4" t="s">
        <v>651</v>
      </c>
      <c r="C38" t="s">
        <v>30</v>
      </c>
      <c r="D38" t="s">
        <v>663</v>
      </c>
      <c r="E38" s="6">
        <f>((D15/1.76)/0.8927)^0.5</f>
        <v>7.8245578365960169</v>
      </c>
      <c r="F38" t="s">
        <v>1</v>
      </c>
      <c r="G38" s="5" t="s">
        <v>1178</v>
      </c>
      <c r="H38" s="14">
        <f>hsrp2tunl!F38</f>
        <v>8.1887829776958778</v>
      </c>
      <c r="I38" s="5" t="s">
        <v>1</v>
      </c>
    </row>
    <row r="39" spans="1:10" x14ac:dyDescent="0.3">
      <c r="B39" s="4"/>
      <c r="E39" s="6">
        <f>((D16/1.76)/0.8927)^0.5</f>
        <v>7.8245578365960169</v>
      </c>
      <c r="F39" s="205" t="s">
        <v>1</v>
      </c>
      <c r="G39" s="5"/>
      <c r="H39" s="14"/>
      <c r="I39" s="5"/>
    </row>
    <row r="40" spans="1:10" ht="15.6" x14ac:dyDescent="0.35">
      <c r="A40" s="119"/>
      <c r="B40" s="4" t="s">
        <v>220</v>
      </c>
      <c r="C40" t="s">
        <v>11</v>
      </c>
      <c r="D40" t="s">
        <v>123</v>
      </c>
      <c r="E40" s="125">
        <f>IF(iohsrp2!B30=1,iohsrp2!B31,VLOOKUP(iohsrp2!B34,I3:K5,2,FALSE))</f>
        <v>1</v>
      </c>
      <c r="F40" t="s">
        <v>1</v>
      </c>
    </row>
    <row r="42" spans="1:10" x14ac:dyDescent="0.3">
      <c r="A42" s="1" t="s">
        <v>32</v>
      </c>
      <c r="B42" s="1" t="s">
        <v>94</v>
      </c>
      <c r="F42" s="120" t="s">
        <v>436</v>
      </c>
    </row>
    <row r="43" spans="1:10" x14ac:dyDescent="0.3">
      <c r="F43" s="5" t="s">
        <v>51</v>
      </c>
    </row>
    <row r="44" spans="1:10" ht="15.6" x14ac:dyDescent="0.35">
      <c r="B44" t="s">
        <v>649</v>
      </c>
      <c r="D44" s="6">
        <f>IF(C28="circuito com chamine",ROUNDUP(E46+E57+E58,0),0)</f>
        <v>0</v>
      </c>
      <c r="E44" t="s">
        <v>1</v>
      </c>
      <c r="F44" s="12" t="str">
        <f>IF(D44=0,"Definir traçado mais curto entre CN1 e CN2","Definir ponto de inflexão do traçado com elevação CN2")</f>
        <v>Definir traçado mais curto entre CN1 e CN2</v>
      </c>
    </row>
    <row r="46" spans="1:10" ht="15.6" x14ac:dyDescent="0.35">
      <c r="B46" s="4" t="s">
        <v>631</v>
      </c>
      <c r="C46" t="s">
        <v>56</v>
      </c>
      <c r="D46" t="s">
        <v>645</v>
      </c>
      <c r="E46" s="7">
        <f>D5-2/3*(E47+E48)+E49</f>
        <v>2343.5786736217915</v>
      </c>
      <c r="F46" t="s">
        <v>1</v>
      </c>
      <c r="G46" s="5" t="s">
        <v>1174</v>
      </c>
      <c r="H46" s="14">
        <f>hsrp2stnk!B24</f>
        <v>0</v>
      </c>
      <c r="I46" s="5" t="s">
        <v>1</v>
      </c>
      <c r="J46" s="5"/>
    </row>
    <row r="47" spans="1:10" ht="16.8" x14ac:dyDescent="0.35">
      <c r="B47" s="4" t="s">
        <v>636</v>
      </c>
      <c r="C47" t="s">
        <v>57</v>
      </c>
      <c r="D47" t="s">
        <v>124</v>
      </c>
      <c r="E47" s="6">
        <f>0.2*1.76^2/(2*9.81)</f>
        <v>3.1575942915392459E-2</v>
      </c>
      <c r="F47" t="s">
        <v>1</v>
      </c>
      <c r="G47" s="5" t="s">
        <v>1175</v>
      </c>
      <c r="H47" s="15">
        <f>hsrp2stnk!B9</f>
        <v>3.5940356893171488E-2</v>
      </c>
      <c r="I47" s="5" t="s">
        <v>1</v>
      </c>
      <c r="J47" s="5"/>
    </row>
    <row r="48" spans="1:10" ht="15.6" x14ac:dyDescent="0.35">
      <c r="B48" s="4" t="s">
        <v>637</v>
      </c>
      <c r="C48" t="s">
        <v>58</v>
      </c>
      <c r="D48" t="s">
        <v>757</v>
      </c>
      <c r="E48" s="125">
        <f>1/100*(((D5+D6)/2)-((D7+D8)/2))</f>
        <v>15</v>
      </c>
      <c r="F48" t="s">
        <v>1</v>
      </c>
      <c r="G48" s="5" t="s">
        <v>1176</v>
      </c>
      <c r="H48" s="15">
        <f>hsrp2stnk!B10</f>
        <v>0</v>
      </c>
      <c r="I48" s="5" t="s">
        <v>1</v>
      </c>
      <c r="J48" s="5"/>
    </row>
    <row r="49" spans="1:10" ht="15.6" x14ac:dyDescent="0.35">
      <c r="B49" s="4" t="s">
        <v>633</v>
      </c>
      <c r="C49" t="s">
        <v>59</v>
      </c>
      <c r="D49" s="2" t="s">
        <v>125</v>
      </c>
      <c r="E49" s="7">
        <f>2.2*((D9*E52)/(9.81*E53))^0.5</f>
        <v>233.59972425040201</v>
      </c>
      <c r="F49" t="s">
        <v>1</v>
      </c>
      <c r="G49" s="5" t="s">
        <v>1177</v>
      </c>
      <c r="H49" s="14">
        <f>hsrp2stnk!B23</f>
        <v>0</v>
      </c>
      <c r="I49" s="5" t="s">
        <v>1</v>
      </c>
      <c r="J49" s="5"/>
    </row>
    <row r="50" spans="1:10" x14ac:dyDescent="0.3">
      <c r="H50" s="14"/>
      <c r="I50" s="5"/>
      <c r="J50" s="5"/>
    </row>
    <row r="51" spans="1:10" x14ac:dyDescent="0.3">
      <c r="H51" s="14"/>
      <c r="I51" s="5"/>
      <c r="J51" s="5"/>
    </row>
    <row r="52" spans="1:10" ht="16.8" x14ac:dyDescent="0.35">
      <c r="B52" s="8" t="s">
        <v>634</v>
      </c>
      <c r="C52" t="s">
        <v>61</v>
      </c>
      <c r="D52" t="s">
        <v>635</v>
      </c>
      <c r="E52" s="6">
        <f>0.8927*IF(E38=E39,E38,E39)^2</f>
        <v>54.654401755443402</v>
      </c>
      <c r="F52" s="205" t="s">
        <v>38</v>
      </c>
      <c r="H52" s="14"/>
      <c r="I52" s="5"/>
      <c r="J52" s="5"/>
    </row>
    <row r="53" spans="1:10" ht="15.6" x14ac:dyDescent="0.35">
      <c r="B53" s="8" t="s">
        <v>632</v>
      </c>
      <c r="C53" t="s">
        <v>62</v>
      </c>
      <c r="E53" s="6">
        <f>1.25*1.76^2/(2*9.81)*(D9*E52)/((E55-E47-E48)*(E47+E48))</f>
        <v>0.74122166828142466</v>
      </c>
      <c r="F53" t="s">
        <v>38</v>
      </c>
      <c r="G53" s="5" t="s">
        <v>1173</v>
      </c>
      <c r="H53" s="14">
        <f>hsrp2stnk!B21</f>
        <v>0</v>
      </c>
      <c r="I53" s="5" t="s">
        <v>38</v>
      </c>
      <c r="J53" s="5"/>
    </row>
    <row r="54" spans="1:10" x14ac:dyDescent="0.3">
      <c r="H54" s="14"/>
      <c r="I54" s="5"/>
      <c r="J54" s="5"/>
    </row>
    <row r="55" spans="1:10" ht="15.6" x14ac:dyDescent="0.35">
      <c r="A55" s="119"/>
      <c r="B55" s="16" t="s">
        <v>638</v>
      </c>
      <c r="C55" t="s">
        <v>63</v>
      </c>
      <c r="D55" t="s">
        <v>664</v>
      </c>
      <c r="E55" s="6">
        <f>D6-(D7-E66)</f>
        <v>1467.1436200052804</v>
      </c>
      <c r="F55" t="s">
        <v>1</v>
      </c>
      <c r="G55" s="5" t="s">
        <v>1172</v>
      </c>
      <c r="H55" s="14">
        <f>hsrp2stnk!B13-hsrp2stnk!B14</f>
        <v>1459</v>
      </c>
      <c r="I55" s="5" t="s">
        <v>1</v>
      </c>
      <c r="J55" s="5"/>
    </row>
    <row r="56" spans="1:10" ht="15.6" x14ac:dyDescent="0.35">
      <c r="A56" s="119"/>
      <c r="B56" s="16"/>
      <c r="D56" t="s">
        <v>661</v>
      </c>
      <c r="H56" s="14"/>
      <c r="I56" s="5"/>
      <c r="J56" s="5"/>
    </row>
    <row r="57" spans="1:10" ht="15.6" x14ac:dyDescent="0.35">
      <c r="B57" s="4" t="s">
        <v>650</v>
      </c>
      <c r="C57" t="s">
        <v>55</v>
      </c>
      <c r="D57" t="s">
        <v>46</v>
      </c>
      <c r="E57">
        <v>2</v>
      </c>
      <c r="F57" t="s">
        <v>1</v>
      </c>
    </row>
    <row r="58" spans="1:10" ht="15.6" x14ac:dyDescent="0.35">
      <c r="A58" s="119"/>
      <c r="B58" s="4" t="s">
        <v>220</v>
      </c>
      <c r="C58" t="s">
        <v>11</v>
      </c>
      <c r="D58" t="s">
        <v>123</v>
      </c>
      <c r="E58" s="125">
        <f>iohsrp2!B3</f>
        <v>0.5</v>
      </c>
      <c r="F58" t="s">
        <v>1</v>
      </c>
    </row>
    <row r="60" spans="1:10" x14ac:dyDescent="0.3">
      <c r="A60" s="1" t="s">
        <v>47</v>
      </c>
      <c r="B60" s="1" t="s">
        <v>95</v>
      </c>
    </row>
    <row r="62" spans="1:10" ht="15.6" x14ac:dyDescent="0.35">
      <c r="B62" t="s">
        <v>653</v>
      </c>
      <c r="D62" s="6">
        <f>ROUNDUP(E65+5/2*E66+E67,0)</f>
        <v>582</v>
      </c>
      <c r="E62" t="s">
        <v>1</v>
      </c>
      <c r="F62" s="5" t="s">
        <v>51</v>
      </c>
    </row>
    <row r="63" spans="1:10" x14ac:dyDescent="0.3">
      <c r="C63" t="s">
        <v>759</v>
      </c>
      <c r="D63" s="125">
        <f>D8+E66+E67</f>
        <v>592.14362000528024</v>
      </c>
      <c r="F63" s="5"/>
    </row>
    <row r="64" spans="1:10" x14ac:dyDescent="0.3">
      <c r="G64" s="18"/>
      <c r="H64" s="18"/>
    </row>
    <row r="65" spans="1:10" ht="15.6" x14ac:dyDescent="0.35">
      <c r="B65" s="211" t="s">
        <v>48</v>
      </c>
      <c r="C65" s="126" t="s">
        <v>49</v>
      </c>
      <c r="D65" t="s">
        <v>793</v>
      </c>
      <c r="E65" s="125">
        <f>D8-(3*E66)</f>
        <v>558.56913998415916</v>
      </c>
      <c r="F65" t="s">
        <v>1</v>
      </c>
      <c r="G65" s="5" t="s">
        <v>1170</v>
      </c>
      <c r="H65" s="475">
        <f>hsrp2pwh!D185</f>
        <v>621</v>
      </c>
      <c r="I65" s="5" t="s">
        <v>1</v>
      </c>
      <c r="J65" s="5"/>
    </row>
    <row r="66" spans="1:10" ht="16.8" x14ac:dyDescent="0.35">
      <c r="A66" s="119"/>
      <c r="B66" s="4" t="s">
        <v>652</v>
      </c>
      <c r="C66" t="s">
        <v>435</v>
      </c>
      <c r="D66" t="s">
        <v>654</v>
      </c>
      <c r="E66" s="6">
        <f>IF(E38=E39,(4/PI()*D15/2.4)^0.5, (4/PI()*D16/2.4)^0.5)</f>
        <v>7.1436200052802725</v>
      </c>
      <c r="F66" s="205" t="s">
        <v>1</v>
      </c>
      <c r="G66" s="120" t="s">
        <v>5</v>
      </c>
      <c r="H66" s="5"/>
      <c r="I66" s="5"/>
    </row>
    <row r="67" spans="1:10" ht="15.6" x14ac:dyDescent="0.35">
      <c r="B67" s="4" t="s">
        <v>220</v>
      </c>
      <c r="C67" t="s">
        <v>11</v>
      </c>
      <c r="D67" t="s">
        <v>123</v>
      </c>
      <c r="E67" s="125">
        <f>IF(iohsrp2!B41=1,iohsrp2!B42,VLOOKUP(iohsrp2!B45,I3:K5,3,FALSE))</f>
        <v>5</v>
      </c>
      <c r="F67" t="s">
        <v>1</v>
      </c>
    </row>
    <row r="68" spans="1:10" x14ac:dyDescent="0.3">
      <c r="B68" s="4"/>
    </row>
    <row r="69" spans="1:10" x14ac:dyDescent="0.3">
      <c r="A69" t="s">
        <v>259</v>
      </c>
      <c r="B69" s="1" t="s">
        <v>760</v>
      </c>
    </row>
    <row r="71" spans="1:10" x14ac:dyDescent="0.3">
      <c r="C71" t="s">
        <v>260</v>
      </c>
      <c r="D71" t="s">
        <v>646</v>
      </c>
      <c r="E71" s="7">
        <f>2*(D14)</f>
        <v>3000</v>
      </c>
      <c r="F71" t="s">
        <v>1</v>
      </c>
      <c r="H71" s="27"/>
    </row>
    <row r="72" spans="1:10" ht="15.6" x14ac:dyDescent="0.35">
      <c r="A72" s="119"/>
      <c r="C72" t="s">
        <v>437</v>
      </c>
      <c r="D72" t="s">
        <v>710</v>
      </c>
      <c r="E72" s="144">
        <f>0.8*D14+D8-E66-E75/2+E58</f>
        <v>1769.8400093398404</v>
      </c>
      <c r="F72" t="s">
        <v>1</v>
      </c>
      <c r="H72" s="27"/>
    </row>
    <row r="73" spans="1:10" ht="15.6" x14ac:dyDescent="0.35">
      <c r="A73" s="119"/>
      <c r="C73" s="20" t="s">
        <v>438</v>
      </c>
      <c r="D73" s="20" t="s">
        <v>794</v>
      </c>
      <c r="E73" s="144">
        <f>D8+6*E66+E58</f>
        <v>623.36172003168167</v>
      </c>
      <c r="F73" t="s">
        <v>1</v>
      </c>
      <c r="G73" s="5" t="s">
        <v>1171</v>
      </c>
      <c r="H73" s="476">
        <f>2*(hsrp2pwh!D201+hsrp2pwh!D203+3.5)+D8</f>
        <v>605.10072074728021</v>
      </c>
      <c r="I73" s="5" t="s">
        <v>1</v>
      </c>
    </row>
    <row r="74" spans="1:10" x14ac:dyDescent="0.3">
      <c r="E74" s="7"/>
      <c r="G74" s="20" t="s">
        <v>439</v>
      </c>
      <c r="H74" s="27"/>
    </row>
    <row r="75" spans="1:10" ht="16.8" x14ac:dyDescent="0.35">
      <c r="B75" s="4" t="s">
        <v>657</v>
      </c>
      <c r="C75" t="s">
        <v>656</v>
      </c>
      <c r="D75" t="s">
        <v>655</v>
      </c>
      <c r="E75" s="6">
        <f>IF(E38=E39,1.2+(4/PI()*D15/3.6)^0.5, 1.2+(4/PI()*D16/3.6)^0.5)</f>
        <v>7.0327413097582463</v>
      </c>
      <c r="F75" s="205" t="s">
        <v>1</v>
      </c>
    </row>
    <row r="76" spans="1:10" x14ac:dyDescent="0.3">
      <c r="C76" s="5"/>
    </row>
    <row r="77" spans="1:10" x14ac:dyDescent="0.3">
      <c r="C77" s="5"/>
    </row>
    <row r="78" spans="1:10" x14ac:dyDescent="0.3">
      <c r="C78" s="5"/>
      <c r="D78" s="5"/>
    </row>
    <row r="79" spans="1:10" x14ac:dyDescent="0.3">
      <c r="C79" s="5"/>
      <c r="D79" s="5"/>
    </row>
    <row r="80" spans="1:10" x14ac:dyDescent="0.3">
      <c r="C80" s="5"/>
      <c r="D80" s="5"/>
    </row>
    <row r="81" spans="3:4" x14ac:dyDescent="0.3">
      <c r="C81" s="5"/>
      <c r="D81" s="5"/>
    </row>
    <row r="82" spans="3:4" x14ac:dyDescent="0.3">
      <c r="C82" s="5"/>
      <c r="D82" s="5"/>
    </row>
  </sheetData>
  <mergeCells count="2">
    <mergeCell ref="G32:H32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027" r:id="rId4">
          <objectPr defaultSize="0" autoLine="0" autoPict="0" r:id="rId5">
            <anchor moveWithCells="1">
              <from>
                <xdr:col>3</xdr:col>
                <xdr:colOff>1127760</xdr:colOff>
                <xdr:row>48</xdr:row>
                <xdr:rowOff>7620</xdr:rowOff>
              </from>
              <to>
                <xdr:col>3</xdr:col>
                <xdr:colOff>2651760</xdr:colOff>
                <xdr:row>49</xdr:row>
                <xdr:rowOff>160020</xdr:rowOff>
              </to>
            </anchor>
          </objectPr>
        </oleObject>
      </mc:Choice>
      <mc:Fallback>
        <oleObject progId="Equation.2" shapeId="1027" r:id="rId4"/>
      </mc:Fallback>
    </mc:AlternateContent>
    <mc:AlternateContent xmlns:mc="http://schemas.openxmlformats.org/markup-compatibility/2006">
      <mc:Choice Requires="x14">
        <oleObject progId="Equation.2" shapeId="1028" r:id="rId6">
          <objectPr defaultSize="0" autoLine="0" autoPict="0" r:id="rId7">
            <anchor moveWithCells="1">
              <from>
                <xdr:col>3</xdr:col>
                <xdr:colOff>0</xdr:colOff>
                <xdr:row>51</xdr:row>
                <xdr:rowOff>213360</xdr:rowOff>
              </from>
              <to>
                <xdr:col>3</xdr:col>
                <xdr:colOff>2613660</xdr:colOff>
                <xdr:row>53</xdr:row>
                <xdr:rowOff>121920</xdr:rowOff>
              </to>
            </anchor>
          </objectPr>
        </oleObject>
      </mc:Choice>
      <mc:Fallback>
        <oleObject progId="Equation.2" shapeId="1028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C6E1-7BAD-43BB-95EF-7A2BB8F40D73}">
  <dimension ref="A1:L133"/>
  <sheetViews>
    <sheetView workbookViewId="0">
      <selection activeCell="B8" sqref="B8"/>
    </sheetView>
  </sheetViews>
  <sheetFormatPr defaultColWidth="9.109375" defaultRowHeight="14.4" x14ac:dyDescent="0.3"/>
  <cols>
    <col min="1" max="1" width="65.5546875" style="92" bestFit="1" customWidth="1"/>
    <col min="2" max="2" width="12.6640625" style="156" bestFit="1" customWidth="1"/>
    <col min="3" max="3" width="2.6640625" style="92" customWidth="1"/>
    <col min="4" max="4" width="12.44140625" style="92" bestFit="1" customWidth="1"/>
    <col min="5" max="6" width="2.6640625" style="92" customWidth="1"/>
    <col min="7" max="16384" width="9.109375" style="92"/>
  </cols>
  <sheetData>
    <row r="1" spans="1:12" x14ac:dyDescent="0.3">
      <c r="A1" s="162" t="s">
        <v>528</v>
      </c>
    </row>
    <row r="3" spans="1:12" x14ac:dyDescent="0.3">
      <c r="A3" s="163" t="s">
        <v>442</v>
      </c>
    </row>
    <row r="5" spans="1:12" ht="15.6" x14ac:dyDescent="0.35">
      <c r="A5" s="157" t="s">
        <v>494</v>
      </c>
      <c r="B5" s="158">
        <f>iohsrp2!B26</f>
        <v>2120</v>
      </c>
      <c r="L5" s="92" t="s">
        <v>741</v>
      </c>
    </row>
    <row r="6" spans="1:12" ht="15.6" x14ac:dyDescent="0.35">
      <c r="A6" s="157" t="s">
        <v>495</v>
      </c>
      <c r="B6" s="158">
        <f>iohsrp2!B27</f>
        <v>2080</v>
      </c>
      <c r="L6" s="92" t="s">
        <v>743</v>
      </c>
    </row>
    <row r="7" spans="1:12" x14ac:dyDescent="0.3">
      <c r="A7" s="157" t="s">
        <v>515</v>
      </c>
      <c r="B7" s="158">
        <f>iohsrp2!B28</f>
        <v>2122</v>
      </c>
      <c r="L7" s="92" t="s">
        <v>742</v>
      </c>
    </row>
    <row r="8" spans="1:12" x14ac:dyDescent="0.3">
      <c r="A8" s="157" t="s">
        <v>514</v>
      </c>
      <c r="B8" s="158">
        <f>iohsrp2!B29</f>
        <v>4</v>
      </c>
    </row>
    <row r="9" spans="1:12" ht="15.6" x14ac:dyDescent="0.35">
      <c r="A9" s="157" t="s">
        <v>610</v>
      </c>
      <c r="B9" s="470">
        <f>hsrp2pwh!G100*hsrp2pwh!E128</f>
        <v>98.890438036443769</v>
      </c>
    </row>
    <row r="10" spans="1:12" x14ac:dyDescent="0.3">
      <c r="A10" s="157" t="s">
        <v>744</v>
      </c>
      <c r="B10" s="159">
        <f>hsrp2tunl!F36</f>
        <v>1</v>
      </c>
      <c r="D10" s="206"/>
    </row>
    <row r="11" spans="1:12" x14ac:dyDescent="0.3">
      <c r="A11" s="157" t="s">
        <v>497</v>
      </c>
      <c r="B11" s="158">
        <v>0.8</v>
      </c>
    </row>
    <row r="13" spans="1:12" x14ac:dyDescent="0.3">
      <c r="A13" s="163" t="s">
        <v>501</v>
      </c>
    </row>
    <row r="15" spans="1:12" x14ac:dyDescent="0.3">
      <c r="A15" s="208" t="s">
        <v>745</v>
      </c>
      <c r="B15" s="158">
        <f>B9/B10</f>
        <v>98.890438036443769</v>
      </c>
      <c r="D15" s="206"/>
    </row>
    <row r="16" spans="1:12" ht="15.6" x14ac:dyDescent="0.35">
      <c r="A16" s="157" t="s">
        <v>605</v>
      </c>
      <c r="B16" s="158">
        <f>hsrp2tunl!F38^2</f>
        <v>67.056166655801761</v>
      </c>
    </row>
    <row r="17" spans="1:4" ht="15.6" x14ac:dyDescent="0.35">
      <c r="A17" s="157" t="s">
        <v>611</v>
      </c>
      <c r="B17" s="158">
        <f>B15/B16</f>
        <v>1.4747404000000002</v>
      </c>
      <c r="D17" s="5" t="s">
        <v>752</v>
      </c>
    </row>
    <row r="18" spans="1:4" ht="16.8" x14ac:dyDescent="0.35">
      <c r="A18" s="157" t="s">
        <v>608</v>
      </c>
      <c r="B18" s="158">
        <f>B11*B17*hsrp2tunl!F38^0.5</f>
        <v>3.3760995609896951</v>
      </c>
    </row>
    <row r="19" spans="1:4" ht="15.6" x14ac:dyDescent="0.35">
      <c r="A19" s="157" t="s">
        <v>505</v>
      </c>
      <c r="B19" s="158">
        <f>B6-B18</f>
        <v>2076.6239004390104</v>
      </c>
    </row>
    <row r="20" spans="1:4" ht="16.8" x14ac:dyDescent="0.35">
      <c r="A20" s="208" t="s">
        <v>776</v>
      </c>
      <c r="B20" s="158">
        <f>0.2*B17^2/2/9.81</f>
        <v>2.2169819035597969E-2</v>
      </c>
    </row>
    <row r="22" spans="1:4" x14ac:dyDescent="0.3">
      <c r="A22" s="163" t="s">
        <v>503</v>
      </c>
    </row>
    <row r="24" spans="1:4" ht="15.6" x14ac:dyDescent="0.35">
      <c r="A24" s="157" t="s">
        <v>506</v>
      </c>
      <c r="B24" s="158">
        <f>(B16*0.8)^0.5</f>
        <v>7.3242701564484509</v>
      </c>
      <c r="D24" s="5" t="s">
        <v>746</v>
      </c>
    </row>
    <row r="25" spans="1:4" ht="15.6" x14ac:dyDescent="0.35">
      <c r="A25" s="157" t="s">
        <v>507</v>
      </c>
      <c r="B25" s="158">
        <f>(B16)/B24</f>
        <v>9.1553376955605632</v>
      </c>
      <c r="D25" s="5"/>
    </row>
    <row r="26" spans="1:4" ht="15.6" x14ac:dyDescent="0.35">
      <c r="A26" s="157" t="s">
        <v>498</v>
      </c>
      <c r="B26" s="158">
        <f>B19-B25</f>
        <v>2067.4685627434496</v>
      </c>
    </row>
    <row r="27" spans="1:4" x14ac:dyDescent="0.3">
      <c r="A27" s="209" t="s">
        <v>548</v>
      </c>
      <c r="B27" s="175">
        <v>5</v>
      </c>
    </row>
    <row r="28" spans="1:4" ht="15.6" x14ac:dyDescent="0.35">
      <c r="A28" s="157" t="s">
        <v>509</v>
      </c>
      <c r="B28" s="159">
        <f>TRUNC(B24/B27)+1</f>
        <v>2</v>
      </c>
      <c r="D28" s="5"/>
    </row>
    <row r="29" spans="1:4" x14ac:dyDescent="0.3">
      <c r="A29" s="5"/>
      <c r="B29" s="5"/>
      <c r="C29" s="5"/>
      <c r="D29" s="5"/>
    </row>
    <row r="30" spans="1:4" ht="15.6" x14ac:dyDescent="0.35">
      <c r="A30" s="157" t="s">
        <v>510</v>
      </c>
      <c r="B30" s="158">
        <f>B7-B26+2.5</f>
        <v>57.031437256550362</v>
      </c>
    </row>
    <row r="31" spans="1:4" ht="15.6" x14ac:dyDescent="0.35">
      <c r="A31" s="157" t="s">
        <v>511</v>
      </c>
      <c r="B31" s="158">
        <f>1.2*B24+1.2+(B28-1)*1</f>
        <v>10.98912418773814</v>
      </c>
    </row>
    <row r="32" spans="1:4" ht="15.6" x14ac:dyDescent="0.35">
      <c r="A32" s="157" t="s">
        <v>512</v>
      </c>
      <c r="B32" s="158">
        <f>B31+2*2</f>
        <v>14.98912418773814</v>
      </c>
    </row>
    <row r="33" spans="1:4" ht="15.6" x14ac:dyDescent="0.35">
      <c r="A33" s="157" t="s">
        <v>513</v>
      </c>
      <c r="B33" s="158">
        <f>0.2*B30+B8</f>
        <v>15.406287451310073</v>
      </c>
      <c r="D33" s="5"/>
    </row>
    <row r="35" spans="1:4" x14ac:dyDescent="0.3">
      <c r="A35" s="163" t="s">
        <v>606</v>
      </c>
      <c r="D35" s="5" t="s">
        <v>516</v>
      </c>
    </row>
    <row r="36" spans="1:4" x14ac:dyDescent="0.3">
      <c r="A36" s="103"/>
      <c r="D36" s="5"/>
    </row>
    <row r="37" spans="1:4" x14ac:dyDescent="0.3">
      <c r="A37" s="164" t="s">
        <v>607</v>
      </c>
      <c r="D37" s="5"/>
    </row>
    <row r="38" spans="1:4" x14ac:dyDescent="0.3">
      <c r="A38" s="103"/>
      <c r="D38" s="5"/>
    </row>
    <row r="39" spans="1:4" x14ac:dyDescent="0.3">
      <c r="A39" s="164" t="s">
        <v>384</v>
      </c>
      <c r="B39" s="165"/>
      <c r="D39" s="5"/>
    </row>
    <row r="40" spans="1:4" x14ac:dyDescent="0.3">
      <c r="A40" s="166" t="s">
        <v>452</v>
      </c>
      <c r="B40" s="167">
        <f>B5</f>
        <v>2120</v>
      </c>
      <c r="D40" s="5"/>
    </row>
    <row r="41" spans="1:4" x14ac:dyDescent="0.3">
      <c r="A41" s="166" t="s">
        <v>453</v>
      </c>
      <c r="B41" s="167"/>
      <c r="D41" s="5"/>
    </row>
    <row r="42" spans="1:4" x14ac:dyDescent="0.3">
      <c r="A42" s="166" t="s">
        <v>454</v>
      </c>
      <c r="B42" s="167">
        <f>B7</f>
        <v>2122</v>
      </c>
      <c r="D42" s="5"/>
    </row>
    <row r="43" spans="1:4" x14ac:dyDescent="0.3">
      <c r="A43" s="166" t="s">
        <v>455</v>
      </c>
      <c r="B43" s="167"/>
      <c r="D43" s="5"/>
    </row>
    <row r="44" spans="1:4" x14ac:dyDescent="0.3">
      <c r="A44" s="166" t="s">
        <v>456</v>
      </c>
      <c r="B44" s="167">
        <f>B26</f>
        <v>2067.4685627434496</v>
      </c>
      <c r="D44" s="5"/>
    </row>
    <row r="45" spans="1:4" x14ac:dyDescent="0.3">
      <c r="A45" s="164" t="s">
        <v>386</v>
      </c>
      <c r="B45" s="168"/>
      <c r="D45" s="5"/>
    </row>
    <row r="46" spans="1:4" ht="15.6" x14ac:dyDescent="0.35">
      <c r="A46" s="166" t="s">
        <v>716</v>
      </c>
      <c r="B46" s="167">
        <f>B24</f>
        <v>7.3242701564484509</v>
      </c>
      <c r="D46" s="5"/>
    </row>
    <row r="47" spans="1:4" ht="15.6" x14ac:dyDescent="0.35">
      <c r="A47" s="166" t="s">
        <v>715</v>
      </c>
      <c r="B47" s="167">
        <f>B25</f>
        <v>9.1553376955605632</v>
      </c>
      <c r="D47" s="5"/>
    </row>
    <row r="48" spans="1:4" x14ac:dyDescent="0.3">
      <c r="A48" s="5"/>
      <c r="B48" s="5"/>
      <c r="C48" s="5"/>
      <c r="D48" s="5"/>
    </row>
    <row r="49" spans="1:7" ht="16.8" x14ac:dyDescent="0.35">
      <c r="A49" s="164" t="s">
        <v>717</v>
      </c>
      <c r="B49" s="194">
        <f>B46^2*B47*(B40-B44)/1000</f>
        <v>25.800157727721334</v>
      </c>
      <c r="C49" s="5"/>
      <c r="D49" s="5"/>
    </row>
    <row r="50" spans="1:7" x14ac:dyDescent="0.3">
      <c r="A50" s="196"/>
      <c r="B50" s="197"/>
      <c r="C50" s="5"/>
      <c r="D50" s="5"/>
    </row>
    <row r="51" spans="1:7" x14ac:dyDescent="0.3">
      <c r="A51" s="164" t="s">
        <v>718</v>
      </c>
      <c r="B51" s="165"/>
      <c r="C51" s="5"/>
      <c r="D51" s="5"/>
    </row>
    <row r="52" spans="1:7" x14ac:dyDescent="0.3">
      <c r="A52" s="166" t="s">
        <v>723</v>
      </c>
      <c r="B52" s="199">
        <f>2*B28*(B30-1)*2084.8</f>
        <v>467257.3615698248</v>
      </c>
      <c r="D52" s="5"/>
    </row>
    <row r="53" spans="1:7" x14ac:dyDescent="0.3">
      <c r="A53" s="166"/>
      <c r="B53" s="198"/>
      <c r="D53" s="5"/>
    </row>
    <row r="54" spans="1:7" x14ac:dyDescent="0.3">
      <c r="A54" s="164" t="s">
        <v>536</v>
      </c>
      <c r="D54" s="5"/>
    </row>
    <row r="55" spans="1:7" x14ac:dyDescent="0.3">
      <c r="A55" s="164" t="s">
        <v>471</v>
      </c>
      <c r="B55" s="159">
        <f>B10</f>
        <v>1</v>
      </c>
      <c r="D55" s="5" t="s">
        <v>751</v>
      </c>
    </row>
    <row r="56" spans="1:7" x14ac:dyDescent="0.3">
      <c r="A56" s="164" t="s">
        <v>458</v>
      </c>
      <c r="B56" s="168"/>
      <c r="D56" s="5"/>
      <c r="F56" s="5"/>
      <c r="G56" s="5"/>
    </row>
    <row r="57" spans="1:7" x14ac:dyDescent="0.3">
      <c r="A57" s="166" t="s">
        <v>460</v>
      </c>
      <c r="B57" s="167"/>
      <c r="D57" s="5"/>
    </row>
    <row r="58" spans="1:7" x14ac:dyDescent="0.3">
      <c r="A58" s="166" t="s">
        <v>461</v>
      </c>
      <c r="B58" s="167">
        <f>((2*B60)+1)</f>
        <v>19.610675391121127</v>
      </c>
      <c r="D58" s="5"/>
    </row>
    <row r="59" spans="1:7" x14ac:dyDescent="0.3">
      <c r="A59" s="164" t="s">
        <v>462</v>
      </c>
      <c r="B59" s="168"/>
      <c r="D59" s="5"/>
    </row>
    <row r="60" spans="1:7" x14ac:dyDescent="0.3">
      <c r="A60" s="166" t="s">
        <v>538</v>
      </c>
      <c r="B60" s="167">
        <f>B47+0.15</f>
        <v>9.3053376955605636</v>
      </c>
      <c r="D60" s="5"/>
    </row>
    <row r="61" spans="1:7" x14ac:dyDescent="0.3">
      <c r="A61" s="166" t="s">
        <v>539</v>
      </c>
      <c r="B61" s="167"/>
      <c r="D61" s="5"/>
    </row>
    <row r="62" spans="1:7" x14ac:dyDescent="0.3">
      <c r="A62" s="166" t="s">
        <v>540</v>
      </c>
      <c r="B62" s="167">
        <f>B40-B44</f>
        <v>52.531437256550362</v>
      </c>
      <c r="D62" s="5"/>
    </row>
    <row r="63" spans="1:7" x14ac:dyDescent="0.3">
      <c r="A63" s="164" t="s">
        <v>463</v>
      </c>
      <c r="B63" s="168"/>
      <c r="D63" s="5"/>
    </row>
    <row r="64" spans="1:7" x14ac:dyDescent="0.3">
      <c r="A64" s="166" t="s">
        <v>541</v>
      </c>
      <c r="B64" s="167">
        <f>B46+0.6</f>
        <v>7.9242701564484506</v>
      </c>
      <c r="D64" s="5"/>
    </row>
    <row r="65" spans="1:4" x14ac:dyDescent="0.3">
      <c r="A65" s="164" t="s">
        <v>385</v>
      </c>
      <c r="B65" s="168"/>
      <c r="D65" s="5"/>
    </row>
    <row r="66" spans="1:4" x14ac:dyDescent="0.3">
      <c r="A66" s="166" t="s">
        <v>542</v>
      </c>
      <c r="B66" s="167">
        <f>((100*((2*B64)+(B58)))+(((B62)^2)*(B64^2)*B60*0.0125))/(1000)</f>
        <v>23.701685559984806</v>
      </c>
      <c r="D66" s="5"/>
    </row>
    <row r="67" spans="1:4" x14ac:dyDescent="0.3">
      <c r="A67" s="166" t="s">
        <v>543</v>
      </c>
      <c r="B67" s="167">
        <f>(((((B46)^2)*B60*(B62))^0.7)*0.1019*0.706)</f>
        <v>89.136376840491153</v>
      </c>
      <c r="D67" s="5"/>
    </row>
    <row r="68" spans="1:4" x14ac:dyDescent="0.3">
      <c r="A68" s="164" t="s">
        <v>718</v>
      </c>
      <c r="B68" s="165"/>
    </row>
    <row r="69" spans="1:4" x14ac:dyDescent="0.3">
      <c r="A69" s="166" t="s">
        <v>721</v>
      </c>
      <c r="B69" s="169">
        <f>ROUND(0.4999999+B49/125.39,0)</f>
        <v>1</v>
      </c>
      <c r="D69" s="127"/>
    </row>
    <row r="70" spans="1:4" ht="16.8" x14ac:dyDescent="0.35">
      <c r="A70" s="166" t="s">
        <v>719</v>
      </c>
      <c r="B70" s="194">
        <f>B49/B69</f>
        <v>25.800157727721334</v>
      </c>
      <c r="D70" s="127"/>
    </row>
    <row r="71" spans="1:4" x14ac:dyDescent="0.3">
      <c r="A71" s="166" t="s">
        <v>720</v>
      </c>
      <c r="B71" s="167">
        <f>IF(AND(B70&gt;=0,B70&lt;=125.39),(IF(B70&lt;=9.17,(-4.3986*B70^2+124.79*B70+110.2)*1000,(-0.128*B70^2+57.311*B70+369.83)*1000) ),"O parametro z esta fora da validade da curva.")*B69</f>
        <v>1763259.877770199</v>
      </c>
      <c r="D71" s="127"/>
    </row>
    <row r="72" spans="1:4" x14ac:dyDescent="0.3">
      <c r="D72" s="5"/>
    </row>
    <row r="73" spans="1:4" x14ac:dyDescent="0.3">
      <c r="A73" s="164" t="s">
        <v>451</v>
      </c>
      <c r="D73" s="5"/>
    </row>
    <row r="74" spans="1:4" x14ac:dyDescent="0.3">
      <c r="A74" s="164" t="s">
        <v>471</v>
      </c>
      <c r="B74" s="169">
        <f>B10</f>
        <v>1</v>
      </c>
      <c r="D74" s="5" t="s">
        <v>751</v>
      </c>
    </row>
    <row r="75" spans="1:4" x14ac:dyDescent="0.3">
      <c r="A75" s="164" t="s">
        <v>459</v>
      </c>
      <c r="B75" s="167">
        <v>2</v>
      </c>
      <c r="D75" s="5"/>
    </row>
    <row r="76" spans="1:4" x14ac:dyDescent="0.3">
      <c r="A76" s="164" t="s">
        <v>457</v>
      </c>
      <c r="B76" s="167">
        <f>TRUNC(B47/B75)+1</f>
        <v>5</v>
      </c>
      <c r="D76" s="5"/>
    </row>
    <row r="77" spans="1:4" x14ac:dyDescent="0.3">
      <c r="A77" s="164" t="s">
        <v>458</v>
      </c>
      <c r="B77" s="168"/>
      <c r="D77" s="5"/>
    </row>
    <row r="78" spans="1:4" x14ac:dyDescent="0.3">
      <c r="A78" s="166" t="s">
        <v>460</v>
      </c>
      <c r="B78" s="167"/>
      <c r="D78" s="5"/>
    </row>
    <row r="79" spans="1:4" x14ac:dyDescent="0.3">
      <c r="A79" s="166" t="s">
        <v>461</v>
      </c>
      <c r="B79" s="167">
        <f>B42-B44-1.5</f>
        <v>53.031437256550362</v>
      </c>
      <c r="D79" s="5"/>
    </row>
    <row r="80" spans="1:4" x14ac:dyDescent="0.3">
      <c r="A80" s="164" t="s">
        <v>462</v>
      </c>
      <c r="B80" s="168"/>
      <c r="D80" s="5"/>
    </row>
    <row r="81" spans="1:11" x14ac:dyDescent="0.3">
      <c r="A81" s="166" t="s">
        <v>538</v>
      </c>
      <c r="B81" s="167">
        <f>B47+0.15</f>
        <v>9.3053376955605636</v>
      </c>
      <c r="D81" s="5"/>
    </row>
    <row r="82" spans="1:11" x14ac:dyDescent="0.3">
      <c r="A82" s="166" t="s">
        <v>539</v>
      </c>
      <c r="B82" s="167">
        <f>B83-B81/2</f>
        <v>47.878768408770078</v>
      </c>
      <c r="D82" s="5"/>
    </row>
    <row r="83" spans="1:11" x14ac:dyDescent="0.3">
      <c r="A83" s="166" t="s">
        <v>540</v>
      </c>
      <c r="B83" s="167">
        <f>B40-B44</f>
        <v>52.531437256550362</v>
      </c>
      <c r="D83" s="5"/>
    </row>
    <row r="84" spans="1:11" x14ac:dyDescent="0.3">
      <c r="A84" s="164" t="s">
        <v>463</v>
      </c>
      <c r="B84" s="168"/>
      <c r="D84" s="5"/>
    </row>
    <row r="85" spans="1:11" x14ac:dyDescent="0.3">
      <c r="A85" s="166" t="s">
        <v>541</v>
      </c>
      <c r="B85" s="167">
        <f>(B46+0.4)</f>
        <v>7.7242701564484513</v>
      </c>
      <c r="D85" s="5"/>
    </row>
    <row r="86" spans="1:11" x14ac:dyDescent="0.3">
      <c r="A86" s="164" t="s">
        <v>385</v>
      </c>
      <c r="B86" s="168"/>
      <c r="D86" s="5"/>
    </row>
    <row r="87" spans="1:11" x14ac:dyDescent="0.3">
      <c r="A87" s="166" t="s">
        <v>542</v>
      </c>
      <c r="B87" s="167">
        <f>((100*((2*B85)+(B79)))+(((B83)^2)*(B85^2)*B81*0.005))/(1000)</f>
        <v>14.508471335133846</v>
      </c>
      <c r="D87" s="5"/>
    </row>
    <row r="88" spans="1:11" x14ac:dyDescent="0.3">
      <c r="A88" s="166" t="s">
        <v>543</v>
      </c>
      <c r="B88" s="167">
        <f>((B81*B85/1000)*(((B82^0.5)*30.074)+((19.989+(1.113*B82))*B85)))</f>
        <v>55.641026301134175</v>
      </c>
      <c r="D88" s="5"/>
    </row>
    <row r="89" spans="1:11" x14ac:dyDescent="0.3">
      <c r="A89" s="166" t="s">
        <v>544</v>
      </c>
      <c r="B89" s="167">
        <f>B88/B76</f>
        <v>11.128205260226835</v>
      </c>
      <c r="D89" s="5"/>
    </row>
    <row r="90" spans="1:11" x14ac:dyDescent="0.3">
      <c r="A90" s="164" t="s">
        <v>718</v>
      </c>
      <c r="B90" s="165"/>
      <c r="D90" s="5"/>
    </row>
    <row r="91" spans="1:11" x14ac:dyDescent="0.3">
      <c r="A91" s="166" t="s">
        <v>721</v>
      </c>
      <c r="B91" s="169">
        <f>ROUND(0.4999999+B49/54.43,0)</f>
        <v>1</v>
      </c>
      <c r="D91" s="127"/>
    </row>
    <row r="92" spans="1:11" ht="16.8" x14ac:dyDescent="0.35">
      <c r="A92" s="166" t="s">
        <v>719</v>
      </c>
      <c r="B92" s="194">
        <f>B49/B91</f>
        <v>25.800157727721334</v>
      </c>
      <c r="D92" s="127"/>
    </row>
    <row r="93" spans="1:11" x14ac:dyDescent="0.3">
      <c r="A93" s="166" t="s">
        <v>720</v>
      </c>
      <c r="B93" s="167">
        <f>IF(AND(B92&gt;=0,B92&lt;=54.43),1000*72.896*B92^0.716,"O parametro z esta fora da validade da curva.")*B91</f>
        <v>747180.12053531641</v>
      </c>
      <c r="D93" s="127"/>
    </row>
    <row r="94" spans="1:11" x14ac:dyDescent="0.3">
      <c r="D94" s="5"/>
    </row>
    <row r="95" spans="1:11" x14ac:dyDescent="0.3">
      <c r="A95" s="164" t="s">
        <v>467</v>
      </c>
      <c r="B95" s="165"/>
      <c r="C95" s="170"/>
      <c r="D95" s="5"/>
      <c r="G95" s="171" t="s">
        <v>387</v>
      </c>
      <c r="H95" s="139"/>
      <c r="I95" s="139"/>
      <c r="J95" s="171" t="s">
        <v>388</v>
      </c>
      <c r="K95" s="171"/>
    </row>
    <row r="96" spans="1:11" x14ac:dyDescent="0.3">
      <c r="A96" s="164" t="s">
        <v>468</v>
      </c>
      <c r="B96" s="168"/>
      <c r="C96" s="139"/>
      <c r="D96" s="5"/>
      <c r="G96" s="171" t="s">
        <v>389</v>
      </c>
      <c r="H96" s="171" t="s">
        <v>385</v>
      </c>
      <c r="I96" s="139"/>
      <c r="J96" s="171" t="s">
        <v>7</v>
      </c>
      <c r="K96" s="171" t="s">
        <v>385</v>
      </c>
    </row>
    <row r="97" spans="1:11" x14ac:dyDescent="0.3">
      <c r="A97" s="166" t="s">
        <v>464</v>
      </c>
      <c r="B97" s="167">
        <f>1.1*B67</f>
        <v>98.050014524540273</v>
      </c>
      <c r="C97" s="139"/>
      <c r="D97" s="5"/>
      <c r="G97" s="172" t="s">
        <v>390</v>
      </c>
      <c r="H97" s="172" t="s">
        <v>42</v>
      </c>
      <c r="I97" s="139"/>
      <c r="J97" s="172" t="s">
        <v>390</v>
      </c>
      <c r="K97" s="172" t="s">
        <v>42</v>
      </c>
    </row>
    <row r="98" spans="1:11" x14ac:dyDescent="0.3">
      <c r="A98" s="166" t="s">
        <v>465</v>
      </c>
      <c r="B98" s="167">
        <v>5</v>
      </c>
      <c r="C98" s="139"/>
      <c r="D98" s="5"/>
      <c r="G98" s="160">
        <v>5</v>
      </c>
      <c r="H98" s="161">
        <f>8.053996037+0.500809115*B97</f>
        <v>57.15833703677216</v>
      </c>
      <c r="I98" s="139"/>
      <c r="J98" s="160">
        <v>5</v>
      </c>
      <c r="K98" s="161">
        <f>-0.018874907+0.250814212*B97</f>
        <v>24.573462222561119</v>
      </c>
    </row>
    <row r="99" spans="1:11" x14ac:dyDescent="0.3">
      <c r="A99" s="166" t="s">
        <v>466</v>
      </c>
      <c r="B99" s="167">
        <v>5</v>
      </c>
      <c r="C99" s="139"/>
      <c r="D99" s="5"/>
      <c r="G99" s="160">
        <v>10</v>
      </c>
      <c r="H99" s="161">
        <f>5.60006605+0.569848085*B97</f>
        <v>61.473679061031454</v>
      </c>
      <c r="I99" s="139"/>
      <c r="J99" s="160">
        <v>6</v>
      </c>
      <c r="K99" s="161">
        <f>-0.165278806+0.300675426*B97</f>
        <v>29.315951080472338</v>
      </c>
    </row>
    <row r="100" spans="1:11" x14ac:dyDescent="0.3">
      <c r="A100" s="164" t="s">
        <v>385</v>
      </c>
      <c r="B100" s="168"/>
      <c r="C100" s="139"/>
      <c r="D100" s="5"/>
      <c r="G100" s="160">
        <v>15</v>
      </c>
      <c r="H100" s="161">
        <f>7.432298547+0.630713342*B97</f>
        <v>69.273750890921335</v>
      </c>
      <c r="I100" s="139"/>
      <c r="J100" s="160">
        <v>7</v>
      </c>
      <c r="K100" s="161">
        <f>-0.143628177+0.35121065*B97</f>
        <v>34.292581156673236</v>
      </c>
    </row>
    <row r="101" spans="1:11" x14ac:dyDescent="0.3">
      <c r="A101" s="166" t="s">
        <v>469</v>
      </c>
      <c r="B101" s="167">
        <f>(VLOOKUP(B98+5,G98:H104,2)-VLOOKUP(B98,G98:H104,2))*(B98-(VLOOKUP(B98,G98:H104,1)))/5+VLOOKUP(B98,G98:H104,2)</f>
        <v>57.15833703677216</v>
      </c>
      <c r="C101" s="139"/>
      <c r="D101" s="5"/>
      <c r="G101" s="160">
        <v>20</v>
      </c>
      <c r="H101" s="161">
        <f>8.307959049+0.691964188*B97</f>
        <v>76.155057732861721</v>
      </c>
      <c r="I101" s="139"/>
      <c r="J101" s="160">
        <v>8</v>
      </c>
      <c r="K101" s="161">
        <f>-0.4215396+0.401517395*B97</f>
        <v>38.947246811605574</v>
      </c>
    </row>
    <row r="102" spans="1:11" x14ac:dyDescent="0.3">
      <c r="A102" s="166" t="s">
        <v>470</v>
      </c>
      <c r="B102" s="167">
        <f>(VLOOKUP(B99+5,J98:K108,2)-VLOOKUP(B99,J98:K108,2))*(B99-(VLOOKUP(B99,J98:K108,1)))/5+VLOOKUP(B99,J98:K108,2)</f>
        <v>24.573462222561119</v>
      </c>
      <c r="C102" s="139"/>
      <c r="D102" s="5"/>
      <c r="G102" s="160">
        <v>25</v>
      </c>
      <c r="H102" s="161">
        <f>11.40042933+0.74151255*B97</f>
        <v>84.105745627628892</v>
      </c>
      <c r="I102" s="139"/>
      <c r="J102" s="160">
        <v>9</v>
      </c>
      <c r="K102" s="161">
        <f>-0.302152726+0.451841229*B97</f>
        <v>44.000886340236129</v>
      </c>
    </row>
    <row r="103" spans="1:11" x14ac:dyDescent="0.3">
      <c r="A103" s="164" t="s">
        <v>718</v>
      </c>
      <c r="B103" s="165"/>
      <c r="D103" s="5"/>
      <c r="G103" s="160">
        <v>30</v>
      </c>
      <c r="H103" s="161">
        <f>15.01585205+0.788540291*B97</f>
        <v>92.332239035735228</v>
      </c>
      <c r="I103" s="139"/>
      <c r="J103" s="160">
        <v>10</v>
      </c>
      <c r="K103" s="161">
        <f>-0.4215396+0.501517395*B97</f>
        <v>48.752248264059602</v>
      </c>
    </row>
    <row r="104" spans="1:11" x14ac:dyDescent="0.3">
      <c r="A104" s="166" t="s">
        <v>721</v>
      </c>
      <c r="B104" s="169">
        <f>ROUND(0.4999999+B49/54.43,0)</f>
        <v>1</v>
      </c>
      <c r="D104" s="195"/>
      <c r="G104" s="160">
        <v>35</v>
      </c>
      <c r="H104" s="161">
        <f>16.01304491+0.844996697*B97</f>
        <v>98.864983324038562</v>
      </c>
      <c r="I104" s="139"/>
      <c r="J104" s="160">
        <v>11</v>
      </c>
      <c r="K104" s="161">
        <f>-0.544905009+0.552590674*B97</f>
        <v>53.6366186028255</v>
      </c>
    </row>
    <row r="105" spans="1:11" ht="16.8" x14ac:dyDescent="0.35">
      <c r="A105" s="166" t="s">
        <v>719</v>
      </c>
      <c r="B105" s="194">
        <f>B49/B104</f>
        <v>25.800157727721334</v>
      </c>
      <c r="D105" s="127"/>
      <c r="G105" s="173"/>
      <c r="H105" s="173"/>
      <c r="I105" s="139"/>
      <c r="J105" s="160">
        <v>12</v>
      </c>
      <c r="K105" s="161">
        <f>-0.704817419+0.602544412*B97</f>
        <v>58.374670929280576</v>
      </c>
    </row>
    <row r="106" spans="1:11" x14ac:dyDescent="0.3">
      <c r="A106" s="166" t="s">
        <v>720</v>
      </c>
      <c r="B106" s="167">
        <f>IF(AND(B105&gt;=0,B105&lt;=125.39),(-0.71*(B105^2)+97.3*B105+57.78)*1000,"O parametro z esta fora da validade da curva.")*B104</f>
        <v>2095525.1683768239</v>
      </c>
      <c r="D106" s="127"/>
      <c r="G106" s="139"/>
      <c r="H106" s="139"/>
      <c r="I106" s="139"/>
      <c r="J106" s="160">
        <v>13</v>
      </c>
      <c r="K106" s="161">
        <f>-0.828182828+0.653617691*B97</f>
        <v>63.259041268046467</v>
      </c>
    </row>
    <row r="107" spans="1:11" x14ac:dyDescent="0.3">
      <c r="D107" s="5"/>
      <c r="G107" s="139"/>
      <c r="H107" s="139"/>
      <c r="I107" s="139"/>
      <c r="J107" s="160">
        <v>14</v>
      </c>
      <c r="K107" s="161">
        <f>-0.559801382+0.702007772*B97</f>
        <v>68.272070858940154</v>
      </c>
    </row>
    <row r="108" spans="1:11" x14ac:dyDescent="0.3">
      <c r="A108" s="164" t="s">
        <v>537</v>
      </c>
      <c r="D108" s="5"/>
      <c r="G108" s="139"/>
      <c r="H108" s="139"/>
      <c r="I108" s="170"/>
      <c r="J108" s="160">
        <v>15</v>
      </c>
      <c r="K108" s="161">
        <f>-0.68316679+0.753081051*B97</f>
        <v>73.156441198706048</v>
      </c>
    </row>
    <row r="109" spans="1:11" x14ac:dyDescent="0.3">
      <c r="A109" s="164" t="s">
        <v>749</v>
      </c>
      <c r="B109" s="169">
        <f>B10</f>
        <v>1</v>
      </c>
      <c r="D109" s="5" t="s">
        <v>751</v>
      </c>
    </row>
    <row r="110" spans="1:11" x14ac:dyDescent="0.3">
      <c r="A110" s="164" t="s">
        <v>391</v>
      </c>
      <c r="B110" s="139"/>
      <c r="D110" s="5"/>
    </row>
    <row r="111" spans="1:11" x14ac:dyDescent="0.3">
      <c r="A111" s="166" t="s">
        <v>393</v>
      </c>
      <c r="B111" s="174">
        <f>1/(1^2+0.2^2)^0.5</f>
        <v>0.98058067569092011</v>
      </c>
      <c r="D111" s="5"/>
    </row>
    <row r="112" spans="1:11" x14ac:dyDescent="0.3">
      <c r="A112" s="166" t="s">
        <v>548</v>
      </c>
      <c r="B112" s="175">
        <v>5</v>
      </c>
      <c r="D112" s="5"/>
    </row>
    <row r="113" spans="1:4" x14ac:dyDescent="0.3">
      <c r="A113" s="166" t="s">
        <v>394</v>
      </c>
      <c r="B113" s="176">
        <f>B28</f>
        <v>2</v>
      </c>
      <c r="D113" s="5"/>
    </row>
    <row r="114" spans="1:4" x14ac:dyDescent="0.3">
      <c r="A114" s="166" t="s">
        <v>395</v>
      </c>
      <c r="B114" s="176">
        <f>B113*B109</f>
        <v>2</v>
      </c>
      <c r="D114" s="5"/>
    </row>
    <row r="115" spans="1:4" x14ac:dyDescent="0.3">
      <c r="A115" s="164" t="s">
        <v>458</v>
      </c>
      <c r="B115" s="168"/>
      <c r="D115" s="5"/>
    </row>
    <row r="116" spans="1:4" x14ac:dyDescent="0.3">
      <c r="A116" s="166" t="s">
        <v>460</v>
      </c>
      <c r="B116" s="167">
        <f>(((B42-B44)*2*B114)/B111)+(B47*B114)</f>
        <v>240.75616553144985</v>
      </c>
      <c r="D116" s="5"/>
    </row>
    <row r="117" spans="1:4" x14ac:dyDescent="0.3">
      <c r="A117" s="166" t="s">
        <v>461</v>
      </c>
      <c r="B117" s="167"/>
      <c r="D117" s="5"/>
    </row>
    <row r="118" spans="1:4" x14ac:dyDescent="0.3">
      <c r="A118" s="164" t="s">
        <v>462</v>
      </c>
      <c r="B118" s="168"/>
      <c r="D118" s="5"/>
    </row>
    <row r="119" spans="1:4" x14ac:dyDescent="0.3">
      <c r="A119" s="166" t="s">
        <v>538</v>
      </c>
      <c r="B119" s="167"/>
      <c r="D119" s="5"/>
    </row>
    <row r="120" spans="1:4" x14ac:dyDescent="0.3">
      <c r="A120" s="166" t="s">
        <v>539</v>
      </c>
      <c r="B120" s="167"/>
      <c r="D120" s="5"/>
    </row>
    <row r="121" spans="1:4" x14ac:dyDescent="0.3">
      <c r="A121" s="166" t="s">
        <v>540</v>
      </c>
      <c r="B121" s="167"/>
    </row>
    <row r="122" spans="1:4" x14ac:dyDescent="0.3">
      <c r="A122" s="164" t="s">
        <v>463</v>
      </c>
      <c r="B122" s="168"/>
    </row>
    <row r="123" spans="1:4" x14ac:dyDescent="0.3">
      <c r="A123" s="166" t="s">
        <v>541</v>
      </c>
      <c r="B123" s="167"/>
    </row>
    <row r="124" spans="1:4" x14ac:dyDescent="0.3">
      <c r="A124" s="164" t="s">
        <v>385</v>
      </c>
      <c r="B124" s="168"/>
    </row>
    <row r="125" spans="1:4" x14ac:dyDescent="0.3">
      <c r="A125" s="166" t="s">
        <v>542</v>
      </c>
      <c r="B125" s="167">
        <f>(40*B116)/(1000)</f>
        <v>9.630246621257994</v>
      </c>
    </row>
    <row r="126" spans="1:4" x14ac:dyDescent="0.3">
      <c r="A126" s="166" t="s">
        <v>748</v>
      </c>
      <c r="B126" s="167">
        <f>(180*B46*B47*B109)/1000</f>
        <v>12.070109998044318</v>
      </c>
    </row>
    <row r="127" spans="1:4" x14ac:dyDescent="0.3">
      <c r="A127" s="164" t="s">
        <v>718</v>
      </c>
      <c r="B127" s="165"/>
    </row>
    <row r="128" spans="1:4" x14ac:dyDescent="0.3">
      <c r="A128" s="166" t="s">
        <v>720</v>
      </c>
      <c r="B128" s="167">
        <f>IF(AND(B9/B109&gt;=2,B9/B109&lt;=750),5.35*1000*B9,"Vazao fora da validade da curva.")*B109</f>
        <v>529063.84349497419</v>
      </c>
      <c r="D128" s="127"/>
    </row>
    <row r="129" spans="3:8" x14ac:dyDescent="0.3">
      <c r="C129" s="177"/>
      <c r="D129" s="139"/>
      <c r="F129" s="139"/>
      <c r="G129" s="139"/>
      <c r="H129" s="139"/>
    </row>
    <row r="130" spans="3:8" x14ac:dyDescent="0.3">
      <c r="C130" s="177"/>
      <c r="D130" s="139"/>
      <c r="E130" s="172"/>
    </row>
    <row r="131" spans="3:8" x14ac:dyDescent="0.3">
      <c r="C131" s="139"/>
      <c r="D131" s="139"/>
    </row>
    <row r="132" spans="3:8" x14ac:dyDescent="0.3">
      <c r="C132" s="177"/>
    </row>
    <row r="133" spans="3:8" x14ac:dyDescent="0.3">
      <c r="C133" s="17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049" r:id="rId4">
          <objectPr defaultSize="0" autoLine="0" autoPict="0" r:id="rId5">
            <anchor moveWithCells="1">
              <from>
                <xdr:col>3</xdr:col>
                <xdr:colOff>15240</xdr:colOff>
                <xdr:row>51</xdr:row>
                <xdr:rowOff>7620</xdr:rowOff>
              </from>
              <to>
                <xdr:col>7</xdr:col>
                <xdr:colOff>76200</xdr:colOff>
                <xdr:row>52</xdr:row>
                <xdr:rowOff>15240</xdr:rowOff>
              </to>
            </anchor>
          </objectPr>
        </oleObject>
      </mc:Choice>
      <mc:Fallback>
        <oleObject progId="Equation.2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91"/>
  <sheetViews>
    <sheetView tabSelected="1" topLeftCell="A113" zoomScaleNormal="100" workbookViewId="0">
      <selection activeCell="D130" sqref="D130"/>
    </sheetView>
  </sheetViews>
  <sheetFormatPr defaultColWidth="9.109375" defaultRowHeight="14.4" x14ac:dyDescent="0.3"/>
  <cols>
    <col min="1" max="1" width="3.5546875" style="27" bestFit="1" customWidth="1"/>
    <col min="2" max="2" width="16" style="27" customWidth="1"/>
    <col min="3" max="3" width="7.44140625" style="27" customWidth="1"/>
    <col min="4" max="4" width="7.109375" style="27" customWidth="1"/>
    <col min="5" max="5" width="58.33203125" style="27" customWidth="1"/>
    <col min="6" max="6" width="8.109375" style="27" bestFit="1" customWidth="1"/>
    <col min="7" max="7" width="5.109375" style="27" bestFit="1" customWidth="1"/>
    <col min="8" max="8" width="27.109375" style="27" bestFit="1" customWidth="1"/>
    <col min="9" max="9" width="8.5546875" style="27" customWidth="1"/>
    <col min="10" max="10" width="8.109375" style="27" customWidth="1"/>
    <col min="11" max="11" width="5.109375" style="27" customWidth="1"/>
    <col min="12" max="12" width="13.33203125" style="27" bestFit="1" customWidth="1"/>
    <col min="13" max="13" width="68.5546875" style="27" bestFit="1" customWidth="1"/>
    <col min="14" max="14" width="10" style="27" customWidth="1"/>
    <col min="15" max="15" width="16.6640625" style="27" bestFit="1" customWidth="1"/>
    <col min="16" max="16" width="14.33203125" style="27" customWidth="1"/>
    <col min="17" max="17" width="12" style="27" customWidth="1"/>
    <col min="18" max="18" width="13.33203125" style="27" bestFit="1" customWidth="1"/>
    <col min="19" max="19" width="9.109375" style="27"/>
    <col min="20" max="20" width="58.44140625" style="27" bestFit="1" customWidth="1"/>
    <col min="21" max="21" width="8.6640625" style="27" bestFit="1" customWidth="1"/>
    <col min="22" max="16384" width="9.109375" style="27"/>
  </cols>
  <sheetData>
    <row r="1" spans="1:7" x14ac:dyDescent="0.3">
      <c r="A1" s="27">
        <v>2</v>
      </c>
      <c r="B1" s="28" t="s">
        <v>75</v>
      </c>
    </row>
    <row r="2" spans="1:7" x14ac:dyDescent="0.3">
      <c r="A2" s="28"/>
      <c r="B2" s="28"/>
      <c r="G2" s="30" t="s">
        <v>102</v>
      </c>
    </row>
    <row r="3" spans="1:7" x14ac:dyDescent="0.3">
      <c r="A3" s="28"/>
      <c r="B3" s="28" t="s">
        <v>111</v>
      </c>
      <c r="E3" s="29" t="s">
        <v>242</v>
      </c>
    </row>
    <row r="4" spans="1:7" x14ac:dyDescent="0.3">
      <c r="A4" s="28"/>
      <c r="B4" s="31" t="s">
        <v>50</v>
      </c>
      <c r="C4" s="79">
        <f>iohsrp2!B10</f>
        <v>0</v>
      </c>
      <c r="D4" s="27" t="s">
        <v>1</v>
      </c>
      <c r="E4" s="29"/>
    </row>
    <row r="5" spans="1:7" x14ac:dyDescent="0.3">
      <c r="A5" s="28"/>
      <c r="B5" s="31" t="s">
        <v>25</v>
      </c>
      <c r="C5" s="79">
        <f>IF(hsrp2rout!D44&gt;0,iohsrp2!B11,0)</f>
        <v>0</v>
      </c>
      <c r="D5" s="27" t="s">
        <v>1</v>
      </c>
      <c r="E5" s="146" t="s">
        <v>264</v>
      </c>
    </row>
    <row r="6" spans="1:7" x14ac:dyDescent="0.3">
      <c r="A6" s="28"/>
      <c r="B6" s="31" t="s">
        <v>118</v>
      </c>
      <c r="C6" s="32">
        <f>IF(hsrp2rout!D44&gt;0,iohsrp2!B12,iohsrp2!B11+iohsrp2!B12)</f>
        <v>2000</v>
      </c>
      <c r="D6" s="27" t="s">
        <v>1</v>
      </c>
      <c r="E6" s="146" t="s">
        <v>265</v>
      </c>
    </row>
    <row r="7" spans="1:7" x14ac:dyDescent="0.3">
      <c r="A7" s="28"/>
      <c r="B7" s="31" t="s">
        <v>119</v>
      </c>
      <c r="C7" s="32">
        <f>iohsrp2!B13</f>
        <v>0</v>
      </c>
      <c r="D7" s="27" t="s">
        <v>1</v>
      </c>
      <c r="E7" s="29"/>
    </row>
    <row r="8" spans="1:7" x14ac:dyDescent="0.3">
      <c r="A8" s="28"/>
      <c r="B8" s="4" t="s">
        <v>478</v>
      </c>
      <c r="C8" s="79">
        <f>iohsrp2!B14</f>
        <v>0</v>
      </c>
      <c r="D8" s="27" t="s">
        <v>1</v>
      </c>
      <c r="E8" s="153"/>
    </row>
    <row r="9" spans="1:7" x14ac:dyDescent="0.3">
      <c r="A9" s="145"/>
      <c r="B9" s="4" t="s">
        <v>479</v>
      </c>
      <c r="C9" s="79">
        <f>iohsrp2!B15</f>
        <v>130</v>
      </c>
      <c r="D9" s="27" t="s">
        <v>1</v>
      </c>
      <c r="E9" s="154"/>
    </row>
    <row r="10" spans="1:7" x14ac:dyDescent="0.3">
      <c r="A10" s="28"/>
      <c r="E10" s="33"/>
    </row>
    <row r="11" spans="1:7" x14ac:dyDescent="0.3">
      <c r="A11" s="28"/>
      <c r="B11" s="28" t="s">
        <v>112</v>
      </c>
      <c r="E11" s="33"/>
    </row>
    <row r="12" spans="1:7" ht="15.6" x14ac:dyDescent="0.35">
      <c r="A12" s="28"/>
      <c r="B12" s="31" t="s">
        <v>113</v>
      </c>
      <c r="C12" s="147">
        <f>hsrp2intk!B26</f>
        <v>2067.4685627434496</v>
      </c>
      <c r="D12" s="27" t="s">
        <v>1</v>
      </c>
      <c r="E12" s="97" t="s">
        <v>686</v>
      </c>
    </row>
    <row r="13" spans="1:7" x14ac:dyDescent="0.3">
      <c r="A13" s="28"/>
      <c r="B13" s="31" t="s">
        <v>114</v>
      </c>
      <c r="C13" s="34">
        <f>MIN(C14:C15)</f>
        <v>2067.4685627434496</v>
      </c>
      <c r="D13" s="27" t="s">
        <v>1</v>
      </c>
      <c r="E13" s="35" t="s">
        <v>99</v>
      </c>
    </row>
    <row r="14" spans="1:7" x14ac:dyDescent="0.3">
      <c r="A14" s="28"/>
      <c r="B14" s="67" t="s">
        <v>98</v>
      </c>
      <c r="C14" s="34">
        <f>C12-0.5/100*C5</f>
        <v>2067.4685627434496</v>
      </c>
      <c r="D14" s="27" t="s">
        <v>1</v>
      </c>
      <c r="E14" s="29" t="s">
        <v>96</v>
      </c>
    </row>
    <row r="15" spans="1:7" ht="15.6" x14ac:dyDescent="0.35">
      <c r="A15" s="28"/>
      <c r="B15" s="67" t="s">
        <v>97</v>
      </c>
      <c r="C15" s="34">
        <f>IF(hsrp2rout!C28="circuito com chamine",hsrp2stnk!B27-F38,9999)</f>
        <v>9999</v>
      </c>
      <c r="D15" s="27" t="s">
        <v>1</v>
      </c>
      <c r="E15" s="97" t="s">
        <v>665</v>
      </c>
      <c r="G15" s="30" t="s">
        <v>101</v>
      </c>
    </row>
    <row r="16" spans="1:7" x14ac:dyDescent="0.3">
      <c r="A16" s="28"/>
      <c r="B16" s="31" t="s">
        <v>115</v>
      </c>
      <c r="C16" s="34">
        <f>C17+0.5/100*C7</f>
        <v>617.86543067797061</v>
      </c>
      <c r="D16" s="27" t="s">
        <v>1</v>
      </c>
      <c r="E16" s="29" t="s">
        <v>96</v>
      </c>
    </row>
    <row r="17" spans="1:11" ht="15.6" x14ac:dyDescent="0.35">
      <c r="A17" s="28"/>
      <c r="B17" s="31" t="s">
        <v>116</v>
      </c>
      <c r="C17" s="34">
        <f>hsrp2pwh!D185-F111/2</f>
        <v>617.86543067797061</v>
      </c>
      <c r="D17" s="27" t="s">
        <v>1</v>
      </c>
      <c r="E17" s="473" t="s">
        <v>706</v>
      </c>
    </row>
    <row r="18" spans="1:11" x14ac:dyDescent="0.3">
      <c r="A18" s="28"/>
      <c r="E18" s="33"/>
    </row>
    <row r="19" spans="1:11" ht="15" customHeight="1" x14ac:dyDescent="0.3">
      <c r="A19" s="28"/>
      <c r="B19" s="500" t="s">
        <v>88</v>
      </c>
      <c r="C19" s="500"/>
      <c r="D19" s="37" t="s">
        <v>89</v>
      </c>
      <c r="E19" s="37" t="s">
        <v>92</v>
      </c>
    </row>
    <row r="20" spans="1:11" ht="15" customHeight="1" x14ac:dyDescent="0.3">
      <c r="A20" s="28"/>
      <c r="B20" s="502" t="s">
        <v>4</v>
      </c>
      <c r="C20" s="502"/>
      <c r="D20" s="38">
        <v>2.2000000000000002</v>
      </c>
      <c r="E20" s="38">
        <f>0.7*D20</f>
        <v>1.54</v>
      </c>
    </row>
    <row r="21" spans="1:11" ht="15" customHeight="1" x14ac:dyDescent="0.3">
      <c r="A21" s="28"/>
      <c r="B21" s="502" t="s">
        <v>5</v>
      </c>
      <c r="C21" s="502"/>
      <c r="D21" s="38">
        <v>3</v>
      </c>
      <c r="E21" s="38">
        <f t="shared" ref="E21:E23" si="0">0.7*D21</f>
        <v>2.0999999999999996</v>
      </c>
    </row>
    <row r="22" spans="1:11" ht="15" customHeight="1" x14ac:dyDescent="0.3">
      <c r="A22" s="28"/>
      <c r="B22" s="502" t="s">
        <v>8</v>
      </c>
      <c r="C22" s="502"/>
      <c r="D22" s="38">
        <v>4.5</v>
      </c>
      <c r="E22" s="38">
        <f t="shared" si="0"/>
        <v>3.15</v>
      </c>
      <c r="F22" s="34"/>
    </row>
    <row r="23" spans="1:11" x14ac:dyDescent="0.3">
      <c r="A23" s="28"/>
      <c r="B23" s="502" t="s">
        <v>6</v>
      </c>
      <c r="C23" s="502"/>
      <c r="D23" s="38">
        <v>7</v>
      </c>
      <c r="E23" s="38">
        <f t="shared" si="0"/>
        <v>4.8999999999999995</v>
      </c>
    </row>
    <row r="24" spans="1:11" x14ac:dyDescent="0.3">
      <c r="A24" s="28"/>
      <c r="B24" s="207" t="s">
        <v>750</v>
      </c>
      <c r="C24" s="39"/>
      <c r="D24" s="39"/>
      <c r="E24" s="39"/>
    </row>
    <row r="25" spans="1:11" x14ac:dyDescent="0.3">
      <c r="A25" s="28"/>
      <c r="B25" s="39"/>
      <c r="C25" s="39"/>
      <c r="D25" s="39"/>
      <c r="E25" s="39"/>
    </row>
    <row r="26" spans="1:11" x14ac:dyDescent="0.3">
      <c r="A26" s="28"/>
      <c r="B26" s="40" t="s">
        <v>81</v>
      </c>
      <c r="D26" s="41">
        <f>iohsrp2!B2</f>
        <v>1</v>
      </c>
      <c r="E26" s="27" t="s">
        <v>132</v>
      </c>
    </row>
    <row r="27" spans="1:11" x14ac:dyDescent="0.3">
      <c r="A27" s="28"/>
      <c r="B27" s="42"/>
      <c r="C27" s="501" t="s">
        <v>126</v>
      </c>
      <c r="D27" s="501"/>
    </row>
    <row r="28" spans="1:11" x14ac:dyDescent="0.3">
      <c r="A28" s="28"/>
      <c r="B28" s="42" t="s">
        <v>127</v>
      </c>
      <c r="C28" s="42" t="s">
        <v>130</v>
      </c>
      <c r="D28" s="42" t="s">
        <v>131</v>
      </c>
    </row>
    <row r="29" spans="1:11" x14ac:dyDescent="0.3">
      <c r="A29" s="28"/>
      <c r="B29" s="42">
        <v>1</v>
      </c>
      <c r="C29" s="43">
        <v>0.2</v>
      </c>
      <c r="D29" s="43">
        <v>0</v>
      </c>
    </row>
    <row r="30" spans="1:11" x14ac:dyDescent="0.3">
      <c r="A30" s="28"/>
      <c r="B30" s="42">
        <v>2</v>
      </c>
      <c r="C30" s="43">
        <v>0.8</v>
      </c>
      <c r="D30" s="43">
        <v>0.2</v>
      </c>
    </row>
    <row r="31" spans="1:11" x14ac:dyDescent="0.3">
      <c r="A31" s="28"/>
      <c r="B31" s="42">
        <v>3</v>
      </c>
      <c r="C31" s="43">
        <v>0</v>
      </c>
      <c r="D31" s="43">
        <v>1</v>
      </c>
    </row>
    <row r="32" spans="1:11" x14ac:dyDescent="0.3">
      <c r="A32" s="28"/>
      <c r="B32" s="44"/>
      <c r="C32" s="45"/>
      <c r="D32" s="45"/>
      <c r="F32" s="101" t="s">
        <v>809</v>
      </c>
      <c r="G32" s="101"/>
      <c r="J32" s="101" t="s">
        <v>810</v>
      </c>
      <c r="K32" s="101"/>
    </row>
    <row r="33" spans="1:16" x14ac:dyDescent="0.3">
      <c r="A33" s="46" t="s">
        <v>15</v>
      </c>
      <c r="B33" s="46" t="s">
        <v>67</v>
      </c>
      <c r="C33" s="47"/>
      <c r="N33" s="33"/>
    </row>
    <row r="34" spans="1:16" x14ac:dyDescent="0.3">
      <c r="B34" s="46" t="s">
        <v>21</v>
      </c>
      <c r="C34" s="48" t="s">
        <v>74</v>
      </c>
      <c r="D34" s="47"/>
      <c r="E34" s="47"/>
      <c r="F34" s="47"/>
      <c r="G34" s="47"/>
      <c r="H34" s="46"/>
      <c r="I34" s="46"/>
      <c r="J34" s="46"/>
      <c r="K34" s="46"/>
    </row>
    <row r="35" spans="1:16" x14ac:dyDescent="0.3">
      <c r="B35" s="27" t="s">
        <v>16</v>
      </c>
      <c r="C35" s="49" t="s">
        <v>25</v>
      </c>
      <c r="F35" s="53">
        <f>C5</f>
        <v>0</v>
      </c>
      <c r="G35" s="27" t="s">
        <v>1</v>
      </c>
    </row>
    <row r="36" spans="1:16" x14ac:dyDescent="0.3">
      <c r="B36" t="s">
        <v>740</v>
      </c>
      <c r="C36" s="49"/>
      <c r="F36" s="202">
        <f>IF(hsrp2rout!E38&lt;15,1,IF(hsrp2rout!E38&lt;21.2,2,3))</f>
        <v>1</v>
      </c>
      <c r="H36" s="205" t="s">
        <v>756</v>
      </c>
    </row>
    <row r="37" spans="1:16" x14ac:dyDescent="0.3">
      <c r="B37" s="27" t="s">
        <v>19</v>
      </c>
      <c r="C37" s="49" t="s">
        <v>20</v>
      </c>
    </row>
    <row r="38" spans="1:16" ht="16.8" x14ac:dyDescent="0.35">
      <c r="B38" s="27" t="s">
        <v>7</v>
      </c>
      <c r="C38" t="s">
        <v>666</v>
      </c>
      <c r="F38" s="50">
        <f>IF(LOOKUP(D26,B29:B31,F39:F41)&lt;3,3,LOOKUP(D26,B29:B31,F39:F41))</f>
        <v>8.1887829776958778</v>
      </c>
      <c r="G38" s="27" t="s">
        <v>1</v>
      </c>
      <c r="H38" t="s">
        <v>267</v>
      </c>
      <c r="J38"/>
      <c r="K38"/>
    </row>
    <row r="39" spans="1:16" x14ac:dyDescent="0.3">
      <c r="C39" s="39" t="s">
        <v>80</v>
      </c>
      <c r="F39" s="78">
        <f>((MAX(F43,J43)/F45)/0.8927)^0.5</f>
        <v>8.1887829776958778</v>
      </c>
      <c r="G39" s="495" t="s">
        <v>1</v>
      </c>
    </row>
    <row r="40" spans="1:16" x14ac:dyDescent="0.3">
      <c r="C40" s="39" t="s">
        <v>128</v>
      </c>
      <c r="F40" s="78">
        <f>(((MAX(F43,J43)/F46)/0.8927)^0.5)</f>
        <v>6.9249779193979499</v>
      </c>
      <c r="G40" s="495" t="s">
        <v>1</v>
      </c>
    </row>
    <row r="41" spans="1:16" x14ac:dyDescent="0.3">
      <c r="C41" s="39" t="s">
        <v>129</v>
      </c>
      <c r="F41" s="78">
        <f>((MAX(F43,J43)/F47)/0.8927)^0.5</f>
        <v>5.9301967984524797</v>
      </c>
      <c r="G41" s="495" t="s">
        <v>1</v>
      </c>
    </row>
    <row r="42" spans="1:16" ht="15.6" x14ac:dyDescent="0.35">
      <c r="E42" s="2" t="s">
        <v>687</v>
      </c>
    </row>
    <row r="43" spans="1:16" ht="15.6" x14ac:dyDescent="0.35">
      <c r="E43" s="10" t="s">
        <v>688</v>
      </c>
      <c r="F43" s="34">
        <f>hsrp2intk!B9/F36</f>
        <v>98.890438036443769</v>
      </c>
      <c r="G43" s="27" t="s">
        <v>0</v>
      </c>
      <c r="I43" s="10" t="s">
        <v>1204</v>
      </c>
      <c r="J43" s="485">
        <f>hsrp2new!B10/F36</f>
        <v>78.272746497358796</v>
      </c>
      <c r="K43" s="27" t="s">
        <v>0</v>
      </c>
    </row>
    <row r="44" spans="1:16" ht="15.6" x14ac:dyDescent="0.35">
      <c r="D44" s="27" t="s">
        <v>90</v>
      </c>
      <c r="F44" s="50">
        <f>LOOKUP(D26,B29:B31,F45:F47)</f>
        <v>1.6520000000000001</v>
      </c>
      <c r="G44" s="27" t="s">
        <v>3</v>
      </c>
    </row>
    <row r="45" spans="1:16" x14ac:dyDescent="0.3">
      <c r="D45" s="39" t="s">
        <v>80</v>
      </c>
      <c r="F45" s="78">
        <f>(1-C29-D29)*E20+C29*E21+D29*E22</f>
        <v>1.6520000000000001</v>
      </c>
      <c r="G45" s="27" t="s">
        <v>3</v>
      </c>
    </row>
    <row r="46" spans="1:16" x14ac:dyDescent="0.3">
      <c r="D46" s="39" t="s">
        <v>128</v>
      </c>
      <c r="F46" s="78">
        <f>(1-C30-D30)*E20+C30*E21+D30*E22</f>
        <v>2.3099999999999996</v>
      </c>
      <c r="G46" s="27" t="s">
        <v>3</v>
      </c>
      <c r="L46" s="29"/>
    </row>
    <row r="47" spans="1:16" x14ac:dyDescent="0.3">
      <c r="D47" s="39" t="s">
        <v>129</v>
      </c>
      <c r="F47" s="78">
        <f>(1-C31-D31)*E20+C31*E21+D31*E22</f>
        <v>3.15</v>
      </c>
      <c r="G47" s="27" t="s">
        <v>3</v>
      </c>
      <c r="L47" s="29"/>
      <c r="P47" s="49"/>
    </row>
    <row r="48" spans="1:16" ht="15.6" x14ac:dyDescent="0.35">
      <c r="E48" s="107" t="s">
        <v>690</v>
      </c>
      <c r="F48" s="106">
        <f>1/((F38^2)*PI()/(4*F43))</f>
        <v>1.8776977954985521</v>
      </c>
      <c r="G48" s="12" t="s">
        <v>3</v>
      </c>
      <c r="I48" s="107" t="s">
        <v>690</v>
      </c>
      <c r="J48" s="106">
        <f>1/((F38^2)*PI()/(4*J43))</f>
        <v>1.4862161242681959</v>
      </c>
      <c r="K48" s="12" t="s">
        <v>3</v>
      </c>
      <c r="M48" s="49"/>
    </row>
    <row r="49" spans="2:13" ht="15.6" x14ac:dyDescent="0.35">
      <c r="E49" t="s">
        <v>691</v>
      </c>
      <c r="L49" s="29"/>
      <c r="M49" s="49"/>
    </row>
    <row r="50" spans="2:13" ht="15.6" x14ac:dyDescent="0.35">
      <c r="E50" t="s">
        <v>689</v>
      </c>
      <c r="H50" s="205" t="s">
        <v>747</v>
      </c>
    </row>
    <row r="52" spans="2:13" x14ac:dyDescent="0.3">
      <c r="B52" s="46" t="s">
        <v>22</v>
      </c>
      <c r="C52" s="47"/>
      <c r="D52" s="47"/>
      <c r="E52" s="47"/>
      <c r="F52" s="47"/>
      <c r="G52" s="47"/>
      <c r="H52" s="47"/>
      <c r="I52" s="47"/>
      <c r="J52" s="47"/>
      <c r="K52" s="47"/>
    </row>
    <row r="53" spans="2:13" x14ac:dyDescent="0.3">
      <c r="B53" s="27" t="s">
        <v>16</v>
      </c>
      <c r="C53" s="49" t="s">
        <v>100</v>
      </c>
      <c r="F53" s="53">
        <f>C13+F38/2-C16+F111/2</f>
        <v>1456.8320928763565</v>
      </c>
      <c r="G53" s="27" t="s">
        <v>1</v>
      </c>
      <c r="H53" s="33"/>
      <c r="I53" s="33"/>
      <c r="J53" s="33"/>
      <c r="K53" s="33"/>
    </row>
    <row r="54" spans="2:13" x14ac:dyDescent="0.3">
      <c r="D54" s="96" t="s">
        <v>529</v>
      </c>
      <c r="F54" s="148">
        <f>hsrp2rout!D5</f>
        <v>2120</v>
      </c>
      <c r="G54" s="29" t="s">
        <v>1</v>
      </c>
      <c r="H54" s="33"/>
      <c r="I54" s="33"/>
      <c r="J54" s="33"/>
      <c r="K54" s="33"/>
    </row>
    <row r="55" spans="2:13" x14ac:dyDescent="0.3">
      <c r="B55" s="27" t="s">
        <v>19</v>
      </c>
      <c r="C55" s="49" t="s">
        <v>26</v>
      </c>
      <c r="H55" s="33"/>
      <c r="I55" s="33"/>
      <c r="J55" s="33"/>
      <c r="K55" s="33"/>
      <c r="L55" s="33"/>
    </row>
    <row r="56" spans="2:13" ht="16.8" x14ac:dyDescent="0.35">
      <c r="B56" s="27" t="s">
        <v>18</v>
      </c>
      <c r="C56" t="s">
        <v>685</v>
      </c>
      <c r="F56" s="34">
        <f>(4/PI()*0.8927)^0.5*F62</f>
        <v>6.3223266840412844</v>
      </c>
      <c r="G56" s="27" t="s">
        <v>1</v>
      </c>
      <c r="L56" s="33"/>
    </row>
    <row r="57" spans="2:13" x14ac:dyDescent="0.3">
      <c r="L57" s="33"/>
    </row>
    <row r="59" spans="2:13" x14ac:dyDescent="0.3">
      <c r="B59" s="46" t="s">
        <v>23</v>
      </c>
      <c r="C59" s="47"/>
      <c r="D59" s="47"/>
      <c r="E59" s="47"/>
      <c r="F59" s="47"/>
      <c r="G59" s="47"/>
      <c r="H59" s="47"/>
      <c r="I59" s="47"/>
      <c r="J59" s="47"/>
      <c r="K59" s="47"/>
    </row>
    <row r="60" spans="2:13" x14ac:dyDescent="0.3">
      <c r="B60" s="27" t="s">
        <v>16</v>
      </c>
      <c r="C60" s="108" t="s">
        <v>118</v>
      </c>
      <c r="D60" s="77"/>
      <c r="E60" s="77"/>
      <c r="F60" s="150">
        <f>C6</f>
        <v>2000</v>
      </c>
    </row>
    <row r="61" spans="2:13" x14ac:dyDescent="0.3">
      <c r="B61" s="27" t="s">
        <v>19</v>
      </c>
      <c r="C61" s="49" t="s">
        <v>20</v>
      </c>
      <c r="E61" s="49"/>
      <c r="F61" s="49"/>
    </row>
    <row r="62" spans="2:13" ht="15.6" x14ac:dyDescent="0.35">
      <c r="B62" s="27" t="s">
        <v>18</v>
      </c>
      <c r="C62" s="96" t="s">
        <v>667</v>
      </c>
      <c r="F62" s="34">
        <f>IF(iohsrp2!B16=0,IF(C5&gt;0,F38,IF(((MAX(F63,J63)/F64)/0.8927)^0.5&lt;3,3,((MAX(F63,J63)/F64)/0.8927)^0.5)),iohsrp2!B16)</f>
        <v>5.9301967984524797</v>
      </c>
      <c r="G62" s="495" t="s">
        <v>1</v>
      </c>
      <c r="H62" t="s">
        <v>692</v>
      </c>
      <c r="I62"/>
      <c r="J62"/>
      <c r="K62"/>
    </row>
    <row r="63" spans="2:13" ht="15.6" x14ac:dyDescent="0.35">
      <c r="C63" s="4" t="s">
        <v>643</v>
      </c>
      <c r="F63" s="34">
        <f>F43</f>
        <v>98.890438036443769</v>
      </c>
      <c r="G63" s="27" t="s">
        <v>0</v>
      </c>
      <c r="I63" s="10" t="s">
        <v>1204</v>
      </c>
      <c r="J63" s="485">
        <f>J43</f>
        <v>78.272746497358796</v>
      </c>
      <c r="K63" s="27" t="s">
        <v>0</v>
      </c>
    </row>
    <row r="64" spans="2:13" ht="15.6" x14ac:dyDescent="0.35">
      <c r="C64" s="31" t="s">
        <v>117</v>
      </c>
      <c r="D64" s="31"/>
      <c r="F64" s="34">
        <f>E22</f>
        <v>3.15</v>
      </c>
      <c r="G64" s="27" t="s">
        <v>3</v>
      </c>
    </row>
    <row r="65" spans="2:12" x14ac:dyDescent="0.3">
      <c r="C65" s="31"/>
      <c r="D65" s="31"/>
      <c r="E65" s="107" t="s">
        <v>366</v>
      </c>
      <c r="F65" s="112">
        <f>1/((F62^2)*PI()/(4*F43))</f>
        <v>3.5803559659930011</v>
      </c>
      <c r="G65" s="12" t="s">
        <v>3</v>
      </c>
      <c r="I65" s="107" t="s">
        <v>366</v>
      </c>
      <c r="J65" s="112">
        <f>1/((F62^2)*PI()/(4*J63))</f>
        <v>2.833886677630034</v>
      </c>
      <c r="K65" s="12" t="s">
        <v>3</v>
      </c>
    </row>
    <row r="67" spans="2:12" x14ac:dyDescent="0.3">
      <c r="B67" s="46" t="s">
        <v>83</v>
      </c>
      <c r="C67" s="47"/>
      <c r="D67" s="47"/>
      <c r="E67" s="47"/>
      <c r="F67" s="47"/>
      <c r="G67" s="47"/>
      <c r="H67" s="47"/>
      <c r="I67" s="47"/>
      <c r="J67" s="47"/>
      <c r="K67" s="47"/>
    </row>
    <row r="69" spans="2:12" x14ac:dyDescent="0.3">
      <c r="B69" s="27" t="s">
        <v>243</v>
      </c>
      <c r="F69" s="50">
        <f>LOOKUP(D26,B29:B31,F70:F72)</f>
        <v>3.5337010912740077</v>
      </c>
      <c r="G69" s="27" t="s">
        <v>1</v>
      </c>
      <c r="I69" s="10" t="s">
        <v>807</v>
      </c>
      <c r="J69" s="50">
        <f>LOOKUP(D26,B29:B31,J70:J72)</f>
        <v>2.2138202483310798</v>
      </c>
      <c r="K69" s="27" t="s">
        <v>1</v>
      </c>
    </row>
    <row r="70" spans="2:12" x14ac:dyDescent="0.3">
      <c r="C70" s="39" t="s">
        <v>80</v>
      </c>
      <c r="F70" s="78">
        <f>F74+F75+SUM(F79:F82)</f>
        <v>3.5337010912740077</v>
      </c>
      <c r="G70" s="27" t="s">
        <v>1</v>
      </c>
      <c r="J70" s="78">
        <f>J74+J75+SUM(J79:J82)</f>
        <v>2.2138202483310798</v>
      </c>
      <c r="K70" s="27" t="s">
        <v>1</v>
      </c>
    </row>
    <row r="71" spans="2:12" x14ac:dyDescent="0.3">
      <c r="C71" s="39" t="s">
        <v>128</v>
      </c>
      <c r="F71" s="78">
        <f>F74+F75+SUM(F85:F88)</f>
        <v>3.5337010912740077</v>
      </c>
      <c r="G71" s="27" t="s">
        <v>1</v>
      </c>
      <c r="J71" s="78">
        <f>J74+J75+SUM(J85:J88)</f>
        <v>2.2138202483310798</v>
      </c>
      <c r="K71" s="27" t="s">
        <v>1</v>
      </c>
    </row>
    <row r="72" spans="2:12" x14ac:dyDescent="0.3">
      <c r="C72" s="39" t="s">
        <v>129</v>
      </c>
      <c r="F72" s="78">
        <f>F74+F75+SUM(F91:F94)</f>
        <v>3.5337010912740077</v>
      </c>
      <c r="G72" s="27" t="s">
        <v>1</v>
      </c>
      <c r="J72" s="78">
        <f>J74+J75+SUM(J91:J94)</f>
        <v>8.7280760161718138</v>
      </c>
      <c r="K72" s="27" t="s">
        <v>1</v>
      </c>
    </row>
    <row r="73" spans="2:12" x14ac:dyDescent="0.3">
      <c r="C73" s="39"/>
    </row>
    <row r="74" spans="2:12" ht="16.8" x14ac:dyDescent="0.35">
      <c r="B74" s="105" t="s">
        <v>367</v>
      </c>
      <c r="C74" s="92"/>
      <c r="D74" s="92"/>
      <c r="E74" s="92"/>
      <c r="F74" s="102">
        <f>0.2*F48^2/2/9.81</f>
        <v>3.5940356893171488E-2</v>
      </c>
      <c r="G74" s="92" t="s">
        <v>1</v>
      </c>
      <c r="J74" s="102">
        <f>0.2*J48^2/2/9.81</f>
        <v>2.2516191315339221E-2</v>
      </c>
      <c r="K74" s="92" t="s">
        <v>1</v>
      </c>
    </row>
    <row r="75" spans="2:12" ht="16.2" x14ac:dyDescent="0.3">
      <c r="B75" s="105" t="s">
        <v>360</v>
      </c>
      <c r="F75" s="34">
        <f>(2*(0.08-0.002*(1-5))*((0.0746*(90*PI()/180)^3)-(0.4698*(90*PI()/180)^2)+(1.1928*(90*PI()/180))))*F48^2/2/9.81</f>
        <v>3.1741194476104774E-2</v>
      </c>
      <c r="G75" t="s">
        <v>1</v>
      </c>
      <c r="H75" t="s">
        <v>82</v>
      </c>
      <c r="I75"/>
      <c r="J75" s="34">
        <f>(2*(0.08-0.002*(1-5))*((0.0746*(90*PI()/180)^3)-(0.4698*(90*PI()/180)^2)+(1.1928*(90*PI()/180))))*J48^2/2/9.81</f>
        <v>1.9885467735495745E-2</v>
      </c>
      <c r="K75" t="s">
        <v>1</v>
      </c>
      <c r="L75" t="s">
        <v>82</v>
      </c>
    </row>
    <row r="76" spans="2:12" ht="16.2" x14ac:dyDescent="0.3">
      <c r="B76" s="105"/>
      <c r="C76" t="s">
        <v>358</v>
      </c>
      <c r="F76" s="34"/>
      <c r="G76"/>
      <c r="L76" s="3"/>
    </row>
    <row r="77" spans="2:12" x14ac:dyDescent="0.3">
      <c r="B77" s="39"/>
      <c r="F77" s="34"/>
      <c r="L77"/>
    </row>
    <row r="78" spans="2:12" x14ac:dyDescent="0.3">
      <c r="B78" s="19" t="s">
        <v>80</v>
      </c>
      <c r="F78" s="34"/>
    </row>
    <row r="79" spans="2:12" ht="16.8" x14ac:dyDescent="0.35">
      <c r="B79" s="105" t="s">
        <v>368</v>
      </c>
      <c r="F79" s="106">
        <f>(1-C29-D29)*6.35*F35*F96^2*F48^2/(F56)^(4/3)</f>
        <v>0</v>
      </c>
      <c r="G79" s="27" t="s">
        <v>1</v>
      </c>
      <c r="J79" s="106">
        <f>(1-C29-D29)*6.35*F35*F96^2*J48^2/(F56)^(4/3)</f>
        <v>0</v>
      </c>
      <c r="K79" s="27" t="s">
        <v>1</v>
      </c>
    </row>
    <row r="80" spans="2:12" ht="16.8" x14ac:dyDescent="0.35">
      <c r="B80" s="105" t="s">
        <v>369</v>
      </c>
      <c r="F80" s="106">
        <f>C29*6.35*F35*F97^2*F48^2/(F56)^(4/3)</f>
        <v>0</v>
      </c>
      <c r="G80" s="27" t="s">
        <v>1</v>
      </c>
      <c r="J80" s="106">
        <f>C29*6.35*F35*F97^2*J48^2/(F56)^(4/3)</f>
        <v>0</v>
      </c>
      <c r="K80" s="27" t="s">
        <v>1</v>
      </c>
    </row>
    <row r="81" spans="2:11" ht="16.8" x14ac:dyDescent="0.35">
      <c r="B81" s="105" t="s">
        <v>370</v>
      </c>
      <c r="F81" s="102">
        <f>D29*6.35*F35*F98^2*F48^2/(F56)^(4/3)</f>
        <v>0</v>
      </c>
      <c r="G81" s="27" t="s">
        <v>1</v>
      </c>
      <c r="J81" s="102">
        <f>D29*6.35*F35*F98^2*J48^2/(F56)^(4/3)</f>
        <v>0</v>
      </c>
      <c r="K81" s="27" t="s">
        <v>1</v>
      </c>
    </row>
    <row r="82" spans="2:11" ht="16.8" x14ac:dyDescent="0.35">
      <c r="B82" s="105" t="s">
        <v>693</v>
      </c>
      <c r="F82" s="102">
        <f>6.35*(F53+F60)*F98^2*F65^2/(F56)^(4/3)</f>
        <v>3.4660195399047313</v>
      </c>
      <c r="G82" s="27" t="s">
        <v>1</v>
      </c>
      <c r="J82" s="102">
        <f>6.35*(F53+F60)*F98^2*J65^2/(F56)^(4/3)</f>
        <v>2.1714185892802447</v>
      </c>
      <c r="K82" s="27" t="s">
        <v>1</v>
      </c>
    </row>
    <row r="83" spans="2:11" x14ac:dyDescent="0.3">
      <c r="B83" s="109"/>
      <c r="F83" s="102"/>
      <c r="J83" s="102"/>
    </row>
    <row r="84" spans="2:11" x14ac:dyDescent="0.3">
      <c r="B84" s="19" t="s">
        <v>128</v>
      </c>
      <c r="F84" s="92"/>
      <c r="J84" s="92"/>
    </row>
    <row r="85" spans="2:11" ht="16.8" x14ac:dyDescent="0.35">
      <c r="B85" s="105" t="s">
        <v>368</v>
      </c>
      <c r="F85" s="106">
        <f>(1-C30-D30)*6.35*F35*F96^2*F48^2/(F56)^(4/3)</f>
        <v>0</v>
      </c>
      <c r="G85" s="27" t="s">
        <v>1</v>
      </c>
      <c r="J85" s="106">
        <f>(1-C30-D30)*6.35*F35*F96^2*J48^2/(F56)^(4/3)</f>
        <v>0</v>
      </c>
      <c r="K85" s="27" t="s">
        <v>1</v>
      </c>
    </row>
    <row r="86" spans="2:11" ht="16.8" x14ac:dyDescent="0.35">
      <c r="B86" s="105" t="s">
        <v>369</v>
      </c>
      <c r="F86" s="106">
        <f>C30*6.35*F35*F97^2*F48^2/(F56)^(4/3)</f>
        <v>0</v>
      </c>
      <c r="G86" s="27" t="s">
        <v>1</v>
      </c>
      <c r="J86" s="106">
        <f>C30*6.35*F35*F97^2*J48^2/(F56)^(4/3)</f>
        <v>0</v>
      </c>
      <c r="K86" s="27" t="s">
        <v>1</v>
      </c>
    </row>
    <row r="87" spans="2:11" ht="16.8" x14ac:dyDescent="0.35">
      <c r="B87" s="105" t="s">
        <v>370</v>
      </c>
      <c r="F87" s="102">
        <f>D30*6.35*F35*F98^2*F48^2/(F56)^(4/3)</f>
        <v>0</v>
      </c>
      <c r="G87" s="27" t="s">
        <v>1</v>
      </c>
      <c r="J87" s="102">
        <f>D30*6.35*F35*F98^2*J48^2/(F56)^(4/3)</f>
        <v>0</v>
      </c>
      <c r="K87" s="27" t="s">
        <v>1</v>
      </c>
    </row>
    <row r="88" spans="2:11" ht="16.8" x14ac:dyDescent="0.35">
      <c r="B88" s="105" t="s">
        <v>693</v>
      </c>
      <c r="F88" s="102">
        <f>6.35*(F53+F60)*F98^2*F65^2/(F56)^(4/3)</f>
        <v>3.4660195399047313</v>
      </c>
      <c r="G88" s="27" t="s">
        <v>1</v>
      </c>
      <c r="J88" s="102">
        <f>6.35*(F53+F60)*F98^2*J65^2/(F56)^(4/3)</f>
        <v>2.1714185892802447</v>
      </c>
      <c r="K88" s="27" t="s">
        <v>1</v>
      </c>
    </row>
    <row r="89" spans="2:11" x14ac:dyDescent="0.3">
      <c r="B89" s="109"/>
      <c r="F89" s="102"/>
      <c r="J89" s="102"/>
    </row>
    <row r="90" spans="2:11" x14ac:dyDescent="0.3">
      <c r="B90" s="19" t="s">
        <v>129</v>
      </c>
      <c r="F90" s="92"/>
      <c r="J90" s="92"/>
    </row>
    <row r="91" spans="2:11" ht="16.8" x14ac:dyDescent="0.35">
      <c r="B91" s="105" t="s">
        <v>368</v>
      </c>
      <c r="F91" s="106">
        <f>(1-C31-D31)*6.35*F35*F96^2*F48^2/(F56)^(4/3)</f>
        <v>0</v>
      </c>
      <c r="G91" s="27" t="s">
        <v>1</v>
      </c>
      <c r="J91" s="106">
        <f>(1-C31-D31)*6.35*F35*F96^2*J48^2/(F56)^(4/3)</f>
        <v>0</v>
      </c>
      <c r="K91" s="27" t="s">
        <v>1</v>
      </c>
    </row>
    <row r="92" spans="2:11" ht="16.8" x14ac:dyDescent="0.35">
      <c r="B92" s="105" t="s">
        <v>369</v>
      </c>
      <c r="F92" s="106">
        <f>C31*6.35*F35*F97^2*F48^2/(F56)^(4/3)</f>
        <v>0</v>
      </c>
      <c r="G92" s="27" t="s">
        <v>1</v>
      </c>
      <c r="J92" s="106">
        <f>C31*6.35*F35*F97^2*J48^2/(F56)^(4/3)</f>
        <v>0</v>
      </c>
      <c r="K92" s="27" t="s">
        <v>1</v>
      </c>
    </row>
    <row r="93" spans="2:11" ht="16.8" x14ac:dyDescent="0.35">
      <c r="B93" s="105" t="s">
        <v>370</v>
      </c>
      <c r="F93" s="102">
        <f>D31*6.35*F35*F98^2*F48^2/(F56)^(4/3)</f>
        <v>0</v>
      </c>
      <c r="G93" s="27" t="s">
        <v>1</v>
      </c>
      <c r="J93" s="102">
        <f>D31*6.35*F35*F98^2*J48^2/(F56)^(4/3)</f>
        <v>0</v>
      </c>
      <c r="K93" s="27" t="s">
        <v>1</v>
      </c>
    </row>
    <row r="94" spans="2:11" ht="16.8" x14ac:dyDescent="0.35">
      <c r="B94" s="105" t="s">
        <v>693</v>
      </c>
      <c r="F94" s="102">
        <f>6.35*(F53+F60)*F98^2*F65^2/(F56)^(4/3)</f>
        <v>3.4660195399047313</v>
      </c>
      <c r="G94" s="27" t="s">
        <v>1</v>
      </c>
      <c r="J94" s="102">
        <f>6.35*(F53+F60)*F98^2*J65^2/(F56)^(4/3)*4</f>
        <v>8.6856743571209787</v>
      </c>
      <c r="K94" s="27" t="s">
        <v>1</v>
      </c>
    </row>
    <row r="95" spans="2:11" x14ac:dyDescent="0.3">
      <c r="F95" s="54"/>
    </row>
    <row r="96" spans="2:11" ht="15.6" x14ac:dyDescent="0.35">
      <c r="C96" s="27" t="s">
        <v>85</v>
      </c>
      <c r="F96" s="27">
        <v>3.5000000000000003E-2</v>
      </c>
      <c r="H96" s="27" t="s">
        <v>82</v>
      </c>
    </row>
    <row r="97" spans="1:18" ht="15.6" x14ac:dyDescent="0.35">
      <c r="C97" s="27" t="s">
        <v>86</v>
      </c>
      <c r="F97" s="27">
        <v>2.1999999999999999E-2</v>
      </c>
      <c r="H97" s="27" t="s">
        <v>82</v>
      </c>
    </row>
    <row r="98" spans="1:18" ht="15.6" x14ac:dyDescent="0.35">
      <c r="C98" s="27" t="s">
        <v>87</v>
      </c>
      <c r="F98" s="27">
        <v>1.2E-2</v>
      </c>
      <c r="H98" s="27" t="s">
        <v>82</v>
      </c>
    </row>
    <row r="100" spans="1:18" ht="15.6" x14ac:dyDescent="0.35">
      <c r="C100" t="s">
        <v>684</v>
      </c>
      <c r="F100" s="250">
        <f>F69/hsrp2rout!D14</f>
        <v>2.3558007275160052E-3</v>
      </c>
      <c r="I100" s="10" t="s">
        <v>808</v>
      </c>
      <c r="J100" s="250">
        <f>J69/hsrp2rout!D14</f>
        <v>1.4758801655540533E-3</v>
      </c>
    </row>
    <row r="102" spans="1:18" x14ac:dyDescent="0.3">
      <c r="A102" s="48" t="s">
        <v>17</v>
      </c>
      <c r="B102" s="48" t="s">
        <v>68</v>
      </c>
      <c r="C102" s="56"/>
      <c r="D102" s="56"/>
      <c r="E102" s="56"/>
      <c r="F102" s="56"/>
      <c r="G102" s="56"/>
      <c r="H102" s="56"/>
      <c r="I102" s="56"/>
      <c r="J102" s="56"/>
      <c r="K102" s="56"/>
      <c r="M102" s="46" t="s">
        <v>33</v>
      </c>
      <c r="N102" s="47"/>
      <c r="O102" s="47"/>
    </row>
    <row r="103" spans="1:18" x14ac:dyDescent="0.3">
      <c r="M103" s="58"/>
    </row>
    <row r="104" spans="1:18" x14ac:dyDescent="0.3">
      <c r="B104" s="27" t="s">
        <v>16</v>
      </c>
      <c r="C104" s="49" t="s">
        <v>79</v>
      </c>
      <c r="F104" s="34">
        <f>C7</f>
        <v>0</v>
      </c>
      <c r="G104" s="27" t="s">
        <v>1</v>
      </c>
      <c r="H104" s="5"/>
      <c r="I104" s="5"/>
      <c r="J104" s="5"/>
      <c r="K104" s="5"/>
      <c r="M104" s="51" t="s">
        <v>34</v>
      </c>
    </row>
    <row r="105" spans="1:18" ht="15.6" x14ac:dyDescent="0.35">
      <c r="B105" s="27" t="s">
        <v>27</v>
      </c>
      <c r="E105" s="27" t="s">
        <v>12</v>
      </c>
      <c r="H105" s="33"/>
      <c r="I105" s="33"/>
      <c r="J105" s="33"/>
      <c r="K105" s="33"/>
      <c r="M105" s="105" t="s">
        <v>701</v>
      </c>
      <c r="N105" s="59">
        <f>MAX(N106,N107)</f>
        <v>300.84031744476925</v>
      </c>
      <c r="O105" s="27" t="s">
        <v>39</v>
      </c>
    </row>
    <row r="106" spans="1:18" ht="15.6" x14ac:dyDescent="0.35">
      <c r="B106" s="31" t="s">
        <v>29</v>
      </c>
      <c r="C106" s="27" t="s">
        <v>26</v>
      </c>
      <c r="H106" s="33"/>
      <c r="I106" s="33"/>
      <c r="J106" s="33"/>
      <c r="K106" s="33"/>
      <c r="M106" s="16" t="s">
        <v>702</v>
      </c>
      <c r="N106" s="59">
        <f>(1000*F107+500)/400</f>
        <v>13.922846610147003</v>
      </c>
      <c r="O106" s="27" t="s">
        <v>39</v>
      </c>
    </row>
    <row r="107" spans="1:18" ht="16.8" x14ac:dyDescent="0.35">
      <c r="B107" s="31" t="s">
        <v>18</v>
      </c>
      <c r="C107" s="2" t="s">
        <v>671</v>
      </c>
      <c r="F107" s="34">
        <f>IF(iohsrp2!B17=0,IF((((4/PI()*MAX(F43,J43)/E23)^0.5)+1.2)&lt;3,3-1.2,(4/PI()*MAX(F43,J43)/F108)^0.5),iohsrp2!B17)</f>
        <v>5.0691386440588015</v>
      </c>
      <c r="G107" s="495" t="s">
        <v>1</v>
      </c>
      <c r="H107"/>
      <c r="I107"/>
      <c r="J107"/>
      <c r="K107"/>
      <c r="M107" s="16" t="s">
        <v>703</v>
      </c>
      <c r="N107" s="149">
        <f>10*(0.15+(1.3*(hsrp2rout!D5-hsrp2pwh!D185)/10)*(F107/2*100)/(3300/2))</f>
        <v>300.84031744476925</v>
      </c>
      <c r="O107" s="471" t="s">
        <v>39</v>
      </c>
      <c r="R107" s="62"/>
    </row>
    <row r="108" spans="1:18" ht="15.6" x14ac:dyDescent="0.35">
      <c r="C108" s="27" t="s">
        <v>91</v>
      </c>
      <c r="F108" s="7">
        <f>E23</f>
        <v>4.8999999999999995</v>
      </c>
      <c r="G108" s="27" t="s">
        <v>3</v>
      </c>
      <c r="M108" s="63"/>
      <c r="P108" s="60"/>
      <c r="Q108" s="61"/>
    </row>
    <row r="109" spans="1:18" ht="15.6" x14ac:dyDescent="0.35">
      <c r="E109" s="107" t="s">
        <v>366</v>
      </c>
      <c r="F109" s="110">
        <f>1/((F107^2)*PI()/(4*F43))</f>
        <v>4.8999999999999995</v>
      </c>
      <c r="G109" s="12" t="s">
        <v>3</v>
      </c>
      <c r="I109" s="107" t="s">
        <v>366</v>
      </c>
      <c r="J109" s="110">
        <f>1/((F107^2)*PI()/(4*J43))</f>
        <v>3.8783978052126193</v>
      </c>
      <c r="K109" s="12" t="s">
        <v>3</v>
      </c>
      <c r="M109" s="8" t="s">
        <v>704</v>
      </c>
      <c r="N109" s="52">
        <f>1*(N105/1000*F107*PI()*F104)*7.84</f>
        <v>0</v>
      </c>
      <c r="O109" s="27" t="s">
        <v>40</v>
      </c>
    </row>
    <row r="110" spans="1:18" x14ac:dyDescent="0.3">
      <c r="B110" s="31" t="s">
        <v>28</v>
      </c>
      <c r="C110" s="49" t="s">
        <v>20</v>
      </c>
      <c r="H110" s="33"/>
      <c r="I110" s="33"/>
      <c r="J110" s="33"/>
      <c r="K110" s="33"/>
    </row>
    <row r="111" spans="1:18" ht="15.6" x14ac:dyDescent="0.35">
      <c r="B111" s="31" t="s">
        <v>7</v>
      </c>
      <c r="C111" t="s">
        <v>669</v>
      </c>
      <c r="F111" s="34">
        <f>F107+1.2</f>
        <v>6.2691386440588017</v>
      </c>
      <c r="G111" s="27" t="s">
        <v>1</v>
      </c>
      <c r="H111" s="33"/>
      <c r="I111" s="33"/>
      <c r="J111" s="33"/>
      <c r="K111" s="33"/>
    </row>
    <row r="112" spans="1:18" ht="15.6" x14ac:dyDescent="0.35">
      <c r="C112" t="s">
        <v>670</v>
      </c>
      <c r="H112" s="29"/>
      <c r="I112" s="29"/>
      <c r="J112" s="29"/>
      <c r="K112" s="29"/>
      <c r="R112" s="57"/>
    </row>
    <row r="113" spans="1:20" s="92" customFormat="1" x14ac:dyDescent="0.3">
      <c r="A113" s="27"/>
      <c r="B113" s="27"/>
      <c r="C113" s="49"/>
      <c r="D113" s="27"/>
      <c r="E113" s="27"/>
      <c r="F113" s="27"/>
      <c r="G113" s="27"/>
      <c r="H113" s="33"/>
      <c r="I113" s="33"/>
      <c r="J113" s="33"/>
      <c r="K113" s="33"/>
      <c r="L113" s="27"/>
      <c r="M113" s="27"/>
      <c r="N113" s="27"/>
      <c r="O113" s="27"/>
      <c r="P113" s="27"/>
      <c r="Q113" s="64"/>
      <c r="R113" s="57"/>
      <c r="S113" s="27"/>
      <c r="T113" s="27"/>
    </row>
    <row r="114" spans="1:20" x14ac:dyDescent="0.3">
      <c r="C114" s="31"/>
      <c r="D114" s="35"/>
      <c r="Q114" s="64"/>
      <c r="R114" s="104"/>
      <c r="S114" s="92"/>
      <c r="T114" s="92"/>
    </row>
    <row r="115" spans="1:20" x14ac:dyDescent="0.3">
      <c r="A115" s="92"/>
      <c r="B115" s="46" t="s">
        <v>24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92"/>
      <c r="M115" s="92"/>
      <c r="N115" s="92"/>
      <c r="O115" s="92"/>
      <c r="P115" s="92"/>
      <c r="Q115" s="103"/>
    </row>
    <row r="116" spans="1:20" ht="16.8" x14ac:dyDescent="0.35">
      <c r="B116" s="11" t="s">
        <v>372</v>
      </c>
      <c r="C116" s="92"/>
      <c r="D116" s="92"/>
      <c r="E116" s="92"/>
      <c r="F116" s="106">
        <f>0.1*((MIN(F108,F109)-F65)^2/(2*9.81))</f>
        <v>8.8759448343030782E-3</v>
      </c>
      <c r="G116" t="s">
        <v>1</v>
      </c>
      <c r="J116" s="106">
        <f>0.1*(J109-J65)^2/(2*9.81)</f>
        <v>5.5606702122520078E-3</v>
      </c>
      <c r="K116" t="s">
        <v>1</v>
      </c>
    </row>
    <row r="117" spans="1:20" ht="16.8" x14ac:dyDescent="0.35">
      <c r="B117" s="96" t="s">
        <v>672</v>
      </c>
      <c r="F117" s="34">
        <f>6.35*F104*F118^2*E23^2/F107^(4/3)</f>
        <v>0</v>
      </c>
      <c r="G117" s="27" t="s">
        <v>1</v>
      </c>
      <c r="J117" s="34">
        <f>6.35*F104*F118^2*J109^2/F107^(4/3)</f>
        <v>0</v>
      </c>
      <c r="K117" s="27" t="s">
        <v>1</v>
      </c>
    </row>
    <row r="118" spans="1:20" ht="15.6" x14ac:dyDescent="0.35">
      <c r="B118" s="49"/>
      <c r="C118" s="27" t="s">
        <v>84</v>
      </c>
      <c r="F118" s="65">
        <v>0.01</v>
      </c>
    </row>
    <row r="119" spans="1:20" x14ac:dyDescent="0.3">
      <c r="B119" s="49"/>
      <c r="F119" s="65"/>
    </row>
    <row r="120" spans="1:20" ht="15.6" x14ac:dyDescent="0.35">
      <c r="B120" s="49"/>
      <c r="C120" t="s">
        <v>683</v>
      </c>
      <c r="F120" s="250">
        <f>(F116+F117)/hsrp2rout!D14</f>
        <v>5.917296556202052E-6</v>
      </c>
      <c r="I120" s="10" t="s">
        <v>808</v>
      </c>
      <c r="J120" s="250">
        <f>(J116+J117)/hsrp2rout!D14</f>
        <v>3.7071134748346718E-6</v>
      </c>
    </row>
    <row r="121" spans="1:20" x14ac:dyDescent="0.3">
      <c r="B121" s="49"/>
      <c r="F121" s="55"/>
    </row>
    <row r="122" spans="1:20" x14ac:dyDescent="0.3">
      <c r="B122" s="46" t="s">
        <v>133</v>
      </c>
      <c r="C122" s="51"/>
      <c r="D122" s="51"/>
      <c r="E122" s="47"/>
      <c r="F122" s="66"/>
      <c r="G122" s="47"/>
      <c r="H122" s="47"/>
      <c r="I122" s="47"/>
      <c r="J122" s="47"/>
      <c r="K122" s="47"/>
    </row>
    <row r="123" spans="1:20" ht="15.6" x14ac:dyDescent="0.35">
      <c r="B123" s="27" t="s">
        <v>134</v>
      </c>
      <c r="C123" s="31"/>
      <c r="D123" s="10" t="s">
        <v>673</v>
      </c>
      <c r="E123" s="96" t="s">
        <v>674</v>
      </c>
      <c r="F123" s="147">
        <f>0.3*(hsrp2rout!D5-hsrp2pwh!D185)</f>
        <v>449.7</v>
      </c>
      <c r="G123" s="471" t="s">
        <v>1</v>
      </c>
    </row>
    <row r="124" spans="1:20" ht="15.6" x14ac:dyDescent="0.35">
      <c r="B124" s="27" t="s">
        <v>135</v>
      </c>
      <c r="C124" s="31"/>
      <c r="D124" s="10" t="s">
        <v>675</v>
      </c>
      <c r="E124" s="49" t="s">
        <v>136</v>
      </c>
      <c r="F124" s="34">
        <f>IF(D127&lt;3,1/F128,1/F129)*2*(F53*F63/(PI()/4*F56^2)+F60*F63/(0.8927*F62^2)+F104*F63/(0.8927*F107^2))/9.81</f>
        <v>369.99731880939601</v>
      </c>
      <c r="G124" s="27" t="s">
        <v>1</v>
      </c>
    </row>
    <row r="125" spans="1:20" ht="15.6" x14ac:dyDescent="0.35">
      <c r="C125" s="31" t="s">
        <v>142</v>
      </c>
      <c r="D125" t="s">
        <v>676</v>
      </c>
      <c r="E125" s="49"/>
      <c r="F125" s="34"/>
      <c r="H125" s="96"/>
      <c r="I125" s="96"/>
      <c r="J125" s="96"/>
      <c r="K125" s="96"/>
    </row>
    <row r="126" spans="1:20" x14ac:dyDescent="0.3">
      <c r="C126" s="31"/>
      <c r="E126" s="49"/>
      <c r="F126" s="34"/>
    </row>
    <row r="127" spans="1:20" ht="15.6" x14ac:dyDescent="0.35">
      <c r="C127" s="27" t="s">
        <v>139</v>
      </c>
      <c r="D127" s="147">
        <f>(F53+F60+F104)/hsrp2rout!D14</f>
        <v>2.3045547285842378</v>
      </c>
      <c r="F127" s="67" t="s">
        <v>141</v>
      </c>
      <c r="G127" s="27" t="s">
        <v>140</v>
      </c>
    </row>
    <row r="128" spans="1:20" x14ac:dyDescent="0.3">
      <c r="B128"/>
      <c r="C128"/>
      <c r="D128"/>
      <c r="E128"/>
      <c r="F128" s="67">
        <v>6</v>
      </c>
      <c r="G128" s="27" t="s">
        <v>138</v>
      </c>
    </row>
    <row r="129" spans="1:16" ht="15.6" x14ac:dyDescent="0.35">
      <c r="B129"/>
      <c r="C129" t="s">
        <v>677</v>
      </c>
      <c r="D129" s="34">
        <f>IF(F124&gt;0,F62*(hsrp2tunl!F124/hsrp2tunl!F123)^0.5,F38)</f>
        <v>5.3790669623927556</v>
      </c>
      <c r="E129" t="s">
        <v>1</v>
      </c>
      <c r="F129" s="67">
        <v>10</v>
      </c>
      <c r="G129" s="27" t="s">
        <v>137</v>
      </c>
    </row>
    <row r="130" spans="1:16" ht="15.6" x14ac:dyDescent="0.35">
      <c r="C130" t="s">
        <v>678</v>
      </c>
      <c r="D130" s="102">
        <f>IF(F124&gt;0,F107*(hsrp2tunl!F124/hsrp2tunl!F123)^0.5,F107)</f>
        <v>4.5980322634757513</v>
      </c>
      <c r="E130" t="s">
        <v>1</v>
      </c>
    </row>
    <row r="131" spans="1:16" ht="15" customHeight="1" x14ac:dyDescent="0.3"/>
    <row r="132" spans="1:16" ht="15" customHeight="1" x14ac:dyDescent="0.3">
      <c r="A132" s="46" t="s">
        <v>31</v>
      </c>
      <c r="B132" s="101" t="s">
        <v>486</v>
      </c>
      <c r="C132" s="47"/>
      <c r="D132" s="47"/>
      <c r="E132" s="47"/>
      <c r="F132" s="47"/>
      <c r="G132" s="47"/>
      <c r="H132" s="47"/>
      <c r="I132" s="47"/>
      <c r="J132" s="47"/>
      <c r="K132" s="47"/>
      <c r="M132" s="101" t="s">
        <v>488</v>
      </c>
      <c r="N132" s="47"/>
      <c r="O132" s="47"/>
    </row>
    <row r="133" spans="1:16" ht="15" customHeight="1" x14ac:dyDescent="0.3"/>
    <row r="134" spans="1:16" ht="15" customHeight="1" x14ac:dyDescent="0.3">
      <c r="B134" s="27" t="s">
        <v>16</v>
      </c>
      <c r="C134" t="s">
        <v>487</v>
      </c>
      <c r="F134" s="34">
        <f>20+ROUNDUP(F107,0)</f>
        <v>26</v>
      </c>
      <c r="G134" s="27" t="s">
        <v>1</v>
      </c>
      <c r="M134" s="51" t="s">
        <v>34</v>
      </c>
    </row>
    <row r="135" spans="1:16" ht="15" customHeight="1" x14ac:dyDescent="0.35">
      <c r="B135" s="27" t="s">
        <v>27</v>
      </c>
      <c r="C135" s="27" t="s">
        <v>26</v>
      </c>
      <c r="M135" s="105" t="s">
        <v>695</v>
      </c>
      <c r="N135" s="59">
        <f>MAX(N136,N137)</f>
        <v>127.73076520166103</v>
      </c>
      <c r="O135" s="27" t="s">
        <v>39</v>
      </c>
    </row>
    <row r="136" spans="1:16" ht="15" customHeight="1" x14ac:dyDescent="0.35">
      <c r="B136" s="27" t="s">
        <v>18</v>
      </c>
      <c r="C136" t="s">
        <v>679</v>
      </c>
      <c r="F136" s="106">
        <f>IF(F107&gt;1.8,F107/F137^(3/8),(4/PI()*F43/MIN(F108,F109))^0.5/F137^(3/8))</f>
        <v>2.1376380415943008</v>
      </c>
      <c r="G136" s="12" t="s">
        <v>1</v>
      </c>
      <c r="H136"/>
      <c r="I136"/>
      <c r="J136"/>
      <c r="K136"/>
      <c r="M136" s="16" t="s">
        <v>700</v>
      </c>
      <c r="N136" s="59">
        <f>(1000*F136+500)/400</f>
        <v>6.5940951039857518</v>
      </c>
      <c r="O136" s="27" t="s">
        <v>39</v>
      </c>
    </row>
    <row r="137" spans="1:16" ht="15" customHeight="1" x14ac:dyDescent="0.35">
      <c r="C137" s="134" t="s">
        <v>737</v>
      </c>
      <c r="D137" s="29"/>
      <c r="E137" s="29"/>
      <c r="F137" s="68">
        <f>hsrp2pwh!G100</f>
        <v>10</v>
      </c>
      <c r="G137" s="472"/>
      <c r="H137" s="203"/>
      <c r="M137" s="16" t="s">
        <v>696</v>
      </c>
      <c r="N137" s="149">
        <f>10*(0.15+(1.3*(hsrp2rout!D5-hsrp2pwh!D185)/10)*(F136/2*100)/(3300/2))</f>
        <v>127.73076520166103</v>
      </c>
      <c r="O137" s="471" t="s">
        <v>39</v>
      </c>
    </row>
    <row r="138" spans="1:16" ht="15" customHeight="1" x14ac:dyDescent="0.3">
      <c r="M138" s="63"/>
    </row>
    <row r="139" spans="1:16" ht="15" customHeight="1" x14ac:dyDescent="0.35">
      <c r="B139" s="46" t="s">
        <v>24</v>
      </c>
      <c r="C139" s="47"/>
      <c r="D139" s="47"/>
      <c r="E139" s="47"/>
      <c r="F139" s="47"/>
      <c r="G139" s="47"/>
      <c r="H139" s="47"/>
      <c r="I139" s="47"/>
      <c r="J139" s="47"/>
      <c r="K139" s="47"/>
      <c r="M139" s="8" t="s">
        <v>697</v>
      </c>
      <c r="N139" s="52">
        <f>F137*(N135/1000*F136*PI()*F134)*7.84</f>
        <v>1748.5134078283616</v>
      </c>
      <c r="O139" s="27" t="s">
        <v>40</v>
      </c>
    </row>
    <row r="140" spans="1:16" ht="16.8" x14ac:dyDescent="0.35">
      <c r="B140" s="11" t="s">
        <v>357</v>
      </c>
      <c r="F140" s="106">
        <f>0.1*(MIN(F108,F109)^2/(2*9.81))</f>
        <v>0.12237512742099894</v>
      </c>
      <c r="G140" s="12" t="s">
        <v>1</v>
      </c>
      <c r="H140" s="12" t="s">
        <v>363</v>
      </c>
      <c r="I140" s="12"/>
      <c r="J140" s="106">
        <f>0.1*J109^2/(2*9.81)</f>
        <v>7.6666511393873912E-2</v>
      </c>
      <c r="K140" s="12" t="s">
        <v>1</v>
      </c>
      <c r="M140" s="36"/>
    </row>
    <row r="141" spans="1:16" ht="16.8" x14ac:dyDescent="0.35">
      <c r="B141" s="96" t="s">
        <v>680</v>
      </c>
      <c r="F141" s="34">
        <f>6.35*F134*F142^2*(hsrp2intk!B9/F137/(PI()*F136^2/4))^2/F136^(4/3)</f>
        <v>4.5522594609624246E-2</v>
      </c>
      <c r="G141" s="27" t="s">
        <v>1</v>
      </c>
      <c r="J141" s="34">
        <f>6.35*F134*F142^2*(J43/F137/(PI()*F136^2/4))^2/F136^(4/3)</f>
        <v>2.8519345326692466E-2</v>
      </c>
      <c r="K141" s="27" t="s">
        <v>1</v>
      </c>
      <c r="M141" s="488" t="s">
        <v>1193</v>
      </c>
    </row>
    <row r="142" spans="1:16" ht="15.6" x14ac:dyDescent="0.35">
      <c r="B142" s="49"/>
      <c r="C142" s="27" t="s">
        <v>84</v>
      </c>
      <c r="F142" s="65">
        <v>0.01</v>
      </c>
      <c r="J142" s="65"/>
      <c r="M142" s="8" t="s">
        <v>698</v>
      </c>
      <c r="N142" s="150">
        <f>F136</f>
        <v>2.1376380415943008</v>
      </c>
      <c r="O142" s="471" t="s">
        <v>1</v>
      </c>
    </row>
    <row r="143" spans="1:16" ht="15.6" x14ac:dyDescent="0.35">
      <c r="M143" s="8" t="s">
        <v>694</v>
      </c>
      <c r="N143" s="69">
        <f>1.3*(hsrp2rout!D5-hsrp2pwh!D185)</f>
        <v>1948.7</v>
      </c>
      <c r="O143" s="27" t="s">
        <v>1</v>
      </c>
    </row>
    <row r="144" spans="1:16" ht="16.8" x14ac:dyDescent="0.35">
      <c r="B144" s="11" t="s">
        <v>356</v>
      </c>
      <c r="F144" s="34">
        <f>0.1*((hsrp2intk!B9/F137/(PI()*F136^2/4))-(hsrp2intk!B9/F137/(PI()*N136^2/4)))^2/(2*9.81)</f>
        <v>3.0992220488865706E-2</v>
      </c>
      <c r="G144" t="s">
        <v>1</v>
      </c>
      <c r="J144" s="34">
        <f>0.1*((J43/F137/(PI()*F136^2/4))-(J43/F137/(PI()*N136^2/4)))^2/(2*9.81)</f>
        <v>1.9416244749285182E-2</v>
      </c>
      <c r="K144" t="s">
        <v>1</v>
      </c>
      <c r="M144" s="193" t="s">
        <v>699</v>
      </c>
      <c r="P144" s="71"/>
    </row>
    <row r="145" spans="1:18" ht="16.8" x14ac:dyDescent="0.35">
      <c r="B145" s="11" t="s">
        <v>355</v>
      </c>
      <c r="F145" s="34">
        <f>0.2*(hsrp2intk!B9/F137/(PI()*N142^2/4))^2/(2*9.81)</f>
        <v>7.73968263207368E-2</v>
      </c>
      <c r="G145" t="s">
        <v>1</v>
      </c>
      <c r="J145" s="34">
        <f>0.2*(J43/F137/(PI()*N142^2/4))^2/(2*9.81)</f>
        <v>4.8488159252778433E-2</v>
      </c>
      <c r="K145" t="s">
        <v>1</v>
      </c>
      <c r="M145" s="36"/>
      <c r="N145" s="10" t="s">
        <v>705</v>
      </c>
      <c r="O145" s="102">
        <f>1.25*(217*((N142/1.6)^2)*N143/203)*0.1</f>
        <v>464.77961086689322</v>
      </c>
      <c r="P145" s="118" t="s">
        <v>40</v>
      </c>
    </row>
    <row r="146" spans="1:18" x14ac:dyDescent="0.3">
      <c r="N146" s="67" t="s">
        <v>44</v>
      </c>
      <c r="O146" s="71">
        <f>2.528*(N143)^0.4*(24*N142^2+4.4*N142+12.37)*1000</f>
        <v>6877241.0606148522</v>
      </c>
      <c r="P146" s="36"/>
      <c r="Q146" s="36"/>
    </row>
    <row r="147" spans="1:18" ht="15.6" x14ac:dyDescent="0.35">
      <c r="C147" t="s">
        <v>681</v>
      </c>
      <c r="D147" s="92"/>
      <c r="E147" s="92"/>
      <c r="F147" s="250">
        <f>(F140+F141+F144+F145)/hsrp2rout!D14</f>
        <v>1.8419117922681717E-4</v>
      </c>
      <c r="G147" s="251"/>
      <c r="H147" s="252"/>
      <c r="I147" s="252"/>
      <c r="J147" s="250">
        <f>(J140+J141+J144+J145)/hsrp2rout!D14</f>
        <v>1.1539350714842E-4</v>
      </c>
      <c r="K147"/>
      <c r="M147" s="36"/>
      <c r="N147" s="36"/>
      <c r="O147" s="36"/>
      <c r="P147" s="36"/>
      <c r="Q147" s="36"/>
    </row>
    <row r="148" spans="1:18" x14ac:dyDescent="0.3">
      <c r="F148" s="252"/>
      <c r="G148" s="252"/>
      <c r="H148" s="252"/>
      <c r="I148" s="252"/>
      <c r="J148" s="252"/>
      <c r="M148" s="36"/>
      <c r="N148" s="36"/>
      <c r="O148" s="71"/>
      <c r="P148" s="36"/>
      <c r="R148" s="36"/>
    </row>
    <row r="149" spans="1:18" x14ac:dyDescent="0.3">
      <c r="A149" s="101" t="s">
        <v>1198</v>
      </c>
      <c r="B149" s="101" t="s">
        <v>1199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M149" s="36"/>
      <c r="N149" s="36"/>
      <c r="O149" s="36"/>
      <c r="P149" s="36"/>
      <c r="Q149" s="71"/>
    </row>
    <row r="150" spans="1:18" x14ac:dyDescent="0.3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N150" s="67" t="s">
        <v>76</v>
      </c>
      <c r="O150" s="71"/>
      <c r="P150" s="36" t="s">
        <v>41</v>
      </c>
    </row>
    <row r="151" spans="1:18" x14ac:dyDescent="0.3">
      <c r="A151" s="92"/>
      <c r="B151" s="101" t="s">
        <v>24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N151" s="67" t="s">
        <v>52</v>
      </c>
      <c r="O151" s="71">
        <f>O146+O150</f>
        <v>6877241.0606148522</v>
      </c>
      <c r="P151" s="36" t="s">
        <v>41</v>
      </c>
    </row>
    <row r="152" spans="1:18" ht="15.6" x14ac:dyDescent="0.35">
      <c r="A152" s="92"/>
      <c r="B152" s="92"/>
      <c r="C152" t="s">
        <v>1200</v>
      </c>
      <c r="D152" s="92"/>
      <c r="E152" s="92"/>
      <c r="F152" s="494">
        <f>hsrp2new!G21/hsrp2rout!D14</f>
        <v>7.9579823332148557E-5</v>
      </c>
      <c r="G152" s="92"/>
      <c r="H152" s="92"/>
      <c r="I152" s="92"/>
      <c r="J152" s="494">
        <f>hsrp2new!I21/hsrp2rout!D14</f>
        <v>4.9855780016697435E-5</v>
      </c>
      <c r="K152" s="92"/>
    </row>
    <row r="153" spans="1:18" x14ac:dyDescent="0.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</row>
    <row r="154" spans="1:18" ht="15.6" x14ac:dyDescent="0.35">
      <c r="C154" s="1" t="s">
        <v>682</v>
      </c>
      <c r="D154" s="1"/>
      <c r="E154" s="92"/>
      <c r="F154" s="253"/>
      <c r="G154" s="252"/>
      <c r="H154" s="252"/>
      <c r="I154" s="252"/>
      <c r="J154" s="252"/>
    </row>
    <row r="155" spans="1:18" x14ac:dyDescent="0.3">
      <c r="C155" t="s">
        <v>364</v>
      </c>
      <c r="D155" s="92"/>
      <c r="E155" s="92"/>
      <c r="F155" s="254">
        <f>IF(C5&gt;0,F120+F100+F147+F152,0)</f>
        <v>0</v>
      </c>
      <c r="G155" s="252"/>
      <c r="H155" s="252"/>
      <c r="I155" s="252"/>
      <c r="J155" s="255">
        <f>IF(C5&gt;0,J120+J100+J147+J152,0)</f>
        <v>0</v>
      </c>
    </row>
    <row r="156" spans="1:18" x14ac:dyDescent="0.3">
      <c r="C156" t="s">
        <v>365</v>
      </c>
      <c r="D156" s="92"/>
      <c r="E156" s="92"/>
      <c r="F156" s="254">
        <f>IF(C5&gt;0,0,F120+F100+F147+F152)</f>
        <v>2.6254890266311733E-3</v>
      </c>
      <c r="G156" s="252"/>
      <c r="H156" s="252"/>
      <c r="I156" s="252"/>
      <c r="J156" s="255">
        <f>IF(C5&gt;0,0,J120+J100+J147+J152)</f>
        <v>1.6448365661940053E-3</v>
      </c>
      <c r="M156" s="70"/>
      <c r="N156" s="70"/>
      <c r="O156" s="70"/>
      <c r="P156" s="70"/>
      <c r="Q156" s="76" t="s">
        <v>43</v>
      </c>
    </row>
    <row r="176" spans="1:11" x14ac:dyDescent="0.3">
      <c r="A176" s="74"/>
      <c r="H176" s="72"/>
      <c r="I176" s="72"/>
      <c r="J176" s="72"/>
      <c r="K176" s="72"/>
    </row>
    <row r="177" spans="1:11" x14ac:dyDescent="0.3">
      <c r="A177" s="74"/>
      <c r="H177" s="73"/>
      <c r="I177" s="73"/>
      <c r="J177" s="73"/>
      <c r="K177" s="73"/>
    </row>
    <row r="178" spans="1:11" x14ac:dyDescent="0.3">
      <c r="A178" s="73"/>
    </row>
    <row r="179" spans="1:11" x14ac:dyDescent="0.3">
      <c r="A179" s="73"/>
      <c r="H179" s="75"/>
      <c r="I179" s="75"/>
      <c r="J179" s="75"/>
      <c r="K179" s="75"/>
    </row>
    <row r="180" spans="1:11" x14ac:dyDescent="0.3">
      <c r="A180" s="73"/>
      <c r="H180" s="75"/>
      <c r="I180" s="75"/>
      <c r="J180" s="75"/>
      <c r="K180" s="75"/>
    </row>
    <row r="181" spans="1:11" x14ac:dyDescent="0.3">
      <c r="A181" s="73"/>
      <c r="H181" s="75"/>
      <c r="I181" s="75"/>
      <c r="J181" s="75"/>
      <c r="K181" s="75"/>
    </row>
    <row r="191" spans="1:11" x14ac:dyDescent="0.3">
      <c r="A191" s="73"/>
    </row>
  </sheetData>
  <mergeCells count="6">
    <mergeCell ref="B19:C19"/>
    <mergeCell ref="C27:D27"/>
    <mergeCell ref="B23:C23"/>
    <mergeCell ref="B20:C20"/>
    <mergeCell ref="B21:C21"/>
    <mergeCell ref="B22:C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4339" r:id="rId4">
          <objectPr defaultSize="0" autoLine="0" autoPict="0" r:id="rId5">
            <anchor moveWithCells="1">
              <from>
                <xdr:col>7</xdr:col>
                <xdr:colOff>899160</xdr:colOff>
                <xdr:row>127</xdr:row>
                <xdr:rowOff>7620</xdr:rowOff>
              </from>
              <to>
                <xdr:col>7</xdr:col>
                <xdr:colOff>1516380</xdr:colOff>
                <xdr:row>128</xdr:row>
                <xdr:rowOff>7620</xdr:rowOff>
              </to>
            </anchor>
          </objectPr>
        </oleObject>
      </mc:Choice>
      <mc:Fallback>
        <oleObject progId="Equation.2" shapeId="14339" r:id="rId4"/>
      </mc:Fallback>
    </mc:AlternateContent>
    <mc:AlternateContent xmlns:mc="http://schemas.openxmlformats.org/markup-compatibility/2006">
      <mc:Choice Requires="x14">
        <oleObject progId="Equation.2" shapeId="14340" r:id="rId6">
          <objectPr defaultSize="0" autoLine="0" autoPict="0" r:id="rId7">
            <anchor moveWithCells="1">
              <from>
                <xdr:col>7</xdr:col>
                <xdr:colOff>899160</xdr:colOff>
                <xdr:row>128</xdr:row>
                <xdr:rowOff>22860</xdr:rowOff>
              </from>
              <to>
                <xdr:col>7</xdr:col>
                <xdr:colOff>1516380</xdr:colOff>
                <xdr:row>128</xdr:row>
                <xdr:rowOff>213360</xdr:rowOff>
              </to>
            </anchor>
          </objectPr>
        </oleObject>
      </mc:Choice>
      <mc:Fallback>
        <oleObject progId="Equation.2" shapeId="14340" r:id="rId6"/>
      </mc:Fallback>
    </mc:AlternateContent>
    <mc:AlternateContent xmlns:mc="http://schemas.openxmlformats.org/markup-compatibility/2006">
      <mc:Choice Requires="x14">
        <oleObject progId="Paint.Picture" shapeId="14341" r:id="rId8">
          <objectPr defaultSize="0" r:id="rId9">
            <anchor moveWithCells="1">
              <from>
                <xdr:col>6</xdr:col>
                <xdr:colOff>38100</xdr:colOff>
                <xdr:row>2</xdr:row>
                <xdr:rowOff>53340</xdr:rowOff>
              </from>
              <to>
                <xdr:col>11</xdr:col>
                <xdr:colOff>632460</xdr:colOff>
                <xdr:row>13</xdr:row>
                <xdr:rowOff>76200</xdr:rowOff>
              </to>
            </anchor>
          </objectPr>
        </oleObject>
      </mc:Choice>
      <mc:Fallback>
        <oleObject progId="Paint.Picture" shapeId="14341" r:id="rId8"/>
      </mc:Fallback>
    </mc:AlternateContent>
    <mc:AlternateContent xmlns:mc="http://schemas.openxmlformats.org/markup-compatibility/2006">
      <mc:Choice Requires="x14">
        <oleObject progId="Paint.Picture" shapeId="14342" r:id="rId10">
          <objectPr defaultSize="0" r:id="rId11">
            <anchor moveWithCells="1">
              <from>
                <xdr:col>6</xdr:col>
                <xdr:colOff>45720</xdr:colOff>
                <xdr:row>15</xdr:row>
                <xdr:rowOff>60960</xdr:rowOff>
              </from>
              <to>
                <xdr:col>12</xdr:col>
                <xdr:colOff>1272540</xdr:colOff>
                <xdr:row>27</xdr:row>
                <xdr:rowOff>15240</xdr:rowOff>
              </to>
            </anchor>
          </objectPr>
        </oleObject>
      </mc:Choice>
      <mc:Fallback>
        <oleObject progId="Paint.Picture" shapeId="14342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C7AA-7507-4BB0-B7F8-BBED850CB750}">
  <dimension ref="A1:X721"/>
  <sheetViews>
    <sheetView workbookViewId="0">
      <selection activeCell="G16" sqref="G16"/>
    </sheetView>
  </sheetViews>
  <sheetFormatPr defaultColWidth="9.109375" defaultRowHeight="14.4" x14ac:dyDescent="0.3"/>
  <cols>
    <col min="1" max="1" width="59.33203125" style="92" bestFit="1" customWidth="1"/>
    <col min="2" max="2" width="9.109375" style="103"/>
    <col min="3" max="3" width="2.6640625" style="92" customWidth="1"/>
    <col min="4" max="4" width="12.44140625" style="92" bestFit="1" customWidth="1"/>
    <col min="5" max="5" width="6.44140625" style="92" bestFit="1" customWidth="1"/>
    <col min="6" max="6" width="6.109375" style="92" bestFit="1" customWidth="1"/>
    <col min="7" max="7" width="13.6640625" style="92" customWidth="1"/>
    <col min="8" max="8" width="7.88671875" style="92" bestFit="1" customWidth="1"/>
    <col min="9" max="16384" width="9.109375" style="92"/>
  </cols>
  <sheetData>
    <row r="1" spans="1:23" x14ac:dyDescent="0.3">
      <c r="A1" s="162" t="s">
        <v>532</v>
      </c>
      <c r="P1"/>
      <c r="Q1"/>
      <c r="R1"/>
      <c r="S1" t="s">
        <v>778</v>
      </c>
      <c r="T1"/>
      <c r="U1">
        <v>1.7999999999999999E-2</v>
      </c>
      <c r="V1" s="152" t="s">
        <v>782</v>
      </c>
      <c r="W1"/>
    </row>
    <row r="2" spans="1:23" x14ac:dyDescent="0.3">
      <c r="P2"/>
      <c r="Q2"/>
      <c r="R2"/>
      <c r="S2" t="s">
        <v>779</v>
      </c>
      <c r="T2"/>
      <c r="U2" s="222">
        <f>(1+0.85+U1*B6/B8)/(2*9.81)</f>
        <v>9.4291539245667688E-2</v>
      </c>
      <c r="V2" s="152" t="s">
        <v>248</v>
      </c>
      <c r="W2" s="96" t="s">
        <v>777</v>
      </c>
    </row>
    <row r="3" spans="1:23" x14ac:dyDescent="0.3">
      <c r="A3" s="163" t="s">
        <v>442</v>
      </c>
      <c r="P3"/>
      <c r="Q3"/>
      <c r="R3"/>
      <c r="S3" t="s">
        <v>780</v>
      </c>
      <c r="T3"/>
      <c r="U3"/>
      <c r="V3"/>
    </row>
    <row r="4" spans="1:23" x14ac:dyDescent="0.3">
      <c r="P4"/>
      <c r="Q4"/>
      <c r="R4"/>
      <c r="S4"/>
      <c r="T4"/>
      <c r="U4" s="222">
        <f>(0.2+0.85+Q10*B6/B8)/(2*9.81)</f>
        <v>5.3516819571865444E-2</v>
      </c>
      <c r="V4" s="152" t="s">
        <v>248</v>
      </c>
    </row>
    <row r="5" spans="1:23" ht="15.6" x14ac:dyDescent="0.35">
      <c r="A5" s="157" t="s">
        <v>612</v>
      </c>
      <c r="B5" s="178">
        <f>hsrp2tunl!F48</f>
        <v>1.8776977954985521</v>
      </c>
      <c r="F5" s="181" t="s">
        <v>804</v>
      </c>
      <c r="G5" s="181" t="s">
        <v>244</v>
      </c>
      <c r="H5" s="248" t="s">
        <v>805</v>
      </c>
      <c r="P5"/>
      <c r="Q5"/>
      <c r="R5"/>
      <c r="S5"/>
      <c r="T5"/>
      <c r="U5"/>
    </row>
    <row r="6" spans="1:23" ht="15.6" x14ac:dyDescent="0.35">
      <c r="A6" s="157" t="s">
        <v>613</v>
      </c>
      <c r="B6" s="178">
        <f>hsrp2tunl!$C$5</f>
        <v>0</v>
      </c>
      <c r="F6" s="182">
        <v>1</v>
      </c>
      <c r="G6" s="183">
        <f>hsrp2tunl!F79+hsrp2tunl!F80+hsrp2tunl!F81</f>
        <v>0</v>
      </c>
      <c r="H6" s="157">
        <f>(1-hsrp2tunl!C29-hsrp2tunl!D29)*hsrp2tunl!F96+hsrp2tunl!C29*hsrp2tunl!F97+hsrp2tunl!D29*hsrp2tunl!F98</f>
        <v>3.2400000000000005E-2</v>
      </c>
      <c r="P6" s="216" t="s">
        <v>768</v>
      </c>
      <c r="Q6" s="242">
        <f>ROUND(2*B6*0.8/1200,1)</f>
        <v>0</v>
      </c>
      <c r="R6" s="152"/>
      <c r="S6" s="96" t="s">
        <v>798</v>
      </c>
      <c r="T6"/>
      <c r="U6" s="96" t="s">
        <v>796</v>
      </c>
      <c r="V6"/>
    </row>
    <row r="7" spans="1:23" ht="15.6" x14ac:dyDescent="0.35">
      <c r="A7" s="179" t="s">
        <v>530</v>
      </c>
      <c r="B7" s="178">
        <f>0.8927*B8^2</f>
        <v>59.861039973634234</v>
      </c>
      <c r="F7" s="182">
        <v>2</v>
      </c>
      <c r="G7" s="183">
        <f>hsrp2tunl!F85+hsrp2tunl!F86+hsrp2tunl!F87</f>
        <v>0</v>
      </c>
      <c r="H7" s="249">
        <f>(1-hsrp2tunl!C30-hsrp2tunl!D30)*hsrp2tunl!F96+hsrp2tunl!C30*hsrp2tunl!F97+hsrp2tunl!D30*hsrp2tunl!F98</f>
        <v>1.9999999999999997E-2</v>
      </c>
      <c r="P7"/>
      <c r="Q7"/>
      <c r="R7"/>
      <c r="S7"/>
      <c r="T7"/>
      <c r="U7" s="96" t="s">
        <v>797</v>
      </c>
      <c r="V7"/>
    </row>
    <row r="8" spans="1:23" ht="15.6" x14ac:dyDescent="0.35">
      <c r="A8" s="157" t="s">
        <v>604</v>
      </c>
      <c r="B8" s="178">
        <f>hsrp2tunl!F38</f>
        <v>8.1887829776958778</v>
      </c>
      <c r="F8" s="182">
        <v>3</v>
      </c>
      <c r="G8" s="183">
        <f>hsrp2tunl!F91+hsrp2tunl!F92+hsrp2tunl!F93</f>
        <v>0</v>
      </c>
      <c r="H8" s="249">
        <f>(1-hsrp2tunl!C31-hsrp2tunl!D31)*hsrp2tunl!F96+hsrp2tunl!C31*hsrp2tunl!F97+hsrp2tunl!D31*hsrp2tunl!F98</f>
        <v>1.2E-2</v>
      </c>
      <c r="P8" s="208" t="s">
        <v>801</v>
      </c>
      <c r="Q8" s="243">
        <f>ROUND(2*3.1416*(B6*B21/(B7*9.81))^0.5,1)</f>
        <v>0</v>
      </c>
      <c r="R8" s="152"/>
      <c r="S8"/>
      <c r="T8"/>
      <c r="U8" s="96" t="s">
        <v>799</v>
      </c>
      <c r="V8"/>
    </row>
    <row r="9" spans="1:23" x14ac:dyDescent="0.3">
      <c r="A9" s="157" t="s">
        <v>531</v>
      </c>
      <c r="B9" s="178">
        <f>hsrp2tunl!F74</f>
        <v>3.5940356893171488E-2</v>
      </c>
      <c r="P9"/>
      <c r="Q9"/>
      <c r="R9"/>
      <c r="S9"/>
      <c r="T9"/>
      <c r="U9" s="96"/>
      <c r="V9"/>
    </row>
    <row r="10" spans="1:23" x14ac:dyDescent="0.3">
      <c r="A10" s="157" t="s">
        <v>533</v>
      </c>
      <c r="B10" s="178">
        <f>LOOKUP(hsrp2tunl!D26,F6:F8,G6:G8)</f>
        <v>0</v>
      </c>
      <c r="P10" s="216" t="s">
        <v>762</v>
      </c>
      <c r="Q10" s="230">
        <f>6.35*2*9.81*B16^2/((B7)^0.5)^(1/3)</f>
        <v>6.6125967472707728E-2</v>
      </c>
      <c r="R10" s="152"/>
      <c r="S10" s="96" t="s">
        <v>800</v>
      </c>
      <c r="T10"/>
      <c r="U10"/>
      <c r="V10"/>
    </row>
    <row r="11" spans="1:23" ht="16.8" x14ac:dyDescent="0.35">
      <c r="A11" s="208" t="s">
        <v>781</v>
      </c>
      <c r="B11" s="231">
        <f>0.85*B5^2/(2*9.81)</f>
        <v>0.15274651679597878</v>
      </c>
      <c r="C11" s="244"/>
      <c r="P11"/>
      <c r="Q11"/>
      <c r="R11"/>
      <c r="S11"/>
      <c r="T11"/>
      <c r="U11"/>
      <c r="V11"/>
    </row>
    <row r="12" spans="1:23" ht="15.6" x14ac:dyDescent="0.35">
      <c r="A12" s="157" t="s">
        <v>494</v>
      </c>
      <c r="B12" s="178">
        <f>iohsrp2!B26</f>
        <v>2120</v>
      </c>
      <c r="P12" s="217" t="s">
        <v>772</v>
      </c>
      <c r="Q12" s="227" t="e">
        <f>(B7/B21)*Q6</f>
        <v>#DIV/0!</v>
      </c>
      <c r="R12" s="152"/>
      <c r="S12"/>
      <c r="V12"/>
    </row>
    <row r="13" spans="1:23" ht="15.6" x14ac:dyDescent="0.35">
      <c r="A13" s="157" t="s">
        <v>495</v>
      </c>
      <c r="B13" s="178">
        <f>iohsrp2!B27</f>
        <v>2080</v>
      </c>
      <c r="P13" s="217" t="s">
        <v>767</v>
      </c>
      <c r="Q13" s="227">
        <f>IF(B20="nao",0,(9.81/B6)*Q6)</f>
        <v>0</v>
      </c>
      <c r="R13" s="152"/>
      <c r="S13"/>
      <c r="T13"/>
      <c r="U13"/>
      <c r="V13"/>
    </row>
    <row r="14" spans="1:23" x14ac:dyDescent="0.3">
      <c r="A14" s="157" t="s">
        <v>447</v>
      </c>
      <c r="B14" s="178">
        <f>hsrp2pwh!D185</f>
        <v>621</v>
      </c>
      <c r="D14" s="103"/>
      <c r="P14"/>
      <c r="Q14"/>
      <c r="R14"/>
      <c r="S14"/>
      <c r="T14"/>
      <c r="U14"/>
    </row>
    <row r="15" spans="1:23" ht="15.6" x14ac:dyDescent="0.35">
      <c r="A15" s="157" t="s">
        <v>498</v>
      </c>
      <c r="B15" s="178">
        <f>hsrp2intk!B26</f>
        <v>2067.4685627434496</v>
      </c>
      <c r="P15"/>
      <c r="Q15"/>
      <c r="R15"/>
      <c r="S15" s="172"/>
      <c r="T15"/>
      <c r="U15"/>
    </row>
    <row r="16" spans="1:23" x14ac:dyDescent="0.3">
      <c r="A16" s="179" t="s">
        <v>806</v>
      </c>
      <c r="B16" s="180">
        <f>LOOKUP(hsrp2tunl!D26,F6:F8,H6:H8)</f>
        <v>3.2400000000000005E-2</v>
      </c>
      <c r="C16" s="244"/>
      <c r="P16"/>
      <c r="Q16" s="172"/>
      <c r="R16" s="172"/>
      <c r="S16" s="172"/>
      <c r="T16"/>
      <c r="U16"/>
    </row>
    <row r="17" spans="1:24" x14ac:dyDescent="0.3">
      <c r="P17"/>
      <c r="Q17"/>
      <c r="R17"/>
      <c r="S17" s="172"/>
      <c r="T17"/>
      <c r="U17"/>
    </row>
    <row r="18" spans="1:24" x14ac:dyDescent="0.3">
      <c r="A18" s="163" t="s">
        <v>502</v>
      </c>
      <c r="P18" s="218" t="s">
        <v>763</v>
      </c>
      <c r="Q18" s="218" t="s">
        <v>769</v>
      </c>
      <c r="R18" s="218" t="s">
        <v>764</v>
      </c>
      <c r="S18" s="218" t="s">
        <v>770</v>
      </c>
      <c r="T18" s="218" t="s">
        <v>248</v>
      </c>
      <c r="U18" s="218" t="s">
        <v>771</v>
      </c>
      <c r="V18" s="247" t="s">
        <v>765</v>
      </c>
      <c r="W18" s="218" t="s">
        <v>766</v>
      </c>
      <c r="X18" s="246" t="s">
        <v>775</v>
      </c>
    </row>
    <row r="19" spans="1:24" x14ac:dyDescent="0.3">
      <c r="P19" s="218">
        <v>0</v>
      </c>
      <c r="Q19" s="219"/>
      <c r="R19" s="225">
        <f>-Q10*B6/B8*B5^2/(2*9.81)</f>
        <v>0</v>
      </c>
      <c r="S19" s="219"/>
      <c r="T19" s="225">
        <f>(B9+B10+B11)/((X19/$B$7)^2)</f>
        <v>5.3516819571865437E-2</v>
      </c>
      <c r="U19" s="219">
        <v>0</v>
      </c>
      <c r="V19" s="225">
        <f>B5</f>
        <v>1.8776977954985521</v>
      </c>
      <c r="W19" s="219"/>
      <c r="X19" s="245">
        <f>$B$7*V19</f>
        <v>112.40094279474371</v>
      </c>
    </row>
    <row r="20" spans="1:24" x14ac:dyDescent="0.3">
      <c r="A20" s="157" t="s">
        <v>527</v>
      </c>
      <c r="B20" s="158" t="str">
        <f>IF(AND(iohsrp2!B4&gt;=100,(B6/(B12-B14))&gt;6),"sim",IF(AND(iohsrp2!B4&lt;100,B6/(B12-B14)&gt;4),"sim", "nao"))</f>
        <v>nao</v>
      </c>
      <c r="P20" s="220"/>
      <c r="Q20" s="221" t="e">
        <f>$Q$12*(V19+U19/2)</f>
        <v>#DIV/0!</v>
      </c>
      <c r="R20" s="221"/>
      <c r="S20" s="221" t="e">
        <f>R19+Q20/2</f>
        <v>#DIV/0!</v>
      </c>
      <c r="T20" s="221"/>
      <c r="U20" s="221" t="e">
        <f>-$Q$13*(S20+T19*((V19+U19/2)^2))</f>
        <v>#DIV/0!</v>
      </c>
      <c r="V20" s="221" t="s">
        <v>392</v>
      </c>
      <c r="W20" s="229" t="e">
        <f>V19+U20/2</f>
        <v>#DIV/0!</v>
      </c>
      <c r="X20" s="213"/>
    </row>
    <row r="21" spans="1:24" ht="15.6" x14ac:dyDescent="0.35">
      <c r="A21" s="157" t="s">
        <v>523</v>
      </c>
      <c r="B21" s="178">
        <f>1*B5^2/(2*9.81)*(B6*B7/(((B13-B14)-B9-B10-B11)*(B9+B10+B11)))</f>
        <v>0</v>
      </c>
      <c r="C21" s="244"/>
      <c r="I21" s="157">
        <f>ROUND((B6*(0.8927*B8^2)/(0.619*B5*((iohsrp2!B26+iohsrp2!B27)/2-(iohsrp2!B37+iohsrp2!B38)/2-0.619*B5^2)))*B5^2/(2*9.81),2)</f>
        <v>0</v>
      </c>
      <c r="J21" s="241" t="s">
        <v>795</v>
      </c>
      <c r="P21" s="220">
        <f>P19+$Q$6</f>
        <v>0</v>
      </c>
      <c r="Q21" s="221"/>
      <c r="R21" s="221" t="e">
        <f>R19+Q20</f>
        <v>#DIV/0!</v>
      </c>
      <c r="S21" s="221"/>
      <c r="T21" s="221" t="e">
        <f>T19*(X21/X19)^2</f>
        <v>#DIV/0!</v>
      </c>
      <c r="U21" s="221"/>
      <c r="V21" s="221" t="e">
        <f>V19+U20</f>
        <v>#DIV/0!</v>
      </c>
      <c r="W21" s="229"/>
      <c r="X21" s="223" t="e">
        <f>$B$7*V21</f>
        <v>#DIV/0!</v>
      </c>
    </row>
    <row r="22" spans="1:24" ht="15.6" x14ac:dyDescent="0.35">
      <c r="A22" s="157" t="s">
        <v>524</v>
      </c>
      <c r="B22" s="178">
        <f>IF(B20="nao",0,ROUND(SQRT(4*B21/PI()),2))</f>
        <v>0</v>
      </c>
      <c r="J22" s="5" t="s">
        <v>802</v>
      </c>
      <c r="P22" s="220"/>
      <c r="Q22" s="221" t="e">
        <f>(V21+U20/2)*$Q$12</f>
        <v>#DIV/0!</v>
      </c>
      <c r="R22" s="221"/>
      <c r="S22" s="221" t="e">
        <f>R21+Q22/2</f>
        <v>#DIV/0!</v>
      </c>
      <c r="T22" s="221"/>
      <c r="U22" s="221" t="e">
        <f>-$Q$13*(S22+T21*((V21+U20/2)^2))</f>
        <v>#DIV/0!</v>
      </c>
      <c r="V22" s="221"/>
      <c r="W22" s="221" t="e">
        <f>V21+U22/2</f>
        <v>#DIV/0!</v>
      </c>
      <c r="X22" s="213"/>
    </row>
    <row r="23" spans="1:24" ht="15.6" x14ac:dyDescent="0.35">
      <c r="A23" s="157" t="s">
        <v>525</v>
      </c>
      <c r="B23" s="178">
        <f>IF(B20="nao",0,MAX(R19:R79)+ABS(MIN(R19:R79)))</f>
        <v>0</v>
      </c>
      <c r="C23" s="244"/>
      <c r="I23" s="178">
        <f>IF(B20="nao",0,B5*SQRT(B6*B7/(9.81*B21)))</f>
        <v>0</v>
      </c>
      <c r="J23" s="5" t="s">
        <v>803</v>
      </c>
      <c r="P23" s="220">
        <f>P21+$Q$6</f>
        <v>0</v>
      </c>
      <c r="Q23" s="221"/>
      <c r="R23" s="221" t="e">
        <f>IF(R21+Q22&lt;0,(R21+Q22)*0.8,R21+Q22)</f>
        <v>#DIV/0!</v>
      </c>
      <c r="S23" s="221"/>
      <c r="T23" s="221" t="e">
        <f>T21*(X23/X21)^2</f>
        <v>#DIV/0!</v>
      </c>
      <c r="U23" s="221"/>
      <c r="V23" s="221" t="e">
        <f>IF(AND(ABS(V21+U22)&gt;$B$5*0.8,(V21+U22)&lt;0),-$B$5*0.5,IF(AND(ABS(V21+U22)&gt;$B$5*0.8,(V21+U22)&gt;0),$B$5*0.5,V21+U22))</f>
        <v>#DIV/0!</v>
      </c>
      <c r="W23" s="229"/>
      <c r="X23" s="223" t="e">
        <f>$B$7*V23</f>
        <v>#DIV/0!</v>
      </c>
    </row>
    <row r="24" spans="1:24" ht="15.6" x14ac:dyDescent="0.35">
      <c r="A24" s="157" t="s">
        <v>526</v>
      </c>
      <c r="B24" s="178">
        <f>IF(B20="nao",0,B12+MAX(R19:R692))</f>
        <v>0</v>
      </c>
      <c r="C24" s="244"/>
      <c r="I24" s="178">
        <f>IF(B20="nao",0,B12-2/3*(B9+B10)+B23)</f>
        <v>0</v>
      </c>
      <c r="J24" s="5" t="s">
        <v>803</v>
      </c>
      <c r="P24" s="220"/>
      <c r="Q24" s="221" t="e">
        <f>(V23+U22/2)*$Q$12</f>
        <v>#DIV/0!</v>
      </c>
      <c r="R24" s="221"/>
      <c r="S24" s="221" t="e">
        <f>R23+Q24/2</f>
        <v>#DIV/0!</v>
      </c>
      <c r="T24" s="221"/>
      <c r="U24" s="221" t="e">
        <f>-$Q$13*(S24+T23*((V23+U22/2)^2))</f>
        <v>#DIV/0!</v>
      </c>
      <c r="V24" s="221"/>
      <c r="W24" s="229" t="e">
        <f>V23+U24/2</f>
        <v>#DIV/0!</v>
      </c>
      <c r="X24" s="224"/>
    </row>
    <row r="25" spans="1:24" ht="15.6" x14ac:dyDescent="0.35">
      <c r="A25" s="157" t="s">
        <v>534</v>
      </c>
      <c r="B25" s="178">
        <f>IF(B20="nao",0,B13+MIN(R19:R692))</f>
        <v>0</v>
      </c>
      <c r="C25" s="244"/>
      <c r="I25" s="178">
        <f>IF(B20="nao",0,B13+2*(B9+B10)-B23)</f>
        <v>0</v>
      </c>
      <c r="J25" s="5" t="s">
        <v>803</v>
      </c>
      <c r="P25" s="220">
        <f>P23+$Q$6</f>
        <v>0</v>
      </c>
      <c r="Q25" s="221"/>
      <c r="R25" s="221" t="e">
        <f>IF(R23+Q24&lt;0,(R23+Q24)*0.8,R23+Q24)</f>
        <v>#DIV/0!</v>
      </c>
      <c r="S25" s="221"/>
      <c r="T25" s="221" t="e">
        <f>T23*(X25/X23)^2</f>
        <v>#DIV/0!</v>
      </c>
      <c r="U25" s="221"/>
      <c r="V25" s="221" t="e">
        <f>IF(AND(ABS(V23+U24)&gt;$B$5*0.8,(V23+U24)&lt;0),-$B$5*0.5,IF(AND(ABS(V23+U24)&gt;$B$5*0.8,(V23+U24)&gt;0),$B$5*0.5,V23+U24))</f>
        <v>#DIV/0!</v>
      </c>
      <c r="W25" s="229"/>
      <c r="X25" s="223" t="e">
        <f>$B$7*V25</f>
        <v>#DIV/0!</v>
      </c>
    </row>
    <row r="26" spans="1:24" x14ac:dyDescent="0.3">
      <c r="A26" s="208" t="s">
        <v>787</v>
      </c>
      <c r="B26" s="178">
        <f>hsrp2tunl!C13</f>
        <v>2067.4685627434496</v>
      </c>
      <c r="C26" s="244"/>
      <c r="P26" s="220"/>
      <c r="Q26" s="221" t="e">
        <f>(V25+U24/2)*$Q$12</f>
        <v>#DIV/0!</v>
      </c>
      <c r="R26" s="221"/>
      <c r="S26" s="221" t="e">
        <f>R25+Q26/2</f>
        <v>#DIV/0!</v>
      </c>
      <c r="T26" s="221"/>
      <c r="U26" s="221" t="e">
        <f>-$Q$13*(S26+T25*((V25+U24/2)^2))</f>
        <v>#DIV/0!</v>
      </c>
      <c r="V26" s="221"/>
      <c r="W26" s="229" t="e">
        <f>V25+U26/2</f>
        <v>#DIV/0!</v>
      </c>
      <c r="X26" s="213"/>
    </row>
    <row r="27" spans="1:24" ht="15.6" x14ac:dyDescent="0.35">
      <c r="A27" s="157" t="s">
        <v>603</v>
      </c>
      <c r="B27" s="178">
        <f>IF(B20="nao",0,IF((B15-(0.005*B6)+B8)&gt;(B25-1),(B25-1),(B15-(0.005*B6)+B8)))</f>
        <v>0</v>
      </c>
      <c r="P27" s="220">
        <f>P25+$Q$6</f>
        <v>0</v>
      </c>
      <c r="Q27" s="221"/>
      <c r="R27" s="221" t="e">
        <f>IF(R25+Q26&lt;0,(R25+Q26)*0.8,R25+Q26)</f>
        <v>#DIV/0!</v>
      </c>
      <c r="S27" s="221"/>
      <c r="T27" s="221" t="e">
        <f>T25*(X27/X25)^2</f>
        <v>#DIV/0!</v>
      </c>
      <c r="U27" s="221"/>
      <c r="V27" s="221" t="e">
        <f>IF(AND(ABS(V25+U26)&gt;$B$5*0.8,(V25+U26)&lt;0),-$B$5*0.5,IF(AND(ABS(V25+U26)&gt;$B$5*0.8,(V25+U26)&gt;0),$B$5*0.5,V25+U26))</f>
        <v>#DIV/0!</v>
      </c>
      <c r="W27" s="229"/>
      <c r="X27" s="223" t="e">
        <f>$B$7*V27</f>
        <v>#DIV/0!</v>
      </c>
    </row>
    <row r="28" spans="1:24" x14ac:dyDescent="0.3">
      <c r="P28" s="220"/>
      <c r="Q28" s="221" t="e">
        <f>(V27+U26/2)*$Q$12</f>
        <v>#DIV/0!</v>
      </c>
      <c r="R28" s="221"/>
      <c r="S28" s="221" t="e">
        <f>R27+Q28/2</f>
        <v>#DIV/0!</v>
      </c>
      <c r="T28" s="221"/>
      <c r="U28" s="221" t="e">
        <f>-$Q$13*(S28+T27*((V27+U26/2)^2))</f>
        <v>#DIV/0!</v>
      </c>
      <c r="V28" s="221"/>
      <c r="W28" s="229" t="e">
        <f>V27+U28/2</f>
        <v>#DIV/0!</v>
      </c>
      <c r="X28" s="224"/>
    </row>
    <row r="29" spans="1:24" x14ac:dyDescent="0.3">
      <c r="D29" s="5"/>
      <c r="L29"/>
      <c r="M29"/>
      <c r="N29"/>
      <c r="O29"/>
      <c r="P29" s="220">
        <f>P27+$Q$6</f>
        <v>0</v>
      </c>
      <c r="Q29" s="221"/>
      <c r="R29" s="221" t="e">
        <f>IF(R27+Q28&lt;0,(R27+Q28)*0.8,R27+Q28)</f>
        <v>#DIV/0!</v>
      </c>
      <c r="S29" s="221"/>
      <c r="T29" s="221" t="e">
        <f>T27*(X29/X27)^2</f>
        <v>#DIV/0!</v>
      </c>
      <c r="U29" s="221"/>
      <c r="V29" s="221" t="e">
        <f>IF(AND(ABS(V27+U28)&gt;$B$5*0.8,(V27+U28)&lt;0),-$B$5*0.5,IF(AND(ABS(V27+U28)&gt;$B$5*0.8,(V27+U28)&gt;0),$B$5*0.5,V27+U28))</f>
        <v>#DIV/0!</v>
      </c>
      <c r="W29" s="229"/>
      <c r="X29" s="223" t="e">
        <f>$B$7*V29</f>
        <v>#DIV/0!</v>
      </c>
    </row>
    <row r="30" spans="1:24" x14ac:dyDescent="0.3">
      <c r="B30" s="92"/>
      <c r="L30"/>
      <c r="M30"/>
      <c r="N30"/>
      <c r="O30"/>
      <c r="P30" s="220"/>
      <c r="Q30" s="221" t="e">
        <f>(V29+U28/2)*$Q$12</f>
        <v>#DIV/0!</v>
      </c>
      <c r="R30" s="221"/>
      <c r="S30" s="221" t="e">
        <f>R29+Q30/2</f>
        <v>#DIV/0!</v>
      </c>
      <c r="T30" s="221"/>
      <c r="U30" s="221" t="e">
        <f>-$Q$13*(S30+T29*((V29+U28/2)^2))</f>
        <v>#DIV/0!</v>
      </c>
      <c r="V30" s="221"/>
      <c r="W30" s="229" t="e">
        <f>V29+U30/2</f>
        <v>#DIV/0!</v>
      </c>
      <c r="X30" s="213"/>
    </row>
    <row r="31" spans="1:24" x14ac:dyDescent="0.3">
      <c r="O31"/>
      <c r="P31" s="220">
        <f>P29+$Q$6</f>
        <v>0</v>
      </c>
      <c r="Q31" s="221"/>
      <c r="R31" s="221" t="e">
        <f>IF(R29+Q30&lt;0,(R29+Q30)*0.8,R29+Q30)</f>
        <v>#DIV/0!</v>
      </c>
      <c r="S31" s="221"/>
      <c r="T31" s="221" t="e">
        <f>T29*(X31/X29)^2</f>
        <v>#DIV/0!</v>
      </c>
      <c r="U31" s="221"/>
      <c r="V31" s="221" t="e">
        <f>IF(AND(ABS(V29+U30)&gt;$B$5*0.8,(V29+U30)&lt;0),-$B$5*0.5,IF(AND(ABS(V29+U30)&gt;$B$5*0.8,(V29+U30)&gt;0),$B$5*0.5,V29+U30))</f>
        <v>#DIV/0!</v>
      </c>
      <c r="W31" s="229"/>
      <c r="X31" s="223" t="e">
        <f>$B$7*V31</f>
        <v>#DIV/0!</v>
      </c>
    </row>
    <row r="32" spans="1:24" x14ac:dyDescent="0.3">
      <c r="O32"/>
      <c r="P32" s="220"/>
      <c r="Q32" s="221" t="e">
        <f>(V31+U30/2)*$Q$12</f>
        <v>#DIV/0!</v>
      </c>
      <c r="R32" s="221"/>
      <c r="S32" s="221" t="e">
        <f>R31+Q32/2</f>
        <v>#DIV/0!</v>
      </c>
      <c r="T32" s="221"/>
      <c r="U32" s="221" t="e">
        <f>-$Q$13*(S32+T31*((V31+U30/2)^2))</f>
        <v>#DIV/0!</v>
      </c>
      <c r="V32" s="221"/>
      <c r="W32" s="229" t="e">
        <f>V31+U32/2</f>
        <v>#DIV/0!</v>
      </c>
      <c r="X32" s="213"/>
    </row>
    <row r="33" spans="15:24" x14ac:dyDescent="0.3">
      <c r="O33"/>
      <c r="P33" s="220">
        <f>P31+$Q$6</f>
        <v>0</v>
      </c>
      <c r="Q33" s="221"/>
      <c r="R33" s="221" t="e">
        <f>IF(R31+Q32&lt;0,(R31+Q32)*0.8,R31+Q32)</f>
        <v>#DIV/0!</v>
      </c>
      <c r="S33" s="221"/>
      <c r="T33" s="221" t="e">
        <f>T31*(X33/X31)^2</f>
        <v>#DIV/0!</v>
      </c>
      <c r="U33" s="221"/>
      <c r="V33" s="221" t="e">
        <f>IF(AND(ABS(V31+U32)&gt;$B$5*0.8,(V31+U32)&lt;0),-$B$5*0.5,IF(AND(ABS(V31+U32)&gt;$B$5*0.8,(V31+U32)&gt;0),$B$5*0.5,V31+U32))</f>
        <v>#DIV/0!</v>
      </c>
      <c r="W33" s="229"/>
      <c r="X33" s="223" t="e">
        <f>$B$7*V33</f>
        <v>#DIV/0!</v>
      </c>
    </row>
    <row r="34" spans="15:24" x14ac:dyDescent="0.3">
      <c r="O34"/>
      <c r="P34" s="220"/>
      <c r="Q34" s="221" t="e">
        <f>(V33+U32/2)*$Q$12</f>
        <v>#DIV/0!</v>
      </c>
      <c r="R34" s="221"/>
      <c r="S34" s="221" t="e">
        <f>R33+Q34/2</f>
        <v>#DIV/0!</v>
      </c>
      <c r="T34" s="221"/>
      <c r="U34" s="221" t="e">
        <f>-$Q$13*(S34+T33*((V33+U32/2)^2))</f>
        <v>#DIV/0!</v>
      </c>
      <c r="V34" s="221"/>
      <c r="W34" s="229" t="e">
        <f>V33+U34/2</f>
        <v>#DIV/0!</v>
      </c>
      <c r="X34" s="224"/>
    </row>
    <row r="35" spans="15:24" x14ac:dyDescent="0.3">
      <c r="O35"/>
      <c r="P35" s="220">
        <f>P33+$Q$6</f>
        <v>0</v>
      </c>
      <c r="Q35" s="221"/>
      <c r="R35" s="221" t="e">
        <f>IF(R33+Q34&lt;0,(R33+Q34)*0.8,R33+Q34)</f>
        <v>#DIV/0!</v>
      </c>
      <c r="S35" s="221"/>
      <c r="T35" s="221" t="e">
        <f>T33*(X35/X33)^2</f>
        <v>#DIV/0!</v>
      </c>
      <c r="U35" s="221"/>
      <c r="V35" s="221" t="e">
        <f>IF(AND(ABS(V33+U34)&gt;$B$5*0.8,(V33+U34)&lt;0),-$B$5*0.5,IF(AND(ABS(V33+U34)&gt;$B$5*0.8,(V33+U34)&gt;0),$B$5*0.5,V33+U34))</f>
        <v>#DIV/0!</v>
      </c>
      <c r="W35" s="229"/>
      <c r="X35" s="223" t="e">
        <f>$B$7*V35</f>
        <v>#DIV/0!</v>
      </c>
    </row>
    <row r="36" spans="15:24" x14ac:dyDescent="0.3">
      <c r="O36"/>
      <c r="P36" s="220"/>
      <c r="Q36" s="221" t="e">
        <f>(V35+U34/2)*$Q$12</f>
        <v>#DIV/0!</v>
      </c>
      <c r="R36" s="221"/>
      <c r="S36" s="221" t="e">
        <f>R35+Q36/2</f>
        <v>#DIV/0!</v>
      </c>
      <c r="T36" s="221"/>
      <c r="U36" s="221" t="e">
        <f>-$Q$13*(S36+T35*((V35+U34/2)^2))</f>
        <v>#DIV/0!</v>
      </c>
      <c r="V36" s="221"/>
      <c r="W36" s="229" t="e">
        <f>V35+U36/2</f>
        <v>#DIV/0!</v>
      </c>
      <c r="X36" s="213"/>
    </row>
    <row r="37" spans="15:24" x14ac:dyDescent="0.3">
      <c r="O37"/>
      <c r="P37" s="220">
        <f>P35+$Q$6</f>
        <v>0</v>
      </c>
      <c r="Q37" s="221"/>
      <c r="R37" s="221" t="e">
        <f>IF(R35+Q36&lt;0,(R35+Q36)*0.8,R35+Q36)</f>
        <v>#DIV/0!</v>
      </c>
      <c r="S37" s="221"/>
      <c r="T37" s="221" t="e">
        <f>T35*(X37/X35)^2</f>
        <v>#DIV/0!</v>
      </c>
      <c r="U37" s="221"/>
      <c r="V37" s="221" t="e">
        <f>IF(AND(ABS(V35+U36)&gt;$B$5*0.8,(V35+U36)&lt;0),-$B$5*0.5,IF(AND(ABS(V35+U36)&gt;$B$5*0.8,(V35+U36)&gt;0),$B$5*0.5,V35+U36))</f>
        <v>#DIV/0!</v>
      </c>
      <c r="W37" s="229"/>
      <c r="X37" s="223" t="e">
        <f>$B$7*V37</f>
        <v>#DIV/0!</v>
      </c>
    </row>
    <row r="38" spans="15:24" x14ac:dyDescent="0.3">
      <c r="O38"/>
      <c r="P38" s="220"/>
      <c r="Q38" s="221" t="e">
        <f>(V37+U36/2)*$Q$12</f>
        <v>#DIV/0!</v>
      </c>
      <c r="R38" s="221"/>
      <c r="S38" s="221" t="e">
        <f>R37+Q38/2</f>
        <v>#DIV/0!</v>
      </c>
      <c r="T38" s="221"/>
      <c r="U38" s="221" t="e">
        <f>-$Q$13*(S38+T37*((V37+U36/2)^2))</f>
        <v>#DIV/0!</v>
      </c>
      <c r="V38" s="221"/>
      <c r="W38" s="229" t="e">
        <f>V37+U38/2</f>
        <v>#DIV/0!</v>
      </c>
      <c r="X38" s="213"/>
    </row>
    <row r="39" spans="15:24" x14ac:dyDescent="0.3">
      <c r="O39"/>
      <c r="P39" s="220">
        <f>P37+$Q$6</f>
        <v>0</v>
      </c>
      <c r="Q39" s="221"/>
      <c r="R39" s="221" t="e">
        <f>IF(R37+Q38&lt;0,(R37+Q38)*0.8,R37+Q38)</f>
        <v>#DIV/0!</v>
      </c>
      <c r="S39" s="221"/>
      <c r="T39" s="221" t="e">
        <f>T37*(X39/X37)^2</f>
        <v>#DIV/0!</v>
      </c>
      <c r="U39" s="221"/>
      <c r="V39" s="221" t="e">
        <f>IF(AND(ABS(V37+U38)&gt;$B$5*0.8,(V37+U38)&lt;0),-$B$5*0.5,IF(AND(ABS(V37+U38)&gt;$B$5*0.8,(V37+U38)&gt;0),$B$5*0.5,V37+U38))</f>
        <v>#DIV/0!</v>
      </c>
      <c r="W39" s="229"/>
      <c r="X39" s="223" t="e">
        <f>$B$7*V39</f>
        <v>#DIV/0!</v>
      </c>
    </row>
    <row r="40" spans="15:24" x14ac:dyDescent="0.3">
      <c r="O40"/>
      <c r="P40" s="220"/>
      <c r="Q40" s="221" t="e">
        <f>(V39+U38/2)*$Q$12</f>
        <v>#DIV/0!</v>
      </c>
      <c r="R40" s="221"/>
      <c r="S40" s="221" t="e">
        <f>R39+Q40/2</f>
        <v>#DIV/0!</v>
      </c>
      <c r="T40" s="221"/>
      <c r="U40" s="221" t="e">
        <f>-$Q$13*(S40+T39*((V39+U38/2)^2))</f>
        <v>#DIV/0!</v>
      </c>
      <c r="V40" s="221"/>
      <c r="W40" s="229" t="e">
        <f>V39+U40/2</f>
        <v>#DIV/0!</v>
      </c>
      <c r="X40" s="213"/>
    </row>
    <row r="41" spans="15:24" x14ac:dyDescent="0.3">
      <c r="O41"/>
      <c r="P41" s="220">
        <f>P39+$Q$6</f>
        <v>0</v>
      </c>
      <c r="Q41" s="221"/>
      <c r="R41" s="221" t="e">
        <f>IF(R39+Q40&lt;0,(R39+Q40)*0.8,R39+Q40)</f>
        <v>#DIV/0!</v>
      </c>
      <c r="S41" s="221"/>
      <c r="T41" s="221" t="e">
        <f>T39*(X41/X39)^2</f>
        <v>#DIV/0!</v>
      </c>
      <c r="U41" s="221"/>
      <c r="V41" s="221" t="e">
        <f>IF(AND(ABS(V39+U40)&gt;$B$5*0.8,(V39+U40)&lt;0),-$B$5*0.5,IF(AND(ABS(V39+U40)&gt;$B$5*0.8,(V39+U40)&gt;0),$B$5*0.5,V39+U40))</f>
        <v>#DIV/0!</v>
      </c>
      <c r="W41" s="229"/>
      <c r="X41" s="223" t="e">
        <f>$B$7*V41</f>
        <v>#DIV/0!</v>
      </c>
    </row>
    <row r="42" spans="15:24" x14ac:dyDescent="0.3">
      <c r="O42"/>
      <c r="P42" s="220"/>
      <c r="Q42" s="221" t="e">
        <f>(V41+U40/2)*$Q$12</f>
        <v>#DIV/0!</v>
      </c>
      <c r="R42" s="221"/>
      <c r="S42" s="221" t="e">
        <f>R41+Q42/2</f>
        <v>#DIV/0!</v>
      </c>
      <c r="T42" s="221"/>
      <c r="U42" s="221" t="e">
        <f>-$Q$13*(S42+T41*((V41+U40/2)^2))</f>
        <v>#DIV/0!</v>
      </c>
      <c r="V42" s="221"/>
      <c r="W42" s="229" t="e">
        <f>V41+U42/2</f>
        <v>#DIV/0!</v>
      </c>
      <c r="X42" s="213"/>
    </row>
    <row r="43" spans="15:24" x14ac:dyDescent="0.3">
      <c r="O43"/>
      <c r="P43" s="220">
        <f>P41+$Q$6</f>
        <v>0</v>
      </c>
      <c r="Q43" s="221"/>
      <c r="R43" s="221" t="e">
        <f>IF(R41+Q42&lt;0,(R41+Q42)*0.8,R41+Q42)</f>
        <v>#DIV/0!</v>
      </c>
      <c r="S43" s="221"/>
      <c r="T43" s="221" t="e">
        <f>T41*(X43/X41)^2</f>
        <v>#DIV/0!</v>
      </c>
      <c r="U43" s="221"/>
      <c r="V43" s="221" t="e">
        <f>IF(AND(ABS(V41+U42)&gt;$B$5*0.8,(V41+U42)&lt;0),-$B$5*0.5,IF(AND(ABS(V41+U42)&gt;$B$5*0.8,(V41+U42)&gt;0),$B$5*0.5,V41+U42))</f>
        <v>#DIV/0!</v>
      </c>
      <c r="W43" s="229"/>
      <c r="X43" s="223" t="e">
        <f>$B$7*V43</f>
        <v>#DIV/0!</v>
      </c>
    </row>
    <row r="44" spans="15:24" x14ac:dyDescent="0.3">
      <c r="O44"/>
      <c r="P44" s="213"/>
      <c r="Q44" s="221" t="e">
        <f>(V43+U42/2)*$Q$12</f>
        <v>#DIV/0!</v>
      </c>
      <c r="R44" s="221"/>
      <c r="S44" s="221" t="e">
        <f>R43+Q44/2</f>
        <v>#DIV/0!</v>
      </c>
      <c r="T44" s="221"/>
      <c r="U44" s="221" t="e">
        <f>-$Q$13*(S44+T43*((V43+U42/2)^2))</f>
        <v>#DIV/0!</v>
      </c>
      <c r="V44" s="221"/>
      <c r="W44" s="229" t="e">
        <f>V43+U44/2</f>
        <v>#DIV/0!</v>
      </c>
      <c r="X44" s="224"/>
    </row>
    <row r="45" spans="15:24" x14ac:dyDescent="0.3">
      <c r="P45" s="220">
        <f>P43+$Q$6</f>
        <v>0</v>
      </c>
      <c r="Q45" s="221"/>
      <c r="R45" s="221" t="e">
        <f>IF(R43+Q44&lt;0,(R43+Q44)*0.8,R43+Q44)</f>
        <v>#DIV/0!</v>
      </c>
      <c r="S45" s="221"/>
      <c r="T45" s="221" t="e">
        <f>T43*(X45/X43)^2</f>
        <v>#DIV/0!</v>
      </c>
      <c r="U45" s="221"/>
      <c r="V45" s="221" t="e">
        <f>IF(AND(ABS(V43+U44)&gt;$B$5*0.8,(V43+U44)&lt;0),-$B$5*0.5,IF(AND(ABS(V43+U44)&gt;$B$5*0.8,(V43+U44)&gt;0),$B$5*0.5,V43+U44))</f>
        <v>#DIV/0!</v>
      </c>
      <c r="W45" s="229"/>
      <c r="X45" s="223" t="e">
        <f>$B$7*V45</f>
        <v>#DIV/0!</v>
      </c>
    </row>
    <row r="46" spans="15:24" x14ac:dyDescent="0.3">
      <c r="P46" s="220"/>
      <c r="Q46" s="221" t="e">
        <f>(V45+U44/2)*$Q$12</f>
        <v>#DIV/0!</v>
      </c>
      <c r="R46" s="221"/>
      <c r="S46" s="221" t="e">
        <f>R45+Q46/2</f>
        <v>#DIV/0!</v>
      </c>
      <c r="T46" s="221"/>
      <c r="U46" s="221" t="e">
        <f>-$Q$13*(S46+T45*((V45+U44/2)^2))</f>
        <v>#DIV/0!</v>
      </c>
      <c r="V46" s="221"/>
      <c r="W46" s="229" t="e">
        <f>V45+U46/2</f>
        <v>#DIV/0!</v>
      </c>
      <c r="X46" s="213"/>
    </row>
    <row r="47" spans="15:24" x14ac:dyDescent="0.3">
      <c r="P47" s="220">
        <f>P45+$Q$6</f>
        <v>0</v>
      </c>
      <c r="Q47" s="221"/>
      <c r="R47" s="221" t="e">
        <f>IF(R45+Q46&lt;0,(R45+Q46)*0.8,R45+Q46)</f>
        <v>#DIV/0!</v>
      </c>
      <c r="S47" s="221"/>
      <c r="T47" s="221" t="e">
        <f>T45*(X47/X45)^2</f>
        <v>#DIV/0!</v>
      </c>
      <c r="U47" s="221"/>
      <c r="V47" s="221" t="e">
        <f>IF(AND(ABS(V45+U46)&gt;$B$5*0.8,(V45+U46)&lt;0),-$B$5*0.5,IF(AND(ABS(V45+U46)&gt;$B$5*0.8,(V45+U46)&gt;0),$B$5*0.5,V45+U46))</f>
        <v>#DIV/0!</v>
      </c>
      <c r="W47" s="229"/>
      <c r="X47" s="223" t="e">
        <f>$B$7*V47</f>
        <v>#DIV/0!</v>
      </c>
    </row>
    <row r="48" spans="15:24" x14ac:dyDescent="0.3">
      <c r="P48" s="213"/>
      <c r="Q48" s="221" t="e">
        <f>(V47+U46/2)*$Q$12</f>
        <v>#DIV/0!</v>
      </c>
      <c r="R48" s="221"/>
      <c r="S48" s="221" t="e">
        <f>R47+Q48/2</f>
        <v>#DIV/0!</v>
      </c>
      <c r="T48" s="221"/>
      <c r="U48" s="221" t="e">
        <f>-$Q$13*(S48+T47*((V47+U46/2)^2))</f>
        <v>#DIV/0!</v>
      </c>
      <c r="V48" s="221"/>
      <c r="W48" s="229" t="e">
        <f>V47+U48/2</f>
        <v>#DIV/0!</v>
      </c>
      <c r="X48" s="224"/>
    </row>
    <row r="49" spans="5:24" x14ac:dyDescent="0.3">
      <c r="P49" s="220">
        <f>P47+$Q$6</f>
        <v>0</v>
      </c>
      <c r="Q49" s="221"/>
      <c r="R49" s="221" t="e">
        <f>IF(R47+Q48&lt;0,(R47+Q48)*0.8,R47+Q48)</f>
        <v>#DIV/0!</v>
      </c>
      <c r="S49" s="221"/>
      <c r="T49" s="221" t="e">
        <f>T47*(X49/X47)^2</f>
        <v>#DIV/0!</v>
      </c>
      <c r="U49" s="221"/>
      <c r="V49" s="221" t="e">
        <f>IF(AND(ABS(V47+U48)&gt;$B$5*0.8,(V47+U48)&lt;0),-$B$5*0.5,IF(AND(ABS(V47+U48)&gt;$B$5*0.8,(V47+U48)&gt;0),$B$5*0.5,V47+U48))</f>
        <v>#DIV/0!</v>
      </c>
      <c r="W49" s="229"/>
      <c r="X49" s="223" t="e">
        <f>$B$7*V49</f>
        <v>#DIV/0!</v>
      </c>
    </row>
    <row r="50" spans="5:24" x14ac:dyDescent="0.3">
      <c r="P50" s="220"/>
      <c r="Q50" s="221" t="e">
        <f>(V49+U48/2)*$Q$12</f>
        <v>#DIV/0!</v>
      </c>
      <c r="R50" s="221"/>
      <c r="S50" s="221" t="e">
        <f>R49+Q50/2</f>
        <v>#DIV/0!</v>
      </c>
      <c r="T50" s="221"/>
      <c r="U50" s="221" t="e">
        <f>-$Q$13*(S50+T49*((V49+U48/2)^2))</f>
        <v>#DIV/0!</v>
      </c>
      <c r="V50" s="221"/>
      <c r="W50" s="229" t="e">
        <f>V49+U50/2</f>
        <v>#DIV/0!</v>
      </c>
      <c r="X50" s="213"/>
    </row>
    <row r="51" spans="5:24" x14ac:dyDescent="0.3">
      <c r="P51" s="220">
        <f>P49+$Q$6</f>
        <v>0</v>
      </c>
      <c r="Q51" s="221"/>
      <c r="R51" s="221" t="e">
        <f>IF(R49+Q50&lt;0,(R49+Q50)*0.8,R49+Q50)</f>
        <v>#DIV/0!</v>
      </c>
      <c r="S51" s="221"/>
      <c r="T51" s="221" t="e">
        <f>T49*(X51/X49)^2</f>
        <v>#DIV/0!</v>
      </c>
      <c r="U51" s="221"/>
      <c r="V51" s="221" t="e">
        <f>IF(AND(ABS(V49+U50)&gt;$B$5*0.8,(V49+U50)&lt;0),-$B$5*0.5,IF(AND(ABS(V49+U50)&gt;$B$5*0.8,(V49+U50)&gt;0),$B$5*0.5,V49+U50))</f>
        <v>#DIV/0!</v>
      </c>
      <c r="W51" s="229"/>
      <c r="X51" s="223" t="e">
        <f>$B$7*V51</f>
        <v>#DIV/0!</v>
      </c>
    </row>
    <row r="52" spans="5:24" x14ac:dyDescent="0.3">
      <c r="P52" s="213"/>
      <c r="Q52" s="221" t="e">
        <f>(V51+U50/2)*$Q$12</f>
        <v>#DIV/0!</v>
      </c>
      <c r="R52" s="221"/>
      <c r="S52" s="221" t="e">
        <f>R51+Q52/2</f>
        <v>#DIV/0!</v>
      </c>
      <c r="T52" s="221"/>
      <c r="U52" s="221" t="e">
        <f>-$Q$13*(S52+T51*((V51+U50/2)^2))</f>
        <v>#DIV/0!</v>
      </c>
      <c r="V52" s="221"/>
      <c r="W52" s="229" t="e">
        <f>V51+U52/2</f>
        <v>#DIV/0!</v>
      </c>
      <c r="X52" s="213"/>
    </row>
    <row r="53" spans="5:24" x14ac:dyDescent="0.3">
      <c r="P53" s="220">
        <f>P51+$Q$6</f>
        <v>0</v>
      </c>
      <c r="Q53" s="221"/>
      <c r="R53" s="221" t="e">
        <f>IF(R51+Q52&lt;0,(R51+Q52)*0.8,R51+Q52)</f>
        <v>#DIV/0!</v>
      </c>
      <c r="S53" s="221"/>
      <c r="T53" s="221" t="e">
        <f>T51*(X53/X51)^2</f>
        <v>#DIV/0!</v>
      </c>
      <c r="U53" s="221"/>
      <c r="V53" s="221" t="e">
        <f>IF(AND(ABS(V51+U52)&gt;$B$5*0.8,(V51+U52)&lt;0),-$B$5*0.5,IF(AND(ABS(V51+U52)&gt;$B$5*0.8,(V51+U52)&gt;0),$B$5*0.5,V51+U52))</f>
        <v>#DIV/0!</v>
      </c>
      <c r="W53" s="229"/>
      <c r="X53" s="223" t="e">
        <f>$B$7*V53</f>
        <v>#DIV/0!</v>
      </c>
    </row>
    <row r="54" spans="5:24" x14ac:dyDescent="0.3">
      <c r="P54" s="220"/>
      <c r="Q54" s="221" t="e">
        <f>(V53+U52/2)*$Q$12</f>
        <v>#DIV/0!</v>
      </c>
      <c r="R54" s="221"/>
      <c r="S54" s="221" t="e">
        <f>R53+Q54/2</f>
        <v>#DIV/0!</v>
      </c>
      <c r="T54" s="221"/>
      <c r="U54" s="221" t="e">
        <f>-$Q$13*(S54+T53*((V53+U52/2)^2))</f>
        <v>#DIV/0!</v>
      </c>
      <c r="V54" s="221"/>
      <c r="W54" s="229" t="e">
        <f>V53+U54/2</f>
        <v>#DIV/0!</v>
      </c>
      <c r="X54" s="224"/>
    </row>
    <row r="55" spans="5:24" x14ac:dyDescent="0.3">
      <c r="P55" s="220">
        <f>P53+$Q$6</f>
        <v>0</v>
      </c>
      <c r="Q55" s="221"/>
      <c r="R55" s="221" t="e">
        <f>IF(R53+Q54&lt;0,(R53+Q54)*0.8,R53+Q54)</f>
        <v>#DIV/0!</v>
      </c>
      <c r="S55" s="221"/>
      <c r="T55" s="221" t="e">
        <f>T53*(X55/X53)^2</f>
        <v>#DIV/0!</v>
      </c>
      <c r="U55" s="221"/>
      <c r="V55" s="221" t="e">
        <f>IF(AND(ABS(V53+U54)&gt;$B$5*0.8,(V53+U54)&lt;0),-$B$5*0.5,IF(AND(ABS(V53+U54)&gt;$B$5*0.8,(V53+U54)&gt;0),$B$5*0.5,V53+U54))</f>
        <v>#DIV/0!</v>
      </c>
      <c r="W55" s="229"/>
      <c r="X55" s="223" t="e">
        <f>$B$7*V55</f>
        <v>#DIV/0!</v>
      </c>
    </row>
    <row r="56" spans="5:24" x14ac:dyDescent="0.3">
      <c r="P56" s="213"/>
      <c r="Q56" s="221" t="e">
        <f>(V55+U54/2)*$Q$12</f>
        <v>#DIV/0!</v>
      </c>
      <c r="R56" s="221"/>
      <c r="S56" s="221" t="e">
        <f>R55+Q56/2</f>
        <v>#DIV/0!</v>
      </c>
      <c r="T56" s="221"/>
      <c r="U56" s="221" t="e">
        <f>-$Q$13*(S56+T55*((V55+U54/2)^2))</f>
        <v>#DIV/0!</v>
      </c>
      <c r="V56" s="221"/>
      <c r="W56" s="229" t="e">
        <f>V55+U56/2</f>
        <v>#DIV/0!</v>
      </c>
      <c r="X56" s="213"/>
    </row>
    <row r="57" spans="5:24" x14ac:dyDescent="0.3">
      <c r="P57" s="220">
        <f>P55+$Q$6</f>
        <v>0</v>
      </c>
      <c r="Q57" s="221"/>
      <c r="R57" s="221" t="e">
        <f>IF(R55+Q56&lt;0,(R55+Q56)*0.8,R55+Q56)</f>
        <v>#DIV/0!</v>
      </c>
      <c r="S57" s="221"/>
      <c r="T57" s="221" t="e">
        <f>T55*(X57/X55)^2</f>
        <v>#DIV/0!</v>
      </c>
      <c r="U57" s="221"/>
      <c r="V57" s="221" t="e">
        <f>IF(AND(ABS(V55+U56)&gt;$B$5*0.8,(V55+U56)&lt;0),-$B$5*0.5,IF(AND(ABS(V55+U56)&gt;$B$5*0.8,(V55+U56)&gt;0),$B$5*0.5,V55+U56))</f>
        <v>#DIV/0!</v>
      </c>
      <c r="W57" s="229"/>
      <c r="X57" s="223" t="e">
        <f>$B$7*V57</f>
        <v>#DIV/0!</v>
      </c>
    </row>
    <row r="58" spans="5:24" x14ac:dyDescent="0.3">
      <c r="P58" s="220"/>
      <c r="Q58" s="221" t="e">
        <f>(V57+U56/2)*$Q$12</f>
        <v>#DIV/0!</v>
      </c>
      <c r="R58" s="221"/>
      <c r="S58" s="221" t="e">
        <f>R57+Q58/2</f>
        <v>#DIV/0!</v>
      </c>
      <c r="T58" s="221"/>
      <c r="U58" s="221" t="e">
        <f>-$Q$13*(S58+T57*((V57+U56/2)^2))</f>
        <v>#DIV/0!</v>
      </c>
      <c r="V58" s="221"/>
      <c r="W58" s="229" t="e">
        <f>V57+U58/2</f>
        <v>#DIV/0!</v>
      </c>
      <c r="X58" s="213"/>
    </row>
    <row r="59" spans="5:24" x14ac:dyDescent="0.3">
      <c r="P59" s="220">
        <f>P57+$Q$6</f>
        <v>0</v>
      </c>
      <c r="Q59" s="221"/>
      <c r="R59" s="221" t="e">
        <f>IF(R57+Q58&lt;0,(R57+Q58)*0.8,R57+Q58)</f>
        <v>#DIV/0!</v>
      </c>
      <c r="S59" s="221"/>
      <c r="T59" s="221" t="e">
        <f>T57*(X59/X57)^2</f>
        <v>#DIV/0!</v>
      </c>
      <c r="U59" s="221"/>
      <c r="V59" s="221" t="e">
        <f>IF(AND(ABS(V57+U58)&gt;$B$5*0.8,(V57+U58)&lt;0),-$B$5*0.5,IF(AND(ABS(V57+U58)&gt;$B$5*0.8,(V57+U58)&gt;0),$B$5*0.5,V57+U58))</f>
        <v>#DIV/0!</v>
      </c>
      <c r="W59" s="229"/>
      <c r="X59" s="223" t="e">
        <f>$B$7*V59</f>
        <v>#DIV/0!</v>
      </c>
    </row>
    <row r="60" spans="5:24" x14ac:dyDescent="0.3">
      <c r="P60" s="213"/>
      <c r="Q60" s="221" t="e">
        <f>(V59+U58/2)*$Q$12</f>
        <v>#DIV/0!</v>
      </c>
      <c r="R60" s="221"/>
      <c r="S60" s="221" t="e">
        <f>R59+Q60/2</f>
        <v>#DIV/0!</v>
      </c>
      <c r="T60" s="221"/>
      <c r="U60" s="221" t="e">
        <f>-$Q$13*(S60+T59*((V59+U58/2)^2))</f>
        <v>#DIV/0!</v>
      </c>
      <c r="V60" s="221"/>
      <c r="W60" s="229" t="e">
        <f>V59+U60/2</f>
        <v>#DIV/0!</v>
      </c>
      <c r="X60" s="213"/>
    </row>
    <row r="61" spans="5:24" x14ac:dyDescent="0.3">
      <c r="K61" s="171"/>
      <c r="L61"/>
      <c r="P61" s="220">
        <f>P59+$Q$6</f>
        <v>0</v>
      </c>
      <c r="Q61" s="221"/>
      <c r="R61" s="221" t="e">
        <f>IF(R59+Q60&lt;0,(R59+Q60)*0.8,R59+Q60)</f>
        <v>#DIV/0!</v>
      </c>
      <c r="S61" s="221"/>
      <c r="T61" s="221" t="e">
        <f>T59*(X61/X59)^2</f>
        <v>#DIV/0!</v>
      </c>
      <c r="U61" s="221"/>
      <c r="V61" s="221" t="e">
        <f>IF(AND(ABS(V59+U60)&gt;$B$5*0.8,(V59+U60)&lt;0),-$B$5*0.5,IF(AND(ABS(V59+U60)&gt;$B$5*0.8,(V59+U60)&gt;0),$B$5*0.5,V59+U60))</f>
        <v>#DIV/0!</v>
      </c>
      <c r="W61" s="229"/>
      <c r="X61" s="223" t="e">
        <f>$B$7*V61</f>
        <v>#DIV/0!</v>
      </c>
    </row>
    <row r="62" spans="5:24" x14ac:dyDescent="0.3">
      <c r="H62" s="171"/>
      <c r="I62" s="171"/>
      <c r="L62"/>
      <c r="P62" s="220"/>
      <c r="Q62" s="221" t="e">
        <f>(V61+U60/2)*$Q$12</f>
        <v>#DIV/0!</v>
      </c>
      <c r="R62" s="221"/>
      <c r="S62" s="221" t="e">
        <f>R61+Q62/2</f>
        <v>#DIV/0!</v>
      </c>
      <c r="T62" s="221"/>
      <c r="U62" s="221" t="e">
        <f>-$Q$13*(S62+T61*((V61+U60/2)^2))</f>
        <v>#DIV/0!</v>
      </c>
      <c r="V62" s="221"/>
      <c r="W62" s="229" t="e">
        <f>V61+U62/2</f>
        <v>#DIV/0!</v>
      </c>
      <c r="X62" s="213"/>
    </row>
    <row r="63" spans="5:24" x14ac:dyDescent="0.3">
      <c r="E63" s="139"/>
      <c r="H63" s="171"/>
      <c r="I63" s="171"/>
      <c r="L63"/>
      <c r="P63" s="220">
        <f>P61+$Q$6</f>
        <v>0</v>
      </c>
      <c r="Q63" s="221"/>
      <c r="R63" s="221" t="e">
        <f>IF(R61+Q62&lt;0,(R61+Q62)*0.8,R61+Q62)</f>
        <v>#DIV/0!</v>
      </c>
      <c r="S63" s="221"/>
      <c r="T63" s="221" t="e">
        <f>T61*(X63/X61)^2</f>
        <v>#DIV/0!</v>
      </c>
      <c r="U63" s="221"/>
      <c r="V63" s="221" t="e">
        <f>IF(AND(ABS(V61+U62)&gt;$B$5*0.8,(V61+U62)&lt;0),-$B$5*0.5,IF(AND(ABS(V61+U62)&gt;$B$5*0.8,(V61+U62)&gt;0),$B$5*0.5,V61+U62))</f>
        <v>#DIV/0!</v>
      </c>
      <c r="W63" s="229"/>
      <c r="X63" s="223" t="e">
        <f>$B$7*V63</f>
        <v>#DIV/0!</v>
      </c>
    </row>
    <row r="64" spans="5:24" x14ac:dyDescent="0.3">
      <c r="E64" s="139"/>
      <c r="H64" s="171"/>
      <c r="I64" s="171"/>
      <c r="L64"/>
      <c r="P64" s="213"/>
      <c r="Q64" s="221" t="e">
        <f>(V63+U62/2)*$Q$12</f>
        <v>#DIV/0!</v>
      </c>
      <c r="R64" s="221"/>
      <c r="S64" s="221" t="e">
        <f>R63+Q64/2</f>
        <v>#DIV/0!</v>
      </c>
      <c r="T64" s="221"/>
      <c r="U64" s="221" t="e">
        <f>-$Q$13*(S64+T63*((V63+U62/2)^2))</f>
        <v>#DIV/0!</v>
      </c>
      <c r="V64" s="221"/>
      <c r="W64" s="229" t="e">
        <f>V63+U64/2</f>
        <v>#DIV/0!</v>
      </c>
      <c r="X64" s="224"/>
    </row>
    <row r="65" spans="2:24" x14ac:dyDescent="0.3">
      <c r="E65" s="139"/>
      <c r="H65" s="171"/>
      <c r="I65" s="171"/>
      <c r="L65"/>
      <c r="P65" s="220">
        <f>P63+$Q$6</f>
        <v>0</v>
      </c>
      <c r="Q65" s="221"/>
      <c r="R65" s="221" t="e">
        <f>IF(R63+Q64&lt;0,(R63+Q64)*0.8,R63+Q64)</f>
        <v>#DIV/0!</v>
      </c>
      <c r="S65" s="221"/>
      <c r="T65" s="221" t="e">
        <f>T63*(X65/X63)^2</f>
        <v>#DIV/0!</v>
      </c>
      <c r="U65" s="221"/>
      <c r="V65" s="221" t="e">
        <f>IF(AND(ABS(V63+U64)&gt;$B$5*0.8,(V63+U64)&lt;0),-$B$5*0.5,IF(AND(ABS(V63+U64)&gt;$B$5*0.8,(V63+U64)&gt;0),$B$5*0.5,V63+U64))</f>
        <v>#DIV/0!</v>
      </c>
      <c r="W65" s="229"/>
      <c r="X65" s="223" t="e">
        <f>$B$7*V65</f>
        <v>#DIV/0!</v>
      </c>
    </row>
    <row r="66" spans="2:24" x14ac:dyDescent="0.3">
      <c r="E66" s="139"/>
      <c r="H66" s="171"/>
      <c r="I66" s="171"/>
      <c r="L66"/>
      <c r="P66" s="220"/>
      <c r="Q66" s="221" t="e">
        <f>(V65+U64/2)*$Q$12</f>
        <v>#DIV/0!</v>
      </c>
      <c r="R66" s="221"/>
      <c r="S66" s="221" t="e">
        <f>R65+Q66/2</f>
        <v>#DIV/0!</v>
      </c>
      <c r="T66" s="221"/>
      <c r="U66" s="221" t="e">
        <f>-$Q$13*(S66+T65*((V65+U64/2)^2))</f>
        <v>#DIV/0!</v>
      </c>
      <c r="V66" s="221"/>
      <c r="W66" s="229" t="e">
        <f>V65+U66/2</f>
        <v>#DIV/0!</v>
      </c>
      <c r="X66" s="213"/>
    </row>
    <row r="67" spans="2:24" x14ac:dyDescent="0.3">
      <c r="E67" s="139"/>
      <c r="H67" s="171"/>
      <c r="I67" s="171"/>
      <c r="L67"/>
      <c r="P67" s="220">
        <f>P65+$Q$6</f>
        <v>0</v>
      </c>
      <c r="Q67" s="221"/>
      <c r="R67" s="221" t="e">
        <f>IF(R65+Q66&lt;0,(R65+Q66)*0.8,R65+Q66)</f>
        <v>#DIV/0!</v>
      </c>
      <c r="S67" s="221"/>
      <c r="T67" s="221" t="e">
        <f>T65*(X67/X65)^2</f>
        <v>#DIV/0!</v>
      </c>
      <c r="U67" s="221"/>
      <c r="V67" s="221" t="e">
        <f>IF(AND(ABS(V65+U66)&gt;$B$5*0.8,(V65+U66)&lt;0),-$B$5*0.5,IF(AND(ABS(V65+U66)&gt;$B$5*0.8,(V65+U66)&gt;0),$B$5*0.5,V65+U66))</f>
        <v>#DIV/0!</v>
      </c>
      <c r="W67" s="229"/>
      <c r="X67" s="223" t="e">
        <f>$B$7*V67</f>
        <v>#DIV/0!</v>
      </c>
    </row>
    <row r="68" spans="2:24" x14ac:dyDescent="0.3">
      <c r="E68" s="139"/>
      <c r="H68" s="171"/>
      <c r="I68" s="171"/>
      <c r="L68"/>
      <c r="P68" s="213"/>
      <c r="Q68" s="221" t="e">
        <f>(V67+U66/2)*$Q$12</f>
        <v>#DIV/0!</v>
      </c>
      <c r="R68" s="221"/>
      <c r="S68" s="221" t="e">
        <f>R67+Q68/2</f>
        <v>#DIV/0!</v>
      </c>
      <c r="T68" s="221"/>
      <c r="U68" s="221" t="e">
        <f>-$Q$13*(S68+T67*((V67+U66/2)^2))</f>
        <v>#DIV/0!</v>
      </c>
      <c r="V68" s="221"/>
      <c r="W68" s="229" t="e">
        <f>V67+U68/2</f>
        <v>#DIV/0!</v>
      </c>
      <c r="X68" s="223"/>
    </row>
    <row r="69" spans="2:24" x14ac:dyDescent="0.3">
      <c r="E69" s="139"/>
      <c r="H69" s="171"/>
      <c r="I69" s="171"/>
      <c r="L69"/>
      <c r="P69" s="220">
        <f>P67+$Q$6</f>
        <v>0</v>
      </c>
      <c r="Q69" s="221"/>
      <c r="R69" s="221" t="e">
        <f>IF(R67+Q68&lt;0,(R67+Q68)*0.8,R67+Q68)</f>
        <v>#DIV/0!</v>
      </c>
      <c r="S69" s="221"/>
      <c r="T69" s="221" t="e">
        <f>T67*(X69/X67)^2</f>
        <v>#DIV/0!</v>
      </c>
      <c r="U69" s="221"/>
      <c r="V69" s="221" t="e">
        <f>IF(AND(ABS(V67+U68)&gt;$B$5*0.8,(V67+U68)&lt;0),-$B$5*0.5,IF(AND(ABS(V67+U68)&gt;$B$5*0.8,(V67+U68)&gt;0),$B$5*0.5,V67+U68))</f>
        <v>#DIV/0!</v>
      </c>
      <c r="W69" s="229"/>
      <c r="X69" s="223" t="e">
        <f>$B$7*V69</f>
        <v>#DIV/0!</v>
      </c>
    </row>
    <row r="70" spans="2:24" x14ac:dyDescent="0.3">
      <c r="E70" s="139"/>
      <c r="H70" s="171"/>
      <c r="I70" s="171"/>
      <c r="L70"/>
      <c r="P70" s="220"/>
      <c r="Q70" s="221" t="e">
        <f>(V69+U68/2)*$Q$12</f>
        <v>#DIV/0!</v>
      </c>
      <c r="R70" s="221"/>
      <c r="S70" s="221" t="e">
        <f>R69+Q70/2</f>
        <v>#DIV/0!</v>
      </c>
      <c r="T70" s="221"/>
      <c r="U70" s="221" t="e">
        <f>-$Q$13*(S70+T69*((V69+U68/2)^2))</f>
        <v>#DIV/0!</v>
      </c>
      <c r="V70" s="221"/>
      <c r="W70" s="229" t="e">
        <f>V69+U70/2</f>
        <v>#DIV/0!</v>
      </c>
      <c r="X70" s="213"/>
    </row>
    <row r="71" spans="2:24" x14ac:dyDescent="0.3">
      <c r="E71" s="139"/>
      <c r="H71" s="171"/>
      <c r="I71" s="171"/>
      <c r="L71"/>
      <c r="P71" s="220">
        <f>P69+$Q$6</f>
        <v>0</v>
      </c>
      <c r="Q71" s="221"/>
      <c r="R71" s="221" t="e">
        <f>IF(R69+Q70&lt;0,(R69+Q70)*0.8,R69+Q70)</f>
        <v>#DIV/0!</v>
      </c>
      <c r="S71" s="221"/>
      <c r="T71" s="221" t="e">
        <f>T69*(X71/X69)^2</f>
        <v>#DIV/0!</v>
      </c>
      <c r="U71" s="221"/>
      <c r="V71" s="221" t="e">
        <f>IF(AND(ABS(V69+U70)&gt;$B$5*0.8,(V69+U70)&lt;0),-$B$5*0.5,IF(AND(ABS(V69+U70)&gt;$B$5*0.8,(V69+U70)&gt;0),$B$5*0.5,V69+U70))</f>
        <v>#DIV/0!</v>
      </c>
      <c r="W71" s="229"/>
      <c r="X71" s="223" t="e">
        <f>$B$7*V71</f>
        <v>#DIV/0!</v>
      </c>
    </row>
    <row r="72" spans="2:24" x14ac:dyDescent="0.3">
      <c r="E72" s="139"/>
      <c r="H72" s="171"/>
      <c r="I72" s="171"/>
      <c r="L72"/>
      <c r="M72"/>
      <c r="N72"/>
      <c r="P72" s="213"/>
      <c r="Q72" s="221" t="e">
        <f>(V71+U70/2)*$Q$12</f>
        <v>#DIV/0!</v>
      </c>
      <c r="R72" s="221"/>
      <c r="S72" s="221" t="e">
        <f>R71+Q72/2</f>
        <v>#DIV/0!</v>
      </c>
      <c r="T72" s="221"/>
      <c r="U72" s="221" t="e">
        <f>-$Q$13*(S72+T71*((V71+U70/2)^2))</f>
        <v>#DIV/0!</v>
      </c>
      <c r="V72" s="221"/>
      <c r="W72" s="229" t="e">
        <f>V71+U72/2</f>
        <v>#DIV/0!</v>
      </c>
      <c r="X72" s="213"/>
    </row>
    <row r="73" spans="2:24" x14ac:dyDescent="0.3">
      <c r="D73" s="173"/>
      <c r="E73" s="139"/>
      <c r="H73" s="171"/>
      <c r="I73" s="171"/>
      <c r="L73"/>
      <c r="M73"/>
      <c r="N73"/>
      <c r="P73" s="220">
        <f>P71+$Q$6</f>
        <v>0</v>
      </c>
      <c r="Q73" s="221"/>
      <c r="R73" s="221" t="e">
        <f>IF(R71+Q72&lt;0,(R71+Q72)*0.8,R71+Q72)</f>
        <v>#DIV/0!</v>
      </c>
      <c r="S73" s="221"/>
      <c r="T73" s="221" t="e">
        <f>T71*(X73/X71)^2</f>
        <v>#DIV/0!</v>
      </c>
      <c r="U73" s="221"/>
      <c r="V73" s="221" t="e">
        <f>IF(AND(ABS(V71+U72)&gt;$B$5*0.8,(V71+U72)&lt;0),-$B$5*0.5,IF(AND(ABS(V71+U72)&gt;$B$5*0.8,(V71+U72)&gt;0),$B$5*0.5,V71+U72))</f>
        <v>#DIV/0!</v>
      </c>
      <c r="W73" s="229"/>
      <c r="X73" s="223" t="e">
        <f>$B$7*V73</f>
        <v>#DIV/0!</v>
      </c>
    </row>
    <row r="74" spans="2:24" x14ac:dyDescent="0.3">
      <c r="C74" s="173"/>
      <c r="D74" s="139"/>
      <c r="E74" s="139"/>
      <c r="H74" s="171"/>
      <c r="I74" s="171"/>
      <c r="L74"/>
      <c r="M74"/>
      <c r="N74"/>
      <c r="P74" s="220"/>
      <c r="Q74" s="221" t="e">
        <f>(V73+U72/2)*$Q$12</f>
        <v>#DIV/0!</v>
      </c>
      <c r="R74" s="221"/>
      <c r="S74" s="221" t="e">
        <f>R73+Q74/2</f>
        <v>#DIV/0!</v>
      </c>
      <c r="T74" s="221"/>
      <c r="U74" s="221" t="e">
        <f>-$Q$13*(S74+T73*((V73+U72/2)^2))</f>
        <v>#DIV/0!</v>
      </c>
      <c r="V74" s="221"/>
      <c r="W74" s="221" t="e">
        <f>V73+U74/2</f>
        <v>#DIV/0!</v>
      </c>
      <c r="X74" s="224"/>
    </row>
    <row r="75" spans="2:24" x14ac:dyDescent="0.3">
      <c r="C75" s="139"/>
      <c r="D75" s="139"/>
      <c r="E75" s="139"/>
      <c r="H75" s="171"/>
      <c r="I75" s="171"/>
      <c r="L75"/>
      <c r="M75"/>
      <c r="N75"/>
      <c r="P75" s="220">
        <f>P73+$Q$6</f>
        <v>0</v>
      </c>
      <c r="Q75" s="221"/>
      <c r="R75" s="221" t="e">
        <f>IF(R73+Q74&lt;0,(R73+Q74)*0.8,R73+Q74)</f>
        <v>#DIV/0!</v>
      </c>
      <c r="S75" s="221"/>
      <c r="T75" s="221" t="e">
        <f>T73*(X75/X73)^2</f>
        <v>#DIV/0!</v>
      </c>
      <c r="U75" s="221"/>
      <c r="V75" s="221" t="e">
        <f>IF(AND(ABS(V73+U74)&gt;$B$5*0.8,(V73+U74)&lt;0),-$B$5*0.5,IF(AND(ABS(V73+U74)&gt;$B$5*0.8,(V73+U74)&gt;0),$B$5*0.5,V73+U74))</f>
        <v>#DIV/0!</v>
      </c>
      <c r="W75" s="221"/>
      <c r="X75" s="223" t="e">
        <f>$B$7*V75</f>
        <v>#DIV/0!</v>
      </c>
    </row>
    <row r="76" spans="2:24" x14ac:dyDescent="0.3">
      <c r="C76" s="139"/>
      <c r="D76" s="139"/>
      <c r="E76" s="170"/>
      <c r="H76" s="171"/>
      <c r="I76" s="171"/>
      <c r="L76"/>
      <c r="M76"/>
      <c r="N76"/>
      <c r="P76" s="213"/>
      <c r="Q76" s="221" t="e">
        <f>(V75+U74/2)*$Q$12</f>
        <v>#DIV/0!</v>
      </c>
      <c r="R76" s="221"/>
      <c r="S76" s="221" t="e">
        <f>R75+Q76/2</f>
        <v>#DIV/0!</v>
      </c>
      <c r="T76" s="221"/>
      <c r="U76" s="221" t="e">
        <f>-$Q$13*(S76+T75*((V75+U74/2)^2))</f>
        <v>#DIV/0!</v>
      </c>
      <c r="V76" s="221"/>
      <c r="W76" s="221" t="e">
        <f>V75+U76/2</f>
        <v>#DIV/0!</v>
      </c>
      <c r="X76" s="213"/>
    </row>
    <row r="77" spans="2:24" x14ac:dyDescent="0.3">
      <c r="B77" s="173"/>
      <c r="C77" s="139"/>
      <c r="H77" s="171"/>
      <c r="I77" s="171"/>
      <c r="L77"/>
      <c r="M77"/>
      <c r="N77"/>
      <c r="P77" s="220">
        <f>P75+$Q$6</f>
        <v>0</v>
      </c>
      <c r="Q77" s="221"/>
      <c r="R77" s="221" t="e">
        <f>IF(R75+Q76&lt;0,(R75+Q76)*0.8,R75+Q76)</f>
        <v>#DIV/0!</v>
      </c>
      <c r="S77" s="221"/>
      <c r="T77" s="221" t="e">
        <f>T75*(X77/X75)^2</f>
        <v>#DIV/0!</v>
      </c>
      <c r="U77" s="221"/>
      <c r="V77" s="221" t="e">
        <f>IF(AND(ABS(V75+U76)&gt;$B$5*0.8,(V75+U76)&lt;0),-$B$5*0.5,IF(AND(ABS(V75+U76)&gt;$B$5*0.8,(V75+U76)&gt;0),$B$5*0.5,V75+U76))</f>
        <v>#DIV/0!</v>
      </c>
      <c r="W77" s="221"/>
      <c r="X77" s="223" t="e">
        <f>$B$7*V77</f>
        <v>#DIV/0!</v>
      </c>
    </row>
    <row r="78" spans="2:24" x14ac:dyDescent="0.3">
      <c r="B78" s="139"/>
      <c r="L78"/>
      <c r="M78"/>
      <c r="N78"/>
      <c r="P78" s="220"/>
      <c r="Q78" s="221" t="e">
        <f>(V77+U76/2)*$Q$12</f>
        <v>#DIV/0!</v>
      </c>
      <c r="R78" s="221"/>
      <c r="S78" s="221" t="e">
        <f>R77+Q78/2</f>
        <v>#DIV/0!</v>
      </c>
      <c r="T78" s="221"/>
      <c r="U78" s="221" t="e">
        <f>-$Q$13*(S78+T77*((V77+U76/2)^2))</f>
        <v>#DIV/0!</v>
      </c>
      <c r="V78" s="221"/>
      <c r="W78" s="221" t="e">
        <f>V77+U78/2</f>
        <v>#DIV/0!</v>
      </c>
      <c r="X78" s="213"/>
    </row>
    <row r="79" spans="2:24" x14ac:dyDescent="0.3">
      <c r="B79" s="139"/>
      <c r="L79"/>
      <c r="M79"/>
      <c r="N79"/>
      <c r="P79" s="220">
        <f>P77+$Q$6</f>
        <v>0</v>
      </c>
      <c r="Q79" s="221"/>
      <c r="R79" s="221" t="e">
        <f>IF(R77+Q78&lt;0,(R77+Q78)*0.8,R77+Q78)</f>
        <v>#DIV/0!</v>
      </c>
      <c r="S79" s="221"/>
      <c r="T79" s="221" t="e">
        <f>T77*(X79/X77)^2</f>
        <v>#DIV/0!</v>
      </c>
      <c r="U79" s="221"/>
      <c r="V79" s="221" t="e">
        <f>IF(AND(ABS(V77+U78)&gt;$B$5*0.8,(V77+U78)&lt;0),-$B$5*0.5,IF(AND(ABS(V77+U78)&gt;$B$5*0.8,(V77+U78)&gt;0),$B$5*0.5,V77+U78))</f>
        <v>#DIV/0!</v>
      </c>
      <c r="W79" s="221"/>
      <c r="X79" s="223" t="e">
        <f>$B$7*V79</f>
        <v>#DIV/0!</v>
      </c>
    </row>
    <row r="80" spans="2:24" x14ac:dyDescent="0.3">
      <c r="B80" s="139"/>
      <c r="L80"/>
      <c r="M80"/>
      <c r="N80"/>
      <c r="P80" s="213"/>
      <c r="Q80" s="221" t="e">
        <f>(V79+U78/2)*$Q$12</f>
        <v>#DIV/0!</v>
      </c>
      <c r="R80" s="221"/>
      <c r="S80" s="221" t="e">
        <f>R79+Q80/2</f>
        <v>#DIV/0!</v>
      </c>
      <c r="T80" s="221"/>
      <c r="U80" s="221" t="e">
        <f>-$Q$13*(S80+T79*((V79+U78/2)^2))</f>
        <v>#DIV/0!</v>
      </c>
      <c r="V80" s="221"/>
      <c r="W80" s="221" t="e">
        <f>V79+U80/2</f>
        <v>#DIV/0!</v>
      </c>
      <c r="X80" s="213"/>
    </row>
    <row r="81" spans="12:24" x14ac:dyDescent="0.3">
      <c r="L81"/>
      <c r="M81"/>
      <c r="N81"/>
      <c r="P81" s="220">
        <f>P79+$Q$6</f>
        <v>0</v>
      </c>
      <c r="Q81" s="221"/>
      <c r="R81" s="221" t="e">
        <f>IF(R79+Q80&lt;0,(R79+Q80)*0.8,R79+Q80)</f>
        <v>#DIV/0!</v>
      </c>
      <c r="S81" s="221"/>
      <c r="T81" s="221" t="e">
        <f>T79*(X81/X79)^2</f>
        <v>#DIV/0!</v>
      </c>
      <c r="U81" s="221"/>
      <c r="V81" s="221" t="e">
        <f>IF(AND(ABS(V79+U80)&gt;$B$5*0.8,(V79+U80)&lt;0),-$B$5*0.5,IF(AND(ABS(V79+U80)&gt;$B$5*0.8,(V79+U80)&gt;0),$B$5*0.5,V79+U80))</f>
        <v>#DIV/0!</v>
      </c>
      <c r="W81" s="221"/>
      <c r="X81" s="223" t="e">
        <f>$B$7*V81</f>
        <v>#DIV/0!</v>
      </c>
    </row>
    <row r="82" spans="12:24" x14ac:dyDescent="0.3">
      <c r="L82"/>
      <c r="M82"/>
      <c r="N82"/>
      <c r="P82" s="213"/>
      <c r="Q82" s="221" t="e">
        <f>(V81+U80/2)*$Q$12</f>
        <v>#DIV/0!</v>
      </c>
      <c r="R82" s="221"/>
      <c r="S82" s="221" t="e">
        <f>R81+Q82/2</f>
        <v>#DIV/0!</v>
      </c>
      <c r="T82" s="221"/>
      <c r="U82" s="221" t="e">
        <f>-$Q$13*(S82+T81*((V81+U80/2)^2))</f>
        <v>#DIV/0!</v>
      </c>
      <c r="V82" s="221"/>
      <c r="W82" s="221" t="e">
        <f>V81+U82/2</f>
        <v>#DIV/0!</v>
      </c>
      <c r="X82" s="213"/>
    </row>
    <row r="83" spans="12:24" x14ac:dyDescent="0.3">
      <c r="L83"/>
      <c r="M83"/>
      <c r="N83"/>
      <c r="P83" s="220">
        <f>P81+$Q$6</f>
        <v>0</v>
      </c>
      <c r="Q83" s="221"/>
      <c r="R83" s="221" t="e">
        <f>IF(R81+Q82&lt;0,(R81+Q82)*0.8,R81+Q82)</f>
        <v>#DIV/0!</v>
      </c>
      <c r="S83" s="221"/>
      <c r="T83" s="221" t="e">
        <f>T81*(X83/X81)^2</f>
        <v>#DIV/0!</v>
      </c>
      <c r="U83" s="221"/>
      <c r="V83" s="221" t="e">
        <f>IF(AND(ABS(V81+U82)&gt;$B$5*0.8,(V81+U82)&lt;0),-$B$5*0.5,IF(AND(ABS(V81+U82)&gt;$B$5*0.8,(V81+U82)&gt;0),$B$5*0.5,V81+U82))</f>
        <v>#DIV/0!</v>
      </c>
      <c r="W83" s="221"/>
      <c r="X83" s="223" t="e">
        <f>$B$7*V83</f>
        <v>#DIV/0!</v>
      </c>
    </row>
    <row r="84" spans="12:24" x14ac:dyDescent="0.3">
      <c r="L84"/>
      <c r="M84"/>
      <c r="N84"/>
      <c r="P84" s="213"/>
      <c r="Q84" s="221" t="e">
        <f>(V83+U82/2)*$Q$12</f>
        <v>#DIV/0!</v>
      </c>
      <c r="R84" s="221"/>
      <c r="S84" s="221" t="e">
        <f>R83+Q84/2</f>
        <v>#DIV/0!</v>
      </c>
      <c r="T84" s="221"/>
      <c r="U84" s="221" t="e">
        <f>-$Q$13*(S84+T83*((V83+U82/2)^2))</f>
        <v>#DIV/0!</v>
      </c>
      <c r="V84" s="221"/>
      <c r="W84" s="221" t="e">
        <f>V83+U84/2</f>
        <v>#DIV/0!</v>
      </c>
      <c r="X84" s="213"/>
    </row>
    <row r="85" spans="12:24" x14ac:dyDescent="0.3">
      <c r="L85"/>
      <c r="M85"/>
      <c r="N85"/>
      <c r="P85" s="220">
        <f>P83+$Q$6</f>
        <v>0</v>
      </c>
      <c r="Q85" s="221"/>
      <c r="R85" s="221" t="e">
        <f>IF(R83+Q84&lt;0,(R83+Q84)*0.8,R83+Q84)</f>
        <v>#DIV/0!</v>
      </c>
      <c r="S85" s="221"/>
      <c r="T85" s="221" t="e">
        <f>T83*(X85/X83)^2</f>
        <v>#DIV/0!</v>
      </c>
      <c r="U85" s="221"/>
      <c r="V85" s="221" t="e">
        <f>IF(AND(ABS(V83+U84)&gt;$B$5*0.8,(V83+U84)&lt;0),-$B$5*0.5,IF(AND(ABS(V83+U84)&gt;$B$5*0.8,(V83+U84)&gt;0),$B$5*0.5,V83+U84))</f>
        <v>#DIV/0!</v>
      </c>
      <c r="W85" s="221"/>
      <c r="X85" s="223" t="e">
        <f>$B$7*V85</f>
        <v>#DIV/0!</v>
      </c>
    </row>
    <row r="86" spans="12:24" x14ac:dyDescent="0.3">
      <c r="L86"/>
      <c r="M86"/>
      <c r="N86"/>
      <c r="P86" s="213"/>
      <c r="Q86" s="221" t="e">
        <f>(V85+U84/2)*$Q$12</f>
        <v>#DIV/0!</v>
      </c>
      <c r="R86" s="221"/>
      <c r="S86" s="221" t="e">
        <f>R85+Q86/2</f>
        <v>#DIV/0!</v>
      </c>
      <c r="T86" s="221"/>
      <c r="U86" s="221" t="e">
        <f>-$Q$13*(S86+T85*((V85+U84/2)^2))</f>
        <v>#DIV/0!</v>
      </c>
      <c r="V86" s="221"/>
      <c r="W86" s="221" t="e">
        <f>V85+U86/2</f>
        <v>#DIV/0!</v>
      </c>
      <c r="X86" s="213"/>
    </row>
    <row r="87" spans="12:24" x14ac:dyDescent="0.3">
      <c r="L87"/>
      <c r="M87"/>
      <c r="N87"/>
      <c r="P87" s="220">
        <f>P85+$Q$6</f>
        <v>0</v>
      </c>
      <c r="Q87" s="221"/>
      <c r="R87" s="221" t="e">
        <f>IF(R85+Q86&lt;0,(R85+Q86)*0.8,R85+Q86)</f>
        <v>#DIV/0!</v>
      </c>
      <c r="S87" s="221"/>
      <c r="T87" s="221" t="e">
        <f>T85*(X87/X85)^2</f>
        <v>#DIV/0!</v>
      </c>
      <c r="U87" s="221"/>
      <c r="V87" s="221" t="e">
        <f>IF(AND(ABS(V85+U86)&gt;$B$5*0.8,(V85+U86)&lt;0),-$B$5*0.5,IF(AND(ABS(V85+U86)&gt;$B$5*0.8,(V85+U86)&gt;0),$B$5*0.5,V85+U86))</f>
        <v>#DIV/0!</v>
      </c>
      <c r="W87" s="221"/>
      <c r="X87" s="223" t="e">
        <f>$B$7*V87</f>
        <v>#DIV/0!</v>
      </c>
    </row>
    <row r="88" spans="12:24" x14ac:dyDescent="0.3">
      <c r="L88"/>
      <c r="M88"/>
      <c r="N88"/>
      <c r="P88" s="213"/>
      <c r="Q88" s="221" t="e">
        <f>(V87+U86/2)*$Q$12</f>
        <v>#DIV/0!</v>
      </c>
      <c r="R88" s="221"/>
      <c r="S88" s="221" t="e">
        <f>R87+Q88/2</f>
        <v>#DIV/0!</v>
      </c>
      <c r="T88" s="221"/>
      <c r="U88" s="221" t="e">
        <f>-$Q$13*(S88+T87*((V87+U86/2)^2))</f>
        <v>#DIV/0!</v>
      </c>
      <c r="V88" s="221"/>
      <c r="W88" s="221" t="e">
        <f>V87+U88/2</f>
        <v>#DIV/0!</v>
      </c>
      <c r="X88" s="213"/>
    </row>
    <row r="89" spans="12:24" x14ac:dyDescent="0.3">
      <c r="L89"/>
      <c r="M89"/>
      <c r="N89"/>
      <c r="O89"/>
      <c r="P89" s="220">
        <f>P87+$Q$6</f>
        <v>0</v>
      </c>
      <c r="Q89" s="221"/>
      <c r="R89" s="221" t="e">
        <f>IF(R87+Q88&lt;0,(R87+Q88)*0.8,R87+Q88)</f>
        <v>#DIV/0!</v>
      </c>
      <c r="S89" s="221"/>
      <c r="T89" s="221" t="e">
        <f>T87*(X89/X87)^2</f>
        <v>#DIV/0!</v>
      </c>
      <c r="U89" s="221"/>
      <c r="V89" s="221" t="e">
        <f>IF(AND(ABS(V87+U88)&gt;$B$5*0.8,(V87+U88)&lt;0),-$B$5*0.5,IF(AND(ABS(V87+U88)&gt;$B$5*0.8,(V87+U88)&gt;0),$B$5*0.5,V87+U88))</f>
        <v>#DIV/0!</v>
      </c>
      <c r="W89" s="221"/>
      <c r="X89" s="223" t="e">
        <f>$B$7*V89</f>
        <v>#DIV/0!</v>
      </c>
    </row>
    <row r="90" spans="12:24" x14ac:dyDescent="0.3">
      <c r="L90"/>
      <c r="M90"/>
      <c r="N90"/>
      <c r="O90"/>
      <c r="P90" s="213"/>
      <c r="Q90" s="221" t="e">
        <f>(V89+U88/2)*$Q$12</f>
        <v>#DIV/0!</v>
      </c>
      <c r="R90" s="221"/>
      <c r="S90" s="221" t="e">
        <f>R89+Q90/2</f>
        <v>#DIV/0!</v>
      </c>
      <c r="T90" s="221"/>
      <c r="U90" s="221" t="e">
        <f>-$Q$13*(S90+T89*((V89+U88/2)^2))</f>
        <v>#DIV/0!</v>
      </c>
      <c r="V90" s="221"/>
      <c r="W90" s="221" t="e">
        <f>V89+U90/2</f>
        <v>#DIV/0!</v>
      </c>
      <c r="X90" s="213"/>
    </row>
    <row r="91" spans="12:24" x14ac:dyDescent="0.3">
      <c r="L91"/>
      <c r="M91"/>
      <c r="N91"/>
      <c r="O91"/>
      <c r="P91" s="220">
        <f>P89+$Q$6</f>
        <v>0</v>
      </c>
      <c r="Q91" s="221"/>
      <c r="R91" s="221" t="e">
        <f>IF(R89+Q90&lt;0,(R89+Q90)*0.8,R89+Q90)</f>
        <v>#DIV/0!</v>
      </c>
      <c r="S91" s="221"/>
      <c r="T91" s="221" t="e">
        <f>T89*(X91/X89)^2</f>
        <v>#DIV/0!</v>
      </c>
      <c r="U91" s="221"/>
      <c r="V91" s="221" t="e">
        <f>IF(AND(ABS(V89+U90)&gt;$B$5*0.8,(V89+U90)&lt;0),-$B$5*0.5,IF(AND(ABS(V89+U90)&gt;$B$5*0.8,(V89+U90)&gt;0),$B$5*0.5,V89+U90))</f>
        <v>#DIV/0!</v>
      </c>
      <c r="W91" s="221"/>
      <c r="X91" s="223" t="e">
        <f>$B$7*V91</f>
        <v>#DIV/0!</v>
      </c>
    </row>
    <row r="92" spans="12:24" x14ac:dyDescent="0.3">
      <c r="L92"/>
      <c r="M92"/>
      <c r="N92"/>
      <c r="O92"/>
      <c r="P92" s="213"/>
      <c r="Q92" s="221" t="e">
        <f>(V91+U90/2)*$Q$12</f>
        <v>#DIV/0!</v>
      </c>
      <c r="R92" s="221"/>
      <c r="S92" s="221" t="e">
        <f>R91+Q92/2</f>
        <v>#DIV/0!</v>
      </c>
      <c r="T92" s="221"/>
      <c r="U92" s="221" t="e">
        <f>-$Q$13*(S92+T91*((V91+U90/2)^2))</f>
        <v>#DIV/0!</v>
      </c>
      <c r="V92" s="221"/>
      <c r="W92" s="221" t="e">
        <f>V91+U92/2</f>
        <v>#DIV/0!</v>
      </c>
      <c r="X92" s="213"/>
    </row>
    <row r="93" spans="12:24" x14ac:dyDescent="0.3">
      <c r="L93"/>
      <c r="M93"/>
      <c r="N93"/>
      <c r="O93"/>
      <c r="P93" s="220">
        <f>P91+$Q$6</f>
        <v>0</v>
      </c>
      <c r="Q93" s="221"/>
      <c r="R93" s="221" t="e">
        <f>IF(R91+Q92&lt;0,(R91+Q92)*0.8,R91+Q92)</f>
        <v>#DIV/0!</v>
      </c>
      <c r="S93" s="221"/>
      <c r="T93" s="221" t="e">
        <f>T91*(X93/X91)^2</f>
        <v>#DIV/0!</v>
      </c>
      <c r="U93" s="221"/>
      <c r="V93" s="221" t="e">
        <f>IF(AND(ABS(V91+U92)&gt;$B$5*0.8,(V91+U92)&lt;0),-$B$5*0.5,IF(AND(ABS(V91+U92)&gt;$B$5*0.8,(V91+U92)&gt;0),$B$5*0.5,V91+U92))</f>
        <v>#DIV/0!</v>
      </c>
      <c r="W93" s="221"/>
      <c r="X93" s="223" t="e">
        <f>$B$7*V93</f>
        <v>#DIV/0!</v>
      </c>
    </row>
    <row r="94" spans="12:24" x14ac:dyDescent="0.3">
      <c r="L94"/>
      <c r="M94"/>
      <c r="N94"/>
      <c r="O94"/>
      <c r="P94" s="213"/>
      <c r="Q94" s="221" t="e">
        <f>(V93+U92/2)*$Q$12</f>
        <v>#DIV/0!</v>
      </c>
      <c r="R94" s="221"/>
      <c r="S94" s="221" t="e">
        <f>R93+Q94/2</f>
        <v>#DIV/0!</v>
      </c>
      <c r="T94" s="221"/>
      <c r="U94" s="221" t="e">
        <f>-$Q$13*(S94+T93*((V93+U92/2)^2))</f>
        <v>#DIV/0!</v>
      </c>
      <c r="V94" s="221"/>
      <c r="W94" s="221" t="e">
        <f>V93+U94/2</f>
        <v>#DIV/0!</v>
      </c>
      <c r="X94" s="213"/>
    </row>
    <row r="95" spans="12:24" x14ac:dyDescent="0.3">
      <c r="L95"/>
      <c r="M95"/>
      <c r="N95"/>
      <c r="O95"/>
      <c r="P95" s="220">
        <f>P93+$Q$6</f>
        <v>0</v>
      </c>
      <c r="Q95" s="221"/>
      <c r="R95" s="221" t="e">
        <f>IF(R93+Q94&lt;0,(R93+Q94)*0.8,R93+Q94)</f>
        <v>#DIV/0!</v>
      </c>
      <c r="S95" s="221"/>
      <c r="T95" s="221" t="e">
        <f>T93*(X95/X93)^2</f>
        <v>#DIV/0!</v>
      </c>
      <c r="U95" s="221"/>
      <c r="V95" s="221" t="e">
        <f>IF(AND(ABS(V93+U94)&gt;$B$5*0.8,(V93+U94)&lt;0),-$B$5*0.5,IF(AND(ABS(V93+U94)&gt;$B$5*0.8,(V93+U94)&gt;0),$B$5*0.5,V93+U94))</f>
        <v>#DIV/0!</v>
      </c>
      <c r="W95" s="221"/>
      <c r="X95" s="223" t="e">
        <f>$B$7*V95</f>
        <v>#DIV/0!</v>
      </c>
    </row>
    <row r="96" spans="12:24" x14ac:dyDescent="0.3">
      <c r="L96"/>
      <c r="M96"/>
      <c r="N96"/>
      <c r="O96"/>
      <c r="P96" s="213"/>
      <c r="Q96" s="221" t="e">
        <f>(V95+U94/2)*$Q$12</f>
        <v>#DIV/0!</v>
      </c>
      <c r="R96" s="221"/>
      <c r="S96" s="221" t="e">
        <f>R95+Q96/2</f>
        <v>#DIV/0!</v>
      </c>
      <c r="T96" s="221"/>
      <c r="U96" s="221" t="e">
        <f>-$Q$13*(S96+T95*((V95+U94/2)^2))</f>
        <v>#DIV/0!</v>
      </c>
      <c r="V96" s="221"/>
      <c r="W96" s="221" t="e">
        <f>V95+U96/2</f>
        <v>#DIV/0!</v>
      </c>
      <c r="X96" s="213"/>
    </row>
    <row r="97" spans="12:24" x14ac:dyDescent="0.3">
      <c r="L97"/>
      <c r="M97"/>
      <c r="N97"/>
      <c r="O97"/>
      <c r="P97" s="220">
        <f>P95+$Q$6</f>
        <v>0</v>
      </c>
      <c r="Q97" s="221"/>
      <c r="R97" s="221" t="e">
        <f>IF(R95+Q96&lt;0,(R95+Q96)*0.8,R95+Q96)</f>
        <v>#DIV/0!</v>
      </c>
      <c r="S97" s="221"/>
      <c r="T97" s="221" t="e">
        <f>T95*(X97/X95)^2</f>
        <v>#DIV/0!</v>
      </c>
      <c r="U97" s="221"/>
      <c r="V97" s="221" t="e">
        <f>IF(AND(ABS(V95+U96)&gt;$B$5*0.8,(V95+U96)&lt;0),-$B$5*0.5,IF(AND(ABS(V95+U96)&gt;$B$5*0.8,(V95+U96)&gt;0),$B$5*0.5,V95+U96))</f>
        <v>#DIV/0!</v>
      </c>
      <c r="W97" s="221"/>
      <c r="X97" s="223" t="e">
        <f>$B$7*V97</f>
        <v>#DIV/0!</v>
      </c>
    </row>
    <row r="98" spans="12:24" x14ac:dyDescent="0.3">
      <c r="L98"/>
      <c r="M98"/>
      <c r="N98"/>
      <c r="O98"/>
      <c r="P98" s="213"/>
      <c r="Q98" s="221" t="e">
        <f>(V97+U96/2)*$Q$12</f>
        <v>#DIV/0!</v>
      </c>
      <c r="R98" s="221"/>
      <c r="S98" s="221" t="e">
        <f>R97+Q98/2</f>
        <v>#DIV/0!</v>
      </c>
      <c r="T98" s="221"/>
      <c r="U98" s="221" t="e">
        <f>-$Q$13*(S98+T97*((V97+U96/2)^2))</f>
        <v>#DIV/0!</v>
      </c>
      <c r="V98" s="221"/>
      <c r="W98" s="221" t="e">
        <f>V97+U98/2</f>
        <v>#DIV/0!</v>
      </c>
      <c r="X98" s="213"/>
    </row>
    <row r="99" spans="12:24" x14ac:dyDescent="0.3">
      <c r="L99"/>
      <c r="M99"/>
      <c r="N99"/>
      <c r="O99"/>
      <c r="P99" s="220">
        <f>P97+$Q$6</f>
        <v>0</v>
      </c>
      <c r="Q99" s="221"/>
      <c r="R99" s="221" t="e">
        <f>IF(R97+Q98&lt;0,(R97+Q98)*0.8,R97+Q98)</f>
        <v>#DIV/0!</v>
      </c>
      <c r="S99" s="221"/>
      <c r="T99" s="221" t="e">
        <f>T97*(X99/X97)^2</f>
        <v>#DIV/0!</v>
      </c>
      <c r="U99" s="221"/>
      <c r="V99" s="221" t="e">
        <f>IF(AND(ABS(V97+U98)&gt;$B$5*0.8,(V97+U98)&lt;0),-$B$5*0.5,IF(AND(ABS(V97+U98)&gt;$B$5*0.8,(V97+U98)&gt;0),$B$5*0.5,V97+U98))</f>
        <v>#DIV/0!</v>
      </c>
      <c r="W99" s="221"/>
      <c r="X99" s="223" t="e">
        <f>$B$7*V99</f>
        <v>#DIV/0!</v>
      </c>
    </row>
    <row r="100" spans="12:24" x14ac:dyDescent="0.3">
      <c r="L100"/>
      <c r="M100"/>
      <c r="N100"/>
      <c r="O100"/>
      <c r="P100" s="213"/>
      <c r="Q100" s="221" t="e">
        <f>(V99+U98/2)*$Q$12</f>
        <v>#DIV/0!</v>
      </c>
      <c r="R100" s="221"/>
      <c r="S100" s="221" t="e">
        <f>R99+Q100/2</f>
        <v>#DIV/0!</v>
      </c>
      <c r="T100" s="221"/>
      <c r="U100" s="221" t="e">
        <f>-$Q$13*(S100+T99*((V99+U98/2)^2))</f>
        <v>#DIV/0!</v>
      </c>
      <c r="V100" s="221"/>
      <c r="W100" s="221" t="e">
        <f>V99+U100/2</f>
        <v>#DIV/0!</v>
      </c>
      <c r="X100" s="213"/>
    </row>
    <row r="101" spans="12:24" x14ac:dyDescent="0.3">
      <c r="L101"/>
      <c r="M101"/>
      <c r="N101"/>
      <c r="O101"/>
      <c r="P101" s="220">
        <f>P99+$Q$6</f>
        <v>0</v>
      </c>
      <c r="Q101" s="221"/>
      <c r="R101" s="221" t="e">
        <f>IF(R99+Q100&lt;0,(R99+Q100)*0.8,R99+Q100)</f>
        <v>#DIV/0!</v>
      </c>
      <c r="S101" s="221"/>
      <c r="T101" s="221" t="e">
        <f>T99*(X101/X99)^2</f>
        <v>#DIV/0!</v>
      </c>
      <c r="U101" s="221"/>
      <c r="V101" s="221" t="e">
        <f>IF(AND(ABS(V99+U100)&gt;$B$5*0.8,(V99+U100)&lt;0),-$B$5*0.5,IF(AND(ABS(V99+U100)&gt;$B$5*0.8,(V99+U100)&gt;0),$B$5*0.5,V99+U100))</f>
        <v>#DIV/0!</v>
      </c>
      <c r="W101" s="221"/>
      <c r="X101" s="223" t="e">
        <f>$B$7*V101</f>
        <v>#DIV/0!</v>
      </c>
    </row>
    <row r="102" spans="12:24" x14ac:dyDescent="0.3">
      <c r="L102"/>
      <c r="M102"/>
      <c r="N102"/>
      <c r="O102"/>
      <c r="P102" s="213"/>
      <c r="Q102" s="221" t="e">
        <f>(V101+U100/2)*$Q$12</f>
        <v>#DIV/0!</v>
      </c>
      <c r="R102" s="221"/>
      <c r="S102" s="221" t="e">
        <f>R101+Q102/2</f>
        <v>#DIV/0!</v>
      </c>
      <c r="T102" s="221"/>
      <c r="U102" s="221" t="e">
        <f>-$Q$13*(S102+T101*((V101+U100/2)^2))</f>
        <v>#DIV/0!</v>
      </c>
      <c r="V102" s="221"/>
      <c r="W102" s="221" t="e">
        <f>V101+U102/2</f>
        <v>#DIV/0!</v>
      </c>
      <c r="X102" s="213"/>
    </row>
    <row r="103" spans="12:24" x14ac:dyDescent="0.3">
      <c r="L103"/>
      <c r="M103"/>
      <c r="N103"/>
      <c r="O103"/>
      <c r="P103" s="220">
        <f>P101+$Q$6</f>
        <v>0</v>
      </c>
      <c r="Q103" s="221"/>
      <c r="R103" s="221" t="e">
        <f>IF(R101+Q102&lt;0,(R101+Q102)*0.8,R101+Q102)</f>
        <v>#DIV/0!</v>
      </c>
      <c r="S103" s="221"/>
      <c r="T103" s="221" t="e">
        <f>T101*(X103/X101)^2</f>
        <v>#DIV/0!</v>
      </c>
      <c r="U103" s="221"/>
      <c r="V103" s="221" t="e">
        <f>IF(AND(ABS(V101+U102)&gt;$B$5*0.8,(V101+U102)&lt;0),-$B$5*0.5,IF(AND(ABS(V101+U102)&gt;$B$5*0.8,(V101+U102)&gt;0),$B$5*0.5,V101+U102))</f>
        <v>#DIV/0!</v>
      </c>
      <c r="W103" s="221"/>
      <c r="X103" s="223" t="e">
        <f>$B$7*V103</f>
        <v>#DIV/0!</v>
      </c>
    </row>
    <row r="104" spans="12:24" x14ac:dyDescent="0.3">
      <c r="L104"/>
      <c r="M104"/>
      <c r="N104"/>
      <c r="O104"/>
      <c r="P104" s="213"/>
      <c r="Q104" s="221" t="e">
        <f>(V103+U102/2)*$Q$12</f>
        <v>#DIV/0!</v>
      </c>
      <c r="R104" s="221"/>
      <c r="S104" s="221" t="e">
        <f>R103+Q104/2</f>
        <v>#DIV/0!</v>
      </c>
      <c r="T104" s="221"/>
      <c r="U104" s="221" t="e">
        <f>-$Q$13*(S104+T103*((V103+U102/2)^2))</f>
        <v>#DIV/0!</v>
      </c>
      <c r="V104" s="221"/>
      <c r="W104" s="221" t="e">
        <f>V103+U104/2</f>
        <v>#DIV/0!</v>
      </c>
      <c r="X104" s="213"/>
    </row>
    <row r="105" spans="12:24" x14ac:dyDescent="0.3">
      <c r="L105"/>
      <c r="M105"/>
      <c r="N105"/>
      <c r="O105"/>
      <c r="P105" s="220">
        <f>P103+$Q$6</f>
        <v>0</v>
      </c>
      <c r="Q105" s="221"/>
      <c r="R105" s="221" t="e">
        <f>IF(R103+Q104&lt;0,(R103+Q104)*0.8,R103+Q104)</f>
        <v>#DIV/0!</v>
      </c>
      <c r="S105" s="221"/>
      <c r="T105" s="221" t="e">
        <f>T103*(X105/X103)^2</f>
        <v>#DIV/0!</v>
      </c>
      <c r="U105" s="221"/>
      <c r="V105" s="221" t="e">
        <f>IF(AND(ABS(V103+U104)&gt;$B$5*0.8,(V103+U104)&lt;0),-$B$5*0.5,IF(AND(ABS(V103+U104)&gt;$B$5*0.8,(V103+U104)&gt;0),$B$5*0.5,V103+U104))</f>
        <v>#DIV/0!</v>
      </c>
      <c r="W105" s="221"/>
      <c r="X105" s="223" t="e">
        <f>$B$7*V105</f>
        <v>#DIV/0!</v>
      </c>
    </row>
    <row r="106" spans="12:24" x14ac:dyDescent="0.3">
      <c r="L106"/>
      <c r="M106"/>
      <c r="N106"/>
      <c r="O106"/>
      <c r="P106" s="213"/>
      <c r="Q106" s="221" t="e">
        <f>(V105+U104/2)*$Q$12</f>
        <v>#DIV/0!</v>
      </c>
      <c r="R106" s="221"/>
      <c r="S106" s="221" t="e">
        <f>R105+Q106/2</f>
        <v>#DIV/0!</v>
      </c>
      <c r="T106" s="221"/>
      <c r="U106" s="221" t="e">
        <f>-$Q$13*(S106+T105*((V105+U104/2)^2))</f>
        <v>#DIV/0!</v>
      </c>
      <c r="V106" s="221"/>
      <c r="W106" s="221" t="e">
        <f>V105+U106/2</f>
        <v>#DIV/0!</v>
      </c>
      <c r="X106" s="213"/>
    </row>
    <row r="107" spans="12:24" x14ac:dyDescent="0.3">
      <c r="L107"/>
      <c r="M107"/>
      <c r="N107"/>
      <c r="P107" s="220">
        <f>P105+$Q$6</f>
        <v>0</v>
      </c>
      <c r="Q107" s="221"/>
      <c r="R107" s="221" t="e">
        <f>IF(R105+Q106&lt;0,(R105+Q106)*0.8,R105+Q106)</f>
        <v>#DIV/0!</v>
      </c>
      <c r="S107" s="221"/>
      <c r="T107" s="221" t="e">
        <f>T105*(X107/X105)^2</f>
        <v>#DIV/0!</v>
      </c>
      <c r="U107" s="221"/>
      <c r="V107" s="221" t="e">
        <f>IF(AND(ABS(V105+U106)&gt;$B$5*0.8,(V105+U106)&lt;0),-$B$5*0.5,IF(AND(ABS(V105+U106)&gt;$B$5*0.8,(V105+U106)&gt;0),$B$5*0.5,V105+U106))</f>
        <v>#DIV/0!</v>
      </c>
      <c r="W107" s="221"/>
      <c r="X107" s="223" t="e">
        <f>$B$7*V107</f>
        <v>#DIV/0!</v>
      </c>
    </row>
    <row r="108" spans="12:24" x14ac:dyDescent="0.3">
      <c r="L108"/>
      <c r="M108"/>
      <c r="N108"/>
      <c r="P108" s="213"/>
      <c r="Q108" s="221" t="e">
        <f>(V107+U106/2)*$Q$12</f>
        <v>#DIV/0!</v>
      </c>
      <c r="R108" s="221"/>
      <c r="S108" s="221" t="e">
        <f>R107+Q108/2</f>
        <v>#DIV/0!</v>
      </c>
      <c r="T108" s="221"/>
      <c r="U108" s="221" t="e">
        <f>-$Q$13*(S108+T107*((V107+U106/2)^2))</f>
        <v>#DIV/0!</v>
      </c>
      <c r="V108" s="221"/>
      <c r="W108" s="221" t="e">
        <f>V107+U108/2</f>
        <v>#DIV/0!</v>
      </c>
      <c r="X108" s="213"/>
    </row>
    <row r="109" spans="12:24" x14ac:dyDescent="0.3">
      <c r="L109"/>
      <c r="M109"/>
      <c r="N109"/>
      <c r="O109"/>
      <c r="P109" s="220">
        <f>P107+$Q$6</f>
        <v>0</v>
      </c>
      <c r="Q109" s="221"/>
      <c r="R109" s="221" t="e">
        <f>IF(R107+Q108&lt;0,(R107+Q108)*0.8,R107+Q108)</f>
        <v>#DIV/0!</v>
      </c>
      <c r="S109" s="221"/>
      <c r="T109" s="221" t="e">
        <f>T107*(X109/X107)^2</f>
        <v>#DIV/0!</v>
      </c>
      <c r="U109" s="221"/>
      <c r="V109" s="221" t="e">
        <f>IF(AND(ABS(V107+U108)&gt;$B$5*0.8,(V107+U108)&lt;0),-$B$5*0.5,IF(AND(ABS(V107+U108)&gt;$B$5*0.8,(V107+U108)&gt;0),$B$5*0.5,V107+U108))</f>
        <v>#DIV/0!</v>
      </c>
      <c r="W109" s="221"/>
      <c r="X109" s="223" t="e">
        <f>$B$7*V109</f>
        <v>#DIV/0!</v>
      </c>
    </row>
    <row r="110" spans="12:24" x14ac:dyDescent="0.3">
      <c r="L110"/>
      <c r="M110"/>
      <c r="N110"/>
      <c r="O110"/>
      <c r="P110" s="213"/>
      <c r="Q110" s="221" t="e">
        <f>(V109+U108/2)*$Q$12</f>
        <v>#DIV/0!</v>
      </c>
      <c r="R110" s="221"/>
      <c r="S110" s="221" t="e">
        <f>R109+Q110/2</f>
        <v>#DIV/0!</v>
      </c>
      <c r="T110" s="221"/>
      <c r="U110" s="221" t="e">
        <f>-$Q$13*(S110+T109*((V109+U108/2)^2))</f>
        <v>#DIV/0!</v>
      </c>
      <c r="V110" s="221"/>
      <c r="W110" s="221" t="e">
        <f>V109+U110/2</f>
        <v>#DIV/0!</v>
      </c>
      <c r="X110" s="213"/>
    </row>
    <row r="111" spans="12:24" x14ac:dyDescent="0.3">
      <c r="L111"/>
      <c r="M111"/>
      <c r="N111"/>
      <c r="O111"/>
      <c r="P111" s="220">
        <f>P109+$Q$6</f>
        <v>0</v>
      </c>
      <c r="Q111" s="221"/>
      <c r="R111" s="221" t="e">
        <f>IF(R109+Q110&lt;0,(R109+Q110)*0.8,R109+Q110)</f>
        <v>#DIV/0!</v>
      </c>
      <c r="S111" s="221"/>
      <c r="T111" s="221" t="e">
        <f>T109*(X111/X109)^2</f>
        <v>#DIV/0!</v>
      </c>
      <c r="U111" s="221"/>
      <c r="V111" s="221" t="e">
        <f>IF(AND(ABS(V109+U110)&gt;$B$5*0.8,(V109+U110)&lt;0),-$B$5*0.5,IF(AND(ABS(V109+U110)&gt;$B$5*0.8,(V109+U110)&gt;0),$B$5*0.5,V109+U110))</f>
        <v>#DIV/0!</v>
      </c>
      <c r="W111" s="221"/>
      <c r="X111" s="223" t="e">
        <f>$B$7*V111</f>
        <v>#DIV/0!</v>
      </c>
    </row>
    <row r="112" spans="12:24" x14ac:dyDescent="0.3">
      <c r="L112"/>
      <c r="M112"/>
      <c r="N112"/>
      <c r="O112"/>
      <c r="P112" s="213"/>
      <c r="Q112" s="221" t="e">
        <f>(V111+U110/2)*$Q$12</f>
        <v>#DIV/0!</v>
      </c>
      <c r="R112" s="221"/>
      <c r="S112" s="221" t="e">
        <f>R111+Q112/2</f>
        <v>#DIV/0!</v>
      </c>
      <c r="T112" s="221"/>
      <c r="U112" s="221" t="e">
        <f>-$Q$13*(S112+T111*((V111+U110/2)^2))</f>
        <v>#DIV/0!</v>
      </c>
      <c r="V112" s="221"/>
      <c r="W112" s="221" t="e">
        <f>V111+U112/2</f>
        <v>#DIV/0!</v>
      </c>
      <c r="X112" s="213"/>
    </row>
    <row r="113" spans="12:24" x14ac:dyDescent="0.3">
      <c r="L113"/>
      <c r="M113"/>
      <c r="N113"/>
      <c r="O113"/>
      <c r="P113" s="220">
        <f>P111+$Q$6</f>
        <v>0</v>
      </c>
      <c r="Q113" s="221"/>
      <c r="R113" s="221" t="e">
        <f>IF(R111+Q112&lt;0,(R111+Q112)*0.8,R111+Q112)</f>
        <v>#DIV/0!</v>
      </c>
      <c r="S113" s="221"/>
      <c r="T113" s="221" t="e">
        <f>T111*(X113/X111)^2</f>
        <v>#DIV/0!</v>
      </c>
      <c r="U113" s="221"/>
      <c r="V113" s="221" t="e">
        <f>IF(AND(ABS(V111+U112)&gt;$B$5*0.8,(V111+U112)&lt;0),-$B$5*0.5,IF(AND(ABS(V111+U112)&gt;$B$5*0.8,(V111+U112)&gt;0),$B$5*0.5,V111+U112))</f>
        <v>#DIV/0!</v>
      </c>
      <c r="W113" s="221"/>
      <c r="X113" s="223" t="e">
        <f>$B$7*V113</f>
        <v>#DIV/0!</v>
      </c>
    </row>
    <row r="114" spans="12:24" x14ac:dyDescent="0.3">
      <c r="L114"/>
      <c r="M114"/>
      <c r="N114"/>
      <c r="O114"/>
      <c r="P114" s="213"/>
      <c r="Q114" s="221" t="e">
        <f>(V113+U112/2)*$Q$12</f>
        <v>#DIV/0!</v>
      </c>
      <c r="R114" s="221"/>
      <c r="S114" s="221" t="e">
        <f>R113+Q114/2</f>
        <v>#DIV/0!</v>
      </c>
      <c r="T114" s="221"/>
      <c r="U114" s="221" t="e">
        <f>-$Q$13*(S114+T113*((V113+U112/2)^2))</f>
        <v>#DIV/0!</v>
      </c>
      <c r="V114" s="221"/>
      <c r="W114" s="221" t="e">
        <f>V113+U114/2</f>
        <v>#DIV/0!</v>
      </c>
      <c r="X114" s="213"/>
    </row>
    <row r="115" spans="12:24" x14ac:dyDescent="0.3">
      <c r="L115"/>
      <c r="M115"/>
      <c r="N115"/>
      <c r="O115"/>
      <c r="P115" s="220">
        <f>P113+$Q$6</f>
        <v>0</v>
      </c>
      <c r="Q115" s="221"/>
      <c r="R115" s="221" t="e">
        <f>IF(R113+Q114&lt;0,(R113+Q114)*0.8,R113+Q114)</f>
        <v>#DIV/0!</v>
      </c>
      <c r="S115" s="221"/>
      <c r="T115" s="221" t="e">
        <f>T113*(X115/X113)^2</f>
        <v>#DIV/0!</v>
      </c>
      <c r="U115" s="221"/>
      <c r="V115" s="221" t="e">
        <f>IF(AND(ABS(V113+U114)&gt;$B$5*0.8,(V113+U114)&lt;0),-$B$5*0.5,IF(AND(ABS(V113+U114)&gt;$B$5*0.8,(V113+U114)&gt;0),$B$5*0.5,V113+U114))</f>
        <v>#DIV/0!</v>
      </c>
      <c r="W115" s="221"/>
      <c r="X115" s="223" t="e">
        <f>$B$7*V115</f>
        <v>#DIV/0!</v>
      </c>
    </row>
    <row r="116" spans="12:24" x14ac:dyDescent="0.3">
      <c r="L116"/>
      <c r="M116"/>
      <c r="N116"/>
      <c r="O116"/>
      <c r="P116" s="213"/>
      <c r="Q116" s="221" t="e">
        <f>(V115+U114/2)*$Q$12</f>
        <v>#DIV/0!</v>
      </c>
      <c r="R116" s="221"/>
      <c r="S116" s="221" t="e">
        <f>R115+Q116/2</f>
        <v>#DIV/0!</v>
      </c>
      <c r="T116" s="221"/>
      <c r="U116" s="221" t="e">
        <f>-$Q$13*(S116+T115*((V115+U114/2)^2))</f>
        <v>#DIV/0!</v>
      </c>
      <c r="V116" s="221"/>
      <c r="W116" s="221" t="e">
        <f>V115+U116/2</f>
        <v>#DIV/0!</v>
      </c>
      <c r="X116" s="213"/>
    </row>
    <row r="117" spans="12:24" x14ac:dyDescent="0.3">
      <c r="L117"/>
      <c r="M117"/>
      <c r="N117"/>
      <c r="O117"/>
      <c r="P117" s="220">
        <f>P115+$Q$6</f>
        <v>0</v>
      </c>
      <c r="Q117" s="221"/>
      <c r="R117" s="221" t="e">
        <f>IF(R115+Q116&lt;0,(R115+Q116)*0.8,R115+Q116)</f>
        <v>#DIV/0!</v>
      </c>
      <c r="S117" s="221"/>
      <c r="T117" s="221" t="e">
        <f>T115*(X117/X115)^2</f>
        <v>#DIV/0!</v>
      </c>
      <c r="U117" s="221"/>
      <c r="V117" s="221" t="e">
        <f>IF(AND(ABS(V115+U116)&gt;$B$5*0.8,(V115+U116)&lt;0),-$B$5*0.5,IF(AND(ABS(V115+U116)&gt;$B$5*0.8,(V115+U116)&gt;0),$B$5*0.5,V115+U116))</f>
        <v>#DIV/0!</v>
      </c>
      <c r="W117" s="221"/>
      <c r="X117" s="223" t="e">
        <f>$B$7*V117</f>
        <v>#DIV/0!</v>
      </c>
    </row>
    <row r="118" spans="12:24" x14ac:dyDescent="0.3">
      <c r="L118"/>
      <c r="M118"/>
      <c r="N118"/>
      <c r="O118"/>
      <c r="P118" s="213"/>
      <c r="Q118" s="221" t="e">
        <f>(V117+U116/2)*$Q$12</f>
        <v>#DIV/0!</v>
      </c>
      <c r="R118" s="221"/>
      <c r="S118" s="221" t="e">
        <f>R117+Q118/2</f>
        <v>#DIV/0!</v>
      </c>
      <c r="T118" s="221"/>
      <c r="U118" s="221" t="e">
        <f>-$Q$13*(S118+T117*((V117+U116/2)^2))</f>
        <v>#DIV/0!</v>
      </c>
      <c r="V118" s="221"/>
      <c r="W118" s="221" t="e">
        <f>V117+U118/2</f>
        <v>#DIV/0!</v>
      </c>
      <c r="X118" s="213"/>
    </row>
    <row r="119" spans="12:24" x14ac:dyDescent="0.3">
      <c r="L119"/>
      <c r="M119"/>
      <c r="N119"/>
      <c r="O119"/>
      <c r="P119" s="220">
        <f>P117+$Q$6</f>
        <v>0</v>
      </c>
      <c r="Q119" s="221"/>
      <c r="R119" s="221" t="e">
        <f>IF(R117+Q118&lt;0,(R117+Q118)*0.8,R117+Q118)</f>
        <v>#DIV/0!</v>
      </c>
      <c r="S119" s="221"/>
      <c r="T119" s="221" t="e">
        <f>T117*(X119/X117)^2</f>
        <v>#DIV/0!</v>
      </c>
      <c r="U119" s="221"/>
      <c r="V119" s="221" t="e">
        <f>IF(AND(ABS(V117+U118)&gt;$B$5*0.8,(V117+U118)&lt;0),-$B$5*0.5,IF(AND(ABS(V117+U118)&gt;$B$5*0.8,(V117+U118)&gt;0),$B$5*0.5,V117+U118))</f>
        <v>#DIV/0!</v>
      </c>
      <c r="W119" s="221"/>
      <c r="X119" s="223" t="e">
        <f>$B$7*V119</f>
        <v>#DIV/0!</v>
      </c>
    </row>
    <row r="120" spans="12:24" x14ac:dyDescent="0.3">
      <c r="L120"/>
      <c r="M120"/>
      <c r="N120"/>
      <c r="O120"/>
      <c r="P120" s="213"/>
      <c r="Q120" s="221" t="e">
        <f>(V119+U118/2)*$Q$12</f>
        <v>#DIV/0!</v>
      </c>
      <c r="R120" s="221"/>
      <c r="S120" s="221" t="e">
        <f>R119+Q120/2</f>
        <v>#DIV/0!</v>
      </c>
      <c r="T120" s="221"/>
      <c r="U120" s="221" t="e">
        <f>-$Q$13*(S120+T119*((V119+U118/2)^2))</f>
        <v>#DIV/0!</v>
      </c>
      <c r="V120" s="221"/>
      <c r="W120" s="221" t="e">
        <f>V119+U120/2</f>
        <v>#DIV/0!</v>
      </c>
      <c r="X120" s="213"/>
    </row>
    <row r="121" spans="12:24" x14ac:dyDescent="0.3">
      <c r="L121"/>
      <c r="M121"/>
      <c r="N121"/>
      <c r="O121"/>
      <c r="P121" s="220">
        <f>P119+$Q$6</f>
        <v>0</v>
      </c>
      <c r="Q121" s="221"/>
      <c r="R121" s="221" t="e">
        <f>IF(R119+Q120&lt;0,(R119+Q120)*0.8,R119+Q120)</f>
        <v>#DIV/0!</v>
      </c>
      <c r="S121" s="221"/>
      <c r="T121" s="221" t="e">
        <f>T119*(X121/X119)^2</f>
        <v>#DIV/0!</v>
      </c>
      <c r="U121" s="221"/>
      <c r="V121" s="221" t="e">
        <f>IF(AND(ABS(V119+U120)&gt;$B$5*0.8,(V119+U120)&lt;0),-$B$5*0.5,IF(AND(ABS(V119+U120)&gt;$B$5*0.8,(V119+U120)&gt;0),$B$5*0.5,V119+U120))</f>
        <v>#DIV/0!</v>
      </c>
      <c r="W121" s="221"/>
      <c r="X121" s="223" t="e">
        <f>$B$7*V121</f>
        <v>#DIV/0!</v>
      </c>
    </row>
    <row r="122" spans="12:24" x14ac:dyDescent="0.3">
      <c r="L122"/>
      <c r="M122"/>
      <c r="N122"/>
      <c r="O122"/>
      <c r="P122" s="213"/>
      <c r="Q122" s="221" t="e">
        <f>(V121+U120/2)*$Q$12</f>
        <v>#DIV/0!</v>
      </c>
      <c r="R122" s="221"/>
      <c r="S122" s="221" t="e">
        <f>R121+Q122/2</f>
        <v>#DIV/0!</v>
      </c>
      <c r="T122" s="221"/>
      <c r="U122" s="221" t="e">
        <f>-$Q$13*(S122+T121*((V121+U120/2)^2))</f>
        <v>#DIV/0!</v>
      </c>
      <c r="V122" s="221"/>
      <c r="W122" s="221" t="e">
        <f>V121+U122/2</f>
        <v>#DIV/0!</v>
      </c>
      <c r="X122" s="213"/>
    </row>
    <row r="123" spans="12:24" x14ac:dyDescent="0.3">
      <c r="L123"/>
      <c r="M123"/>
      <c r="N123"/>
      <c r="O123"/>
      <c r="P123" s="220">
        <f>P121+$Q$6</f>
        <v>0</v>
      </c>
      <c r="Q123" s="221"/>
      <c r="R123" s="221" t="e">
        <f>IF(R121+Q122&lt;0,(R121+Q122)*0.8,R121+Q122)</f>
        <v>#DIV/0!</v>
      </c>
      <c r="S123" s="221"/>
      <c r="T123" s="221" t="e">
        <f>T121*(X123/X121)^2</f>
        <v>#DIV/0!</v>
      </c>
      <c r="U123" s="221"/>
      <c r="V123" s="221" t="e">
        <f>IF(AND(ABS(V121+U122)&gt;$B$5*0.8,(V121+U122)&lt;0),-$B$5*0.5,IF(AND(ABS(V121+U122)&gt;$B$5*0.8,(V121+U122)&gt;0),$B$5*0.5,V121+U122))</f>
        <v>#DIV/0!</v>
      </c>
      <c r="W123" s="221"/>
      <c r="X123" s="223" t="e">
        <f>$B$7*V123</f>
        <v>#DIV/0!</v>
      </c>
    </row>
    <row r="124" spans="12:24" x14ac:dyDescent="0.3">
      <c r="L124"/>
      <c r="M124"/>
      <c r="N124"/>
      <c r="O124"/>
      <c r="P124" s="213"/>
      <c r="Q124" s="221" t="e">
        <f>(V123+U122/2)*$Q$12</f>
        <v>#DIV/0!</v>
      </c>
      <c r="R124" s="221"/>
      <c r="S124" s="221" t="e">
        <f>R123+Q124/2</f>
        <v>#DIV/0!</v>
      </c>
      <c r="T124" s="221"/>
      <c r="U124" s="221" t="e">
        <f>-$Q$13*(S124+T123*((V123+U122/2)^2))</f>
        <v>#DIV/0!</v>
      </c>
      <c r="V124" s="221"/>
      <c r="W124" s="221" t="e">
        <f>V123+U124/2</f>
        <v>#DIV/0!</v>
      </c>
      <c r="X124" s="213"/>
    </row>
    <row r="125" spans="12:24" x14ac:dyDescent="0.3">
      <c r="L125"/>
      <c r="M125"/>
      <c r="N125"/>
      <c r="O125"/>
      <c r="P125" s="220">
        <f>P123+$Q$6</f>
        <v>0</v>
      </c>
      <c r="Q125" s="221"/>
      <c r="R125" s="221" t="e">
        <f>IF(R123+Q124&lt;0,(R123+Q124)*0.8,R123+Q124)</f>
        <v>#DIV/0!</v>
      </c>
      <c r="S125" s="221"/>
      <c r="T125" s="221" t="e">
        <f>T123*(X125/X123)^2</f>
        <v>#DIV/0!</v>
      </c>
      <c r="U125" s="221"/>
      <c r="V125" s="221" t="e">
        <f>IF(AND(ABS(V123+U124)&gt;$B$5*0.8,(V123+U124)&lt;0),-$B$5*0.5,IF(AND(ABS(V123+U124)&gt;$B$5*0.8,(V123+U124)&gt;0),$B$5*0.5,V123+U124))</f>
        <v>#DIV/0!</v>
      </c>
      <c r="W125" s="221"/>
      <c r="X125" s="223" t="e">
        <f>$B$7*V125</f>
        <v>#DIV/0!</v>
      </c>
    </row>
    <row r="126" spans="12:24" x14ac:dyDescent="0.3">
      <c r="L126"/>
      <c r="M126"/>
      <c r="N126"/>
      <c r="O126"/>
      <c r="P126" s="213"/>
      <c r="Q126" s="221" t="e">
        <f>(V125+U124/2)*$Q$12</f>
        <v>#DIV/0!</v>
      </c>
      <c r="R126" s="221"/>
      <c r="S126" s="221" t="e">
        <f>R125+Q126/2</f>
        <v>#DIV/0!</v>
      </c>
      <c r="T126" s="221"/>
      <c r="U126" s="221" t="e">
        <f>-$Q$13*(S126+T125*((V125+U124/2)^2))</f>
        <v>#DIV/0!</v>
      </c>
      <c r="V126" s="221"/>
      <c r="W126" s="221" t="e">
        <f>V125+U126/2</f>
        <v>#DIV/0!</v>
      </c>
      <c r="X126" s="213"/>
    </row>
    <row r="127" spans="12:24" x14ac:dyDescent="0.3">
      <c r="L127"/>
      <c r="M127"/>
      <c r="N127"/>
      <c r="O127"/>
      <c r="P127" s="220">
        <f>P125+$Q$6</f>
        <v>0</v>
      </c>
      <c r="Q127" s="221"/>
      <c r="R127" s="221" t="e">
        <f>IF(R125+Q126&lt;0,(R125+Q126)*0.8,R125+Q126)</f>
        <v>#DIV/0!</v>
      </c>
      <c r="S127" s="221"/>
      <c r="T127" s="221" t="e">
        <f>T125*(X127/X125)^2</f>
        <v>#DIV/0!</v>
      </c>
      <c r="U127" s="221"/>
      <c r="V127" s="221" t="e">
        <f>IF(AND(ABS(V125+U126)&gt;$B$5*0.8,(V125+U126)&lt;0),-$B$5*0.5,IF(AND(ABS(V125+U126)&gt;$B$5*0.8,(V125+U126)&gt;0),$B$5*0.5,V125+U126))</f>
        <v>#DIV/0!</v>
      </c>
      <c r="W127" s="221"/>
      <c r="X127" s="223" t="e">
        <f>$B$7*V127</f>
        <v>#DIV/0!</v>
      </c>
    </row>
    <row r="128" spans="12:24" x14ac:dyDescent="0.3">
      <c r="L128"/>
      <c r="M128"/>
      <c r="N128"/>
      <c r="O128"/>
      <c r="P128" s="213"/>
      <c r="Q128" s="221" t="e">
        <f>(V127+U126/2)*$Q$12</f>
        <v>#DIV/0!</v>
      </c>
      <c r="R128" s="221"/>
      <c r="S128" s="221" t="e">
        <f>R127+Q128/2</f>
        <v>#DIV/0!</v>
      </c>
      <c r="T128" s="221"/>
      <c r="U128" s="221" t="e">
        <f>-$Q$13*(S128+T127*((V127+U126/2)^2))</f>
        <v>#DIV/0!</v>
      </c>
      <c r="V128" s="221"/>
      <c r="W128" s="221" t="e">
        <f>V127+U128/2</f>
        <v>#DIV/0!</v>
      </c>
      <c r="X128" s="213"/>
    </row>
    <row r="129" spans="12:24" x14ac:dyDescent="0.3">
      <c r="L129"/>
      <c r="M129"/>
      <c r="N129"/>
      <c r="O129"/>
      <c r="P129" s="220">
        <f>P127+$Q$6</f>
        <v>0</v>
      </c>
      <c r="Q129" s="221"/>
      <c r="R129" s="221" t="e">
        <f>IF(R127+Q128&lt;0,(R127+Q128)*0.8,R127+Q128)</f>
        <v>#DIV/0!</v>
      </c>
      <c r="S129" s="221"/>
      <c r="T129" s="221" t="e">
        <f>T127*(X129/X127)^2</f>
        <v>#DIV/0!</v>
      </c>
      <c r="U129" s="221"/>
      <c r="V129" s="221" t="e">
        <f>IF(AND(ABS(V127+U128)&gt;$B$5*0.8,(V127+U128)&lt;0),-$B$5*0.5,IF(AND(ABS(V127+U128)&gt;$B$5*0.8,(V127+U128)&gt;0),$B$5*0.5,V127+U128))</f>
        <v>#DIV/0!</v>
      </c>
      <c r="W129" s="221"/>
      <c r="X129" s="223" t="e">
        <f>$B$7*V129</f>
        <v>#DIV/0!</v>
      </c>
    </row>
    <row r="130" spans="12:24" x14ac:dyDescent="0.3">
      <c r="L130"/>
      <c r="M130"/>
      <c r="N130"/>
      <c r="O130"/>
      <c r="P130" s="213"/>
      <c r="Q130" s="221" t="e">
        <f>(V129+U128/2)*$Q$12</f>
        <v>#DIV/0!</v>
      </c>
      <c r="R130" s="221"/>
      <c r="S130" s="221" t="e">
        <f>R129+Q130/2</f>
        <v>#DIV/0!</v>
      </c>
      <c r="T130" s="221"/>
      <c r="U130" s="221" t="e">
        <f>-$Q$13*(S130+T129*((V129+U128/2)^2))</f>
        <v>#DIV/0!</v>
      </c>
      <c r="V130" s="221"/>
      <c r="W130" s="221" t="e">
        <f>V129+U130/2</f>
        <v>#DIV/0!</v>
      </c>
      <c r="X130" s="213"/>
    </row>
    <row r="131" spans="12:24" x14ac:dyDescent="0.3">
      <c r="L131"/>
      <c r="M131"/>
      <c r="N131"/>
      <c r="O131"/>
      <c r="P131" s="220">
        <f>P129+$Q$6</f>
        <v>0</v>
      </c>
      <c r="Q131" s="221"/>
      <c r="R131" s="221" t="e">
        <f>IF(R129+Q130&lt;0,(R129+Q130)*0.8,R129+Q130)</f>
        <v>#DIV/0!</v>
      </c>
      <c r="S131" s="221"/>
      <c r="T131" s="221" t="e">
        <f>T129*(X131/X129)^2</f>
        <v>#DIV/0!</v>
      </c>
      <c r="U131" s="221"/>
      <c r="V131" s="221" t="e">
        <f>IF(AND(ABS(V129+U130)&gt;$B$5*0.8,(V129+U130)&lt;0),-$B$5*0.5,IF(AND(ABS(V129+U130)&gt;$B$5*0.8,(V129+U130)&gt;0),$B$5*0.5,V129+U130))</f>
        <v>#DIV/0!</v>
      </c>
      <c r="W131" s="221"/>
      <c r="X131" s="223" t="e">
        <f>$B$7*V131</f>
        <v>#DIV/0!</v>
      </c>
    </row>
    <row r="132" spans="12:24" x14ac:dyDescent="0.3">
      <c r="L132"/>
      <c r="M132"/>
      <c r="N132"/>
      <c r="O132"/>
      <c r="P132" s="213"/>
      <c r="Q132" s="221" t="e">
        <f>(V131+U130/2)*$Q$12</f>
        <v>#DIV/0!</v>
      </c>
      <c r="R132" s="221"/>
      <c r="S132" s="221" t="e">
        <f>R131+Q132/2</f>
        <v>#DIV/0!</v>
      </c>
      <c r="T132" s="221"/>
      <c r="U132" s="221" t="e">
        <f>-$Q$13*(S132+T131*((V131+U130/2)^2))</f>
        <v>#DIV/0!</v>
      </c>
      <c r="V132" s="221"/>
      <c r="W132" s="221" t="e">
        <f>V131+U132/2</f>
        <v>#DIV/0!</v>
      </c>
      <c r="X132" s="213"/>
    </row>
    <row r="133" spans="12:24" x14ac:dyDescent="0.3">
      <c r="L133"/>
      <c r="M133"/>
      <c r="N133"/>
      <c r="O133"/>
      <c r="P133" s="220">
        <f>P131+$Q$6</f>
        <v>0</v>
      </c>
      <c r="Q133" s="221"/>
      <c r="R133" s="221" t="e">
        <f>IF(R131+Q132&lt;0,(R131+Q132)*0.8,R131+Q132)</f>
        <v>#DIV/0!</v>
      </c>
      <c r="S133" s="221"/>
      <c r="T133" s="221" t="e">
        <f>T131*(X133/X131)^2</f>
        <v>#DIV/0!</v>
      </c>
      <c r="U133" s="221"/>
      <c r="V133" s="221" t="e">
        <f>IF(AND(ABS(V131+U132)&gt;$B$5*0.8,(V131+U132)&lt;0),-$B$5*0.5,IF(AND(ABS(V131+U132)&gt;$B$5*0.8,(V131+U132)&gt;0),$B$5*0.5,V131+U132))</f>
        <v>#DIV/0!</v>
      </c>
      <c r="W133" s="221"/>
      <c r="X133" s="223" t="e">
        <f>$B$7*V133</f>
        <v>#DIV/0!</v>
      </c>
    </row>
    <row r="134" spans="12:24" x14ac:dyDescent="0.3">
      <c r="L134"/>
      <c r="M134"/>
      <c r="N134"/>
      <c r="O134"/>
      <c r="P134" s="213"/>
      <c r="Q134" s="221" t="e">
        <f>(V133+U132/2)*$Q$12</f>
        <v>#DIV/0!</v>
      </c>
      <c r="R134" s="221"/>
      <c r="S134" s="221" t="e">
        <f>R133+Q134/2</f>
        <v>#DIV/0!</v>
      </c>
      <c r="T134" s="221"/>
      <c r="U134" s="221" t="e">
        <f>-$Q$13*(S134+T133*((V133+U132/2)^2))</f>
        <v>#DIV/0!</v>
      </c>
      <c r="V134" s="221"/>
      <c r="W134" s="221" t="e">
        <f>V133+U134/2</f>
        <v>#DIV/0!</v>
      </c>
      <c r="X134" s="213"/>
    </row>
    <row r="135" spans="12:24" x14ac:dyDescent="0.3">
      <c r="L135"/>
      <c r="M135"/>
      <c r="N135"/>
      <c r="O135"/>
      <c r="P135" s="220">
        <f>P133+$Q$6</f>
        <v>0</v>
      </c>
      <c r="Q135" s="221"/>
      <c r="R135" s="221" t="e">
        <f>IF(R133+Q134&lt;0,(R133+Q134)*0.8,R133+Q134)</f>
        <v>#DIV/0!</v>
      </c>
      <c r="S135" s="221"/>
      <c r="T135" s="221" t="e">
        <f>T133*(X135/X133)^2</f>
        <v>#DIV/0!</v>
      </c>
      <c r="U135" s="221"/>
      <c r="V135" s="221" t="e">
        <f>IF(AND(ABS(V133+U134)&gt;$B$5*0.8,(V133+U134)&lt;0),-$B$5*0.5,IF(AND(ABS(V133+U134)&gt;$B$5*0.8,(V133+U134)&gt;0),$B$5*0.5,V133+U134))</f>
        <v>#DIV/0!</v>
      </c>
      <c r="W135" s="221"/>
      <c r="X135" s="223" t="e">
        <f>$B$7*V135</f>
        <v>#DIV/0!</v>
      </c>
    </row>
    <row r="136" spans="12:24" x14ac:dyDescent="0.3">
      <c r="L136"/>
      <c r="M136"/>
      <c r="N136"/>
      <c r="O136"/>
      <c r="P136" s="213"/>
      <c r="Q136" s="221" t="e">
        <f>(V135+U134/2)*$Q$12</f>
        <v>#DIV/0!</v>
      </c>
      <c r="R136" s="221"/>
      <c r="S136" s="221" t="e">
        <f>R135+Q136/2</f>
        <v>#DIV/0!</v>
      </c>
      <c r="T136" s="221"/>
      <c r="U136" s="221" t="e">
        <f>-$Q$13*(S136+T135*((V135+U134/2)^2))</f>
        <v>#DIV/0!</v>
      </c>
      <c r="V136" s="221"/>
      <c r="W136" s="221" t="e">
        <f>V135+U136/2</f>
        <v>#DIV/0!</v>
      </c>
      <c r="X136" s="213"/>
    </row>
    <row r="137" spans="12:24" x14ac:dyDescent="0.3">
      <c r="L137"/>
      <c r="M137"/>
      <c r="N137"/>
      <c r="O137"/>
      <c r="P137" s="220">
        <f>P135+$Q$6</f>
        <v>0</v>
      </c>
      <c r="Q137" s="221"/>
      <c r="R137" s="221" t="e">
        <f>IF(R135+Q136&lt;0,(R135+Q136)*0.8,R135+Q136)</f>
        <v>#DIV/0!</v>
      </c>
      <c r="S137" s="221"/>
      <c r="T137" s="221" t="e">
        <f>T135*(X137/X135)^2</f>
        <v>#DIV/0!</v>
      </c>
      <c r="U137" s="221"/>
      <c r="V137" s="221" t="e">
        <f>IF(AND(ABS(V135+U136)&gt;$B$5*0.8,(V135+U136)&lt;0),-$B$5*0.5,IF(AND(ABS(V135+U136)&gt;$B$5*0.8,(V135+U136)&gt;0),$B$5*0.5,V135+U136))</f>
        <v>#DIV/0!</v>
      </c>
      <c r="W137" s="221"/>
      <c r="X137" s="223" t="e">
        <f>$B$7*V137</f>
        <v>#DIV/0!</v>
      </c>
    </row>
    <row r="138" spans="12:24" x14ac:dyDescent="0.3">
      <c r="L138"/>
      <c r="M138"/>
      <c r="N138"/>
      <c r="O138"/>
      <c r="P138" s="213"/>
      <c r="Q138" s="221" t="e">
        <f>(V137+U136/2)*$Q$12</f>
        <v>#DIV/0!</v>
      </c>
      <c r="R138" s="221"/>
      <c r="S138" s="221" t="e">
        <f>R137+Q138/2</f>
        <v>#DIV/0!</v>
      </c>
      <c r="T138" s="221"/>
      <c r="U138" s="221" t="e">
        <f>-$Q$13*(S138+T137*((V137+U136/2)^2))</f>
        <v>#DIV/0!</v>
      </c>
      <c r="V138" s="221"/>
      <c r="W138" s="221" t="e">
        <f>V137+U138/2</f>
        <v>#DIV/0!</v>
      </c>
      <c r="X138" s="213"/>
    </row>
    <row r="139" spans="12:24" x14ac:dyDescent="0.3">
      <c r="L139"/>
      <c r="M139"/>
      <c r="N139"/>
      <c r="O139"/>
      <c r="P139" s="220">
        <f>P137+$Q$6</f>
        <v>0</v>
      </c>
      <c r="Q139" s="221"/>
      <c r="R139" s="221" t="e">
        <f>IF(R137+Q138&lt;0,(R137+Q138)*0.8,R137+Q138)</f>
        <v>#DIV/0!</v>
      </c>
      <c r="S139" s="221"/>
      <c r="T139" s="221" t="e">
        <f>T137*(X139/X137)^2</f>
        <v>#DIV/0!</v>
      </c>
      <c r="U139" s="221"/>
      <c r="V139" s="221" t="e">
        <f>IF(AND(ABS(V137+U138)&gt;$B$5*0.8,(V137+U138)&lt;0),-$B$5*0.5,IF(AND(ABS(V137+U138)&gt;$B$5*0.8,(V137+U138)&gt;0),$B$5*0.5,V137+U138))</f>
        <v>#DIV/0!</v>
      </c>
      <c r="W139" s="221"/>
      <c r="X139" s="223" t="e">
        <f>$B$7*V139</f>
        <v>#DIV/0!</v>
      </c>
    </row>
    <row r="140" spans="12:24" x14ac:dyDescent="0.3">
      <c r="L140"/>
      <c r="M140"/>
      <c r="N140"/>
      <c r="O140"/>
      <c r="P140" s="213"/>
      <c r="Q140" s="221" t="e">
        <f>(V139+U138/2)*$Q$12</f>
        <v>#DIV/0!</v>
      </c>
      <c r="R140" s="221"/>
      <c r="S140" s="221" t="e">
        <f>R139+Q140/2</f>
        <v>#DIV/0!</v>
      </c>
      <c r="T140" s="221"/>
      <c r="U140" s="221" t="e">
        <f>-$Q$13*(S140+T139*((V139+U138/2)^2))</f>
        <v>#DIV/0!</v>
      </c>
      <c r="V140" s="221"/>
      <c r="W140" s="221" t="e">
        <f>V139+U140/2</f>
        <v>#DIV/0!</v>
      </c>
      <c r="X140" s="213"/>
    </row>
    <row r="141" spans="12:24" x14ac:dyDescent="0.3">
      <c r="L141"/>
      <c r="M141"/>
      <c r="N141"/>
      <c r="O141"/>
      <c r="P141" s="220">
        <f>P139+$Q$6</f>
        <v>0</v>
      </c>
      <c r="Q141" s="221"/>
      <c r="R141" s="221" t="e">
        <f>IF(R139+Q140&lt;0,(R139+Q140)*0.8,R139+Q140)</f>
        <v>#DIV/0!</v>
      </c>
      <c r="S141" s="221"/>
      <c r="T141" s="221" t="e">
        <f>T139*(X141/X139)^2</f>
        <v>#DIV/0!</v>
      </c>
      <c r="U141" s="221"/>
      <c r="V141" s="221" t="e">
        <f>IF(AND(ABS(V139+U140)&gt;$B$5*0.8,(V139+U140)&lt;0),-$B$5*0.5,IF(AND(ABS(V139+U140)&gt;$B$5*0.8,(V139+U140)&gt;0),$B$5*0.5,V139+U140))</f>
        <v>#DIV/0!</v>
      </c>
      <c r="W141" s="221"/>
      <c r="X141" s="223" t="e">
        <f>$B$7*V141</f>
        <v>#DIV/0!</v>
      </c>
    </row>
    <row r="142" spans="12:24" x14ac:dyDescent="0.3">
      <c r="L142"/>
      <c r="M142"/>
      <c r="N142"/>
      <c r="O142"/>
      <c r="P142" s="213"/>
      <c r="Q142" s="221" t="e">
        <f>(V141+U140/2)*$Q$12</f>
        <v>#DIV/0!</v>
      </c>
      <c r="R142" s="221"/>
      <c r="S142" s="221" t="e">
        <f>R141+Q142/2</f>
        <v>#DIV/0!</v>
      </c>
      <c r="T142" s="221"/>
      <c r="U142" s="221" t="e">
        <f>-$Q$13*(S142+T141*((V141+U140/2)^2))</f>
        <v>#DIV/0!</v>
      </c>
      <c r="V142" s="221"/>
      <c r="W142" s="221" t="e">
        <f>V141+U142/2</f>
        <v>#DIV/0!</v>
      </c>
      <c r="X142" s="213"/>
    </row>
    <row r="143" spans="12:24" x14ac:dyDescent="0.3">
      <c r="L143"/>
      <c r="M143"/>
      <c r="N143"/>
      <c r="O143"/>
      <c r="P143" s="220">
        <f>P141+$Q$6</f>
        <v>0</v>
      </c>
      <c r="Q143" s="221"/>
      <c r="R143" s="221" t="e">
        <f>IF(R141+Q142&lt;0,(R141+Q142)*0.8,R141+Q142)</f>
        <v>#DIV/0!</v>
      </c>
      <c r="S143" s="221"/>
      <c r="T143" s="221" t="e">
        <f>T141*(X143/X141)^2</f>
        <v>#DIV/0!</v>
      </c>
      <c r="U143" s="221"/>
      <c r="V143" s="221" t="e">
        <f>IF(AND(ABS(V141+U142)&gt;$B$5*0.8,(V141+U142)&lt;0),-$B$5*0.5,IF(AND(ABS(V141+U142)&gt;$B$5*0.8,(V141+U142)&gt;0),$B$5*0.5,V141+U142))</f>
        <v>#DIV/0!</v>
      </c>
      <c r="W143" s="221"/>
      <c r="X143" s="223" t="e">
        <f>$B$7*V143</f>
        <v>#DIV/0!</v>
      </c>
    </row>
    <row r="144" spans="12:24" x14ac:dyDescent="0.3">
      <c r="L144"/>
      <c r="M144"/>
      <c r="N144"/>
      <c r="O144"/>
      <c r="P144" s="213"/>
      <c r="Q144" s="221" t="e">
        <f>(V143+U142/2)*$Q$12</f>
        <v>#DIV/0!</v>
      </c>
      <c r="R144" s="221"/>
      <c r="S144" s="221" t="e">
        <f>R143+Q144/2</f>
        <v>#DIV/0!</v>
      </c>
      <c r="T144" s="221"/>
      <c r="U144" s="221" t="e">
        <f>-$Q$13*(S144+T143*((V143+U142/2)^2))</f>
        <v>#DIV/0!</v>
      </c>
      <c r="V144" s="221"/>
      <c r="W144" s="221" t="e">
        <f>V143+U144/2</f>
        <v>#DIV/0!</v>
      </c>
      <c r="X144" s="213"/>
    </row>
    <row r="145" spans="12:24" x14ac:dyDescent="0.3">
      <c r="L145"/>
      <c r="M145"/>
      <c r="N145"/>
      <c r="O145"/>
      <c r="P145" s="220">
        <f>P143+$Q$6</f>
        <v>0</v>
      </c>
      <c r="Q145" s="221"/>
      <c r="R145" s="221" t="e">
        <f>IF(R143+Q144&lt;0,(R143+Q144)*0.8,R143+Q144)</f>
        <v>#DIV/0!</v>
      </c>
      <c r="S145" s="221"/>
      <c r="T145" s="221" t="e">
        <f>T143*(X145/X143)^2</f>
        <v>#DIV/0!</v>
      </c>
      <c r="U145" s="221"/>
      <c r="V145" s="221" t="e">
        <f>IF(AND(ABS(V143+U144)&gt;$B$5*0.8,(V143+U144)&lt;0),-$B$5*0.5,IF(AND(ABS(V143+U144)&gt;$B$5*0.8,(V143+U144)&gt;0),$B$5*0.5,V143+U144))</f>
        <v>#DIV/0!</v>
      </c>
      <c r="W145" s="221"/>
      <c r="X145" s="223" t="e">
        <f>$B$7*V145</f>
        <v>#DIV/0!</v>
      </c>
    </row>
    <row r="146" spans="12:24" x14ac:dyDescent="0.3">
      <c r="L146"/>
      <c r="M146"/>
      <c r="N146"/>
      <c r="O146"/>
      <c r="P146" s="213"/>
      <c r="Q146" s="221" t="e">
        <f>(V145+U144/2)*$Q$12</f>
        <v>#DIV/0!</v>
      </c>
      <c r="R146" s="221"/>
      <c r="S146" s="221" t="e">
        <f>R145+Q146/2</f>
        <v>#DIV/0!</v>
      </c>
      <c r="T146" s="221"/>
      <c r="U146" s="221" t="e">
        <f>-$Q$13*(S146+T145*((V145+U144/2)^2))</f>
        <v>#DIV/0!</v>
      </c>
      <c r="V146" s="221"/>
      <c r="W146" s="221" t="e">
        <f>V145+U146/2</f>
        <v>#DIV/0!</v>
      </c>
      <c r="X146" s="213"/>
    </row>
    <row r="147" spans="12:24" x14ac:dyDescent="0.3">
      <c r="L147"/>
      <c r="M147"/>
      <c r="N147"/>
      <c r="O147"/>
      <c r="P147" s="220">
        <f>P145+$Q$6</f>
        <v>0</v>
      </c>
      <c r="Q147" s="221"/>
      <c r="R147" s="221" t="e">
        <f>IF(R145+Q146&lt;0,(R145+Q146)*0.8,R145+Q146)</f>
        <v>#DIV/0!</v>
      </c>
      <c r="S147" s="221"/>
      <c r="T147" s="221" t="e">
        <f>T145*(X147/X145)^2</f>
        <v>#DIV/0!</v>
      </c>
      <c r="U147" s="221"/>
      <c r="V147" s="221" t="e">
        <f>IF(AND(ABS(V145+U146)&gt;$B$5*0.8,(V145+U146)&lt;0),-$B$5*0.5,IF(AND(ABS(V145+U146)&gt;$B$5*0.8,(V145+U146)&gt;0),$B$5*0.5,V145+U146))</f>
        <v>#DIV/0!</v>
      </c>
      <c r="W147" s="221"/>
      <c r="X147" s="223" t="e">
        <f>$B$7*V147</f>
        <v>#DIV/0!</v>
      </c>
    </row>
    <row r="148" spans="12:24" x14ac:dyDescent="0.3">
      <c r="L148"/>
      <c r="M148"/>
      <c r="N148"/>
      <c r="O148"/>
      <c r="P148" s="213"/>
      <c r="Q148" s="221" t="e">
        <f>(V147+U146/2)*$Q$12</f>
        <v>#DIV/0!</v>
      </c>
      <c r="R148" s="221"/>
      <c r="S148" s="221" t="e">
        <f>R147+Q148/2</f>
        <v>#DIV/0!</v>
      </c>
      <c r="T148" s="221"/>
      <c r="U148" s="221" t="e">
        <f>-$Q$13*(S148+T147*((V147+U146/2)^2))</f>
        <v>#DIV/0!</v>
      </c>
      <c r="V148" s="221"/>
      <c r="W148" s="221" t="e">
        <f>V147+U148/2</f>
        <v>#DIV/0!</v>
      </c>
      <c r="X148" s="213"/>
    </row>
    <row r="149" spans="12:24" x14ac:dyDescent="0.3">
      <c r="L149"/>
      <c r="M149"/>
      <c r="N149"/>
      <c r="O149"/>
      <c r="P149" s="220">
        <f>P147+$Q$6</f>
        <v>0</v>
      </c>
      <c r="Q149" s="221"/>
      <c r="R149" s="221" t="e">
        <f>IF(R147+Q148&lt;0,(R147+Q148)*0.8,R147+Q148)</f>
        <v>#DIV/0!</v>
      </c>
      <c r="S149" s="221"/>
      <c r="T149" s="221" t="e">
        <f>T147*(X149/X147)^2</f>
        <v>#DIV/0!</v>
      </c>
      <c r="U149" s="221"/>
      <c r="V149" s="221" t="e">
        <f>IF(AND(ABS(V147+U148)&gt;$B$5*0.8,(V147+U148)&lt;0),-$B$5*0.5,IF(AND(ABS(V147+U148)&gt;$B$5*0.8,(V147+U148)&gt;0),$B$5*0.5,V147+U148))</f>
        <v>#DIV/0!</v>
      </c>
      <c r="W149" s="221"/>
      <c r="X149" s="223" t="e">
        <f>$B$7*V149</f>
        <v>#DIV/0!</v>
      </c>
    </row>
    <row r="150" spans="12:24" x14ac:dyDescent="0.3">
      <c r="L150"/>
      <c r="M150"/>
      <c r="N150"/>
      <c r="O150"/>
      <c r="P150" s="213"/>
      <c r="Q150" s="221" t="e">
        <f>(V149+U148/2)*$Q$12</f>
        <v>#DIV/0!</v>
      </c>
      <c r="R150" s="221"/>
      <c r="S150" s="221" t="e">
        <f>R149+Q150/2</f>
        <v>#DIV/0!</v>
      </c>
      <c r="T150" s="221"/>
      <c r="U150" s="221" t="e">
        <f>-$Q$13*(S150+T149*((V149+U148/2)^2))</f>
        <v>#DIV/0!</v>
      </c>
      <c r="V150" s="221"/>
      <c r="W150" s="221" t="e">
        <f>V149+U150/2</f>
        <v>#DIV/0!</v>
      </c>
      <c r="X150" s="213"/>
    </row>
    <row r="151" spans="12:24" x14ac:dyDescent="0.3">
      <c r="L151"/>
      <c r="M151"/>
      <c r="N151"/>
      <c r="O151"/>
      <c r="P151" s="220">
        <f>P149+$Q$6</f>
        <v>0</v>
      </c>
      <c r="Q151" s="221"/>
      <c r="R151" s="221" t="e">
        <f>IF(R149+Q150&lt;0,(R149+Q150)*0.8,R149+Q150)</f>
        <v>#DIV/0!</v>
      </c>
      <c r="S151" s="221"/>
      <c r="T151" s="221" t="e">
        <f>T149*(X151/X149)^2</f>
        <v>#DIV/0!</v>
      </c>
      <c r="U151" s="221"/>
      <c r="V151" s="221" t="e">
        <f>IF(AND(ABS(V149+U150)&gt;$B$5*0.8,(V149+U150)&lt;0),-$B$5*0.5,IF(AND(ABS(V149+U150)&gt;$B$5*0.8,(V149+U150)&gt;0),$B$5*0.5,V149+U150))</f>
        <v>#DIV/0!</v>
      </c>
      <c r="W151" s="221"/>
      <c r="X151" s="223" t="e">
        <f>$B$7*V151</f>
        <v>#DIV/0!</v>
      </c>
    </row>
    <row r="152" spans="12:24" x14ac:dyDescent="0.3">
      <c r="L152"/>
      <c r="M152"/>
      <c r="N152"/>
      <c r="O152"/>
      <c r="P152" s="213"/>
      <c r="Q152" s="221" t="e">
        <f>(V151+U150/2)*$Q$12</f>
        <v>#DIV/0!</v>
      </c>
      <c r="R152" s="221"/>
      <c r="S152" s="221" t="e">
        <f>R151+Q152/2</f>
        <v>#DIV/0!</v>
      </c>
      <c r="T152" s="221"/>
      <c r="U152" s="221" t="e">
        <f>-$Q$13*(S152+T151*((V151+U150/2)^2))</f>
        <v>#DIV/0!</v>
      </c>
      <c r="V152" s="221"/>
      <c r="W152" s="221" t="e">
        <f>V151+U152/2</f>
        <v>#DIV/0!</v>
      </c>
      <c r="X152" s="213"/>
    </row>
    <row r="153" spans="12:24" x14ac:dyDescent="0.3">
      <c r="L153"/>
      <c r="M153"/>
      <c r="N153"/>
      <c r="O153"/>
      <c r="P153" s="220">
        <f>P151+$Q$6</f>
        <v>0</v>
      </c>
      <c r="Q153" s="221"/>
      <c r="R153" s="221" t="e">
        <f>IF(R151+Q152&lt;0,(R151+Q152)*0.8,R151+Q152)</f>
        <v>#DIV/0!</v>
      </c>
      <c r="S153" s="221"/>
      <c r="T153" s="221" t="e">
        <f>T151*(X153/X151)^2</f>
        <v>#DIV/0!</v>
      </c>
      <c r="U153" s="221"/>
      <c r="V153" s="221" t="e">
        <f>IF(AND(ABS(V151+U152)&gt;$B$5*0.8,(V151+U152)&lt;0),-$B$5*0.5,IF(AND(ABS(V151+U152)&gt;$B$5*0.8,(V151+U152)&gt;0),$B$5*0.5,V151+U152))</f>
        <v>#DIV/0!</v>
      </c>
      <c r="W153" s="221"/>
      <c r="X153" s="223" t="e">
        <f>$B$7*V153</f>
        <v>#DIV/0!</v>
      </c>
    </row>
    <row r="154" spans="12:24" x14ac:dyDescent="0.3">
      <c r="L154"/>
      <c r="M154"/>
      <c r="N154"/>
      <c r="O154"/>
      <c r="P154" s="213"/>
      <c r="Q154" s="221" t="e">
        <f>(V153+U152/2)*$Q$12</f>
        <v>#DIV/0!</v>
      </c>
      <c r="R154" s="221"/>
      <c r="S154" s="221" t="e">
        <f>R153+Q154/2</f>
        <v>#DIV/0!</v>
      </c>
      <c r="T154" s="221"/>
      <c r="U154" s="221" t="e">
        <f>-$Q$13*(S154+T153*((V153+U152/2)^2))</f>
        <v>#DIV/0!</v>
      </c>
      <c r="V154" s="221"/>
      <c r="W154" s="221" t="e">
        <f>V153+U154/2</f>
        <v>#DIV/0!</v>
      </c>
      <c r="X154" s="213"/>
    </row>
    <row r="155" spans="12:24" x14ac:dyDescent="0.3">
      <c r="L155"/>
      <c r="M155"/>
      <c r="N155"/>
      <c r="O155"/>
      <c r="P155" s="220">
        <f>P153+$Q$6</f>
        <v>0</v>
      </c>
      <c r="Q155" s="221"/>
      <c r="R155" s="221" t="e">
        <f>IF(R153+Q154&lt;0,(R153+Q154)*0.8,R153+Q154)</f>
        <v>#DIV/0!</v>
      </c>
      <c r="S155" s="221"/>
      <c r="T155" s="221" t="e">
        <f>T153*(X155/X153)^2</f>
        <v>#DIV/0!</v>
      </c>
      <c r="U155" s="221"/>
      <c r="V155" s="221" t="e">
        <f>IF(AND(ABS(V153+U154)&gt;$B$5*0.8,(V153+U154)&lt;0),-$B$5*0.5,IF(AND(ABS(V153+U154)&gt;$B$5*0.8,(V153+U154)&gt;0),$B$5*0.5,V153+U154))</f>
        <v>#DIV/0!</v>
      </c>
      <c r="W155" s="221"/>
      <c r="X155" s="223" t="e">
        <f>$B$7*V155</f>
        <v>#DIV/0!</v>
      </c>
    </row>
    <row r="156" spans="12:24" x14ac:dyDescent="0.3">
      <c r="L156"/>
      <c r="M156"/>
      <c r="N156"/>
      <c r="O156"/>
      <c r="P156" s="213"/>
      <c r="Q156" s="221" t="e">
        <f>(V155+U154/2)*$Q$12</f>
        <v>#DIV/0!</v>
      </c>
      <c r="R156" s="221"/>
      <c r="S156" s="221" t="e">
        <f>R155+Q156/2</f>
        <v>#DIV/0!</v>
      </c>
      <c r="T156" s="221"/>
      <c r="U156" s="221" t="e">
        <f>-$Q$13*(S156+T155*((V155+U154/2)^2))</f>
        <v>#DIV/0!</v>
      </c>
      <c r="V156" s="221"/>
      <c r="W156" s="221" t="e">
        <f>V155+U156/2</f>
        <v>#DIV/0!</v>
      </c>
      <c r="X156" s="213"/>
    </row>
    <row r="157" spans="12:24" x14ac:dyDescent="0.3">
      <c r="L157"/>
      <c r="M157"/>
      <c r="N157"/>
      <c r="O157"/>
      <c r="P157" s="220">
        <f>P155+$Q$6</f>
        <v>0</v>
      </c>
      <c r="Q157" s="221"/>
      <c r="R157" s="221" t="e">
        <f>IF(R155+Q156&lt;0,(R155+Q156)*0.8,R155+Q156)</f>
        <v>#DIV/0!</v>
      </c>
      <c r="S157" s="221"/>
      <c r="T157" s="221" t="e">
        <f>T155*(X157/X155)^2</f>
        <v>#DIV/0!</v>
      </c>
      <c r="U157" s="221"/>
      <c r="V157" s="221" t="e">
        <f>IF(AND(ABS(V155+U156)&gt;$B$5*0.8,(V155+U156)&lt;0),-$B$5*0.5,IF(AND(ABS(V155+U156)&gt;$B$5*0.8,(V155+U156)&gt;0),$B$5*0.5,V155+U156))</f>
        <v>#DIV/0!</v>
      </c>
      <c r="W157" s="229"/>
      <c r="X157" s="223" t="e">
        <f>$B$7*V157</f>
        <v>#DIV/0!</v>
      </c>
    </row>
    <row r="158" spans="12:24" x14ac:dyDescent="0.3">
      <c r="L158"/>
      <c r="M158"/>
      <c r="N158"/>
      <c r="O158"/>
      <c r="P158" s="220"/>
      <c r="Q158" s="221" t="e">
        <f>(V157+U156/2)*$Q$12</f>
        <v>#DIV/0!</v>
      </c>
      <c r="R158" s="221"/>
      <c r="S158" s="221" t="e">
        <f>R157+Q158/2</f>
        <v>#DIV/0!</v>
      </c>
      <c r="T158" s="221"/>
      <c r="U158" s="221" t="e">
        <f>-$Q$13*(S158+T157*((V157+U156/2)^2))</f>
        <v>#DIV/0!</v>
      </c>
      <c r="V158" s="221"/>
      <c r="W158" s="229" t="e">
        <f>V157+U158/2</f>
        <v>#DIV/0!</v>
      </c>
      <c r="X158" s="213"/>
    </row>
    <row r="159" spans="12:24" x14ac:dyDescent="0.3">
      <c r="L159"/>
      <c r="M159"/>
      <c r="N159"/>
      <c r="O159"/>
      <c r="P159" s="220">
        <f>P157+$Q$6</f>
        <v>0</v>
      </c>
      <c r="Q159" s="221"/>
      <c r="R159" s="221" t="e">
        <f>IF(R157+Q158&lt;0,(R157+Q158)*0.8,R157+Q158)</f>
        <v>#DIV/0!</v>
      </c>
      <c r="S159" s="221"/>
      <c r="T159" s="221" t="e">
        <f>T157*(X159/X157)^2</f>
        <v>#DIV/0!</v>
      </c>
      <c r="U159" s="221"/>
      <c r="V159" s="221" t="e">
        <f>IF(AND(ABS(V157+U158)&gt;$B$5*0.8,(V157+U158)&lt;0),-$B$5*0.5,IF(AND(ABS(V157+U158)&gt;$B$5*0.8,(V157+U158)&gt;0),$B$5*0.5,V157+U158))</f>
        <v>#DIV/0!</v>
      </c>
      <c r="W159" s="229"/>
      <c r="X159" s="223" t="e">
        <f>$B$7*V159</f>
        <v>#DIV/0!</v>
      </c>
    </row>
    <row r="160" spans="12:24" x14ac:dyDescent="0.3">
      <c r="L160"/>
      <c r="M160"/>
      <c r="N160"/>
      <c r="O160"/>
      <c r="P160" s="213"/>
      <c r="Q160" s="221" t="e">
        <f>(V159+U158/2)*$Q$12</f>
        <v>#DIV/0!</v>
      </c>
      <c r="R160" s="221"/>
      <c r="S160" s="221" t="e">
        <f>R159+Q160/2</f>
        <v>#DIV/0!</v>
      </c>
      <c r="T160" s="221"/>
      <c r="U160" s="221" t="e">
        <f>-$Q$13*(S160+T159*((V159+U158/2)^2))</f>
        <v>#DIV/0!</v>
      </c>
      <c r="V160" s="221"/>
      <c r="W160" s="229" t="e">
        <f>V159+U160/2</f>
        <v>#DIV/0!</v>
      </c>
      <c r="X160" s="213"/>
    </row>
    <row r="161" spans="12:24" x14ac:dyDescent="0.3">
      <c r="L161"/>
      <c r="M161"/>
      <c r="N161"/>
      <c r="O161"/>
      <c r="P161" s="220">
        <f>P159+$Q$6</f>
        <v>0</v>
      </c>
      <c r="Q161" s="221"/>
      <c r="R161" s="221" t="e">
        <f>IF(R159+Q160&lt;0,(R159+Q160)*0.8,R159+Q160)</f>
        <v>#DIV/0!</v>
      </c>
      <c r="S161" s="221"/>
      <c r="T161" s="221" t="e">
        <f>T159*(X161/X159)^2</f>
        <v>#DIV/0!</v>
      </c>
      <c r="U161" s="221"/>
      <c r="V161" s="221" t="e">
        <f>IF(AND(ABS(V159+U160)&gt;$B$5*0.8,(V159+U160)&lt;0),-$B$5*0.5,IF(AND(ABS(V159+U160)&gt;$B$5*0.8,(V159+U160)&gt;0),$B$5*0.5,V159+U160))</f>
        <v>#DIV/0!</v>
      </c>
      <c r="W161" s="229"/>
      <c r="X161" s="223" t="e">
        <f>$B$7*V161</f>
        <v>#DIV/0!</v>
      </c>
    </row>
    <row r="162" spans="12:24" x14ac:dyDescent="0.3">
      <c r="L162"/>
      <c r="M162"/>
      <c r="N162"/>
      <c r="O162"/>
      <c r="P162" s="220"/>
      <c r="Q162" s="221" t="e">
        <f>(V161+U160/2)*$Q$12</f>
        <v>#DIV/0!</v>
      </c>
      <c r="R162" s="221"/>
      <c r="S162" s="221" t="e">
        <f>R161+Q162/2</f>
        <v>#DIV/0!</v>
      </c>
      <c r="T162" s="221"/>
      <c r="U162" s="221" t="e">
        <f>-$Q$13*(S162+T161*((V161+U160/2)^2))</f>
        <v>#DIV/0!</v>
      </c>
      <c r="V162" s="221"/>
      <c r="W162" s="221" t="e">
        <f>V161+U162/2</f>
        <v>#DIV/0!</v>
      </c>
      <c r="X162" s="224"/>
    </row>
    <row r="163" spans="12:24" x14ac:dyDescent="0.3">
      <c r="L163"/>
      <c r="M163"/>
      <c r="N163"/>
      <c r="O163"/>
      <c r="P163" s="220">
        <f>P161+$Q$6</f>
        <v>0</v>
      </c>
      <c r="Q163" s="221"/>
      <c r="R163" s="221" t="e">
        <f>IF(R161+Q162&lt;0,(R161+Q162)*0.8,R161+Q162)</f>
        <v>#DIV/0!</v>
      </c>
      <c r="S163" s="221"/>
      <c r="T163" s="221" t="e">
        <f>T161*(X163/X161)^2</f>
        <v>#DIV/0!</v>
      </c>
      <c r="U163" s="221"/>
      <c r="V163" s="221" t="e">
        <f>IF(AND(ABS(V161+U162)&gt;$B$5*0.8,(V161+U162)&lt;0),-$B$5*0.5,IF(AND(ABS(V161+U162)&gt;$B$5*0.8,(V161+U162)&gt;0),$B$5*0.5,V161+U162))</f>
        <v>#DIV/0!</v>
      </c>
      <c r="W163" s="221"/>
      <c r="X163" s="223" t="e">
        <f>$B$7*V163</f>
        <v>#DIV/0!</v>
      </c>
    </row>
    <row r="164" spans="12:24" x14ac:dyDescent="0.3">
      <c r="L164"/>
      <c r="M164"/>
      <c r="N164"/>
      <c r="O164"/>
      <c r="P164" s="213"/>
      <c r="Q164" s="221" t="e">
        <f>(V163+U162/2)*$Q$12</f>
        <v>#DIV/0!</v>
      </c>
      <c r="R164" s="221"/>
      <c r="S164" s="221" t="e">
        <f>R163+Q164/2</f>
        <v>#DIV/0!</v>
      </c>
      <c r="T164" s="221"/>
      <c r="U164" s="221" t="e">
        <f>-$Q$13*(S164+T163*((V163+U162/2)^2))</f>
        <v>#DIV/0!</v>
      </c>
      <c r="V164" s="221"/>
      <c r="W164" s="221" t="e">
        <f>V163+U164/2</f>
        <v>#DIV/0!</v>
      </c>
      <c r="X164" s="213"/>
    </row>
    <row r="165" spans="12:24" x14ac:dyDescent="0.3">
      <c r="L165"/>
      <c r="M165"/>
      <c r="N165"/>
      <c r="O165"/>
      <c r="P165" s="220">
        <f>P163+$Q$6</f>
        <v>0</v>
      </c>
      <c r="Q165" s="221"/>
      <c r="R165" s="221" t="e">
        <f>IF(R163+Q164&lt;0,(R163+Q164)*0.8,R163+Q164)</f>
        <v>#DIV/0!</v>
      </c>
      <c r="S165" s="221"/>
      <c r="T165" s="221" t="e">
        <f>T163*(X165/X163)^2</f>
        <v>#DIV/0!</v>
      </c>
      <c r="U165" s="221"/>
      <c r="V165" s="221" t="e">
        <f>IF(AND(ABS(V163+U164)&gt;$B$5*0.8,(V163+U164)&lt;0),-$B$5*0.5,IF(AND(ABS(V163+U164)&gt;$B$5*0.8,(V163+U164)&gt;0),$B$5*0.5,V163+U164))</f>
        <v>#DIV/0!</v>
      </c>
      <c r="W165" s="221"/>
      <c r="X165" s="223" t="e">
        <f>$B$7*V165</f>
        <v>#DIV/0!</v>
      </c>
    </row>
    <row r="166" spans="12:24" x14ac:dyDescent="0.3">
      <c r="L166"/>
      <c r="M166"/>
      <c r="N166"/>
      <c r="O166"/>
      <c r="P166" s="220"/>
      <c r="Q166" s="221" t="e">
        <f>(V165+U164/2)*$Q$12</f>
        <v>#DIV/0!</v>
      </c>
      <c r="R166" s="221"/>
      <c r="S166" s="221" t="e">
        <f>R165+Q166/2</f>
        <v>#DIV/0!</v>
      </c>
      <c r="T166" s="221"/>
      <c r="U166" s="221" t="e">
        <f>-$Q$13*(S166+T165*((V165+U164/2)^2))</f>
        <v>#DIV/0!</v>
      </c>
      <c r="V166" s="221"/>
      <c r="W166" s="221" t="e">
        <f>V165+U166/2</f>
        <v>#DIV/0!</v>
      </c>
      <c r="X166" s="213"/>
    </row>
    <row r="167" spans="12:24" x14ac:dyDescent="0.3">
      <c r="L167"/>
      <c r="M167"/>
      <c r="N167"/>
      <c r="O167"/>
      <c r="P167" s="220">
        <f>P165+$Q$6</f>
        <v>0</v>
      </c>
      <c r="Q167" s="221"/>
      <c r="R167" s="221" t="e">
        <f>IF(R165+Q166&lt;0,(R165+Q166)*0.8,R165+Q166)</f>
        <v>#DIV/0!</v>
      </c>
      <c r="S167" s="221"/>
      <c r="T167" s="221" t="e">
        <f>T165*(X167/X165)^2</f>
        <v>#DIV/0!</v>
      </c>
      <c r="U167" s="221"/>
      <c r="V167" s="221" t="e">
        <f>IF(AND(ABS(V165+U166)&gt;$B$5*0.8,(V165+U166)&lt;0),-$B$5*0.5,IF(AND(ABS(V165+U166)&gt;$B$5*0.8,(V165+U166)&gt;0),$B$5*0.5,V165+U166))</f>
        <v>#DIV/0!</v>
      </c>
      <c r="W167" s="221"/>
      <c r="X167" s="223" t="e">
        <f>$B$7*V167</f>
        <v>#DIV/0!</v>
      </c>
    </row>
    <row r="168" spans="12:24" x14ac:dyDescent="0.3">
      <c r="L168"/>
      <c r="M168"/>
      <c r="N168"/>
      <c r="O168"/>
      <c r="P168" s="213"/>
      <c r="Q168" s="221" t="e">
        <f>(V167+U166/2)*$Q$12</f>
        <v>#DIV/0!</v>
      </c>
      <c r="R168" s="221"/>
      <c r="S168" s="221" t="e">
        <f>R167+Q168/2</f>
        <v>#DIV/0!</v>
      </c>
      <c r="T168" s="221"/>
      <c r="U168" s="221" t="e">
        <f>-$Q$13*(S168+T167*((V167+U166/2)^2))</f>
        <v>#DIV/0!</v>
      </c>
      <c r="V168" s="221"/>
      <c r="W168" s="221" t="e">
        <f>V167+U168/2</f>
        <v>#DIV/0!</v>
      </c>
      <c r="X168" s="213"/>
    </row>
    <row r="169" spans="12:24" x14ac:dyDescent="0.3">
      <c r="L169"/>
      <c r="M169"/>
      <c r="N169"/>
      <c r="O169"/>
      <c r="P169" s="220">
        <f>P167+$Q$6</f>
        <v>0</v>
      </c>
      <c r="Q169" s="221"/>
      <c r="R169" s="221" t="e">
        <f>IF(R167+Q168&lt;0,(R167+Q168)*0.8,R167+Q168)</f>
        <v>#DIV/0!</v>
      </c>
      <c r="S169" s="221"/>
      <c r="T169" s="221" t="e">
        <f>T167*(X169/X167)^2</f>
        <v>#DIV/0!</v>
      </c>
      <c r="U169" s="221"/>
      <c r="V169" s="221" t="e">
        <f>IF(AND(ABS(V167+U168)&gt;$B$5*0.8,(V167+U168)&lt;0),-$B$5*0.5,IF(AND(ABS(V167+U168)&gt;$B$5*0.8,(V167+U168)&gt;0),$B$5*0.5,V167+U168))</f>
        <v>#DIV/0!</v>
      </c>
      <c r="W169" s="221"/>
      <c r="X169" s="223" t="e">
        <f>$B$7*V169</f>
        <v>#DIV/0!</v>
      </c>
    </row>
    <row r="170" spans="12:24" x14ac:dyDescent="0.3">
      <c r="L170"/>
      <c r="M170"/>
      <c r="N170"/>
      <c r="O170"/>
      <c r="P170" s="213"/>
      <c r="Q170" s="221" t="e">
        <f>(V169+U168/2)*$Q$12</f>
        <v>#DIV/0!</v>
      </c>
      <c r="R170" s="221"/>
      <c r="S170" s="221" t="e">
        <f>R169+Q170/2</f>
        <v>#DIV/0!</v>
      </c>
      <c r="T170" s="221"/>
      <c r="U170" s="221" t="e">
        <f>-$Q$13*(S170+T169*((V169+U168/2)^2))</f>
        <v>#DIV/0!</v>
      </c>
      <c r="V170" s="221"/>
      <c r="W170" s="221" t="e">
        <f>V169+U170/2</f>
        <v>#DIV/0!</v>
      </c>
      <c r="X170" s="213"/>
    </row>
    <row r="171" spans="12:24" x14ac:dyDescent="0.3">
      <c r="L171"/>
      <c r="M171"/>
      <c r="N171"/>
      <c r="O171"/>
      <c r="P171" s="220">
        <f>P169+$Q$6</f>
        <v>0</v>
      </c>
      <c r="Q171" s="221"/>
      <c r="R171" s="221" t="e">
        <f>IF(R169+Q170&lt;0,(R169+Q170)*0.8,R169+Q170)</f>
        <v>#DIV/0!</v>
      </c>
      <c r="S171" s="221"/>
      <c r="T171" s="221" t="e">
        <f>T169*(X171/X169)^2</f>
        <v>#DIV/0!</v>
      </c>
      <c r="U171" s="221"/>
      <c r="V171" s="221" t="e">
        <f>IF(AND(ABS(V169+U170)&gt;$B$5*0.8,(V169+U170)&lt;0),-$B$5*0.5,IF(AND(ABS(V169+U170)&gt;$B$5*0.8,(V169+U170)&gt;0),$B$5*0.5,V169+U170))</f>
        <v>#DIV/0!</v>
      </c>
      <c r="W171" s="221"/>
      <c r="X171" s="223" t="e">
        <f>$B$7*V171</f>
        <v>#DIV/0!</v>
      </c>
    </row>
    <row r="172" spans="12:24" x14ac:dyDescent="0.3">
      <c r="L172"/>
      <c r="M172"/>
      <c r="N172"/>
      <c r="O172"/>
      <c r="P172" s="213"/>
      <c r="Q172" s="221" t="e">
        <f>(V171+U170/2)*$Q$12</f>
        <v>#DIV/0!</v>
      </c>
      <c r="R172" s="221"/>
      <c r="S172" s="221" t="e">
        <f>R171+Q172/2</f>
        <v>#DIV/0!</v>
      </c>
      <c r="T172" s="221"/>
      <c r="U172" s="221" t="e">
        <f>-$Q$13*(S172+T171*((V171+U170/2)^2))</f>
        <v>#DIV/0!</v>
      </c>
      <c r="V172" s="221"/>
      <c r="W172" s="221" t="e">
        <f>V171+U172/2</f>
        <v>#DIV/0!</v>
      </c>
      <c r="X172" s="213"/>
    </row>
    <row r="173" spans="12:24" x14ac:dyDescent="0.3">
      <c r="L173"/>
      <c r="M173"/>
      <c r="N173"/>
      <c r="O173"/>
      <c r="P173" s="220">
        <f>P171+$Q$6</f>
        <v>0</v>
      </c>
      <c r="Q173" s="221"/>
      <c r="R173" s="221" t="e">
        <f>IF(R171+Q172&lt;0,(R171+Q172)*0.8,R171+Q172)</f>
        <v>#DIV/0!</v>
      </c>
      <c r="S173" s="221"/>
      <c r="T173" s="221" t="e">
        <f>T171*(X173/X171)^2</f>
        <v>#DIV/0!</v>
      </c>
      <c r="U173" s="221"/>
      <c r="V173" s="221" t="e">
        <f>IF(AND(ABS(V171+U172)&gt;$B$5*0.8,(V171+U172)&lt;0),-$B$5*0.5,IF(AND(ABS(V171+U172)&gt;$B$5*0.8,(V171+U172)&gt;0),$B$5*0.5,V171+U172))</f>
        <v>#DIV/0!</v>
      </c>
      <c r="W173" s="221"/>
      <c r="X173" s="223" t="e">
        <f>$B$7*V173</f>
        <v>#DIV/0!</v>
      </c>
    </row>
    <row r="174" spans="12:24" x14ac:dyDescent="0.3">
      <c r="L174"/>
      <c r="M174"/>
      <c r="N174"/>
      <c r="O174"/>
      <c r="P174" s="213"/>
      <c r="Q174" s="221" t="e">
        <f>(V173+U172/2)*$Q$12</f>
        <v>#DIV/0!</v>
      </c>
      <c r="R174" s="221"/>
      <c r="S174" s="221" t="e">
        <f>R173+Q174/2</f>
        <v>#DIV/0!</v>
      </c>
      <c r="T174" s="221"/>
      <c r="U174" s="221" t="e">
        <f>-$Q$13*(S174+T173*((V173+U172/2)^2))</f>
        <v>#DIV/0!</v>
      </c>
      <c r="V174" s="221"/>
      <c r="W174" s="221" t="e">
        <f>V173+U174/2</f>
        <v>#DIV/0!</v>
      </c>
      <c r="X174" s="213"/>
    </row>
    <row r="175" spans="12:24" x14ac:dyDescent="0.3">
      <c r="L175"/>
      <c r="M175"/>
      <c r="N175"/>
      <c r="O175"/>
      <c r="P175" s="220">
        <f>P173+$Q$6</f>
        <v>0</v>
      </c>
      <c r="Q175" s="221"/>
      <c r="R175" s="221" t="e">
        <f>IF(R173+Q174&lt;0,(R173+Q174)*0.8,R173+Q174)</f>
        <v>#DIV/0!</v>
      </c>
      <c r="S175" s="221"/>
      <c r="T175" s="221" t="e">
        <f>T173*(X175/X173)^2</f>
        <v>#DIV/0!</v>
      </c>
      <c r="U175" s="221"/>
      <c r="V175" s="221" t="e">
        <f>IF(AND(ABS(V173+U174)&gt;$B$5*0.8,(V173+U174)&lt;0),-$B$5*0.5,IF(AND(ABS(V173+U174)&gt;$B$5*0.8,(V173+U174)&gt;0),$B$5*0.5,V173+U174))</f>
        <v>#DIV/0!</v>
      </c>
      <c r="W175" s="221"/>
      <c r="X175" s="223" t="e">
        <f>$B$7*V175</f>
        <v>#DIV/0!</v>
      </c>
    </row>
    <row r="176" spans="12:24" x14ac:dyDescent="0.3">
      <c r="L176"/>
      <c r="M176"/>
      <c r="N176"/>
      <c r="O176"/>
      <c r="P176" s="213"/>
      <c r="Q176" s="221" t="e">
        <f>(V175+U174/2)*$Q$12</f>
        <v>#DIV/0!</v>
      </c>
      <c r="R176" s="221"/>
      <c r="S176" s="221" t="e">
        <f>R175+Q176/2</f>
        <v>#DIV/0!</v>
      </c>
      <c r="T176" s="221"/>
      <c r="U176" s="221" t="e">
        <f>-$Q$13*(S176+T175*((V175+U174/2)^2))</f>
        <v>#DIV/0!</v>
      </c>
      <c r="V176" s="221"/>
      <c r="W176" s="221" t="e">
        <f>V175+U176/2</f>
        <v>#DIV/0!</v>
      </c>
      <c r="X176" s="213"/>
    </row>
    <row r="177" spans="12:24" x14ac:dyDescent="0.3">
      <c r="L177"/>
      <c r="M177"/>
      <c r="N177"/>
      <c r="O177"/>
      <c r="P177" s="220">
        <f>P175+$Q$6</f>
        <v>0</v>
      </c>
      <c r="Q177" s="221"/>
      <c r="R177" s="221" t="e">
        <f>IF(R175+Q176&lt;0,(R175+Q176)*0.8,R175+Q176)</f>
        <v>#DIV/0!</v>
      </c>
      <c r="S177" s="221"/>
      <c r="T177" s="221" t="e">
        <f>T175*(X177/X175)^2</f>
        <v>#DIV/0!</v>
      </c>
      <c r="U177" s="221"/>
      <c r="V177" s="221" t="e">
        <f>IF(AND(ABS(V175+U176)&gt;$B$5*0.8,(V175+U176)&lt;0),-$B$5*0.5,IF(AND(ABS(V175+U176)&gt;$B$5*0.8,(V175+U176)&gt;0),$B$5*0.5,V175+U176))</f>
        <v>#DIV/0!</v>
      </c>
      <c r="W177" s="221"/>
      <c r="X177" s="223" t="e">
        <f>$B$7*V177</f>
        <v>#DIV/0!</v>
      </c>
    </row>
    <row r="178" spans="12:24" x14ac:dyDescent="0.3">
      <c r="L178"/>
      <c r="M178"/>
      <c r="N178"/>
      <c r="O178"/>
      <c r="P178" s="213"/>
      <c r="Q178" s="221" t="e">
        <f>(V177+U176/2)*$Q$12</f>
        <v>#DIV/0!</v>
      </c>
      <c r="R178" s="221"/>
      <c r="S178" s="221" t="e">
        <f>R177+Q178/2</f>
        <v>#DIV/0!</v>
      </c>
      <c r="T178" s="221"/>
      <c r="U178" s="221" t="e">
        <f>-$Q$13*(S178+T177*((V177+U176/2)^2))</f>
        <v>#DIV/0!</v>
      </c>
      <c r="V178" s="221"/>
      <c r="W178" s="221" t="e">
        <f>V177+U178/2</f>
        <v>#DIV/0!</v>
      </c>
      <c r="X178" s="213"/>
    </row>
    <row r="179" spans="12:24" x14ac:dyDescent="0.3">
      <c r="L179"/>
      <c r="M179"/>
      <c r="N179"/>
      <c r="O179"/>
      <c r="P179" s="220">
        <f>P177+$Q$6</f>
        <v>0</v>
      </c>
      <c r="Q179" s="221"/>
      <c r="R179" s="221" t="e">
        <f>IF(R177+Q178&lt;0,(R177+Q178)*0.8,R177+Q178)</f>
        <v>#DIV/0!</v>
      </c>
      <c r="S179" s="221"/>
      <c r="T179" s="221" t="e">
        <f>T177*(X179/X177)^2</f>
        <v>#DIV/0!</v>
      </c>
      <c r="U179" s="221"/>
      <c r="V179" s="221" t="e">
        <f>IF(AND(ABS(V177+U178)&gt;$B$5*0.8,(V177+U178)&lt;0),-$B$5*0.5,IF(AND(ABS(V177+U178)&gt;$B$5*0.8,(V177+U178)&gt;0),$B$5*0.5,V177+U178))</f>
        <v>#DIV/0!</v>
      </c>
      <c r="W179" s="221"/>
      <c r="X179" s="223" t="e">
        <f>$B$7*V179</f>
        <v>#DIV/0!</v>
      </c>
    </row>
    <row r="180" spans="12:24" x14ac:dyDescent="0.3">
      <c r="L180"/>
      <c r="M180"/>
      <c r="N180"/>
      <c r="O180"/>
      <c r="P180" s="213"/>
      <c r="Q180" s="221" t="e">
        <f>(V179+U178/2)*$Q$12</f>
        <v>#DIV/0!</v>
      </c>
      <c r="R180" s="221"/>
      <c r="S180" s="221" t="e">
        <f>R179+Q180/2</f>
        <v>#DIV/0!</v>
      </c>
      <c r="T180" s="221"/>
      <c r="U180" s="221" t="e">
        <f>-$Q$13*(S180+T179*((V179+U178/2)^2))</f>
        <v>#DIV/0!</v>
      </c>
      <c r="V180" s="221"/>
      <c r="W180" s="221" t="e">
        <f>V179+U180/2</f>
        <v>#DIV/0!</v>
      </c>
      <c r="X180" s="213"/>
    </row>
    <row r="181" spans="12:24" x14ac:dyDescent="0.3">
      <c r="L181"/>
      <c r="M181"/>
      <c r="N181"/>
      <c r="O181"/>
      <c r="P181" s="220">
        <f>P179+$Q$6</f>
        <v>0</v>
      </c>
      <c r="Q181" s="221"/>
      <c r="R181" s="221" t="e">
        <f>IF(R179+Q180&lt;0,(R179+Q180)*0.8,R179+Q180)</f>
        <v>#DIV/0!</v>
      </c>
      <c r="S181" s="221"/>
      <c r="T181" s="221" t="e">
        <f>T179*(X181/X179)^2</f>
        <v>#DIV/0!</v>
      </c>
      <c r="U181" s="221"/>
      <c r="V181" s="221" t="e">
        <f>IF(AND(ABS(V179+U180)&gt;$B$5*0.8,(V179+U180)&lt;0),-$B$5*0.5,IF(AND(ABS(V179+U180)&gt;$B$5*0.8,(V179+U180)&gt;0),$B$5*0.5,V179+U180))</f>
        <v>#DIV/0!</v>
      </c>
      <c r="W181" s="221"/>
      <c r="X181" s="223" t="e">
        <f>$B$7*V181</f>
        <v>#DIV/0!</v>
      </c>
    </row>
    <row r="182" spans="12:24" x14ac:dyDescent="0.3">
      <c r="L182"/>
      <c r="M182"/>
      <c r="N182"/>
      <c r="O182"/>
      <c r="P182" s="213"/>
      <c r="Q182" s="221" t="e">
        <f>(V181+U180/2)*$Q$12</f>
        <v>#DIV/0!</v>
      </c>
      <c r="R182" s="221"/>
      <c r="S182" s="221" t="e">
        <f>R181+Q182/2</f>
        <v>#DIV/0!</v>
      </c>
      <c r="T182" s="221"/>
      <c r="U182" s="221" t="e">
        <f>-$Q$13*(S182+T181*((V181+U180/2)^2))</f>
        <v>#DIV/0!</v>
      </c>
      <c r="V182" s="221"/>
      <c r="W182" s="221" t="e">
        <f>V181+U182/2</f>
        <v>#DIV/0!</v>
      </c>
      <c r="X182" s="213"/>
    </row>
    <row r="183" spans="12:24" x14ac:dyDescent="0.3">
      <c r="L183"/>
      <c r="M183"/>
      <c r="N183"/>
      <c r="O183"/>
      <c r="P183" s="220">
        <f>P181+$Q$6</f>
        <v>0</v>
      </c>
      <c r="Q183" s="221"/>
      <c r="R183" s="221" t="e">
        <f>IF(R181+Q182&lt;0,(R181+Q182)*0.8,R181+Q182)</f>
        <v>#DIV/0!</v>
      </c>
      <c r="S183" s="221"/>
      <c r="T183" s="221" t="e">
        <f>T181*(X183/X181)^2</f>
        <v>#DIV/0!</v>
      </c>
      <c r="U183" s="221"/>
      <c r="V183" s="221" t="e">
        <f>IF(AND(ABS(V181+U182)&gt;$B$5*0.8,(V181+U182)&lt;0),-$B$5*0.5,IF(AND(ABS(V181+U182)&gt;$B$5*0.8,(V181+U182)&gt;0),$B$5*0.5,V181+U182))</f>
        <v>#DIV/0!</v>
      </c>
      <c r="W183" s="221"/>
      <c r="X183" s="223" t="e">
        <f>$B$7*V183</f>
        <v>#DIV/0!</v>
      </c>
    </row>
    <row r="184" spans="12:24" x14ac:dyDescent="0.3">
      <c r="L184"/>
      <c r="M184"/>
      <c r="N184"/>
      <c r="O184"/>
      <c r="P184" s="213"/>
      <c r="Q184" s="221" t="e">
        <f>(V183+U182/2)*$Q$12</f>
        <v>#DIV/0!</v>
      </c>
      <c r="R184" s="221"/>
      <c r="S184" s="221" t="e">
        <f>R183+Q184/2</f>
        <v>#DIV/0!</v>
      </c>
      <c r="T184" s="221"/>
      <c r="U184" s="221" t="e">
        <f>-$Q$13*(S184+T183*((V183+U182/2)^2))</f>
        <v>#DIV/0!</v>
      </c>
      <c r="V184" s="221"/>
      <c r="W184" s="221" t="e">
        <f>V183+U184/2</f>
        <v>#DIV/0!</v>
      </c>
      <c r="X184" s="213"/>
    </row>
    <row r="185" spans="12:24" x14ac:dyDescent="0.3">
      <c r="L185"/>
      <c r="M185"/>
      <c r="N185"/>
      <c r="O185"/>
      <c r="P185" s="220">
        <f>P183+$Q$6</f>
        <v>0</v>
      </c>
      <c r="Q185" s="221"/>
      <c r="R185" s="221" t="e">
        <f>IF(R183+Q184&lt;0,(R183+Q184)*0.8,R183+Q184)</f>
        <v>#DIV/0!</v>
      </c>
      <c r="S185" s="221"/>
      <c r="T185" s="221" t="e">
        <f>T183*(X185/X183)^2</f>
        <v>#DIV/0!</v>
      </c>
      <c r="U185" s="221"/>
      <c r="V185" s="221" t="e">
        <f>IF(AND(ABS(V183+U184)&gt;$B$5*0.8,(V183+U184)&lt;0),-$B$5*0.5,IF(AND(ABS(V183+U184)&gt;$B$5*0.8,(V183+U184)&gt;0),$B$5*0.5,V183+U184))</f>
        <v>#DIV/0!</v>
      </c>
      <c r="W185" s="221"/>
      <c r="X185" s="223" t="e">
        <f>$B$7*V185</f>
        <v>#DIV/0!</v>
      </c>
    </row>
    <row r="186" spans="12:24" x14ac:dyDescent="0.3">
      <c r="L186"/>
      <c r="M186"/>
      <c r="N186"/>
      <c r="O186"/>
      <c r="P186" s="213"/>
      <c r="Q186" s="221" t="e">
        <f>(V185+U184/2)*$Q$12</f>
        <v>#DIV/0!</v>
      </c>
      <c r="R186" s="221"/>
      <c r="S186" s="221" t="e">
        <f>R185+Q186/2</f>
        <v>#DIV/0!</v>
      </c>
      <c r="T186" s="221"/>
      <c r="U186" s="221" t="e">
        <f>-$Q$13*(S186+T185*((V185+U184/2)^2))</f>
        <v>#DIV/0!</v>
      </c>
      <c r="V186" s="221"/>
      <c r="W186" s="221" t="e">
        <f>V185+U186/2</f>
        <v>#DIV/0!</v>
      </c>
      <c r="X186" s="213"/>
    </row>
    <row r="187" spans="12:24" x14ac:dyDescent="0.3">
      <c r="L187"/>
      <c r="M187"/>
      <c r="N187"/>
      <c r="O187"/>
      <c r="P187" s="220">
        <f>P185+$Q$6</f>
        <v>0</v>
      </c>
      <c r="Q187" s="221"/>
      <c r="R187" s="221" t="e">
        <f>IF(R185+Q186&lt;0,(R185+Q186)*0.8,R185+Q186)</f>
        <v>#DIV/0!</v>
      </c>
      <c r="S187" s="221"/>
      <c r="T187" s="221" t="e">
        <f>T185*(X187/X185)^2</f>
        <v>#DIV/0!</v>
      </c>
      <c r="U187" s="221"/>
      <c r="V187" s="221" t="e">
        <f>IF(AND(ABS(V185+U186)&gt;$B$5*0.8,(V185+U186)&lt;0),-$B$5*0.5,IF(AND(ABS(V185+U186)&gt;$B$5*0.8,(V185+U186)&gt;0),$B$5*0.5,V185+U186))</f>
        <v>#DIV/0!</v>
      </c>
      <c r="W187" s="221"/>
      <c r="X187" s="223" t="e">
        <f>$B$7*V187</f>
        <v>#DIV/0!</v>
      </c>
    </row>
    <row r="188" spans="12:24" x14ac:dyDescent="0.3">
      <c r="L188"/>
      <c r="M188"/>
      <c r="N188"/>
      <c r="O188"/>
      <c r="P188" s="213"/>
      <c r="Q188" s="221" t="e">
        <f>(V187+U186/2)*$Q$12</f>
        <v>#DIV/0!</v>
      </c>
      <c r="R188" s="221"/>
      <c r="S188" s="221" t="e">
        <f>R187+Q188/2</f>
        <v>#DIV/0!</v>
      </c>
      <c r="T188" s="221"/>
      <c r="U188" s="221" t="e">
        <f>-$Q$13*(S188+T187*((V187+U186/2)^2))</f>
        <v>#DIV/0!</v>
      </c>
      <c r="V188" s="221"/>
      <c r="W188" s="221" t="e">
        <f>V187+U188/2</f>
        <v>#DIV/0!</v>
      </c>
      <c r="X188" s="213"/>
    </row>
    <row r="189" spans="12:24" x14ac:dyDescent="0.3">
      <c r="L189"/>
      <c r="M189"/>
      <c r="N189"/>
      <c r="O189"/>
      <c r="P189" s="220">
        <f>P187+$Q$6</f>
        <v>0</v>
      </c>
      <c r="Q189" s="221"/>
      <c r="R189" s="221" t="e">
        <f>IF(R187+Q188&lt;0,(R187+Q188)*0.8,R187+Q188)</f>
        <v>#DIV/0!</v>
      </c>
      <c r="S189" s="221"/>
      <c r="T189" s="221" t="e">
        <f>T187*(X189/X187)^2</f>
        <v>#DIV/0!</v>
      </c>
      <c r="U189" s="221"/>
      <c r="V189" s="221" t="e">
        <f>IF(AND(ABS(V187+U188)&gt;$B$5*0.8,(V187+U188)&lt;0),-$B$5*0.5,IF(AND(ABS(V187+U188)&gt;$B$5*0.8,(V187+U188)&gt;0),$B$5*0.5,V187+U188))</f>
        <v>#DIV/0!</v>
      </c>
      <c r="W189" s="221"/>
      <c r="X189" s="223" t="e">
        <f>$B$7*V189</f>
        <v>#DIV/0!</v>
      </c>
    </row>
    <row r="190" spans="12:24" x14ac:dyDescent="0.3">
      <c r="L190"/>
      <c r="M190"/>
      <c r="N190"/>
      <c r="O190"/>
      <c r="P190" s="213"/>
      <c r="Q190" s="221" t="e">
        <f>(V189+U188/2)*$Q$12</f>
        <v>#DIV/0!</v>
      </c>
      <c r="R190" s="221"/>
      <c r="S190" s="221" t="e">
        <f>R189+Q190/2</f>
        <v>#DIV/0!</v>
      </c>
      <c r="T190" s="221"/>
      <c r="U190" s="221" t="e">
        <f>-$Q$13*(S190+T189*((V189+U188/2)^2))</f>
        <v>#DIV/0!</v>
      </c>
      <c r="V190" s="221"/>
      <c r="W190" s="221" t="e">
        <f>V189+U190/2</f>
        <v>#DIV/0!</v>
      </c>
      <c r="X190" s="213"/>
    </row>
    <row r="191" spans="12:24" x14ac:dyDescent="0.3">
      <c r="L191"/>
      <c r="M191"/>
      <c r="N191"/>
      <c r="O191"/>
      <c r="P191" s="220">
        <f>P189+$Q$6</f>
        <v>0</v>
      </c>
      <c r="Q191" s="221"/>
      <c r="R191" s="221" t="e">
        <f>IF(R189+Q190&lt;0,(R189+Q190)*0.8,R189+Q190)</f>
        <v>#DIV/0!</v>
      </c>
      <c r="S191" s="221"/>
      <c r="T191" s="221" t="e">
        <f>T189*(X191/X189)^2</f>
        <v>#DIV/0!</v>
      </c>
      <c r="U191" s="221"/>
      <c r="V191" s="221" t="e">
        <f>IF(AND(ABS(V189+U190)&gt;$B$5*0.8,(V189+U190)&lt;0),-$B$5*0.5,IF(AND(ABS(V189+U190)&gt;$B$5*0.8,(V189+U190)&gt;0),$B$5*0.5,V189+U190))</f>
        <v>#DIV/0!</v>
      </c>
      <c r="W191" s="221"/>
      <c r="X191" s="223" t="e">
        <f>$B$7*V191</f>
        <v>#DIV/0!</v>
      </c>
    </row>
    <row r="192" spans="12:24" x14ac:dyDescent="0.3">
      <c r="L192"/>
      <c r="M192"/>
      <c r="N192"/>
      <c r="O192"/>
      <c r="P192" s="213"/>
      <c r="Q192" s="221" t="e">
        <f>(V191+U190/2)*$Q$12</f>
        <v>#DIV/0!</v>
      </c>
      <c r="R192" s="221"/>
      <c r="S192" s="221" t="e">
        <f>R191+Q192/2</f>
        <v>#DIV/0!</v>
      </c>
      <c r="T192" s="221"/>
      <c r="U192" s="221" t="e">
        <f>-$Q$13*(S192+T191*((V191+U190/2)^2))</f>
        <v>#DIV/0!</v>
      </c>
      <c r="V192" s="221"/>
      <c r="W192" s="221" t="e">
        <f>V191+U192/2</f>
        <v>#DIV/0!</v>
      </c>
      <c r="X192" s="213"/>
    </row>
    <row r="193" spans="12:24" x14ac:dyDescent="0.3">
      <c r="L193"/>
      <c r="M193"/>
      <c r="N193"/>
      <c r="O193"/>
      <c r="P193" s="220">
        <f>P191+$Q$6</f>
        <v>0</v>
      </c>
      <c r="Q193" s="221"/>
      <c r="R193" s="221" t="e">
        <f>IF(R191+Q192&lt;0,(R191+Q192)*0.8,R191+Q192)</f>
        <v>#DIV/0!</v>
      </c>
      <c r="S193" s="221"/>
      <c r="T193" s="221" t="e">
        <f>T191*(X193/X191)^2</f>
        <v>#DIV/0!</v>
      </c>
      <c r="U193" s="221"/>
      <c r="V193" s="221" t="e">
        <f>IF(AND(ABS(V191+U192)&gt;$B$5*0.8,(V191+U192)&lt;0),-$B$5*0.5,IF(AND(ABS(V191+U192)&gt;$B$5*0.8,(V191+U192)&gt;0),$B$5*0.5,V191+U192))</f>
        <v>#DIV/0!</v>
      </c>
      <c r="W193" s="221"/>
      <c r="X193" s="223" t="e">
        <f>$B$7*V193</f>
        <v>#DIV/0!</v>
      </c>
    </row>
    <row r="194" spans="12:24" x14ac:dyDescent="0.3">
      <c r="L194"/>
      <c r="M194"/>
      <c r="N194"/>
      <c r="O194"/>
      <c r="P194" s="213"/>
      <c r="Q194" s="221" t="e">
        <f>(V193+U192/2)*$Q$12</f>
        <v>#DIV/0!</v>
      </c>
      <c r="R194" s="221"/>
      <c r="S194" s="221" t="e">
        <f>R193+Q194/2</f>
        <v>#DIV/0!</v>
      </c>
      <c r="T194" s="221"/>
      <c r="U194" s="221" t="e">
        <f>-$Q$13*(S194+T193*((V193+U192/2)^2))</f>
        <v>#DIV/0!</v>
      </c>
      <c r="V194" s="221"/>
      <c r="W194" s="221" t="e">
        <f>V193+U194/2</f>
        <v>#DIV/0!</v>
      </c>
      <c r="X194" s="213"/>
    </row>
    <row r="195" spans="12:24" x14ac:dyDescent="0.3">
      <c r="L195"/>
      <c r="M195"/>
      <c r="N195"/>
      <c r="O195"/>
      <c r="P195" s="220">
        <f>P193+$Q$6</f>
        <v>0</v>
      </c>
      <c r="Q195" s="221"/>
      <c r="R195" s="221" t="e">
        <f>IF(R193+Q194&lt;0,(R193+Q194)*0.8,R193+Q194)</f>
        <v>#DIV/0!</v>
      </c>
      <c r="S195" s="221"/>
      <c r="T195" s="221" t="e">
        <f>T193*(X195/X193)^2</f>
        <v>#DIV/0!</v>
      </c>
      <c r="U195" s="221"/>
      <c r="V195" s="221" t="e">
        <f>IF(AND(ABS(V193+U194)&gt;$B$5*0.8,(V193+U194)&lt;0),-$B$5*0.5,IF(AND(ABS(V193+U194)&gt;$B$5*0.8,(V193+U194)&gt;0),$B$5*0.5,V193+U194))</f>
        <v>#DIV/0!</v>
      </c>
      <c r="W195" s="221"/>
      <c r="X195" s="223" t="e">
        <f>$B$7*V195</f>
        <v>#DIV/0!</v>
      </c>
    </row>
    <row r="196" spans="12:24" x14ac:dyDescent="0.3">
      <c r="L196"/>
      <c r="M196"/>
      <c r="N196"/>
      <c r="O196"/>
      <c r="P196" s="213"/>
      <c r="Q196" s="221" t="e">
        <f>(V195+U194/2)*$Q$12</f>
        <v>#DIV/0!</v>
      </c>
      <c r="R196" s="221"/>
      <c r="S196" s="221" t="e">
        <f>R195+Q196/2</f>
        <v>#DIV/0!</v>
      </c>
      <c r="T196" s="221"/>
      <c r="U196" s="221" t="e">
        <f>-$Q$13*(S196+T195*((V195+U194/2)^2))</f>
        <v>#DIV/0!</v>
      </c>
      <c r="V196" s="221"/>
      <c r="W196" s="221" t="e">
        <f>V195+U196/2</f>
        <v>#DIV/0!</v>
      </c>
      <c r="X196" s="213"/>
    </row>
    <row r="197" spans="12:24" x14ac:dyDescent="0.3">
      <c r="L197"/>
      <c r="M197"/>
      <c r="N197"/>
      <c r="O197"/>
      <c r="P197" s="220">
        <f>P195+$Q$6</f>
        <v>0</v>
      </c>
      <c r="Q197" s="221"/>
      <c r="R197" s="221" t="e">
        <f>IF(R195+Q196&lt;0,(R195+Q196)*0.8,R195+Q196)</f>
        <v>#DIV/0!</v>
      </c>
      <c r="S197" s="221"/>
      <c r="T197" s="221" t="e">
        <f>T195*(X197/X195)^2</f>
        <v>#DIV/0!</v>
      </c>
      <c r="U197" s="221"/>
      <c r="V197" s="221" t="e">
        <f>IF(AND(ABS(V195+U196)&gt;$B$5*0.8,(V195+U196)&lt;0),-$B$5*0.5,IF(AND(ABS(V195+U196)&gt;$B$5*0.8,(V195+U196)&gt;0),$B$5*0.5,V195+U196))</f>
        <v>#DIV/0!</v>
      </c>
      <c r="W197" s="221"/>
      <c r="X197" s="223" t="e">
        <f>$B$7*V197</f>
        <v>#DIV/0!</v>
      </c>
    </row>
    <row r="198" spans="12:24" x14ac:dyDescent="0.3">
      <c r="L198"/>
      <c r="M198"/>
      <c r="N198"/>
      <c r="O198"/>
      <c r="P198" s="213"/>
      <c r="Q198" s="221" t="e">
        <f>(V197+U196/2)*$Q$12</f>
        <v>#DIV/0!</v>
      </c>
      <c r="R198" s="221"/>
      <c r="S198" s="221" t="e">
        <f>R197+Q198/2</f>
        <v>#DIV/0!</v>
      </c>
      <c r="T198" s="221"/>
      <c r="U198" s="221" t="e">
        <f>-$Q$13*(S198+T197*((V197+U196/2)^2))</f>
        <v>#DIV/0!</v>
      </c>
      <c r="V198" s="221"/>
      <c r="W198" s="221" t="e">
        <f>V197+U198/2</f>
        <v>#DIV/0!</v>
      </c>
      <c r="X198" s="213"/>
    </row>
    <row r="199" spans="12:24" x14ac:dyDescent="0.3">
      <c r="L199"/>
      <c r="M199"/>
      <c r="N199"/>
      <c r="O199"/>
      <c r="P199" s="220">
        <f>P197+$Q$6</f>
        <v>0</v>
      </c>
      <c r="Q199" s="221"/>
      <c r="R199" s="221" t="e">
        <f>IF(R197+Q198&lt;0,(R197+Q198)*0.8,R197+Q198)</f>
        <v>#DIV/0!</v>
      </c>
      <c r="S199" s="221"/>
      <c r="T199" s="221" t="e">
        <f>T197*(X199/X197)^2</f>
        <v>#DIV/0!</v>
      </c>
      <c r="U199" s="221"/>
      <c r="V199" s="221" t="e">
        <f>IF(AND(ABS(V197+U198)&gt;$B$5*0.8,(V197+U198)&lt;0),-$B$5*0.5,IF(AND(ABS(V197+U198)&gt;$B$5*0.8,(V197+U198)&gt;0),$B$5*0.5,V197+U198))</f>
        <v>#DIV/0!</v>
      </c>
      <c r="W199" s="221"/>
      <c r="X199" s="223" t="e">
        <f>$B$7*V199</f>
        <v>#DIV/0!</v>
      </c>
    </row>
    <row r="200" spans="12:24" x14ac:dyDescent="0.3">
      <c r="L200"/>
      <c r="M200"/>
      <c r="N200"/>
      <c r="O200"/>
      <c r="P200" s="213"/>
      <c r="Q200" s="221" t="e">
        <f>(V199+U198/2)*$Q$12</f>
        <v>#DIV/0!</v>
      </c>
      <c r="R200" s="221"/>
      <c r="S200" s="221" t="e">
        <f>R199+Q200/2</f>
        <v>#DIV/0!</v>
      </c>
      <c r="T200" s="221"/>
      <c r="U200" s="221" t="e">
        <f>-$Q$13*(S200+T199*((V199+U198/2)^2))</f>
        <v>#DIV/0!</v>
      </c>
      <c r="V200" s="221"/>
      <c r="W200" s="221" t="e">
        <f>V199+U200/2</f>
        <v>#DIV/0!</v>
      </c>
      <c r="X200" s="213"/>
    </row>
    <row r="201" spans="12:24" x14ac:dyDescent="0.3">
      <c r="L201"/>
      <c r="M201"/>
      <c r="N201"/>
      <c r="O201"/>
      <c r="P201" s="220">
        <f>P199+$Q$6</f>
        <v>0</v>
      </c>
      <c r="Q201" s="221"/>
      <c r="R201" s="221" t="e">
        <f>IF(R199+Q200&lt;0,(R199+Q200)*0.8,R199+Q200)</f>
        <v>#DIV/0!</v>
      </c>
      <c r="S201" s="221"/>
      <c r="T201" s="221" t="e">
        <f>T199*(X201/X199)^2</f>
        <v>#DIV/0!</v>
      </c>
      <c r="U201" s="221"/>
      <c r="V201" s="221" t="e">
        <f>IF(AND(ABS(V199+U200)&gt;$B$5*0.8,(V199+U200)&lt;0),-$B$5*0.5,IF(AND(ABS(V199+U200)&gt;$B$5*0.8,(V199+U200)&gt;0),$B$5*0.5,V199+U200))</f>
        <v>#DIV/0!</v>
      </c>
      <c r="W201" s="221"/>
      <c r="X201" s="223" t="e">
        <f>$B$7*V201</f>
        <v>#DIV/0!</v>
      </c>
    </row>
    <row r="202" spans="12:24" x14ac:dyDescent="0.3">
      <c r="L202"/>
      <c r="M202"/>
      <c r="N202"/>
      <c r="O202"/>
      <c r="P202" s="213"/>
      <c r="Q202" s="221" t="e">
        <f>(V201+U200/2)*$Q$12</f>
        <v>#DIV/0!</v>
      </c>
      <c r="R202" s="221"/>
      <c r="S202" s="221" t="e">
        <f>R201+Q202/2</f>
        <v>#DIV/0!</v>
      </c>
      <c r="T202" s="221"/>
      <c r="U202" s="221" t="e">
        <f>-$Q$13*(S202+T201*((V201+U200/2)^2))</f>
        <v>#DIV/0!</v>
      </c>
      <c r="V202" s="221"/>
      <c r="W202" s="221" t="e">
        <f>V201+U202/2</f>
        <v>#DIV/0!</v>
      </c>
      <c r="X202" s="213"/>
    </row>
    <row r="203" spans="12:24" x14ac:dyDescent="0.3">
      <c r="L203"/>
      <c r="M203"/>
      <c r="N203"/>
      <c r="O203"/>
      <c r="P203" s="220">
        <f>P201+$Q$6</f>
        <v>0</v>
      </c>
      <c r="Q203" s="221"/>
      <c r="R203" s="221" t="e">
        <f>IF(R201+Q202&lt;0,(R201+Q202)*0.8,R201+Q202)</f>
        <v>#DIV/0!</v>
      </c>
      <c r="S203" s="221"/>
      <c r="T203" s="221" t="e">
        <f>T201*(X203/X201)^2</f>
        <v>#DIV/0!</v>
      </c>
      <c r="U203" s="221"/>
      <c r="V203" s="221" t="e">
        <f>IF(AND(ABS(V201+U202)&gt;$B$5*0.8,(V201+U202)&lt;0),-$B$5*0.5,IF(AND(ABS(V201+U202)&gt;$B$5*0.8,(V201+U202)&gt;0),$B$5*0.5,V201+U202))</f>
        <v>#DIV/0!</v>
      </c>
      <c r="W203" s="221"/>
      <c r="X203" s="223" t="e">
        <f>$B$7*V203</f>
        <v>#DIV/0!</v>
      </c>
    </row>
    <row r="204" spans="12:24" x14ac:dyDescent="0.3">
      <c r="L204"/>
      <c r="M204"/>
      <c r="N204"/>
      <c r="O204"/>
      <c r="P204" s="213"/>
      <c r="Q204" s="221" t="e">
        <f>(V203+U202/2)*$Q$12</f>
        <v>#DIV/0!</v>
      </c>
      <c r="R204" s="221"/>
      <c r="S204" s="221" t="e">
        <f>R203+Q204/2</f>
        <v>#DIV/0!</v>
      </c>
      <c r="T204" s="221"/>
      <c r="U204" s="221" t="e">
        <f>-$Q$13*(S204+T203*((V203+U202/2)^2))</f>
        <v>#DIV/0!</v>
      </c>
      <c r="V204" s="221"/>
      <c r="W204" s="221" t="e">
        <f>V203+U204/2</f>
        <v>#DIV/0!</v>
      </c>
      <c r="X204" s="213"/>
    </row>
    <row r="205" spans="12:24" x14ac:dyDescent="0.3">
      <c r="L205"/>
      <c r="M205"/>
      <c r="N205"/>
      <c r="O205"/>
      <c r="P205" s="220">
        <f>P203+$Q$6</f>
        <v>0</v>
      </c>
      <c r="Q205" s="221"/>
      <c r="R205" s="221" t="e">
        <f>IF(R203+Q204&lt;0,(R203+Q204)*0.8,R203+Q204)</f>
        <v>#DIV/0!</v>
      </c>
      <c r="S205" s="221"/>
      <c r="T205" s="221" t="e">
        <f>T203*(X205/X203)^2</f>
        <v>#DIV/0!</v>
      </c>
      <c r="U205" s="221"/>
      <c r="V205" s="221" t="e">
        <f>IF(AND(ABS(V203+U204)&gt;$B$5*0.8,(V203+U204)&lt;0),-$B$5*0.5,IF(AND(ABS(V203+U204)&gt;$B$5*0.8,(V203+U204)&gt;0),$B$5*0.5,V203+U204))</f>
        <v>#DIV/0!</v>
      </c>
      <c r="W205" s="221"/>
      <c r="X205" s="223" t="e">
        <f>$B$7*V205</f>
        <v>#DIV/0!</v>
      </c>
    </row>
    <row r="206" spans="12:24" x14ac:dyDescent="0.3">
      <c r="L206"/>
      <c r="M206"/>
      <c r="N206"/>
      <c r="O206"/>
      <c r="P206" s="213"/>
      <c r="Q206" s="221" t="e">
        <f>(V205+U204/2)*$Q$12</f>
        <v>#DIV/0!</v>
      </c>
      <c r="R206" s="221"/>
      <c r="S206" s="221" t="e">
        <f>R205+Q206/2</f>
        <v>#DIV/0!</v>
      </c>
      <c r="T206" s="221"/>
      <c r="U206" s="221" t="e">
        <f>-$Q$13*(S206+T205*((V205+U204/2)^2))</f>
        <v>#DIV/0!</v>
      </c>
      <c r="V206" s="221"/>
      <c r="W206" s="221" t="e">
        <f>V205+U206/2</f>
        <v>#DIV/0!</v>
      </c>
      <c r="X206" s="213"/>
    </row>
    <row r="207" spans="12:24" x14ac:dyDescent="0.3">
      <c r="L207"/>
      <c r="M207"/>
      <c r="N207"/>
      <c r="O207"/>
      <c r="P207" s="220">
        <f>P205+$Q$6</f>
        <v>0</v>
      </c>
      <c r="Q207" s="221"/>
      <c r="R207" s="221" t="e">
        <f>IF(R205+Q206&lt;0,(R205+Q206)*0.8,R205+Q206)</f>
        <v>#DIV/0!</v>
      </c>
      <c r="S207" s="221"/>
      <c r="T207" s="221" t="e">
        <f>T205*(X207/X205)^2</f>
        <v>#DIV/0!</v>
      </c>
      <c r="U207" s="221"/>
      <c r="V207" s="221" t="e">
        <f>IF(AND(ABS(V205+U206)&gt;$B$5*0.8,(V205+U206)&lt;0),-$B$5*0.5,IF(AND(ABS(V205+U206)&gt;$B$5*0.8,(V205+U206)&gt;0),$B$5*0.5,V205+U206))</f>
        <v>#DIV/0!</v>
      </c>
      <c r="W207" s="221"/>
      <c r="X207" s="223" t="e">
        <f>$B$7*V207</f>
        <v>#DIV/0!</v>
      </c>
    </row>
    <row r="208" spans="12:24" x14ac:dyDescent="0.3">
      <c r="L208"/>
      <c r="M208"/>
      <c r="N208"/>
      <c r="O208"/>
      <c r="P208" s="213"/>
      <c r="Q208" s="221" t="e">
        <f>(V207+U206/2)*$Q$12</f>
        <v>#DIV/0!</v>
      </c>
      <c r="R208" s="221"/>
      <c r="S208" s="221" t="e">
        <f>R207+Q208/2</f>
        <v>#DIV/0!</v>
      </c>
      <c r="T208" s="221"/>
      <c r="U208" s="221" t="e">
        <f>-$Q$13*(S208+T207*((V207+U206/2)^2))</f>
        <v>#DIV/0!</v>
      </c>
      <c r="V208" s="221"/>
      <c r="W208" s="221" t="e">
        <f>V207+U208/2</f>
        <v>#DIV/0!</v>
      </c>
      <c r="X208" s="213"/>
    </row>
    <row r="209" spans="12:24" x14ac:dyDescent="0.3">
      <c r="L209"/>
      <c r="M209"/>
      <c r="N209"/>
      <c r="O209"/>
      <c r="P209" s="220">
        <f>P207+$Q$6</f>
        <v>0</v>
      </c>
      <c r="Q209" s="221"/>
      <c r="R209" s="221" t="e">
        <f>IF(R207+Q208&lt;0,(R207+Q208)*0.8,R207+Q208)</f>
        <v>#DIV/0!</v>
      </c>
      <c r="S209" s="221"/>
      <c r="T209" s="221" t="e">
        <f>T207*(X209/X207)^2</f>
        <v>#DIV/0!</v>
      </c>
      <c r="U209" s="221"/>
      <c r="V209" s="221" t="e">
        <f>IF(AND(ABS(V207+U208)&gt;$B$5*0.8,(V207+U208)&lt;0),-$B$5*0.5,IF(AND(ABS(V207+U208)&gt;$B$5*0.8,(V207+U208)&gt;0),$B$5*0.5,V207+U208))</f>
        <v>#DIV/0!</v>
      </c>
      <c r="W209" s="221"/>
      <c r="X209" s="223" t="e">
        <f>$B$7*V209</f>
        <v>#DIV/0!</v>
      </c>
    </row>
    <row r="210" spans="12:24" x14ac:dyDescent="0.3">
      <c r="L210"/>
      <c r="M210"/>
      <c r="N210"/>
      <c r="O210"/>
      <c r="P210" s="213"/>
      <c r="Q210" s="221" t="e">
        <f>(V209+U208/2)*$Q$12</f>
        <v>#DIV/0!</v>
      </c>
      <c r="R210" s="221"/>
      <c r="S210" s="221" t="e">
        <f>R209+Q210/2</f>
        <v>#DIV/0!</v>
      </c>
      <c r="T210" s="221"/>
      <c r="U210" s="221" t="e">
        <f>-$Q$13*(S210+T209*((V209+U208/2)^2))</f>
        <v>#DIV/0!</v>
      </c>
      <c r="V210" s="221"/>
      <c r="W210" s="221" t="e">
        <f>V209+U210/2</f>
        <v>#DIV/0!</v>
      </c>
      <c r="X210" s="213"/>
    </row>
    <row r="211" spans="12:24" x14ac:dyDescent="0.3">
      <c r="L211"/>
      <c r="M211"/>
      <c r="N211"/>
      <c r="O211"/>
      <c r="P211" s="220">
        <f>P209+$Q$6</f>
        <v>0</v>
      </c>
      <c r="Q211" s="221"/>
      <c r="R211" s="221" t="e">
        <f>IF(R209+Q210&lt;0,(R209+Q210)*0.8,R209+Q210)</f>
        <v>#DIV/0!</v>
      </c>
      <c r="S211" s="221"/>
      <c r="T211" s="221" t="e">
        <f>T209*(X211/X209)^2</f>
        <v>#DIV/0!</v>
      </c>
      <c r="U211" s="221"/>
      <c r="V211" s="221" t="e">
        <f>IF(AND(ABS(V209+U210)&gt;$B$5*0.8,(V209+U210)&lt;0),-$B$5*0.5,IF(AND(ABS(V209+U210)&gt;$B$5*0.8,(V209+U210)&gt;0),$B$5*0.5,V209+U210))</f>
        <v>#DIV/0!</v>
      </c>
      <c r="W211" s="221"/>
      <c r="X211" s="223" t="e">
        <f>$B$7*V211</f>
        <v>#DIV/0!</v>
      </c>
    </row>
    <row r="212" spans="12:24" x14ac:dyDescent="0.3">
      <c r="L212"/>
      <c r="M212"/>
      <c r="N212"/>
      <c r="O212"/>
      <c r="P212" s="213"/>
      <c r="Q212" s="221" t="e">
        <f>(V211+U210/2)*$Q$12</f>
        <v>#DIV/0!</v>
      </c>
      <c r="R212" s="221"/>
      <c r="S212" s="221" t="e">
        <f>R211+Q212/2</f>
        <v>#DIV/0!</v>
      </c>
      <c r="T212" s="221"/>
      <c r="U212" s="221" t="e">
        <f>-$Q$13*(S212+T211*((V211+U210/2)^2))</f>
        <v>#DIV/0!</v>
      </c>
      <c r="V212" s="221"/>
      <c r="W212" s="221" t="e">
        <f>V211+U212/2</f>
        <v>#DIV/0!</v>
      </c>
      <c r="X212" s="213"/>
    </row>
    <row r="213" spans="12:24" x14ac:dyDescent="0.3">
      <c r="L213"/>
      <c r="M213"/>
      <c r="N213"/>
      <c r="O213"/>
      <c r="P213" s="220">
        <f>P211+$Q$6</f>
        <v>0</v>
      </c>
      <c r="Q213" s="221"/>
      <c r="R213" s="221" t="e">
        <f>IF(R211+Q212&lt;0,(R211+Q212)*0.8,R211+Q212)</f>
        <v>#DIV/0!</v>
      </c>
      <c r="S213" s="221"/>
      <c r="T213" s="221" t="e">
        <f>T211*(X213/X211)^2</f>
        <v>#DIV/0!</v>
      </c>
      <c r="U213" s="221"/>
      <c r="V213" s="221" t="e">
        <f>IF(AND(ABS(V211+U212)&gt;$B$5*0.8,(V211+U212)&lt;0),-$B$5*0.5,IF(AND(ABS(V211+U212)&gt;$B$5*0.8,(V211+U212)&gt;0),$B$5*0.5,V211+U212))</f>
        <v>#DIV/0!</v>
      </c>
      <c r="W213" s="221"/>
      <c r="X213" s="223" t="e">
        <f>$B$7*V213</f>
        <v>#DIV/0!</v>
      </c>
    </row>
    <row r="214" spans="12:24" x14ac:dyDescent="0.3">
      <c r="L214"/>
      <c r="M214"/>
      <c r="N214"/>
      <c r="O214"/>
      <c r="P214" s="213"/>
      <c r="Q214" s="221" t="e">
        <f>(V213+U212/2)*$Q$12</f>
        <v>#DIV/0!</v>
      </c>
      <c r="R214" s="221"/>
      <c r="S214" s="221" t="e">
        <f>R213+Q214/2</f>
        <v>#DIV/0!</v>
      </c>
      <c r="T214" s="221"/>
      <c r="U214" s="221" t="e">
        <f>-$Q$13*(S214+T213*((V213+U212/2)^2))</f>
        <v>#DIV/0!</v>
      </c>
      <c r="V214" s="221"/>
      <c r="W214" s="221" t="e">
        <f>V213+U214/2</f>
        <v>#DIV/0!</v>
      </c>
      <c r="X214" s="213"/>
    </row>
    <row r="215" spans="12:24" x14ac:dyDescent="0.3">
      <c r="L215"/>
      <c r="M215"/>
      <c r="N215"/>
      <c r="O215"/>
      <c r="P215" s="220">
        <f>P213+$Q$6</f>
        <v>0</v>
      </c>
      <c r="Q215" s="221"/>
      <c r="R215" s="221" t="e">
        <f>IF(R213+Q214&lt;0,(R213+Q214)*0.8,R213+Q214)</f>
        <v>#DIV/0!</v>
      </c>
      <c r="S215" s="221"/>
      <c r="T215" s="221" t="e">
        <f>T213*(X215/X213)^2</f>
        <v>#DIV/0!</v>
      </c>
      <c r="U215" s="221"/>
      <c r="V215" s="221" t="e">
        <f>IF(AND(ABS(V213+U214)&gt;$B$5*0.8,(V213+U214)&lt;0),-$B$5*0.5,IF(AND(ABS(V213+U214)&gt;$B$5*0.8,(V213+U214)&gt;0),$B$5*0.5,V213+U214))</f>
        <v>#DIV/0!</v>
      </c>
      <c r="W215" s="221"/>
      <c r="X215" s="223" t="e">
        <f>$B$7*V215</f>
        <v>#DIV/0!</v>
      </c>
    </row>
    <row r="216" spans="12:24" x14ac:dyDescent="0.3">
      <c r="L216"/>
      <c r="M216"/>
      <c r="N216"/>
      <c r="O216"/>
      <c r="P216" s="213"/>
      <c r="Q216" s="221" t="e">
        <f>(V215+U214/2)*$Q$12</f>
        <v>#DIV/0!</v>
      </c>
      <c r="R216" s="221"/>
      <c r="S216" s="221" t="e">
        <f>R215+Q216/2</f>
        <v>#DIV/0!</v>
      </c>
      <c r="T216" s="221"/>
      <c r="U216" s="221" t="e">
        <f>-$Q$13*(S216+T215*((V215+U214/2)^2))</f>
        <v>#DIV/0!</v>
      </c>
      <c r="V216" s="221"/>
      <c r="W216" s="221" t="e">
        <f>V215+U216/2</f>
        <v>#DIV/0!</v>
      </c>
      <c r="X216" s="213"/>
    </row>
    <row r="217" spans="12:24" x14ac:dyDescent="0.3">
      <c r="L217"/>
      <c r="M217"/>
      <c r="N217"/>
      <c r="O217"/>
      <c r="P217" s="220">
        <f>P215+$Q$6</f>
        <v>0</v>
      </c>
      <c r="Q217" s="221"/>
      <c r="R217" s="221" t="e">
        <f>IF(R215+Q216&lt;0,(R215+Q216)*0.8,R215+Q216)</f>
        <v>#DIV/0!</v>
      </c>
      <c r="S217" s="221"/>
      <c r="T217" s="221" t="e">
        <f>T215*(X217/X215)^2</f>
        <v>#DIV/0!</v>
      </c>
      <c r="U217" s="221"/>
      <c r="V217" s="221" t="e">
        <f>IF(AND(ABS(V215+U216)&gt;$B$5*0.8,(V215+U216)&lt;0),-$B$5*0.5,IF(AND(ABS(V215+U216)&gt;$B$5*0.8,(V215+U216)&gt;0),$B$5*0.5,V215+U216))</f>
        <v>#DIV/0!</v>
      </c>
      <c r="W217" s="221"/>
      <c r="X217" s="223" t="e">
        <f>$B$7*V217</f>
        <v>#DIV/0!</v>
      </c>
    </row>
    <row r="218" spans="12:24" x14ac:dyDescent="0.3">
      <c r="L218"/>
      <c r="M218"/>
      <c r="N218"/>
      <c r="O218"/>
      <c r="P218" s="213"/>
      <c r="Q218" s="221" t="e">
        <f>(V217+U216/2)*$Q$12</f>
        <v>#DIV/0!</v>
      </c>
      <c r="R218" s="221"/>
      <c r="S218" s="221" t="e">
        <f>R217+Q218/2</f>
        <v>#DIV/0!</v>
      </c>
      <c r="T218" s="221"/>
      <c r="U218" s="221" t="e">
        <f>-$Q$13*(S218+T217*((V217+U216/2)^2))</f>
        <v>#DIV/0!</v>
      </c>
      <c r="V218" s="221"/>
      <c r="W218" s="221" t="e">
        <f>V217+U218/2</f>
        <v>#DIV/0!</v>
      </c>
      <c r="X218" s="213"/>
    </row>
    <row r="219" spans="12:24" x14ac:dyDescent="0.3">
      <c r="L219"/>
      <c r="M219"/>
      <c r="N219"/>
      <c r="O219"/>
      <c r="P219" s="220">
        <f>P217+$Q$6</f>
        <v>0</v>
      </c>
      <c r="Q219" s="221"/>
      <c r="R219" s="221" t="e">
        <f>IF(R217+Q218&lt;0,(R217+Q218)*0.8,R217+Q218)</f>
        <v>#DIV/0!</v>
      </c>
      <c r="S219" s="221"/>
      <c r="T219" s="221" t="e">
        <f>T217*(X219/X217)^2</f>
        <v>#DIV/0!</v>
      </c>
      <c r="U219" s="221"/>
      <c r="V219" s="221" t="e">
        <f>IF(AND(ABS(V217+U218)&gt;$B$5*0.8,(V217+U218)&lt;0),-$B$5*0.5,IF(AND(ABS(V217+U218)&gt;$B$5*0.8,(V217+U218)&gt;0),$B$5*0.5,V217+U218))</f>
        <v>#DIV/0!</v>
      </c>
      <c r="W219" s="221"/>
      <c r="X219" s="223" t="e">
        <f>$B$7*V219</f>
        <v>#DIV/0!</v>
      </c>
    </row>
    <row r="220" spans="12:24" x14ac:dyDescent="0.3">
      <c r="L220"/>
      <c r="M220"/>
      <c r="N220"/>
      <c r="O220"/>
      <c r="P220" s="213"/>
      <c r="Q220" s="221" t="e">
        <f>(V219+U218/2)*$Q$12</f>
        <v>#DIV/0!</v>
      </c>
      <c r="R220" s="221"/>
      <c r="S220" s="221" t="e">
        <f>R219+Q220/2</f>
        <v>#DIV/0!</v>
      </c>
      <c r="T220" s="221"/>
      <c r="U220" s="221" t="e">
        <f>-$Q$13*(S220+T219*((V219+U218/2)^2))</f>
        <v>#DIV/0!</v>
      </c>
      <c r="V220" s="221"/>
      <c r="W220" s="221" t="e">
        <f>V219+U220/2</f>
        <v>#DIV/0!</v>
      </c>
      <c r="X220" s="213"/>
    </row>
    <row r="221" spans="12:24" x14ac:dyDescent="0.3">
      <c r="L221"/>
      <c r="M221"/>
      <c r="N221"/>
      <c r="O221"/>
      <c r="P221" s="220">
        <f>P219+$Q$6</f>
        <v>0</v>
      </c>
      <c r="Q221" s="221"/>
      <c r="R221" s="221" t="e">
        <f>IF(R219+Q220&lt;0,(R219+Q220)*0.8,R219+Q220)</f>
        <v>#DIV/0!</v>
      </c>
      <c r="S221" s="221"/>
      <c r="T221" s="221" t="e">
        <f>T219*(X221/X219)^2</f>
        <v>#DIV/0!</v>
      </c>
      <c r="U221" s="221"/>
      <c r="V221" s="221" t="e">
        <f>IF(AND(ABS(V219+U220)&gt;$B$5*0.8,(V219+U220)&lt;0),-$B$5*0.5,IF(AND(ABS(V219+U220)&gt;$B$5*0.8,(V219+U220)&gt;0),$B$5*0.5,V219+U220))</f>
        <v>#DIV/0!</v>
      </c>
      <c r="W221" s="221"/>
      <c r="X221" s="223" t="e">
        <f>$B$7*V221</f>
        <v>#DIV/0!</v>
      </c>
    </row>
    <row r="222" spans="12:24" x14ac:dyDescent="0.3">
      <c r="L222"/>
      <c r="M222"/>
      <c r="N222"/>
      <c r="O222"/>
      <c r="P222" s="213"/>
      <c r="Q222" s="221" t="e">
        <f>(V221+U220/2)*$Q$12</f>
        <v>#DIV/0!</v>
      </c>
      <c r="R222" s="221"/>
      <c r="S222" s="221" t="e">
        <f>R221+Q222/2</f>
        <v>#DIV/0!</v>
      </c>
      <c r="T222" s="221"/>
      <c r="U222" s="221" t="e">
        <f>-$Q$13*(S222+T221*((V221+U220/2)^2))</f>
        <v>#DIV/0!</v>
      </c>
      <c r="V222" s="221"/>
      <c r="W222" s="221" t="e">
        <f>V221+U222/2</f>
        <v>#DIV/0!</v>
      </c>
      <c r="X222" s="213"/>
    </row>
    <row r="223" spans="12:24" x14ac:dyDescent="0.3">
      <c r="L223"/>
      <c r="M223"/>
      <c r="N223"/>
      <c r="O223"/>
      <c r="P223" s="220">
        <f>P221+$Q$6</f>
        <v>0</v>
      </c>
      <c r="Q223" s="221"/>
      <c r="R223" s="221" t="e">
        <f>IF(R221+Q222&lt;0,(R221+Q222)*0.8,R221+Q222)</f>
        <v>#DIV/0!</v>
      </c>
      <c r="S223" s="221"/>
      <c r="T223" s="221" t="e">
        <f>T221*(X223/X221)^2</f>
        <v>#DIV/0!</v>
      </c>
      <c r="U223" s="221"/>
      <c r="V223" s="221" t="e">
        <f>IF(AND(ABS(V221+U222)&gt;$B$5*0.8,(V221+U222)&lt;0),-$B$5*0.5,IF(AND(ABS(V221+U222)&gt;$B$5*0.8,(V221+U222)&gt;0),$B$5*0.5,V221+U222))</f>
        <v>#DIV/0!</v>
      </c>
      <c r="W223" s="221"/>
      <c r="X223" s="223" t="e">
        <f>$B$7*V223</f>
        <v>#DIV/0!</v>
      </c>
    </row>
    <row r="224" spans="12:24" x14ac:dyDescent="0.3">
      <c r="L224"/>
      <c r="M224"/>
      <c r="N224"/>
      <c r="O224"/>
      <c r="P224" s="213"/>
      <c r="Q224" s="221" t="e">
        <f>(V223+U222/2)*$Q$12</f>
        <v>#DIV/0!</v>
      </c>
      <c r="R224" s="221"/>
      <c r="S224" s="221" t="e">
        <f>R223+Q224/2</f>
        <v>#DIV/0!</v>
      </c>
      <c r="T224" s="221"/>
      <c r="U224" s="221" t="e">
        <f>-$Q$13*(S224+T223*((V223+U222/2)^2))</f>
        <v>#DIV/0!</v>
      </c>
      <c r="V224" s="221"/>
      <c r="W224" s="221" t="e">
        <f>V223+U224/2</f>
        <v>#DIV/0!</v>
      </c>
      <c r="X224" s="213"/>
    </row>
    <row r="225" spans="12:24" x14ac:dyDescent="0.3">
      <c r="L225"/>
      <c r="M225"/>
      <c r="N225"/>
      <c r="O225"/>
      <c r="P225" s="220">
        <f>P223+$Q$6</f>
        <v>0</v>
      </c>
      <c r="Q225" s="221"/>
      <c r="R225" s="221" t="e">
        <f>IF(R223+Q224&lt;0,(R223+Q224)*0.8,R223+Q224)</f>
        <v>#DIV/0!</v>
      </c>
      <c r="S225" s="221"/>
      <c r="T225" s="221" t="e">
        <f>T223*(X225/X223)^2</f>
        <v>#DIV/0!</v>
      </c>
      <c r="U225" s="221"/>
      <c r="V225" s="221" t="e">
        <f>IF(AND(ABS(V223+U224)&gt;$B$5*0.8,(V223+U224)&lt;0),-$B$5*0.5,IF(AND(ABS(V223+U224)&gt;$B$5*0.8,(V223+U224)&gt;0),$B$5*0.5,V223+U224))</f>
        <v>#DIV/0!</v>
      </c>
      <c r="W225" s="221"/>
      <c r="X225" s="223" t="e">
        <f>$B$7*V225</f>
        <v>#DIV/0!</v>
      </c>
    </row>
    <row r="226" spans="12:24" x14ac:dyDescent="0.3">
      <c r="L226"/>
      <c r="M226"/>
      <c r="N226"/>
      <c r="O226"/>
      <c r="P226" s="213"/>
      <c r="Q226" s="221" t="e">
        <f>(V225+U224/2)*$Q$12</f>
        <v>#DIV/0!</v>
      </c>
      <c r="R226" s="221"/>
      <c r="S226" s="221" t="e">
        <f>R225+Q226/2</f>
        <v>#DIV/0!</v>
      </c>
      <c r="T226" s="221"/>
      <c r="U226" s="221" t="e">
        <f>-$Q$13*(S226+T225*((V225+U224/2)^2))</f>
        <v>#DIV/0!</v>
      </c>
      <c r="V226" s="221"/>
      <c r="W226" s="221" t="e">
        <f>V225+U226/2</f>
        <v>#DIV/0!</v>
      </c>
      <c r="X226" s="213"/>
    </row>
    <row r="227" spans="12:24" x14ac:dyDescent="0.3">
      <c r="L227"/>
      <c r="M227"/>
      <c r="N227"/>
      <c r="O227"/>
      <c r="P227" s="220">
        <f>P225+$Q$6</f>
        <v>0</v>
      </c>
      <c r="Q227" s="221"/>
      <c r="R227" s="221" t="e">
        <f>IF(R225+Q226&lt;0,(R225+Q226)*0.8,R225+Q226)</f>
        <v>#DIV/0!</v>
      </c>
      <c r="S227" s="221"/>
      <c r="T227" s="221" t="e">
        <f>T225*(X227/X225)^2</f>
        <v>#DIV/0!</v>
      </c>
      <c r="U227" s="221"/>
      <c r="V227" s="221" t="e">
        <f>IF(AND(ABS(V225+U226)&gt;$B$5*0.8,(V225+U226)&lt;0),-$B$5*0.5,IF(AND(ABS(V225+U226)&gt;$B$5*0.8,(V225+U226)&gt;0),$B$5*0.5,V225+U226))</f>
        <v>#DIV/0!</v>
      </c>
      <c r="W227" s="221"/>
      <c r="X227" s="223" t="e">
        <f>$B$7*V227</f>
        <v>#DIV/0!</v>
      </c>
    </row>
    <row r="228" spans="12:24" x14ac:dyDescent="0.3">
      <c r="L228"/>
      <c r="M228"/>
      <c r="N228"/>
      <c r="O228"/>
      <c r="P228" s="213"/>
      <c r="Q228" s="221" t="e">
        <f>(V227+U226/2)*$Q$12</f>
        <v>#DIV/0!</v>
      </c>
      <c r="R228" s="221"/>
      <c r="S228" s="221" t="e">
        <f>R227+Q228/2</f>
        <v>#DIV/0!</v>
      </c>
      <c r="T228" s="221"/>
      <c r="U228" s="221" t="e">
        <f>-$Q$13*(S228+T227*((V227+U226/2)^2))</f>
        <v>#DIV/0!</v>
      </c>
      <c r="V228" s="221"/>
      <c r="W228" s="221" t="e">
        <f>V227+U228/2</f>
        <v>#DIV/0!</v>
      </c>
      <c r="X228" s="213"/>
    </row>
    <row r="229" spans="12:24" x14ac:dyDescent="0.3">
      <c r="L229"/>
      <c r="M229"/>
      <c r="N229"/>
      <c r="O229"/>
      <c r="P229" s="220">
        <f>P227+$Q$6</f>
        <v>0</v>
      </c>
      <c r="Q229" s="221"/>
      <c r="R229" s="221" t="e">
        <f>IF(R227+Q228&lt;0,(R227+Q228)*0.8,R227+Q228)</f>
        <v>#DIV/0!</v>
      </c>
      <c r="S229" s="221"/>
      <c r="T229" s="221" t="e">
        <f>T227*(X229/X227)^2</f>
        <v>#DIV/0!</v>
      </c>
      <c r="U229" s="221"/>
      <c r="V229" s="221" t="e">
        <f>IF(AND(ABS(V227+U228)&gt;$B$5*0.8,(V227+U228)&lt;0),-$B$5*0.5,IF(AND(ABS(V227+U228)&gt;$B$5*0.8,(V227+U228)&gt;0),$B$5*0.5,V227+U228))</f>
        <v>#DIV/0!</v>
      </c>
      <c r="W229" s="221"/>
      <c r="X229" s="223" t="e">
        <f>$B$7*V229</f>
        <v>#DIV/0!</v>
      </c>
    </row>
    <row r="230" spans="12:24" x14ac:dyDescent="0.3">
      <c r="L230"/>
      <c r="M230"/>
      <c r="N230"/>
      <c r="O230"/>
      <c r="P230" s="213"/>
      <c r="Q230" s="221" t="e">
        <f>(V229+U228/2)*$Q$12</f>
        <v>#DIV/0!</v>
      </c>
      <c r="R230" s="221"/>
      <c r="S230" s="221" t="e">
        <f>R229+Q230/2</f>
        <v>#DIV/0!</v>
      </c>
      <c r="T230" s="221"/>
      <c r="U230" s="221" t="e">
        <f>-$Q$13*(S230+T229*((V229+U228/2)^2))</f>
        <v>#DIV/0!</v>
      </c>
      <c r="V230" s="221"/>
      <c r="W230" s="221" t="e">
        <f>V229+U230/2</f>
        <v>#DIV/0!</v>
      </c>
      <c r="X230" s="213"/>
    </row>
    <row r="231" spans="12:24" x14ac:dyDescent="0.3">
      <c r="L231"/>
      <c r="M231"/>
      <c r="N231"/>
      <c r="O231"/>
      <c r="P231" s="220">
        <f>P229+$Q$6</f>
        <v>0</v>
      </c>
      <c r="Q231" s="221"/>
      <c r="R231" s="221" t="e">
        <f>IF(R229+Q230&lt;0,(R229+Q230)*0.8,R229+Q230)</f>
        <v>#DIV/0!</v>
      </c>
      <c r="S231" s="221"/>
      <c r="T231" s="221" t="e">
        <f>T229*(X231/X229)^2</f>
        <v>#DIV/0!</v>
      </c>
      <c r="U231" s="221"/>
      <c r="V231" s="221" t="e">
        <f>IF(AND(ABS(V229+U230)&gt;$B$5*0.8,(V229+U230)&lt;0),-$B$5*0.5,IF(AND(ABS(V229+U230)&gt;$B$5*0.8,(V229+U230)&gt;0),$B$5*0.5,V229+U230))</f>
        <v>#DIV/0!</v>
      </c>
      <c r="W231" s="221"/>
      <c r="X231" s="223" t="e">
        <f>$B$7*V231</f>
        <v>#DIV/0!</v>
      </c>
    </row>
    <row r="232" spans="12:24" x14ac:dyDescent="0.3">
      <c r="L232"/>
      <c r="M232"/>
      <c r="N232"/>
      <c r="O232"/>
      <c r="P232" s="213"/>
      <c r="Q232" s="221" t="e">
        <f>(V231+U230/2)*$Q$12</f>
        <v>#DIV/0!</v>
      </c>
      <c r="R232" s="221"/>
      <c r="S232" s="221" t="e">
        <f>R231+Q232/2</f>
        <v>#DIV/0!</v>
      </c>
      <c r="T232" s="221"/>
      <c r="U232" s="221" t="e">
        <f>-$Q$13*(S232+T231*((V231+U230/2)^2))</f>
        <v>#DIV/0!</v>
      </c>
      <c r="V232" s="221"/>
      <c r="W232" s="221" t="e">
        <f>V231+U232/2</f>
        <v>#DIV/0!</v>
      </c>
      <c r="X232" s="213"/>
    </row>
    <row r="233" spans="12:24" x14ac:dyDescent="0.3">
      <c r="L233"/>
      <c r="M233"/>
      <c r="N233"/>
      <c r="O233"/>
      <c r="P233" s="220">
        <f>P231+$Q$6</f>
        <v>0</v>
      </c>
      <c r="Q233" s="221"/>
      <c r="R233" s="221" t="e">
        <f>IF(R231+Q232&lt;0,(R231+Q232)*0.8,R231+Q232)</f>
        <v>#DIV/0!</v>
      </c>
      <c r="S233" s="221"/>
      <c r="T233" s="221" t="e">
        <f>T231*(X233/X231)^2</f>
        <v>#DIV/0!</v>
      </c>
      <c r="U233" s="221"/>
      <c r="V233" s="221" t="e">
        <f>IF(AND(ABS(V231+U232)&gt;$B$5*0.8,(V231+U232)&lt;0),-$B$5*0.5,IF(AND(ABS(V231+U232)&gt;$B$5*0.8,(V231+U232)&gt;0),$B$5*0.5,V231+U232))</f>
        <v>#DIV/0!</v>
      </c>
      <c r="W233" s="221"/>
      <c r="X233" s="223" t="e">
        <f>$B$7*V233</f>
        <v>#DIV/0!</v>
      </c>
    </row>
    <row r="234" spans="12:24" x14ac:dyDescent="0.3">
      <c r="L234"/>
      <c r="M234"/>
      <c r="N234"/>
      <c r="O234"/>
      <c r="P234" s="213"/>
      <c r="Q234" s="221" t="e">
        <f>(V233+U232/2)*$Q$12</f>
        <v>#DIV/0!</v>
      </c>
      <c r="R234" s="221"/>
      <c r="S234" s="221" t="e">
        <f>R233+Q234/2</f>
        <v>#DIV/0!</v>
      </c>
      <c r="T234" s="221"/>
      <c r="U234" s="221" t="e">
        <f>-$Q$13*(S234+T233*((V233+U232/2)^2))</f>
        <v>#DIV/0!</v>
      </c>
      <c r="V234" s="221"/>
      <c r="W234" s="221" t="e">
        <f>V233+U234/2</f>
        <v>#DIV/0!</v>
      </c>
      <c r="X234" s="213"/>
    </row>
    <row r="235" spans="12:24" x14ac:dyDescent="0.3">
      <c r="L235"/>
      <c r="M235"/>
      <c r="N235"/>
      <c r="O235"/>
      <c r="P235" s="220">
        <f>P233+$Q$6</f>
        <v>0</v>
      </c>
      <c r="Q235" s="221"/>
      <c r="R235" s="221" t="e">
        <f>IF(R233+Q234&lt;0,(R233+Q234)*0.8,R233+Q234)</f>
        <v>#DIV/0!</v>
      </c>
      <c r="S235" s="221"/>
      <c r="T235" s="221" t="e">
        <f>T233*(X235/X233)^2</f>
        <v>#DIV/0!</v>
      </c>
      <c r="U235" s="221"/>
      <c r="V235" s="221" t="e">
        <f>IF(AND(ABS(V233+U234)&gt;$B$5*0.8,(V233+U234)&lt;0),-$B$5*0.5,IF(AND(ABS(V233+U234)&gt;$B$5*0.8,(V233+U234)&gt;0),$B$5*0.5,V233+U234))</f>
        <v>#DIV/0!</v>
      </c>
      <c r="W235" s="221"/>
      <c r="X235" s="223" t="e">
        <f>$B$7*V235</f>
        <v>#DIV/0!</v>
      </c>
    </row>
    <row r="236" spans="12:24" x14ac:dyDescent="0.3">
      <c r="L236"/>
      <c r="M236"/>
      <c r="N236"/>
      <c r="O236"/>
      <c r="P236" s="213"/>
      <c r="Q236" s="221" t="e">
        <f>(V235+U234/2)*$Q$12</f>
        <v>#DIV/0!</v>
      </c>
      <c r="R236" s="221"/>
      <c r="S236" s="221" t="e">
        <f>R235+Q236/2</f>
        <v>#DIV/0!</v>
      </c>
      <c r="T236" s="221"/>
      <c r="U236" s="221" t="e">
        <f>-$Q$13*(S236+T235*((V235+U234/2)^2))</f>
        <v>#DIV/0!</v>
      </c>
      <c r="V236" s="221"/>
      <c r="W236" s="221" t="e">
        <f>V235+U236/2</f>
        <v>#DIV/0!</v>
      </c>
      <c r="X236" s="213"/>
    </row>
    <row r="237" spans="12:24" x14ac:dyDescent="0.3">
      <c r="L237"/>
      <c r="M237"/>
      <c r="N237"/>
      <c r="O237"/>
      <c r="P237" s="220">
        <f>P235+$Q$6</f>
        <v>0</v>
      </c>
      <c r="Q237" s="221"/>
      <c r="R237" s="221" t="e">
        <f>IF(R235+Q236&lt;0,(R235+Q236)*0.8,R235+Q236)</f>
        <v>#DIV/0!</v>
      </c>
      <c r="S237" s="221"/>
      <c r="T237" s="221" t="e">
        <f>T235*(X237/X235)^2</f>
        <v>#DIV/0!</v>
      </c>
      <c r="U237" s="221"/>
      <c r="V237" s="221" t="e">
        <f>IF(AND(ABS(V235+U236)&gt;$B$5*0.8,(V235+U236)&lt;0),-$B$5*0.5,IF(AND(ABS(V235+U236)&gt;$B$5*0.8,(V235+U236)&gt;0),$B$5*0.5,V235+U236))</f>
        <v>#DIV/0!</v>
      </c>
      <c r="W237" s="221"/>
      <c r="X237" s="223" t="e">
        <f>$B$7*V237</f>
        <v>#DIV/0!</v>
      </c>
    </row>
    <row r="238" spans="12:24" x14ac:dyDescent="0.3">
      <c r="L238"/>
      <c r="M238"/>
      <c r="N238"/>
      <c r="O238"/>
      <c r="P238" s="213"/>
      <c r="Q238" s="221" t="e">
        <f>(V237+U236/2)*$Q$12</f>
        <v>#DIV/0!</v>
      </c>
      <c r="R238" s="221"/>
      <c r="S238" s="221" t="e">
        <f>R237+Q238/2</f>
        <v>#DIV/0!</v>
      </c>
      <c r="T238" s="221"/>
      <c r="U238" s="221" t="e">
        <f>-$Q$13*(S238+T237*((V237+U236/2)^2))</f>
        <v>#DIV/0!</v>
      </c>
      <c r="V238" s="221"/>
      <c r="W238" s="221" t="e">
        <f>V237+U238/2</f>
        <v>#DIV/0!</v>
      </c>
      <c r="X238" s="213"/>
    </row>
    <row r="239" spans="12:24" x14ac:dyDescent="0.3">
      <c r="L239"/>
      <c r="M239"/>
      <c r="N239"/>
      <c r="O239"/>
      <c r="P239" s="220">
        <f>P237+$Q$6</f>
        <v>0</v>
      </c>
      <c r="Q239" s="221"/>
      <c r="R239" s="221" t="e">
        <f>IF(R237+Q238&lt;0,(R237+Q238)*0.8,R237+Q238)</f>
        <v>#DIV/0!</v>
      </c>
      <c r="S239" s="221"/>
      <c r="T239" s="221" t="e">
        <f>T237*(X239/X237)^2</f>
        <v>#DIV/0!</v>
      </c>
      <c r="U239" s="221"/>
      <c r="V239" s="221" t="e">
        <f>IF(AND(ABS(V237+U238)&gt;$B$5*0.8,(V237+U238)&lt;0),-$B$5*0.5,IF(AND(ABS(V237+U238)&gt;$B$5*0.8,(V237+U238)&gt;0),$B$5*0.5,V237+U238))</f>
        <v>#DIV/0!</v>
      </c>
      <c r="W239" s="221"/>
      <c r="X239" s="223" t="e">
        <f>$B$7*V239</f>
        <v>#DIV/0!</v>
      </c>
    </row>
    <row r="240" spans="12:24" x14ac:dyDescent="0.3">
      <c r="L240"/>
      <c r="M240"/>
      <c r="N240"/>
      <c r="O240"/>
      <c r="P240" s="213"/>
      <c r="Q240" s="221" t="e">
        <f>(V239+U238/2)*$Q$12</f>
        <v>#DIV/0!</v>
      </c>
      <c r="R240" s="221"/>
      <c r="S240" s="221" t="e">
        <f>R239+Q240/2</f>
        <v>#DIV/0!</v>
      </c>
      <c r="T240" s="221"/>
      <c r="U240" s="221" t="e">
        <f>-$Q$13*(S240+T239*((V239+U238/2)^2))</f>
        <v>#DIV/0!</v>
      </c>
      <c r="V240" s="221"/>
      <c r="W240" s="221" t="e">
        <f>V239+U240/2</f>
        <v>#DIV/0!</v>
      </c>
      <c r="X240" s="213"/>
    </row>
    <row r="241" spans="12:24" x14ac:dyDescent="0.3">
      <c r="L241"/>
      <c r="M241"/>
      <c r="N241"/>
      <c r="O241"/>
      <c r="P241" s="220">
        <f>P239+$Q$6</f>
        <v>0</v>
      </c>
      <c r="Q241" s="221"/>
      <c r="R241" s="221" t="e">
        <f>IF(R239+Q240&lt;0,(R239+Q240)*0.8,R239+Q240)</f>
        <v>#DIV/0!</v>
      </c>
      <c r="S241" s="221"/>
      <c r="T241" s="221" t="e">
        <f>T239*(X241/X239)^2</f>
        <v>#DIV/0!</v>
      </c>
      <c r="U241" s="221"/>
      <c r="V241" s="221" t="e">
        <f>IF(AND(ABS(V239+U240)&gt;$B$5*0.8,(V239+U240)&lt;0),-$B$5*0.5,IF(AND(ABS(V239+U240)&gt;$B$5*0.8,(V239+U240)&gt;0),$B$5*0.5,V239+U240))</f>
        <v>#DIV/0!</v>
      </c>
      <c r="W241" s="221"/>
      <c r="X241" s="223" t="e">
        <f>$B$7*V241</f>
        <v>#DIV/0!</v>
      </c>
    </row>
    <row r="242" spans="12:24" x14ac:dyDescent="0.3">
      <c r="L242"/>
      <c r="M242"/>
      <c r="N242"/>
      <c r="O242"/>
      <c r="P242" s="213"/>
      <c r="Q242" s="221" t="e">
        <f>(V241+U240/2)*$Q$12</f>
        <v>#DIV/0!</v>
      </c>
      <c r="R242" s="221"/>
      <c r="S242" s="221" t="e">
        <f>R241+Q242/2</f>
        <v>#DIV/0!</v>
      </c>
      <c r="T242" s="221"/>
      <c r="U242" s="221" t="e">
        <f>-$Q$13*(S242+T241*((V241+U240/2)^2))</f>
        <v>#DIV/0!</v>
      </c>
      <c r="V242" s="221"/>
      <c r="W242" s="221" t="e">
        <f>V241+U242/2</f>
        <v>#DIV/0!</v>
      </c>
      <c r="X242" s="213"/>
    </row>
    <row r="243" spans="12:24" x14ac:dyDescent="0.3">
      <c r="L243"/>
      <c r="M243"/>
      <c r="N243"/>
      <c r="O243"/>
      <c r="P243" s="220">
        <f>P241+$Q$6</f>
        <v>0</v>
      </c>
      <c r="Q243" s="221"/>
      <c r="R243" s="221" t="e">
        <f>IF(R241+Q242&lt;0,(R241+Q242)*0.8,R241+Q242)</f>
        <v>#DIV/0!</v>
      </c>
      <c r="S243" s="221"/>
      <c r="T243" s="221" t="e">
        <f>T241*(X243/X241)^2</f>
        <v>#DIV/0!</v>
      </c>
      <c r="U243" s="221"/>
      <c r="V243" s="221" t="e">
        <f>IF(AND(ABS(V241+U242)&gt;$B$5*0.8,(V241+U242)&lt;0),-$B$5*0.5,IF(AND(ABS(V241+U242)&gt;$B$5*0.8,(V241+U242)&gt;0),$B$5*0.5,V241+U242))</f>
        <v>#DIV/0!</v>
      </c>
      <c r="W243" s="221"/>
      <c r="X243" s="223" t="e">
        <f>$B$7*V243</f>
        <v>#DIV/0!</v>
      </c>
    </row>
    <row r="244" spans="12:24" x14ac:dyDescent="0.3">
      <c r="L244"/>
      <c r="M244"/>
      <c r="N244"/>
      <c r="O244"/>
      <c r="P244" s="213"/>
      <c r="Q244" s="221" t="e">
        <f>(V243+U242/2)*$Q$12</f>
        <v>#DIV/0!</v>
      </c>
      <c r="R244" s="221"/>
      <c r="S244" s="221" t="e">
        <f>R243+Q244/2</f>
        <v>#DIV/0!</v>
      </c>
      <c r="T244" s="221"/>
      <c r="U244" s="221" t="e">
        <f>-$Q$13*(S244+T243*((V243+U242/2)^2))</f>
        <v>#DIV/0!</v>
      </c>
      <c r="V244" s="221"/>
      <c r="W244" s="221" t="e">
        <f>V243+U244/2</f>
        <v>#DIV/0!</v>
      </c>
      <c r="X244" s="213"/>
    </row>
    <row r="245" spans="12:24" x14ac:dyDescent="0.3">
      <c r="L245"/>
      <c r="M245"/>
      <c r="N245"/>
      <c r="O245"/>
      <c r="P245" s="220">
        <f>P243+$Q$6</f>
        <v>0</v>
      </c>
      <c r="Q245" s="221"/>
      <c r="R245" s="221" t="e">
        <f>R243+Q244</f>
        <v>#DIV/0!</v>
      </c>
      <c r="S245" s="221"/>
      <c r="T245" s="221" t="e">
        <f>T243*(X245/X243)^2</f>
        <v>#DIV/0!</v>
      </c>
      <c r="U245" s="221"/>
      <c r="V245" s="221" t="e">
        <f>V243+U244</f>
        <v>#DIV/0!</v>
      </c>
      <c r="W245" s="229"/>
      <c r="X245" s="223" t="e">
        <f>$B$7*V245</f>
        <v>#DIV/0!</v>
      </c>
    </row>
    <row r="246" spans="12:24" x14ac:dyDescent="0.3">
      <c r="L246"/>
      <c r="M246"/>
      <c r="N246"/>
      <c r="O246"/>
      <c r="P246" s="220"/>
      <c r="Q246" s="221" t="e">
        <f>(V245+U244/2)*$Q$12</f>
        <v>#DIV/0!</v>
      </c>
      <c r="R246" s="221"/>
      <c r="S246" s="221" t="e">
        <f>R245+Q246/2</f>
        <v>#DIV/0!</v>
      </c>
      <c r="T246" s="221"/>
      <c r="U246" s="221" t="e">
        <f>-$Q$13*(S246+T245*((V245+U244/2)^2))</f>
        <v>#DIV/0!</v>
      </c>
      <c r="V246" s="221"/>
      <c r="W246" s="221" t="e">
        <f>V245+U246/2</f>
        <v>#DIV/0!</v>
      </c>
      <c r="X246" s="213"/>
    </row>
    <row r="247" spans="12:24" x14ac:dyDescent="0.3">
      <c r="L247"/>
      <c r="M247"/>
      <c r="N247"/>
      <c r="O247"/>
      <c r="P247" s="220">
        <f>P245+$Q$6</f>
        <v>0</v>
      </c>
      <c r="Q247" s="221"/>
      <c r="R247" s="221" t="e">
        <f>IF(R245+Q246&lt;0,(R245+Q246)*0.8,R245+Q246)</f>
        <v>#DIV/0!</v>
      </c>
      <c r="S247" s="221"/>
      <c r="T247" s="221" t="e">
        <f>T245*(X247/X245)^2</f>
        <v>#DIV/0!</v>
      </c>
      <c r="U247" s="221"/>
      <c r="V247" s="221" t="e">
        <f>IF(AND(ABS(V245+U246)&gt;$B$5*0.8,(V245+U246)&lt;0),-$B$5*0.5,IF(AND(ABS(V245+U246)&gt;$B$5*0.8,(V245+U246)&gt;0),$B$5*0.5,V245+U246))</f>
        <v>#DIV/0!</v>
      </c>
      <c r="W247" s="229"/>
      <c r="X247" s="223" t="e">
        <f>$B$7*V247</f>
        <v>#DIV/0!</v>
      </c>
    </row>
    <row r="248" spans="12:24" x14ac:dyDescent="0.3">
      <c r="L248"/>
      <c r="M248"/>
      <c r="N248"/>
      <c r="O248"/>
      <c r="P248" s="220"/>
      <c r="Q248" s="221" t="e">
        <f>(V247+U246/2)*$Q$12</f>
        <v>#DIV/0!</v>
      </c>
      <c r="R248" s="221"/>
      <c r="S248" s="221" t="e">
        <f>R247+Q248/2</f>
        <v>#DIV/0!</v>
      </c>
      <c r="T248" s="221"/>
      <c r="U248" s="221" t="e">
        <f>-$Q$13*(S248+T247*((V247+U246/2)^2))</f>
        <v>#DIV/0!</v>
      </c>
      <c r="V248" s="221"/>
      <c r="W248" s="229" t="e">
        <f>V247+U248/2</f>
        <v>#DIV/0!</v>
      </c>
      <c r="X248" s="224"/>
    </row>
    <row r="249" spans="12:24" x14ac:dyDescent="0.3">
      <c r="L249"/>
      <c r="M249"/>
      <c r="N249"/>
      <c r="O249"/>
      <c r="P249" s="220">
        <f>P247+$Q$6</f>
        <v>0</v>
      </c>
      <c r="Q249" s="221"/>
      <c r="R249" s="221" t="e">
        <f>IF(R247+Q248&lt;0,(R247+Q248)*0.8,R247+Q248)</f>
        <v>#DIV/0!</v>
      </c>
      <c r="S249" s="221"/>
      <c r="T249" s="221" t="e">
        <f>T247*(X249/X247)^2</f>
        <v>#DIV/0!</v>
      </c>
      <c r="U249" s="221"/>
      <c r="V249" s="221" t="e">
        <f>IF(AND(ABS(V247+U248)&gt;$B$5*0.8,(V247+U248)&lt;0),-$B$5*0.5,IF(AND(ABS(V247+U248)&gt;$B$5*0.8,(V247+U248)&gt;0),$B$5*0.5,V247+U248))</f>
        <v>#DIV/0!</v>
      </c>
      <c r="W249" s="229"/>
      <c r="X249" s="223" t="e">
        <f>$B$7*V249</f>
        <v>#DIV/0!</v>
      </c>
    </row>
    <row r="250" spans="12:24" x14ac:dyDescent="0.3">
      <c r="L250"/>
      <c r="M250"/>
      <c r="N250"/>
      <c r="O250"/>
      <c r="P250" s="220"/>
      <c r="Q250" s="221" t="e">
        <f>(V249+U248/2)*$Q$12</f>
        <v>#DIV/0!</v>
      </c>
      <c r="R250" s="221"/>
      <c r="S250" s="221" t="e">
        <f>R249+Q250/2</f>
        <v>#DIV/0!</v>
      </c>
      <c r="T250" s="221"/>
      <c r="U250" s="221" t="e">
        <f>-$Q$13*(S250+T249*((V249+U248/2)^2))</f>
        <v>#DIV/0!</v>
      </c>
      <c r="V250" s="221"/>
      <c r="W250" s="229" t="e">
        <f>V249+U250/2</f>
        <v>#DIV/0!</v>
      </c>
      <c r="X250" s="213"/>
    </row>
    <row r="251" spans="12:24" x14ac:dyDescent="0.3">
      <c r="L251"/>
      <c r="M251"/>
      <c r="N251"/>
      <c r="O251"/>
      <c r="P251" s="220">
        <f>P249+$Q$6</f>
        <v>0</v>
      </c>
      <c r="Q251" s="221"/>
      <c r="R251" s="221" t="e">
        <f>IF(R249+Q250&lt;0,(R249+Q250)*0.8,R249+Q250)</f>
        <v>#DIV/0!</v>
      </c>
      <c r="S251" s="221"/>
      <c r="T251" s="221" t="e">
        <f>T249*(X251/X249)^2</f>
        <v>#DIV/0!</v>
      </c>
      <c r="U251" s="221"/>
      <c r="V251" s="221" t="e">
        <f>IF(AND(ABS(V249+U250)&gt;$B$5*0.8,(V249+U250)&lt;0),-$B$5*0.5,IF(AND(ABS(V249+U250)&gt;$B$5*0.8,(V249+U250)&gt;0),$B$5*0.5,V249+U250))</f>
        <v>#DIV/0!</v>
      </c>
      <c r="W251" s="229"/>
      <c r="X251" s="223" t="e">
        <f>$B$7*V251</f>
        <v>#DIV/0!</v>
      </c>
    </row>
    <row r="252" spans="12:24" x14ac:dyDescent="0.3">
      <c r="L252"/>
      <c r="M252"/>
      <c r="N252"/>
      <c r="O252"/>
      <c r="P252" s="220"/>
      <c r="Q252" s="221" t="e">
        <f>(V251+U250/2)*$Q$12</f>
        <v>#DIV/0!</v>
      </c>
      <c r="R252" s="221"/>
      <c r="S252" s="221" t="e">
        <f>R251+Q252/2</f>
        <v>#DIV/0!</v>
      </c>
      <c r="T252" s="221"/>
      <c r="U252" s="221" t="e">
        <f>-$Q$13*(S252+T251*((V251+U250/2)^2))</f>
        <v>#DIV/0!</v>
      </c>
      <c r="V252" s="221"/>
      <c r="W252" s="229" t="e">
        <f>V251+U252/2</f>
        <v>#DIV/0!</v>
      </c>
      <c r="X252" s="224"/>
    </row>
    <row r="253" spans="12:24" x14ac:dyDescent="0.3">
      <c r="L253"/>
      <c r="M253"/>
      <c r="N253"/>
      <c r="O253"/>
      <c r="P253" s="220">
        <f>P251+$Q$6</f>
        <v>0</v>
      </c>
      <c r="Q253" s="221"/>
      <c r="R253" s="221" t="e">
        <f>IF(R251+Q252&lt;0,(R251+Q252)*0.8,R251+Q252)</f>
        <v>#DIV/0!</v>
      </c>
      <c r="S253" s="221"/>
      <c r="T253" s="221" t="e">
        <f>T251*(X253/X251)^2</f>
        <v>#DIV/0!</v>
      </c>
      <c r="U253" s="221"/>
      <c r="V253" s="221" t="e">
        <f>IF(AND(ABS(V251+U252)&gt;$B$5*0.8,(V251+U252)&lt;0),-$B$5*0.5,IF(AND(ABS(V251+U252)&gt;$B$5*0.8,(V251+U252)&gt;0),$B$5*0.5,V251+U252))</f>
        <v>#DIV/0!</v>
      </c>
      <c r="W253" s="229"/>
      <c r="X253" s="223" t="e">
        <f>$B$7*V253</f>
        <v>#DIV/0!</v>
      </c>
    </row>
    <row r="254" spans="12:24" x14ac:dyDescent="0.3">
      <c r="L254"/>
      <c r="M254"/>
      <c r="N254"/>
      <c r="O254"/>
      <c r="P254" s="220"/>
      <c r="Q254" s="221" t="e">
        <f>(V253+U252/2)*$Q$12</f>
        <v>#DIV/0!</v>
      </c>
      <c r="R254" s="221"/>
      <c r="S254" s="221" t="e">
        <f>R253+Q254/2</f>
        <v>#DIV/0!</v>
      </c>
      <c r="T254" s="221"/>
      <c r="U254" s="221" t="e">
        <f>-$Q$13*(S254+T253*((V253+U252/2)^2))</f>
        <v>#DIV/0!</v>
      </c>
      <c r="V254" s="221"/>
      <c r="W254" s="229" t="e">
        <f>V253+U254/2</f>
        <v>#DIV/0!</v>
      </c>
      <c r="X254" s="213"/>
    </row>
    <row r="255" spans="12:24" x14ac:dyDescent="0.3">
      <c r="L255"/>
      <c r="M255"/>
      <c r="N255"/>
      <c r="O255"/>
      <c r="P255" s="220">
        <f>P253+$Q$6</f>
        <v>0</v>
      </c>
      <c r="Q255" s="221"/>
      <c r="R255" s="221" t="e">
        <f>IF(R253+Q254&lt;0,(R253+Q254)*0.8,R253+Q254)</f>
        <v>#DIV/0!</v>
      </c>
      <c r="S255" s="221"/>
      <c r="T255" s="221" t="e">
        <f>T253*(X255/X253)^2</f>
        <v>#DIV/0!</v>
      </c>
      <c r="U255" s="221"/>
      <c r="V255" s="221" t="e">
        <f>IF(AND(ABS(V253+U254)&gt;$B$5*0.8,(V253+U254)&lt;0),-$B$5*0.5,IF(AND(ABS(V253+U254)&gt;$B$5*0.8,(V253+U254)&gt;0),$B$5*0.5,V253+U254))</f>
        <v>#DIV/0!</v>
      </c>
      <c r="W255" s="229"/>
      <c r="X255" s="223" t="e">
        <f>$B$7*V255</f>
        <v>#DIV/0!</v>
      </c>
    </row>
    <row r="256" spans="12:24" x14ac:dyDescent="0.3">
      <c r="L256"/>
      <c r="M256"/>
      <c r="N256"/>
      <c r="O256"/>
      <c r="P256" s="220"/>
      <c r="Q256" s="221" t="e">
        <f>(V255+U254/2)*$Q$12</f>
        <v>#DIV/0!</v>
      </c>
      <c r="R256" s="221"/>
      <c r="S256" s="221" t="e">
        <f>R255+Q256/2</f>
        <v>#DIV/0!</v>
      </c>
      <c r="T256" s="221"/>
      <c r="U256" s="221" t="e">
        <f>-$Q$13*(S256+T255*((V255+U254/2)^2))</f>
        <v>#DIV/0!</v>
      </c>
      <c r="V256" s="221"/>
      <c r="W256" s="229" t="e">
        <f>V255+U256/2</f>
        <v>#DIV/0!</v>
      </c>
      <c r="X256" s="213"/>
    </row>
    <row r="257" spans="12:24" x14ac:dyDescent="0.3">
      <c r="L257"/>
      <c r="M257"/>
      <c r="N257"/>
      <c r="O257"/>
      <c r="P257" s="220">
        <f>P255+$Q$6</f>
        <v>0</v>
      </c>
      <c r="Q257" s="221"/>
      <c r="R257" s="221" t="e">
        <f>IF(R255+Q256&lt;0,(R255+Q256)*0.8,R255+Q256)</f>
        <v>#DIV/0!</v>
      </c>
      <c r="S257" s="221"/>
      <c r="T257" s="221" t="e">
        <f>T255*(X257/X255)^2</f>
        <v>#DIV/0!</v>
      </c>
      <c r="U257" s="221"/>
      <c r="V257" s="221" t="e">
        <f>IF(AND(ABS(V255+U256)&gt;$B$5*0.8,(V255+U256)&lt;0),-$B$5*0.5,IF(AND(ABS(V255+U256)&gt;$B$5*0.8,(V255+U256)&gt;0),$B$5*0.5,V255+U256))</f>
        <v>#DIV/0!</v>
      </c>
      <c r="W257" s="229"/>
      <c r="X257" s="223" t="e">
        <f>$B$7*V257</f>
        <v>#DIV/0!</v>
      </c>
    </row>
    <row r="258" spans="12:24" x14ac:dyDescent="0.3">
      <c r="L258"/>
      <c r="M258"/>
      <c r="N258"/>
      <c r="O258"/>
      <c r="P258" s="220"/>
      <c r="Q258" s="221" t="e">
        <f>(V257+U256/2)*$Q$12</f>
        <v>#DIV/0!</v>
      </c>
      <c r="R258" s="221"/>
      <c r="S258" s="221" t="e">
        <f>R257+Q258/2</f>
        <v>#DIV/0!</v>
      </c>
      <c r="T258" s="221"/>
      <c r="U258" s="221" t="e">
        <f>-$Q$13*(S258+T257*((V257+U256/2)^2))</f>
        <v>#DIV/0!</v>
      </c>
      <c r="V258" s="221"/>
      <c r="W258" s="229" t="e">
        <f>V257+U258/2</f>
        <v>#DIV/0!</v>
      </c>
      <c r="X258" s="224"/>
    </row>
    <row r="259" spans="12:24" x14ac:dyDescent="0.3">
      <c r="L259"/>
      <c r="M259"/>
      <c r="N259"/>
      <c r="O259"/>
      <c r="P259" s="220">
        <f>P257+$Q$6</f>
        <v>0</v>
      </c>
      <c r="Q259" s="221"/>
      <c r="R259" s="221" t="e">
        <f>IF(R257+Q258&lt;0,(R257+Q258)*0.8,R257+Q258)</f>
        <v>#DIV/0!</v>
      </c>
      <c r="S259" s="221"/>
      <c r="T259" s="221" t="e">
        <f>T257*(X259/X257)^2</f>
        <v>#DIV/0!</v>
      </c>
      <c r="U259" s="221"/>
      <c r="V259" s="221" t="e">
        <f>IF(AND(ABS(V257+U258)&gt;$B$5*0.8,(V257+U258)&lt;0),-$B$5*0.5,IF(AND(ABS(V257+U258)&gt;$B$5*0.8,(V257+U258)&gt;0),$B$5*0.5,V257+U258))</f>
        <v>#DIV/0!</v>
      </c>
      <c r="W259" s="229"/>
      <c r="X259" s="223" t="e">
        <f>$B$7*V259</f>
        <v>#DIV/0!</v>
      </c>
    </row>
    <row r="260" spans="12:24" x14ac:dyDescent="0.3">
      <c r="L260"/>
      <c r="M260"/>
      <c r="N260"/>
      <c r="O260"/>
      <c r="P260" s="220"/>
      <c r="Q260" s="221" t="e">
        <f>(V259+U258/2)*$Q$12</f>
        <v>#DIV/0!</v>
      </c>
      <c r="R260" s="221"/>
      <c r="S260" s="221" t="e">
        <f>R259+Q260/2</f>
        <v>#DIV/0!</v>
      </c>
      <c r="T260" s="221"/>
      <c r="U260" s="221" t="e">
        <f>-$Q$13*(S260+T259*((V259+U258/2)^2))</f>
        <v>#DIV/0!</v>
      </c>
      <c r="V260" s="221"/>
      <c r="W260" s="229" t="e">
        <f>V259+U260/2</f>
        <v>#DIV/0!</v>
      </c>
      <c r="X260" s="213"/>
    </row>
    <row r="261" spans="12:24" x14ac:dyDescent="0.3">
      <c r="L261"/>
      <c r="M261"/>
      <c r="N261"/>
      <c r="O261"/>
      <c r="P261" s="220">
        <f>P259+$Q$6</f>
        <v>0</v>
      </c>
      <c r="Q261" s="221"/>
      <c r="R261" s="221" t="e">
        <f>IF(R259+Q260&lt;0,(R259+Q260)*0.8,R259+Q260)</f>
        <v>#DIV/0!</v>
      </c>
      <c r="S261" s="221"/>
      <c r="T261" s="221" t="e">
        <f>T259*(X261/X259)^2</f>
        <v>#DIV/0!</v>
      </c>
      <c r="U261" s="221"/>
      <c r="V261" s="221" t="e">
        <f>IF(AND(ABS(V259+U260)&gt;$B$5*0.8,(V259+U260)&lt;0),-$B$5*0.5,IF(AND(ABS(V259+U260)&gt;$B$5*0.8,(V259+U260)&gt;0),$B$5*0.5,V259+U260))</f>
        <v>#DIV/0!</v>
      </c>
      <c r="W261" s="229"/>
      <c r="X261" s="223" t="e">
        <f>$B$7*V261</f>
        <v>#DIV/0!</v>
      </c>
    </row>
    <row r="262" spans="12:24" x14ac:dyDescent="0.3">
      <c r="L262"/>
      <c r="M262"/>
      <c r="N262"/>
      <c r="O262"/>
      <c r="P262" s="220"/>
      <c r="Q262" s="221" t="e">
        <f>(V261+U260/2)*$Q$12</f>
        <v>#DIV/0!</v>
      </c>
      <c r="R262" s="221"/>
      <c r="S262" s="221" t="e">
        <f>R261+Q262/2</f>
        <v>#DIV/0!</v>
      </c>
      <c r="T262" s="221"/>
      <c r="U262" s="221" t="e">
        <f>-$Q$13*(S262+T261*((V261+U260/2)^2))</f>
        <v>#DIV/0!</v>
      </c>
      <c r="V262" s="221"/>
      <c r="W262" s="229" t="e">
        <f>V261+U262/2</f>
        <v>#DIV/0!</v>
      </c>
      <c r="X262" s="213"/>
    </row>
    <row r="263" spans="12:24" x14ac:dyDescent="0.3">
      <c r="L263"/>
      <c r="M263"/>
      <c r="N263"/>
      <c r="O263"/>
      <c r="P263" s="220">
        <f>P261+$Q$6</f>
        <v>0</v>
      </c>
      <c r="Q263" s="221"/>
      <c r="R263" s="221" t="e">
        <f>IF(R261+Q262&lt;0,(R261+Q262)*0.8,R261+Q262)</f>
        <v>#DIV/0!</v>
      </c>
      <c r="S263" s="221"/>
      <c r="T263" s="221" t="e">
        <f>T261*(X263/X261)^2</f>
        <v>#DIV/0!</v>
      </c>
      <c r="U263" s="221"/>
      <c r="V263" s="221" t="e">
        <f>IF(AND(ABS(V261+U262)&gt;$B$5*0.8,(V261+U262)&lt;0),-$B$5*0.5,IF(AND(ABS(V261+U262)&gt;$B$5*0.8,(V261+U262)&gt;0),$B$5*0.5,V261+U262))</f>
        <v>#DIV/0!</v>
      </c>
      <c r="W263" s="229"/>
      <c r="X263" s="223" t="e">
        <f>$B$7*V263</f>
        <v>#DIV/0!</v>
      </c>
    </row>
    <row r="264" spans="12:24" x14ac:dyDescent="0.3">
      <c r="L264"/>
      <c r="M264"/>
      <c r="N264"/>
      <c r="O264"/>
      <c r="P264" s="220"/>
      <c r="Q264" s="221" t="e">
        <f>(V263+U262/2)*$Q$12</f>
        <v>#DIV/0!</v>
      </c>
      <c r="R264" s="221"/>
      <c r="S264" s="221" t="e">
        <f>R263+Q264/2</f>
        <v>#DIV/0!</v>
      </c>
      <c r="T264" s="221"/>
      <c r="U264" s="221" t="e">
        <f>-$Q$13*(S264+T263*((V263+U262/2)^2))</f>
        <v>#DIV/0!</v>
      </c>
      <c r="V264" s="221"/>
      <c r="W264" s="229" t="e">
        <f>V263+U264/2</f>
        <v>#DIV/0!</v>
      </c>
      <c r="X264" s="213"/>
    </row>
    <row r="265" spans="12:24" x14ac:dyDescent="0.3">
      <c r="L265"/>
      <c r="M265"/>
      <c r="N265"/>
      <c r="O265"/>
      <c r="P265" s="220">
        <f>P263+$Q$6</f>
        <v>0</v>
      </c>
      <c r="Q265" s="221"/>
      <c r="R265" s="221" t="e">
        <f>IF(R263+Q264&lt;0,(R263+Q264)*0.8,R263+Q264)</f>
        <v>#DIV/0!</v>
      </c>
      <c r="S265" s="221"/>
      <c r="T265" s="221" t="e">
        <f>T263*(X265/X263)^2</f>
        <v>#DIV/0!</v>
      </c>
      <c r="U265" s="221"/>
      <c r="V265" s="221" t="e">
        <f>IF(AND(ABS(V263+U264)&gt;$B$5*0.8,(V263+U264)&lt;0),-$B$5*0.5,IF(AND(ABS(V263+U264)&gt;$B$5*0.8,(V263+U264)&gt;0),$B$5*0.5,V263+U264))</f>
        <v>#DIV/0!</v>
      </c>
      <c r="W265" s="229"/>
      <c r="X265" s="223" t="e">
        <f>$B$7*V265</f>
        <v>#DIV/0!</v>
      </c>
    </row>
    <row r="266" spans="12:24" x14ac:dyDescent="0.3">
      <c r="L266"/>
      <c r="M266"/>
      <c r="N266"/>
      <c r="O266"/>
      <c r="P266" s="220"/>
      <c r="Q266" s="221" t="e">
        <f>(V265+U264/2)*$Q$12</f>
        <v>#DIV/0!</v>
      </c>
      <c r="R266" s="221"/>
      <c r="S266" s="221" t="e">
        <f>R265+Q266/2</f>
        <v>#DIV/0!</v>
      </c>
      <c r="T266" s="221"/>
      <c r="U266" s="221" t="e">
        <f>-$Q$13*(S266+T265*((V265+U264/2)^2))</f>
        <v>#DIV/0!</v>
      </c>
      <c r="V266" s="221"/>
      <c r="W266" s="229" t="e">
        <f>V265+U266/2</f>
        <v>#DIV/0!</v>
      </c>
      <c r="X266" s="213"/>
    </row>
    <row r="267" spans="12:24" x14ac:dyDescent="0.3">
      <c r="L267"/>
      <c r="M267"/>
      <c r="N267"/>
      <c r="O267"/>
      <c r="P267" s="220">
        <f>P265+$Q$6</f>
        <v>0</v>
      </c>
      <c r="Q267" s="221"/>
      <c r="R267" s="221" t="e">
        <f>IF(R265+Q266&lt;0,(R265+Q266)*0.8,R265+Q266)</f>
        <v>#DIV/0!</v>
      </c>
      <c r="S267" s="221"/>
      <c r="T267" s="221" t="e">
        <f>T265*(X267/X265)^2</f>
        <v>#DIV/0!</v>
      </c>
      <c r="U267" s="221"/>
      <c r="V267" s="221" t="e">
        <f>IF(AND(ABS(V265+U266)&gt;$B$5*0.8,(V265+U266)&lt;0),-$B$5*0.5,IF(AND(ABS(V265+U266)&gt;$B$5*0.8,(V265+U266)&gt;0),$B$5*0.5,V265+U266))</f>
        <v>#DIV/0!</v>
      </c>
      <c r="W267" s="229"/>
      <c r="X267" s="223" t="e">
        <f>$B$7*V267</f>
        <v>#DIV/0!</v>
      </c>
    </row>
    <row r="268" spans="12:24" x14ac:dyDescent="0.3">
      <c r="L268"/>
      <c r="M268"/>
      <c r="N268"/>
      <c r="O268"/>
      <c r="P268" s="213"/>
      <c r="Q268" s="221" t="e">
        <f>(V267+U266/2)*$Q$12</f>
        <v>#DIV/0!</v>
      </c>
      <c r="R268" s="221"/>
      <c r="S268" s="221" t="e">
        <f>R267+Q268/2</f>
        <v>#DIV/0!</v>
      </c>
      <c r="T268" s="221"/>
      <c r="U268" s="221" t="e">
        <f>-$Q$13*(S268+T267*((V267+U266/2)^2))</f>
        <v>#DIV/0!</v>
      </c>
      <c r="V268" s="221"/>
      <c r="W268" s="229" t="e">
        <f>V267+U268/2</f>
        <v>#DIV/0!</v>
      </c>
      <c r="X268" s="224"/>
    </row>
    <row r="269" spans="12:24" x14ac:dyDescent="0.3">
      <c r="L269"/>
      <c r="M269"/>
      <c r="N269"/>
      <c r="O269"/>
      <c r="P269" s="220">
        <f>P267+$Q$6</f>
        <v>0</v>
      </c>
      <c r="Q269" s="221"/>
      <c r="R269" s="221" t="e">
        <f>IF(R267+Q268&lt;0,(R267+Q268)*0.8,R267+Q268)</f>
        <v>#DIV/0!</v>
      </c>
      <c r="S269" s="221"/>
      <c r="T269" s="221" t="e">
        <f>T267*(X269/X267)^2</f>
        <v>#DIV/0!</v>
      </c>
      <c r="U269" s="221"/>
      <c r="V269" s="221" t="e">
        <f>IF(AND(ABS(V267+U268)&gt;$B$5*0.8,(V267+U268)&lt;0),-$B$5*0.5,IF(AND(ABS(V267+U268)&gt;$B$5*0.8,(V267+U268)&gt;0),$B$5*0.5,V267+U268))</f>
        <v>#DIV/0!</v>
      </c>
      <c r="W269" s="229"/>
      <c r="X269" s="223" t="e">
        <f>$B$7*V269</f>
        <v>#DIV/0!</v>
      </c>
    </row>
    <row r="270" spans="12:24" x14ac:dyDescent="0.3">
      <c r="L270"/>
      <c r="M270"/>
      <c r="N270"/>
      <c r="O270"/>
      <c r="P270" s="220"/>
      <c r="Q270" s="221" t="e">
        <f>(V269+U268/2)*$Q$12</f>
        <v>#DIV/0!</v>
      </c>
      <c r="R270" s="221"/>
      <c r="S270" s="221" t="e">
        <f>R269+Q270/2</f>
        <v>#DIV/0!</v>
      </c>
      <c r="T270" s="221"/>
      <c r="U270" s="221" t="e">
        <f>-$Q$13*(S270+T269*((V269+U268/2)^2))</f>
        <v>#DIV/0!</v>
      </c>
      <c r="V270" s="221"/>
      <c r="W270" s="229" t="e">
        <f>V269+U270/2</f>
        <v>#DIV/0!</v>
      </c>
      <c r="X270" s="213"/>
    </row>
    <row r="271" spans="12:24" x14ac:dyDescent="0.3">
      <c r="L271"/>
      <c r="M271"/>
      <c r="N271"/>
      <c r="O271"/>
      <c r="P271" s="220">
        <f>P269+$Q$6</f>
        <v>0</v>
      </c>
      <c r="Q271" s="221"/>
      <c r="R271" s="221" t="e">
        <f>IF(R269+Q270&lt;0,(R269+Q270)*0.8,R269+Q270)</f>
        <v>#DIV/0!</v>
      </c>
      <c r="S271" s="221"/>
      <c r="T271" s="221" t="e">
        <f>T269*(X271/X269)^2</f>
        <v>#DIV/0!</v>
      </c>
      <c r="U271" s="221"/>
      <c r="V271" s="221" t="e">
        <f>IF(AND(ABS(V269+U270)&gt;$B$5*0.8,(V269+U270)&lt;0),-$B$5*0.5,IF(AND(ABS(V269+U270)&gt;$B$5*0.8,(V269+U270)&gt;0),$B$5*0.5,V269+U270))</f>
        <v>#DIV/0!</v>
      </c>
      <c r="W271" s="229"/>
      <c r="X271" s="223" t="e">
        <f>$B$7*V271</f>
        <v>#DIV/0!</v>
      </c>
    </row>
    <row r="272" spans="12:24" x14ac:dyDescent="0.3">
      <c r="L272"/>
      <c r="M272"/>
      <c r="N272"/>
      <c r="O272"/>
      <c r="P272" s="213"/>
      <c r="Q272" s="221" t="e">
        <f>(V271+U270/2)*$Q$12</f>
        <v>#DIV/0!</v>
      </c>
      <c r="R272" s="221"/>
      <c r="S272" s="221" t="e">
        <f>R271+Q272/2</f>
        <v>#DIV/0!</v>
      </c>
      <c r="T272" s="221"/>
      <c r="U272" s="221" t="e">
        <f>-$Q$13*(S272+T271*((V271+U270/2)^2))</f>
        <v>#DIV/0!</v>
      </c>
      <c r="V272" s="221"/>
      <c r="W272" s="229" t="e">
        <f>V271+U272/2</f>
        <v>#DIV/0!</v>
      </c>
      <c r="X272" s="224"/>
    </row>
    <row r="273" spans="12:24" x14ac:dyDescent="0.3">
      <c r="L273"/>
      <c r="M273"/>
      <c r="N273"/>
      <c r="O273"/>
      <c r="P273" s="220">
        <f>P271+$Q$6</f>
        <v>0</v>
      </c>
      <c r="Q273" s="221"/>
      <c r="R273" s="221" t="e">
        <f>IF(R271+Q272&lt;0,(R271+Q272)*0.8,R271+Q272)</f>
        <v>#DIV/0!</v>
      </c>
      <c r="S273" s="221"/>
      <c r="T273" s="221" t="e">
        <f>T271*(X273/X271)^2</f>
        <v>#DIV/0!</v>
      </c>
      <c r="U273" s="221"/>
      <c r="V273" s="221" t="e">
        <f>IF(AND(ABS(V271+U272)&gt;$B$5*0.8,(V271+U272)&lt;0),-$B$5*0.5,IF(AND(ABS(V271+U272)&gt;$B$5*0.8,(V271+U272)&gt;0),$B$5*0.5,V271+U272))</f>
        <v>#DIV/0!</v>
      </c>
      <c r="W273" s="229"/>
      <c r="X273" s="223" t="e">
        <f>$B$7*V273</f>
        <v>#DIV/0!</v>
      </c>
    </row>
    <row r="274" spans="12:24" x14ac:dyDescent="0.3">
      <c r="L274"/>
      <c r="M274"/>
      <c r="N274"/>
      <c r="O274"/>
      <c r="P274" s="220"/>
      <c r="Q274" s="221" t="e">
        <f>(V273+U272/2)*$Q$12</f>
        <v>#DIV/0!</v>
      </c>
      <c r="R274" s="221"/>
      <c r="S274" s="221" t="e">
        <f>R273+Q274/2</f>
        <v>#DIV/0!</v>
      </c>
      <c r="T274" s="221"/>
      <c r="U274" s="221" t="e">
        <f>-$Q$13*(S274+T273*((V273+U272/2)^2))</f>
        <v>#DIV/0!</v>
      </c>
      <c r="V274" s="221"/>
      <c r="W274" s="229" t="e">
        <f>V273+U274/2</f>
        <v>#DIV/0!</v>
      </c>
      <c r="X274" s="213"/>
    </row>
    <row r="275" spans="12:24" x14ac:dyDescent="0.3">
      <c r="L275"/>
      <c r="M275"/>
      <c r="N275"/>
      <c r="O275"/>
      <c r="P275" s="220">
        <f>P273+$Q$6</f>
        <v>0</v>
      </c>
      <c r="Q275" s="221"/>
      <c r="R275" s="221" t="e">
        <f>IF(R273+Q274&lt;0,(R273+Q274)*0.8,R273+Q274)</f>
        <v>#DIV/0!</v>
      </c>
      <c r="S275" s="221"/>
      <c r="T275" s="221" t="e">
        <f>T273*(X275/X273)^2</f>
        <v>#DIV/0!</v>
      </c>
      <c r="U275" s="221"/>
      <c r="V275" s="221" t="e">
        <f>IF(AND(ABS(V273+U274)&gt;$B$5*0.8,(V273+U274)&lt;0),-$B$5*0.5,IF(AND(ABS(V273+U274)&gt;$B$5*0.8,(V273+U274)&gt;0),$B$5*0.5,V273+U274))</f>
        <v>#DIV/0!</v>
      </c>
      <c r="W275" s="229"/>
      <c r="X275" s="223" t="e">
        <f>$B$7*V275</f>
        <v>#DIV/0!</v>
      </c>
    </row>
    <row r="276" spans="12:24" x14ac:dyDescent="0.3">
      <c r="L276"/>
      <c r="M276"/>
      <c r="N276"/>
      <c r="O276"/>
      <c r="P276" s="213"/>
      <c r="Q276" s="221" t="e">
        <f>(V275+U274/2)*$Q$12</f>
        <v>#DIV/0!</v>
      </c>
      <c r="R276" s="221"/>
      <c r="S276" s="221" t="e">
        <f>R275+Q276/2</f>
        <v>#DIV/0!</v>
      </c>
      <c r="T276" s="221"/>
      <c r="U276" s="221" t="e">
        <f>-$Q$13*(S276+T275*((V275+U274/2)^2))</f>
        <v>#DIV/0!</v>
      </c>
      <c r="V276" s="221"/>
      <c r="W276" s="229" t="e">
        <f>V275+U276/2</f>
        <v>#DIV/0!</v>
      </c>
      <c r="X276" s="213"/>
    </row>
    <row r="277" spans="12:24" x14ac:dyDescent="0.3">
      <c r="L277"/>
      <c r="M277"/>
      <c r="N277"/>
      <c r="O277"/>
      <c r="P277" s="220">
        <f>P275+$Q$6</f>
        <v>0</v>
      </c>
      <c r="Q277" s="221"/>
      <c r="R277" s="221" t="e">
        <f>IF(R275+Q276&lt;0,(R275+Q276)*0.8,R275+Q276)</f>
        <v>#DIV/0!</v>
      </c>
      <c r="S277" s="221"/>
      <c r="T277" s="221" t="e">
        <f>T275*(X277/X275)^2</f>
        <v>#DIV/0!</v>
      </c>
      <c r="U277" s="221"/>
      <c r="V277" s="221" t="e">
        <f>IF(AND(ABS(V275+U276)&gt;$B$5*0.8,(V275+U276)&lt;0),-$B$5*0.5,IF(AND(ABS(V275+U276)&gt;$B$5*0.8,(V275+U276)&gt;0),$B$5*0.5,V275+U276))</f>
        <v>#DIV/0!</v>
      </c>
      <c r="W277" s="229"/>
      <c r="X277" s="223" t="e">
        <f>$B$7*V277</f>
        <v>#DIV/0!</v>
      </c>
    </row>
    <row r="278" spans="12:24" x14ac:dyDescent="0.3">
      <c r="L278"/>
      <c r="M278"/>
      <c r="N278"/>
      <c r="O278"/>
      <c r="P278" s="220"/>
      <c r="Q278" s="221" t="e">
        <f>(V277+U276/2)*$Q$12</f>
        <v>#DIV/0!</v>
      </c>
      <c r="R278" s="221"/>
      <c r="S278" s="221" t="e">
        <f>R277+Q278/2</f>
        <v>#DIV/0!</v>
      </c>
      <c r="T278" s="221"/>
      <c r="U278" s="221" t="e">
        <f>-$Q$13*(S278+T277*((V277+U276/2)^2))</f>
        <v>#DIV/0!</v>
      </c>
      <c r="V278" s="221"/>
      <c r="W278" s="229" t="e">
        <f>V277+U278/2</f>
        <v>#DIV/0!</v>
      </c>
      <c r="X278" s="224"/>
    </row>
    <row r="279" spans="12:24" x14ac:dyDescent="0.3">
      <c r="L279"/>
      <c r="M279"/>
      <c r="N279"/>
      <c r="O279"/>
      <c r="P279" s="220">
        <f>P277+$Q$6</f>
        <v>0</v>
      </c>
      <c r="Q279" s="221"/>
      <c r="R279" s="221" t="e">
        <f>IF(R277+Q278&lt;0,(R277+Q278)*0.8,R277+Q278)</f>
        <v>#DIV/0!</v>
      </c>
      <c r="S279" s="221"/>
      <c r="T279" s="221" t="e">
        <f>T277*(X279/X277)^2</f>
        <v>#DIV/0!</v>
      </c>
      <c r="U279" s="221"/>
      <c r="V279" s="221" t="e">
        <f>IF(AND(ABS(V277+U278)&gt;$B$5*0.8,(V277+U278)&lt;0),-$B$5*0.5,IF(AND(ABS(V277+U278)&gt;$B$5*0.8,(V277+U278)&gt;0),$B$5*0.5,V277+U278))</f>
        <v>#DIV/0!</v>
      </c>
      <c r="W279" s="229"/>
      <c r="X279" s="223" t="e">
        <f>$B$7*V279</f>
        <v>#DIV/0!</v>
      </c>
    </row>
    <row r="280" spans="12:24" x14ac:dyDescent="0.3">
      <c r="L280"/>
      <c r="M280"/>
      <c r="N280"/>
      <c r="O280"/>
      <c r="P280" s="213"/>
      <c r="Q280" s="221" t="e">
        <f>(V279+U278/2)*$Q$12</f>
        <v>#DIV/0!</v>
      </c>
      <c r="R280" s="221"/>
      <c r="S280" s="221" t="e">
        <f>R279+Q280/2</f>
        <v>#DIV/0!</v>
      </c>
      <c r="T280" s="221"/>
      <c r="U280" s="221" t="e">
        <f>-$Q$13*(S280+T279*((V279+U278/2)^2))</f>
        <v>#DIV/0!</v>
      </c>
      <c r="V280" s="221"/>
      <c r="W280" s="229" t="e">
        <f>V279+U280/2</f>
        <v>#DIV/0!</v>
      </c>
      <c r="X280" s="213"/>
    </row>
    <row r="281" spans="12:24" x14ac:dyDescent="0.3">
      <c r="L281"/>
      <c r="M281"/>
      <c r="N281"/>
      <c r="O281"/>
      <c r="P281" s="220">
        <f>P279+$Q$6</f>
        <v>0</v>
      </c>
      <c r="Q281" s="221"/>
      <c r="R281" s="221" t="e">
        <f>IF(R279+Q280&lt;0,(R279+Q280)*0.8,R279+Q280)</f>
        <v>#DIV/0!</v>
      </c>
      <c r="S281" s="221"/>
      <c r="T281" s="221" t="e">
        <f>T279*(X281/X279)^2</f>
        <v>#DIV/0!</v>
      </c>
      <c r="U281" s="221"/>
      <c r="V281" s="221" t="e">
        <f>IF(AND(ABS(V279+U280)&gt;$B$5*0.8,(V279+U280)&lt;0),-$B$5*0.5,IF(AND(ABS(V279+U280)&gt;$B$5*0.8,(V279+U280)&gt;0),$B$5*0.5,V279+U280))</f>
        <v>#DIV/0!</v>
      </c>
      <c r="W281" s="229"/>
      <c r="X281" s="223" t="e">
        <f>$B$7*V281</f>
        <v>#DIV/0!</v>
      </c>
    </row>
    <row r="282" spans="12:24" x14ac:dyDescent="0.3">
      <c r="L282"/>
      <c r="M282"/>
      <c r="N282"/>
      <c r="O282"/>
      <c r="P282" s="220"/>
      <c r="Q282" s="221" t="e">
        <f>(V281+U280/2)*$Q$12</f>
        <v>#DIV/0!</v>
      </c>
      <c r="R282" s="221"/>
      <c r="S282" s="221" t="e">
        <f>R281+Q282/2</f>
        <v>#DIV/0!</v>
      </c>
      <c r="T282" s="221"/>
      <c r="U282" s="221" t="e">
        <f>-$Q$13*(S282+T281*((V281+U280/2)^2))</f>
        <v>#DIV/0!</v>
      </c>
      <c r="V282" s="221"/>
      <c r="W282" s="229" t="e">
        <f>V281+U282/2</f>
        <v>#DIV/0!</v>
      </c>
      <c r="X282" s="213"/>
    </row>
    <row r="283" spans="12:24" x14ac:dyDescent="0.3">
      <c r="L283"/>
      <c r="M283"/>
      <c r="N283"/>
      <c r="O283"/>
      <c r="P283" s="220">
        <f>P281+$Q$6</f>
        <v>0</v>
      </c>
      <c r="Q283" s="221"/>
      <c r="R283" s="221" t="e">
        <f>IF(R281+Q282&lt;0,(R281+Q282)*0.8,R281+Q282)</f>
        <v>#DIV/0!</v>
      </c>
      <c r="S283" s="221"/>
      <c r="T283" s="221" t="e">
        <f>T281*(X283/X281)^2</f>
        <v>#DIV/0!</v>
      </c>
      <c r="U283" s="221"/>
      <c r="V283" s="221" t="e">
        <f>IF(AND(ABS(V281+U282)&gt;$B$5*0.8,(V281+U282)&lt;0),-$B$5*0.5,IF(AND(ABS(V281+U282)&gt;$B$5*0.8,(V281+U282)&gt;0),$B$5*0.5,V281+U282))</f>
        <v>#DIV/0!</v>
      </c>
      <c r="W283" s="229"/>
      <c r="X283" s="223" t="e">
        <f>$B$7*V283</f>
        <v>#DIV/0!</v>
      </c>
    </row>
    <row r="284" spans="12:24" x14ac:dyDescent="0.3">
      <c r="L284"/>
      <c r="M284"/>
      <c r="N284"/>
      <c r="O284"/>
      <c r="P284" s="213"/>
      <c r="Q284" s="221" t="e">
        <f>(V283+U282/2)*$Q$12</f>
        <v>#DIV/0!</v>
      </c>
      <c r="R284" s="221"/>
      <c r="S284" s="221" t="e">
        <f>R283+Q284/2</f>
        <v>#DIV/0!</v>
      </c>
      <c r="T284" s="221"/>
      <c r="U284" s="221" t="e">
        <f>-$Q$13*(S284+T283*((V283+U282/2)^2))</f>
        <v>#DIV/0!</v>
      </c>
      <c r="V284" s="221"/>
      <c r="W284" s="229" t="e">
        <f>V283+U284/2</f>
        <v>#DIV/0!</v>
      </c>
      <c r="X284" s="213"/>
    </row>
    <row r="285" spans="12:24" x14ac:dyDescent="0.3">
      <c r="L285"/>
      <c r="M285"/>
      <c r="N285"/>
      <c r="O285"/>
      <c r="P285" s="220">
        <f>P283+$Q$6</f>
        <v>0</v>
      </c>
      <c r="Q285" s="221"/>
      <c r="R285" s="221" t="e">
        <f>IF(R283+Q284&lt;0,(R283+Q284)*0.8,R283+Q284)</f>
        <v>#DIV/0!</v>
      </c>
      <c r="S285" s="221"/>
      <c r="T285" s="221" t="e">
        <f>T283*(X285/X283)^2</f>
        <v>#DIV/0!</v>
      </c>
      <c r="U285" s="221"/>
      <c r="V285" s="221" t="e">
        <f>IF(AND(ABS(V283+U284)&gt;$B$5*0.8,(V283+U284)&lt;0),-$B$5*0.5,IF(AND(ABS(V283+U284)&gt;$B$5*0.8,(V283+U284)&gt;0),$B$5*0.5,V283+U284))</f>
        <v>#DIV/0!</v>
      </c>
      <c r="W285" s="229"/>
      <c r="X285" s="223" t="e">
        <f>$B$7*V285</f>
        <v>#DIV/0!</v>
      </c>
    </row>
    <row r="286" spans="12:24" x14ac:dyDescent="0.3">
      <c r="L286"/>
      <c r="M286"/>
      <c r="N286"/>
      <c r="O286"/>
      <c r="P286" s="220"/>
      <c r="Q286" s="221" t="e">
        <f>(V285+U284/2)*$Q$12</f>
        <v>#DIV/0!</v>
      </c>
      <c r="R286" s="221"/>
      <c r="S286" s="221" t="e">
        <f>R285+Q286/2</f>
        <v>#DIV/0!</v>
      </c>
      <c r="T286" s="221"/>
      <c r="U286" s="221" t="e">
        <f>-$Q$13*(S286+T285*((V285+U284/2)^2))</f>
        <v>#DIV/0!</v>
      </c>
      <c r="V286" s="221"/>
      <c r="W286" s="229" t="e">
        <f>V285+U286/2</f>
        <v>#DIV/0!</v>
      </c>
      <c r="X286" s="213"/>
    </row>
    <row r="287" spans="12:24" x14ac:dyDescent="0.3">
      <c r="L287"/>
      <c r="M287"/>
      <c r="N287"/>
      <c r="O287"/>
      <c r="P287" s="220">
        <f>P285+$Q$6</f>
        <v>0</v>
      </c>
      <c r="Q287" s="221"/>
      <c r="R287" s="221" t="e">
        <f>IF(R285+Q286&lt;0,(R285+Q286)*0.8,R285+Q286)</f>
        <v>#DIV/0!</v>
      </c>
      <c r="S287" s="221"/>
      <c r="T287" s="221" t="e">
        <f>T285*(X287/X285)^2</f>
        <v>#DIV/0!</v>
      </c>
      <c r="U287" s="221"/>
      <c r="V287" s="221" t="e">
        <f>IF(AND(ABS(V285+U286)&gt;$B$5*0.8,(V285+U286)&lt;0),-$B$5*0.5,IF(AND(ABS(V285+U286)&gt;$B$5*0.8,(V285+U286)&gt;0),$B$5*0.5,V285+U286))</f>
        <v>#DIV/0!</v>
      </c>
      <c r="W287" s="229"/>
      <c r="X287" s="223" t="e">
        <f>$B$7*V287</f>
        <v>#DIV/0!</v>
      </c>
    </row>
    <row r="288" spans="12:24" x14ac:dyDescent="0.3">
      <c r="L288"/>
      <c r="M288"/>
      <c r="N288"/>
      <c r="O288"/>
      <c r="P288" s="213"/>
      <c r="Q288" s="221" t="e">
        <f>(V287+U286/2)*$Q$12</f>
        <v>#DIV/0!</v>
      </c>
      <c r="R288" s="221"/>
      <c r="S288" s="221" t="e">
        <f>R287+Q288/2</f>
        <v>#DIV/0!</v>
      </c>
      <c r="T288" s="221"/>
      <c r="U288" s="221" t="e">
        <f>-$Q$13*(S288+T287*((V287+U286/2)^2))</f>
        <v>#DIV/0!</v>
      </c>
      <c r="V288" s="221"/>
      <c r="W288" s="229" t="e">
        <f>V287+U288/2</f>
        <v>#DIV/0!</v>
      </c>
      <c r="X288" s="224"/>
    </row>
    <row r="289" spans="12:24" x14ac:dyDescent="0.3">
      <c r="L289"/>
      <c r="M289"/>
      <c r="N289"/>
      <c r="O289"/>
      <c r="P289" s="220">
        <f>P287+$Q$6</f>
        <v>0</v>
      </c>
      <c r="Q289" s="221"/>
      <c r="R289" s="221" t="e">
        <f>IF(R287+Q288&lt;0,(R287+Q288)*0.8,R287+Q288)</f>
        <v>#DIV/0!</v>
      </c>
      <c r="S289" s="221"/>
      <c r="T289" s="221" t="e">
        <f>T287*(X289/X287)^2</f>
        <v>#DIV/0!</v>
      </c>
      <c r="U289" s="221"/>
      <c r="V289" s="221" t="e">
        <f>IF(AND(ABS(V287+U288)&gt;$B$5*0.8,(V287+U288)&lt;0),-$B$5*0.5,IF(AND(ABS(V287+U288)&gt;$B$5*0.8,(V287+U288)&gt;0),$B$5*0.5,V287+U288))</f>
        <v>#DIV/0!</v>
      </c>
      <c r="W289" s="229"/>
      <c r="X289" s="223" t="e">
        <f>$B$7*V289</f>
        <v>#DIV/0!</v>
      </c>
    </row>
    <row r="290" spans="12:24" x14ac:dyDescent="0.3">
      <c r="L290"/>
      <c r="M290"/>
      <c r="N290"/>
      <c r="O290"/>
      <c r="P290" s="220"/>
      <c r="Q290" s="221" t="e">
        <f>(V289+U288/2)*$Q$12</f>
        <v>#DIV/0!</v>
      </c>
      <c r="R290" s="221"/>
      <c r="S290" s="221" t="e">
        <f>R289+Q290/2</f>
        <v>#DIV/0!</v>
      </c>
      <c r="T290" s="221"/>
      <c r="U290" s="221" t="e">
        <f>-$Q$13*(S290+T289*((V289+U288/2)^2))</f>
        <v>#DIV/0!</v>
      </c>
      <c r="V290" s="221"/>
      <c r="W290" s="229" t="e">
        <f>V289+U290/2</f>
        <v>#DIV/0!</v>
      </c>
      <c r="X290" s="213"/>
    </row>
    <row r="291" spans="12:24" x14ac:dyDescent="0.3">
      <c r="L291"/>
      <c r="M291"/>
      <c r="N291"/>
      <c r="O291"/>
      <c r="P291" s="220">
        <f>P289+$Q$6</f>
        <v>0</v>
      </c>
      <c r="Q291" s="221"/>
      <c r="R291" s="221" t="e">
        <f>IF(R289+Q290&lt;0,(R289+Q290)*0.8,R289+Q290)</f>
        <v>#DIV/0!</v>
      </c>
      <c r="S291" s="221"/>
      <c r="T291" s="221" t="e">
        <f>T289*(X291/X289)^2</f>
        <v>#DIV/0!</v>
      </c>
      <c r="U291" s="221"/>
      <c r="V291" s="221" t="e">
        <f>IF(AND(ABS(V289+U290)&gt;$B$5*0.8,(V289+U290)&lt;0),-$B$5*0.5,IF(AND(ABS(V289+U290)&gt;$B$5*0.8,(V289+U290)&gt;0),$B$5*0.5,V289+U290))</f>
        <v>#DIV/0!</v>
      </c>
      <c r="W291" s="229"/>
      <c r="X291" s="223" t="e">
        <f>$B$7*V291</f>
        <v>#DIV/0!</v>
      </c>
    </row>
    <row r="292" spans="12:24" x14ac:dyDescent="0.3">
      <c r="L292"/>
      <c r="M292"/>
      <c r="N292"/>
      <c r="O292"/>
      <c r="P292" s="213"/>
      <c r="Q292" s="221" t="e">
        <f>(V291+U290/2)*$Q$12</f>
        <v>#DIV/0!</v>
      </c>
      <c r="R292" s="221"/>
      <c r="S292" s="221" t="e">
        <f>R291+Q292/2</f>
        <v>#DIV/0!</v>
      </c>
      <c r="T292" s="221"/>
      <c r="U292" s="221" t="e">
        <f>-$Q$13*(S292+T291*((V291+U290/2)^2))</f>
        <v>#DIV/0!</v>
      </c>
      <c r="V292" s="221"/>
      <c r="W292" s="229" t="e">
        <f>V291+U292/2</f>
        <v>#DIV/0!</v>
      </c>
      <c r="X292" s="223"/>
    </row>
    <row r="293" spans="12:24" x14ac:dyDescent="0.3">
      <c r="L293"/>
      <c r="M293"/>
      <c r="N293"/>
      <c r="O293"/>
      <c r="P293" s="220">
        <f>P291+$Q$6</f>
        <v>0</v>
      </c>
      <c r="Q293" s="221"/>
      <c r="R293" s="221" t="e">
        <f>IF(R291+Q292&lt;0,(R291+Q292)*0.8,R291+Q292)</f>
        <v>#DIV/0!</v>
      </c>
      <c r="S293" s="221"/>
      <c r="T293" s="221" t="e">
        <f>T291*(X293/X291)^2</f>
        <v>#DIV/0!</v>
      </c>
      <c r="U293" s="221"/>
      <c r="V293" s="221" t="e">
        <f>IF(AND(ABS(V291+U292)&gt;$B$5*0.8,(V291+U292)&lt;0),-$B$5*0.5,IF(AND(ABS(V291+U292)&gt;$B$5*0.8,(V291+U292)&gt;0),$B$5*0.5,V291+U292))</f>
        <v>#DIV/0!</v>
      </c>
      <c r="W293" s="229"/>
      <c r="X293" s="223" t="e">
        <f>$B$7*V293</f>
        <v>#DIV/0!</v>
      </c>
    </row>
    <row r="294" spans="12:24" x14ac:dyDescent="0.3">
      <c r="L294"/>
      <c r="M294"/>
      <c r="N294"/>
      <c r="O294"/>
      <c r="P294" s="220"/>
      <c r="Q294" s="221" t="e">
        <f>(V293+U292/2)*$Q$12</f>
        <v>#DIV/0!</v>
      </c>
      <c r="R294" s="221"/>
      <c r="S294" s="221" t="e">
        <f>R293+Q294/2</f>
        <v>#DIV/0!</v>
      </c>
      <c r="T294" s="221"/>
      <c r="U294" s="221" t="e">
        <f>-$Q$13*(S294+T293*((V293+U292/2)^2))</f>
        <v>#DIV/0!</v>
      </c>
      <c r="V294" s="221"/>
      <c r="W294" s="229" t="e">
        <f>V293+U294/2</f>
        <v>#DIV/0!</v>
      </c>
      <c r="X294" s="213"/>
    </row>
    <row r="295" spans="12:24" x14ac:dyDescent="0.3">
      <c r="L295"/>
      <c r="M295"/>
      <c r="N295"/>
      <c r="O295"/>
      <c r="P295" s="220">
        <f>P293+$Q$6</f>
        <v>0</v>
      </c>
      <c r="Q295" s="221"/>
      <c r="R295" s="221" t="e">
        <f>IF(R293+Q294&lt;0,(R293+Q294)*0.8,R293+Q294)</f>
        <v>#DIV/0!</v>
      </c>
      <c r="S295" s="221"/>
      <c r="T295" s="221" t="e">
        <f>T293*(X295/X293)^2</f>
        <v>#DIV/0!</v>
      </c>
      <c r="U295" s="221"/>
      <c r="V295" s="221" t="e">
        <f>IF(AND(ABS(V293+U294)&gt;$B$5*0.8,(V293+U294)&lt;0),-$B$5*0.5,IF(AND(ABS(V293+U294)&gt;$B$5*0.8,(V293+U294)&gt;0),$B$5*0.5,V293+U294))</f>
        <v>#DIV/0!</v>
      </c>
      <c r="W295" s="229"/>
      <c r="X295" s="223" t="e">
        <f>$B$7*V295</f>
        <v>#DIV/0!</v>
      </c>
    </row>
    <row r="296" spans="12:24" x14ac:dyDescent="0.3">
      <c r="L296"/>
      <c r="M296"/>
      <c r="N296"/>
      <c r="O296"/>
      <c r="P296" s="213"/>
      <c r="Q296" s="221" t="e">
        <f>(V295+U294/2)*$Q$12</f>
        <v>#DIV/0!</v>
      </c>
      <c r="R296" s="221"/>
      <c r="S296" s="221" t="e">
        <f>R295+Q296/2</f>
        <v>#DIV/0!</v>
      </c>
      <c r="T296" s="221"/>
      <c r="U296" s="221" t="e">
        <f>-$Q$13*(S296+T295*((V295+U294/2)^2))</f>
        <v>#DIV/0!</v>
      </c>
      <c r="V296" s="221"/>
      <c r="W296" s="229" t="e">
        <f>V295+U296/2</f>
        <v>#DIV/0!</v>
      </c>
      <c r="X296" s="213"/>
    </row>
    <row r="297" spans="12:24" x14ac:dyDescent="0.3">
      <c r="L297"/>
      <c r="M297"/>
      <c r="N297"/>
      <c r="O297"/>
      <c r="P297" s="220">
        <f>P295+$Q$6</f>
        <v>0</v>
      </c>
      <c r="Q297" s="221"/>
      <c r="R297" s="221" t="e">
        <f>IF(R295+Q296&lt;0,(R295+Q296)*0.8,R295+Q296)</f>
        <v>#DIV/0!</v>
      </c>
      <c r="S297" s="221"/>
      <c r="T297" s="221" t="e">
        <f>T295*(X297/X295)^2</f>
        <v>#DIV/0!</v>
      </c>
      <c r="U297" s="221"/>
      <c r="V297" s="221" t="e">
        <f>IF(AND(ABS(V295+U296)&gt;$B$5*0.8,(V295+U296)&lt;0),-$B$5*0.5,IF(AND(ABS(V295+U296)&gt;$B$5*0.8,(V295+U296)&gt;0),$B$5*0.5,V295+U296))</f>
        <v>#DIV/0!</v>
      </c>
      <c r="W297" s="229"/>
      <c r="X297" s="223" t="e">
        <f>$B$7*V297</f>
        <v>#DIV/0!</v>
      </c>
    </row>
    <row r="298" spans="12:24" x14ac:dyDescent="0.3">
      <c r="L298"/>
      <c r="M298"/>
      <c r="N298"/>
      <c r="O298"/>
      <c r="P298" s="220"/>
      <c r="Q298" s="221" t="e">
        <f>(V297+U296/2)*$Q$12</f>
        <v>#DIV/0!</v>
      </c>
      <c r="R298" s="221"/>
      <c r="S298" s="221" t="e">
        <f>R297+Q298/2</f>
        <v>#DIV/0!</v>
      </c>
      <c r="T298" s="221"/>
      <c r="U298" s="221" t="e">
        <f>-$Q$13*(S298+T297*((V297+U296/2)^2))</f>
        <v>#DIV/0!</v>
      </c>
      <c r="V298" s="221"/>
      <c r="W298" s="221" t="e">
        <f>V297+U298/2</f>
        <v>#DIV/0!</v>
      </c>
      <c r="X298" s="224"/>
    </row>
    <row r="299" spans="12:24" x14ac:dyDescent="0.3">
      <c r="L299"/>
      <c r="M299"/>
      <c r="N299"/>
      <c r="O299"/>
      <c r="P299" s="220">
        <f>P297+$Q$6</f>
        <v>0</v>
      </c>
      <c r="Q299" s="221"/>
      <c r="R299" s="221" t="e">
        <f>IF(R297+Q298&lt;0,(R297+Q298)*0.8,R297+Q298)</f>
        <v>#DIV/0!</v>
      </c>
      <c r="S299" s="221"/>
      <c r="T299" s="221" t="e">
        <f>T297*(X299/X297)^2</f>
        <v>#DIV/0!</v>
      </c>
      <c r="U299" s="221"/>
      <c r="V299" s="221" t="e">
        <f>IF(AND(ABS(V297+U298)&gt;$B$5*0.8,(V297+U298)&lt;0),-$B$5*0.5,IF(AND(ABS(V297+U298)&gt;$B$5*0.8,(V297+U298)&gt;0),$B$5*0.5,V297+U298))</f>
        <v>#DIV/0!</v>
      </c>
      <c r="W299" s="221"/>
      <c r="X299" s="223" t="e">
        <f>$B$7*V299</f>
        <v>#DIV/0!</v>
      </c>
    </row>
    <row r="300" spans="12:24" x14ac:dyDescent="0.3">
      <c r="L300"/>
      <c r="M300"/>
      <c r="N300"/>
      <c r="O300"/>
      <c r="P300" s="213"/>
      <c r="Q300" s="221" t="e">
        <f>(V299+U298/2)*$Q$12</f>
        <v>#DIV/0!</v>
      </c>
      <c r="R300" s="221"/>
      <c r="S300" s="221" t="e">
        <f>R299+Q300/2</f>
        <v>#DIV/0!</v>
      </c>
      <c r="T300" s="221"/>
      <c r="U300" s="221" t="e">
        <f>-$Q$13*(S300+T299*((V299+U298/2)^2))</f>
        <v>#DIV/0!</v>
      </c>
      <c r="V300" s="221"/>
      <c r="W300" s="221" t="e">
        <f>V299+U300/2</f>
        <v>#DIV/0!</v>
      </c>
      <c r="X300" s="213"/>
    </row>
    <row r="301" spans="12:24" x14ac:dyDescent="0.3">
      <c r="L301"/>
      <c r="M301"/>
      <c r="N301"/>
      <c r="O301"/>
      <c r="P301" s="220">
        <f>P299+$Q$6</f>
        <v>0</v>
      </c>
      <c r="Q301" s="221"/>
      <c r="R301" s="221" t="e">
        <f>IF(R299+Q300&lt;0,(R299+Q300)*0.8,R299+Q300)</f>
        <v>#DIV/0!</v>
      </c>
      <c r="S301" s="221"/>
      <c r="T301" s="221" t="e">
        <f>T299*(X301/X299)^2</f>
        <v>#DIV/0!</v>
      </c>
      <c r="U301" s="221"/>
      <c r="V301" s="221" t="e">
        <f>IF(AND(ABS(V299+U300)&gt;$B$5*0.8,(V299+U300)&lt;0),-$B$5*0.5,IF(AND(ABS(V299+U300)&gt;$B$5*0.8,(V299+U300)&gt;0),$B$5*0.5,V299+U300))</f>
        <v>#DIV/0!</v>
      </c>
      <c r="W301" s="221"/>
      <c r="X301" s="223" t="e">
        <f>$B$7*V301</f>
        <v>#DIV/0!</v>
      </c>
    </row>
    <row r="302" spans="12:24" x14ac:dyDescent="0.3">
      <c r="L302"/>
      <c r="M302"/>
      <c r="N302"/>
      <c r="O302"/>
      <c r="P302" s="220"/>
      <c r="Q302" s="221" t="e">
        <f>(V301+U300/2)*$Q$12</f>
        <v>#DIV/0!</v>
      </c>
      <c r="R302" s="221"/>
      <c r="S302" s="221" t="e">
        <f>R301+Q302/2</f>
        <v>#DIV/0!</v>
      </c>
      <c r="T302" s="221"/>
      <c r="U302" s="221" t="e">
        <f>-$Q$13*(S302+T301*((V301+U300/2)^2))</f>
        <v>#DIV/0!</v>
      </c>
      <c r="V302" s="221"/>
      <c r="W302" s="221" t="e">
        <f>V301+U302/2</f>
        <v>#DIV/0!</v>
      </c>
      <c r="X302" s="213"/>
    </row>
    <row r="303" spans="12:24" x14ac:dyDescent="0.3">
      <c r="L303"/>
      <c r="M303"/>
      <c r="N303"/>
      <c r="O303"/>
      <c r="P303" s="220">
        <f>P301+$Q$6</f>
        <v>0</v>
      </c>
      <c r="Q303" s="221"/>
      <c r="R303" s="221" t="e">
        <f>IF(R301+Q302&lt;0,(R301+Q302)*0.8,R301+Q302)</f>
        <v>#DIV/0!</v>
      </c>
      <c r="S303" s="221"/>
      <c r="T303" s="221" t="e">
        <f>T301*(X303/X301)^2</f>
        <v>#DIV/0!</v>
      </c>
      <c r="U303" s="221"/>
      <c r="V303" s="221" t="e">
        <f>IF(AND(ABS(V301+U302)&gt;$B$5*0.8,(V301+U302)&lt;0),-$B$5*0.5,IF(AND(ABS(V301+U302)&gt;$B$5*0.8,(V301+U302)&gt;0),$B$5*0.5,V301+U302))</f>
        <v>#DIV/0!</v>
      </c>
      <c r="W303" s="221"/>
      <c r="X303" s="223" t="e">
        <f>$B$7*V303</f>
        <v>#DIV/0!</v>
      </c>
    </row>
    <row r="304" spans="12:24" x14ac:dyDescent="0.3">
      <c r="L304"/>
      <c r="M304"/>
      <c r="N304"/>
      <c r="O304"/>
      <c r="P304" s="213"/>
      <c r="Q304" s="221" t="e">
        <f>(V303+U302/2)*$Q$12</f>
        <v>#DIV/0!</v>
      </c>
      <c r="R304" s="221"/>
      <c r="S304" s="221" t="e">
        <f>R303+Q304/2</f>
        <v>#DIV/0!</v>
      </c>
      <c r="T304" s="221"/>
      <c r="U304" s="221" t="e">
        <f>-$Q$13*(S304+T303*((V303+U302/2)^2))</f>
        <v>#DIV/0!</v>
      </c>
      <c r="V304" s="221"/>
      <c r="W304" s="221" t="e">
        <f>V303+U304/2</f>
        <v>#DIV/0!</v>
      </c>
      <c r="X304" s="213"/>
    </row>
    <row r="305" spans="12:24" x14ac:dyDescent="0.3">
      <c r="L305"/>
      <c r="M305"/>
      <c r="N305"/>
      <c r="O305"/>
      <c r="P305" s="220">
        <f>P303+$Q$6</f>
        <v>0</v>
      </c>
      <c r="Q305" s="221"/>
      <c r="R305" s="221" t="e">
        <f>IF(R303+Q304&lt;0,(R303+Q304)*0.8,R303+Q304)</f>
        <v>#DIV/0!</v>
      </c>
      <c r="S305" s="221"/>
      <c r="T305" s="221" t="e">
        <f>T303*(X305/X303)^2</f>
        <v>#DIV/0!</v>
      </c>
      <c r="U305" s="221"/>
      <c r="V305" s="221" t="e">
        <f>IF(AND(ABS(V303+U304)&gt;$B$5*0.8,(V303+U304)&lt;0),-$B$5*0.5,IF(AND(ABS(V303+U304)&gt;$B$5*0.8,(V303+U304)&gt;0),$B$5*0.5,V303+U304))</f>
        <v>#DIV/0!</v>
      </c>
      <c r="W305" s="221"/>
      <c r="X305" s="223" t="e">
        <f>$B$7*V305</f>
        <v>#DIV/0!</v>
      </c>
    </row>
    <row r="306" spans="12:24" x14ac:dyDescent="0.3">
      <c r="L306"/>
      <c r="M306"/>
      <c r="N306"/>
      <c r="O306"/>
      <c r="P306" s="213"/>
      <c r="Q306" s="221" t="e">
        <f>(V305+U304/2)*$Q$12</f>
        <v>#DIV/0!</v>
      </c>
      <c r="R306" s="221"/>
      <c r="S306" s="221" t="e">
        <f>R305+Q306/2</f>
        <v>#DIV/0!</v>
      </c>
      <c r="T306" s="221"/>
      <c r="U306" s="221" t="e">
        <f>-$Q$13*(S306+T305*((V305+U304/2)^2))</f>
        <v>#DIV/0!</v>
      </c>
      <c r="V306" s="221"/>
      <c r="W306" s="221" t="e">
        <f>V305+U306/2</f>
        <v>#DIV/0!</v>
      </c>
      <c r="X306" s="213"/>
    </row>
    <row r="307" spans="12:24" x14ac:dyDescent="0.3">
      <c r="L307"/>
      <c r="M307"/>
      <c r="N307"/>
      <c r="O307"/>
      <c r="P307" s="220">
        <f>P305+$Q$6</f>
        <v>0</v>
      </c>
      <c r="Q307" s="221"/>
      <c r="R307" s="221" t="e">
        <f>IF(R305+Q306&lt;0,(R305+Q306)*0.8,R305+Q306)</f>
        <v>#DIV/0!</v>
      </c>
      <c r="S307" s="221"/>
      <c r="T307" s="221" t="e">
        <f>T305*(X307/X305)^2</f>
        <v>#DIV/0!</v>
      </c>
      <c r="U307" s="221"/>
      <c r="V307" s="221" t="e">
        <f>IF(AND(ABS(V305+U306)&gt;$B$5*0.8,(V305+U306)&lt;0),-$B$5*0.5,IF(AND(ABS(V305+U306)&gt;$B$5*0.8,(V305+U306)&gt;0),$B$5*0.5,V305+U306))</f>
        <v>#DIV/0!</v>
      </c>
      <c r="W307" s="221"/>
      <c r="X307" s="223" t="e">
        <f>$B$7*V307</f>
        <v>#DIV/0!</v>
      </c>
    </row>
    <row r="308" spans="12:24" x14ac:dyDescent="0.3">
      <c r="L308"/>
      <c r="M308"/>
      <c r="N308"/>
      <c r="O308"/>
      <c r="P308" s="213"/>
      <c r="Q308" s="221" t="e">
        <f>(V307+U306/2)*$Q$12</f>
        <v>#DIV/0!</v>
      </c>
      <c r="R308" s="221"/>
      <c r="S308" s="221" t="e">
        <f>R307+Q308/2</f>
        <v>#DIV/0!</v>
      </c>
      <c r="T308" s="221"/>
      <c r="U308" s="221" t="e">
        <f>-$Q$13*(S308+T307*((V307+U306/2)^2))</f>
        <v>#DIV/0!</v>
      </c>
      <c r="V308" s="221"/>
      <c r="W308" s="221" t="e">
        <f>V307+U308/2</f>
        <v>#DIV/0!</v>
      </c>
      <c r="X308" s="213"/>
    </row>
    <row r="309" spans="12:24" x14ac:dyDescent="0.3">
      <c r="L309"/>
      <c r="M309"/>
      <c r="N309"/>
      <c r="O309"/>
      <c r="P309" s="220">
        <f>P307+$Q$6</f>
        <v>0</v>
      </c>
      <c r="Q309" s="221"/>
      <c r="R309" s="221" t="e">
        <f>IF(R307+Q308&lt;0,(R307+Q308)*0.8,R307+Q308)</f>
        <v>#DIV/0!</v>
      </c>
      <c r="S309" s="221"/>
      <c r="T309" s="221" t="e">
        <f>T307*(X309/X307)^2</f>
        <v>#DIV/0!</v>
      </c>
      <c r="U309" s="221"/>
      <c r="V309" s="221" t="e">
        <f>IF(AND(ABS(V307+U308)&gt;$B$5*0.8,(V307+U308)&lt;0),-$B$5*0.5,IF(AND(ABS(V307+U308)&gt;$B$5*0.8,(V307+U308)&gt;0),$B$5*0.5,V307+U308))</f>
        <v>#DIV/0!</v>
      </c>
      <c r="W309" s="221"/>
      <c r="X309" s="223" t="e">
        <f>$B$7*V309</f>
        <v>#DIV/0!</v>
      </c>
    </row>
    <row r="310" spans="12:24" x14ac:dyDescent="0.3">
      <c r="L310"/>
      <c r="M310"/>
      <c r="N310"/>
      <c r="O310"/>
      <c r="P310" s="213"/>
      <c r="Q310" s="221" t="e">
        <f>(V309+U308/2)*$Q$12</f>
        <v>#DIV/0!</v>
      </c>
      <c r="R310" s="221"/>
      <c r="S310" s="221" t="e">
        <f>R309+Q310/2</f>
        <v>#DIV/0!</v>
      </c>
      <c r="T310" s="221"/>
      <c r="U310" s="221" t="e">
        <f>-$Q$13*(S310+T309*((V309+U308/2)^2))</f>
        <v>#DIV/0!</v>
      </c>
      <c r="V310" s="221"/>
      <c r="W310" s="221" t="e">
        <f>V309+U310/2</f>
        <v>#DIV/0!</v>
      </c>
      <c r="X310" s="213"/>
    </row>
    <row r="311" spans="12:24" x14ac:dyDescent="0.3">
      <c r="L311"/>
      <c r="M311"/>
      <c r="N311"/>
      <c r="O311"/>
      <c r="P311" s="220">
        <f>P309+$Q$6</f>
        <v>0</v>
      </c>
      <c r="Q311" s="221"/>
      <c r="R311" s="221" t="e">
        <f>IF(R309+Q310&lt;0,(R309+Q310)*0.8,R309+Q310)</f>
        <v>#DIV/0!</v>
      </c>
      <c r="S311" s="221"/>
      <c r="T311" s="221" t="e">
        <f>T309*(X311/X309)^2</f>
        <v>#DIV/0!</v>
      </c>
      <c r="U311" s="221"/>
      <c r="V311" s="221" t="e">
        <f>IF(AND(ABS(V309+U310)&gt;$B$5*0.8,(V309+U310)&lt;0),-$B$5*0.5,IF(AND(ABS(V309+U310)&gt;$B$5*0.8,(V309+U310)&gt;0),$B$5*0.5,V309+U310))</f>
        <v>#DIV/0!</v>
      </c>
      <c r="W311" s="221"/>
      <c r="X311" s="223" t="e">
        <f>$B$7*V311</f>
        <v>#DIV/0!</v>
      </c>
    </row>
    <row r="312" spans="12:24" x14ac:dyDescent="0.3">
      <c r="L312"/>
      <c r="M312"/>
      <c r="N312"/>
      <c r="O312"/>
      <c r="P312" s="213"/>
      <c r="Q312" s="221" t="e">
        <f>(V311+U310/2)*$Q$12</f>
        <v>#DIV/0!</v>
      </c>
      <c r="R312" s="221"/>
      <c r="S312" s="221" t="e">
        <f>R311+Q312/2</f>
        <v>#DIV/0!</v>
      </c>
      <c r="T312" s="221"/>
      <c r="U312" s="221" t="e">
        <f>-$Q$13*(S312+T311*((V311+U310/2)^2))</f>
        <v>#DIV/0!</v>
      </c>
      <c r="V312" s="221"/>
      <c r="W312" s="221" t="e">
        <f>V311+U312/2</f>
        <v>#DIV/0!</v>
      </c>
      <c r="X312" s="213"/>
    </row>
    <row r="313" spans="12:24" x14ac:dyDescent="0.3">
      <c r="L313"/>
      <c r="M313"/>
      <c r="N313"/>
      <c r="O313"/>
      <c r="P313" s="220">
        <f>P311+$Q$6</f>
        <v>0</v>
      </c>
      <c r="Q313" s="221"/>
      <c r="R313" s="221" t="e">
        <f>IF(R311+Q312&lt;0,(R311+Q312)*0.8,R311+Q312)</f>
        <v>#DIV/0!</v>
      </c>
      <c r="S313" s="221"/>
      <c r="T313" s="221" t="e">
        <f>T311*(X313/X311)^2</f>
        <v>#DIV/0!</v>
      </c>
      <c r="U313" s="221"/>
      <c r="V313" s="221" t="e">
        <f>IF(AND(ABS(V311+U312)&gt;$B$5*0.8,(V311+U312)&lt;0),-$B$5*0.5,IF(AND(ABS(V311+U312)&gt;$B$5*0.8,(V311+U312)&gt;0),$B$5*0.5,V311+U312))</f>
        <v>#DIV/0!</v>
      </c>
      <c r="W313" s="221"/>
      <c r="X313" s="223" t="e">
        <f>$B$7*V313</f>
        <v>#DIV/0!</v>
      </c>
    </row>
    <row r="314" spans="12:24" x14ac:dyDescent="0.3">
      <c r="L314"/>
      <c r="M314"/>
      <c r="N314"/>
      <c r="O314"/>
      <c r="P314" s="213"/>
      <c r="Q314" s="221" t="e">
        <f>(V313+U312/2)*$Q$12</f>
        <v>#DIV/0!</v>
      </c>
      <c r="R314" s="221"/>
      <c r="S314" s="221" t="e">
        <f>R313+Q314/2</f>
        <v>#DIV/0!</v>
      </c>
      <c r="T314" s="221"/>
      <c r="U314" s="221" t="e">
        <f>-$Q$13*(S314+T313*((V313+U312/2)^2))</f>
        <v>#DIV/0!</v>
      </c>
      <c r="V314" s="221"/>
      <c r="W314" s="221" t="e">
        <f>V313+U314/2</f>
        <v>#DIV/0!</v>
      </c>
      <c r="X314" s="213"/>
    </row>
    <row r="315" spans="12:24" x14ac:dyDescent="0.3">
      <c r="L315"/>
      <c r="M315"/>
      <c r="N315"/>
      <c r="O315"/>
      <c r="P315" s="220">
        <f>P313+$Q$6</f>
        <v>0</v>
      </c>
      <c r="Q315" s="221"/>
      <c r="R315" s="221" t="e">
        <f>IF(R313+Q314&lt;0,(R313+Q314)*0.8,R313+Q314)</f>
        <v>#DIV/0!</v>
      </c>
      <c r="S315" s="221"/>
      <c r="T315" s="221" t="e">
        <f>T313*(X315/X313)^2</f>
        <v>#DIV/0!</v>
      </c>
      <c r="U315" s="221"/>
      <c r="V315" s="221" t="e">
        <f>IF(AND(ABS(V313+U314)&gt;$B$5*0.8,(V313+U314)&lt;0),-$B$5*0.5,IF(AND(ABS(V313+U314)&gt;$B$5*0.8,(V313+U314)&gt;0),$B$5*0.5,V313+U314))</f>
        <v>#DIV/0!</v>
      </c>
      <c r="W315" s="221"/>
      <c r="X315" s="223" t="e">
        <f>$B$7*V315</f>
        <v>#DIV/0!</v>
      </c>
    </row>
    <row r="316" spans="12:24" x14ac:dyDescent="0.3">
      <c r="L316"/>
      <c r="M316"/>
      <c r="N316"/>
      <c r="O316"/>
      <c r="P316" s="213"/>
      <c r="Q316" s="221" t="e">
        <f>(V315+U314/2)*$Q$12</f>
        <v>#DIV/0!</v>
      </c>
      <c r="R316" s="221"/>
      <c r="S316" s="221" t="e">
        <f>R315+Q316/2</f>
        <v>#DIV/0!</v>
      </c>
      <c r="T316" s="221"/>
      <c r="U316" s="221" t="e">
        <f>-$Q$13*(S316+T315*((V315+U314/2)^2))</f>
        <v>#DIV/0!</v>
      </c>
      <c r="V316" s="221"/>
      <c r="W316" s="221" t="e">
        <f>V315+U316/2</f>
        <v>#DIV/0!</v>
      </c>
      <c r="X316" s="213"/>
    </row>
    <row r="317" spans="12:24" x14ac:dyDescent="0.3">
      <c r="L317"/>
      <c r="M317"/>
      <c r="N317"/>
      <c r="O317"/>
      <c r="P317" s="220">
        <f>P315+$Q$6</f>
        <v>0</v>
      </c>
      <c r="Q317" s="221"/>
      <c r="R317" s="221" t="e">
        <f>IF(R315+Q316&lt;0,(R315+Q316)*0.8,R315+Q316)</f>
        <v>#DIV/0!</v>
      </c>
      <c r="S317" s="221"/>
      <c r="T317" s="221" t="e">
        <f>T315*(X317/X315)^2</f>
        <v>#DIV/0!</v>
      </c>
      <c r="U317" s="221"/>
      <c r="V317" s="221" t="e">
        <f>IF(AND(ABS(V315+U316)&gt;$B$5*0.8,(V315+U316)&lt;0),-$B$5*0.5,IF(AND(ABS(V315+U316)&gt;$B$5*0.8,(V315+U316)&gt;0),$B$5*0.5,V315+U316))</f>
        <v>#DIV/0!</v>
      </c>
      <c r="W317" s="221"/>
      <c r="X317" s="223" t="e">
        <f>$B$7*V317</f>
        <v>#DIV/0!</v>
      </c>
    </row>
    <row r="318" spans="12:24" x14ac:dyDescent="0.3">
      <c r="L318"/>
      <c r="M318"/>
      <c r="N318"/>
      <c r="O318"/>
      <c r="P318" s="213"/>
      <c r="Q318" s="221" t="e">
        <f>(V317+U316/2)*$Q$12</f>
        <v>#DIV/0!</v>
      </c>
      <c r="R318" s="221"/>
      <c r="S318" s="221" t="e">
        <f>R317+Q318/2</f>
        <v>#DIV/0!</v>
      </c>
      <c r="T318" s="221"/>
      <c r="U318" s="221" t="e">
        <f>-$Q$13*(S318+T317*((V317+U316/2)^2))</f>
        <v>#DIV/0!</v>
      </c>
      <c r="V318" s="221"/>
      <c r="W318" s="221" t="e">
        <f>V317+U318/2</f>
        <v>#DIV/0!</v>
      </c>
      <c r="X318" s="213"/>
    </row>
    <row r="319" spans="12:24" x14ac:dyDescent="0.3">
      <c r="L319"/>
      <c r="M319"/>
      <c r="N319"/>
      <c r="O319"/>
      <c r="P319" s="220">
        <f>P317+$Q$6</f>
        <v>0</v>
      </c>
      <c r="Q319" s="221"/>
      <c r="R319" s="221" t="e">
        <f>IF(R317+Q318&lt;0,(R317+Q318)*0.8,R317+Q318)</f>
        <v>#DIV/0!</v>
      </c>
      <c r="S319" s="221"/>
      <c r="T319" s="221" t="e">
        <f>T317*(X319/X317)^2</f>
        <v>#DIV/0!</v>
      </c>
      <c r="U319" s="221"/>
      <c r="V319" s="221" t="e">
        <f>IF(AND(ABS(V317+U318)&gt;$B$5*0.8,(V317+U318)&lt;0),-$B$5*0.5,IF(AND(ABS(V317+U318)&gt;$B$5*0.8,(V317+U318)&gt;0),$B$5*0.5,V317+U318))</f>
        <v>#DIV/0!</v>
      </c>
      <c r="W319" s="221"/>
      <c r="X319" s="223" t="e">
        <f>$B$7*V319</f>
        <v>#DIV/0!</v>
      </c>
    </row>
    <row r="320" spans="12:24" x14ac:dyDescent="0.3">
      <c r="L320"/>
      <c r="M320"/>
      <c r="N320"/>
      <c r="O320"/>
      <c r="P320" s="213"/>
      <c r="Q320" s="221" t="e">
        <f>(V319+U318/2)*$Q$12</f>
        <v>#DIV/0!</v>
      </c>
      <c r="R320" s="221"/>
      <c r="S320" s="221" t="e">
        <f>R319+Q320/2</f>
        <v>#DIV/0!</v>
      </c>
      <c r="T320" s="221"/>
      <c r="U320" s="221" t="e">
        <f>-$Q$13*(S320+T319*((V319+U318/2)^2))</f>
        <v>#DIV/0!</v>
      </c>
      <c r="V320" s="221"/>
      <c r="W320" s="221" t="e">
        <f>V319+U320/2</f>
        <v>#DIV/0!</v>
      </c>
      <c r="X320" s="213"/>
    </row>
    <row r="321" spans="12:24" x14ac:dyDescent="0.3">
      <c r="L321"/>
      <c r="M321"/>
      <c r="N321"/>
      <c r="O321"/>
      <c r="P321" s="220">
        <f>P319+$Q$6</f>
        <v>0</v>
      </c>
      <c r="Q321" s="221"/>
      <c r="R321" s="221" t="e">
        <f>IF(R319+Q320&lt;0,(R319+Q320)*0.8,R319+Q320)</f>
        <v>#DIV/0!</v>
      </c>
      <c r="S321" s="221"/>
      <c r="T321" s="221" t="e">
        <f>T319*(X321/X319)^2</f>
        <v>#DIV/0!</v>
      </c>
      <c r="U321" s="221"/>
      <c r="V321" s="221" t="e">
        <f>IF(AND(ABS(V319+U320)&gt;$B$5*0.8,(V319+U320)&lt;0),-$B$5*0.5,IF(AND(ABS(V319+U320)&gt;$B$5*0.8,(V319+U320)&gt;0),$B$5*0.5,V319+U320))</f>
        <v>#DIV/0!</v>
      </c>
      <c r="W321" s="221"/>
      <c r="X321" s="223" t="e">
        <f>$B$7*V321</f>
        <v>#DIV/0!</v>
      </c>
    </row>
    <row r="322" spans="12:24" x14ac:dyDescent="0.3">
      <c r="L322"/>
      <c r="M322"/>
      <c r="N322"/>
      <c r="O322"/>
      <c r="P322" s="213"/>
      <c r="Q322" s="221" t="e">
        <f>(V321+U320/2)*$Q$12</f>
        <v>#DIV/0!</v>
      </c>
      <c r="R322" s="221"/>
      <c r="S322" s="221" t="e">
        <f>R321+Q322/2</f>
        <v>#DIV/0!</v>
      </c>
      <c r="T322" s="221"/>
      <c r="U322" s="221" t="e">
        <f>-$Q$13*(S322+T321*((V321+U320/2)^2))</f>
        <v>#DIV/0!</v>
      </c>
      <c r="V322" s="221"/>
      <c r="W322" s="221" t="e">
        <f>V321+U322/2</f>
        <v>#DIV/0!</v>
      </c>
      <c r="X322" s="213"/>
    </row>
    <row r="323" spans="12:24" x14ac:dyDescent="0.3">
      <c r="L323"/>
      <c r="M323"/>
      <c r="N323"/>
      <c r="O323"/>
      <c r="P323" s="220">
        <f>P321+$Q$6</f>
        <v>0</v>
      </c>
      <c r="Q323" s="221"/>
      <c r="R323" s="221" t="e">
        <f>IF(R321+Q322&lt;0,(R321+Q322)*0.8,R321+Q322)</f>
        <v>#DIV/0!</v>
      </c>
      <c r="S323" s="221"/>
      <c r="T323" s="221" t="e">
        <f>T321*(X323/X321)^2</f>
        <v>#DIV/0!</v>
      </c>
      <c r="U323" s="221"/>
      <c r="V323" s="221" t="e">
        <f>IF(AND(ABS(V321+U322)&gt;$B$5*0.8,(V321+U322)&lt;0),-$B$5*0.5,IF(AND(ABS(V321+U322)&gt;$B$5*0.8,(V321+U322)&gt;0),$B$5*0.5,V321+U322))</f>
        <v>#DIV/0!</v>
      </c>
      <c r="W323" s="221"/>
      <c r="X323" s="223" t="e">
        <f>$B$7*V323</f>
        <v>#DIV/0!</v>
      </c>
    </row>
    <row r="324" spans="12:24" x14ac:dyDescent="0.3">
      <c r="L324"/>
      <c r="M324"/>
      <c r="N324"/>
      <c r="O324"/>
      <c r="P324" s="213"/>
      <c r="Q324" s="221" t="e">
        <f>(V323+U322/2)*$Q$12</f>
        <v>#DIV/0!</v>
      </c>
      <c r="R324" s="221"/>
      <c r="S324" s="221" t="e">
        <f>R323+Q324/2</f>
        <v>#DIV/0!</v>
      </c>
      <c r="T324" s="221"/>
      <c r="U324" s="221" t="e">
        <f>-$Q$13*(S324+T323*((V323+U322/2)^2))</f>
        <v>#DIV/0!</v>
      </c>
      <c r="V324" s="221"/>
      <c r="W324" s="221" t="e">
        <f>V323+U324/2</f>
        <v>#DIV/0!</v>
      </c>
      <c r="X324" s="213"/>
    </row>
    <row r="325" spans="12:24" x14ac:dyDescent="0.3">
      <c r="L325"/>
      <c r="M325"/>
      <c r="N325"/>
      <c r="O325"/>
      <c r="P325" s="220">
        <f>P323+$Q$6</f>
        <v>0</v>
      </c>
      <c r="Q325" s="221"/>
      <c r="R325" s="221" t="e">
        <f>IF(R323+Q324&lt;0,(R323+Q324)*0.8,R323+Q324)</f>
        <v>#DIV/0!</v>
      </c>
      <c r="S325" s="221"/>
      <c r="T325" s="221" t="e">
        <f>T323*(X325/X323)^2</f>
        <v>#DIV/0!</v>
      </c>
      <c r="U325" s="221"/>
      <c r="V325" s="221" t="e">
        <f>IF(AND(ABS(V323+U324)&gt;$B$5*0.8,(V323+U324)&lt;0),-$B$5*0.5,IF(AND(ABS(V323+U324)&gt;$B$5*0.8,(V323+U324)&gt;0),$B$5*0.5,V323+U324))</f>
        <v>#DIV/0!</v>
      </c>
      <c r="W325" s="221"/>
      <c r="X325" s="223" t="e">
        <f>$B$7*V325</f>
        <v>#DIV/0!</v>
      </c>
    </row>
    <row r="326" spans="12:24" x14ac:dyDescent="0.3">
      <c r="L326"/>
      <c r="M326"/>
      <c r="N326"/>
      <c r="O326"/>
      <c r="P326" s="213"/>
      <c r="Q326" s="221" t="e">
        <f>(V325+U324/2)*$Q$12</f>
        <v>#DIV/0!</v>
      </c>
      <c r="R326" s="221"/>
      <c r="S326" s="221" t="e">
        <f>R325+Q326/2</f>
        <v>#DIV/0!</v>
      </c>
      <c r="T326" s="221"/>
      <c r="U326" s="221" t="e">
        <f>-$Q$13*(S326+T325*((V325+U324/2)^2))</f>
        <v>#DIV/0!</v>
      </c>
      <c r="V326" s="221"/>
      <c r="W326" s="221" t="e">
        <f>V325+U326/2</f>
        <v>#DIV/0!</v>
      </c>
      <c r="X326" s="213"/>
    </row>
    <row r="327" spans="12:24" x14ac:dyDescent="0.3">
      <c r="L327"/>
      <c r="M327"/>
      <c r="N327"/>
      <c r="O327"/>
      <c r="P327" s="220">
        <f>P325+$Q$6</f>
        <v>0</v>
      </c>
      <c r="Q327" s="221"/>
      <c r="R327" s="221" t="e">
        <f>IF(R325+Q326&lt;0,(R325+Q326)*0.8,R325+Q326)</f>
        <v>#DIV/0!</v>
      </c>
      <c r="S327" s="221"/>
      <c r="T327" s="221" t="e">
        <f>T325*(X327/X325)^2</f>
        <v>#DIV/0!</v>
      </c>
      <c r="U327" s="221"/>
      <c r="V327" s="221" t="e">
        <f>IF(AND(ABS(V325+U326)&gt;$B$5*0.8,(V325+U326)&lt;0),-$B$5*0.5,IF(AND(ABS(V325+U326)&gt;$B$5*0.8,(V325+U326)&gt;0),$B$5*0.5,V325+U326))</f>
        <v>#DIV/0!</v>
      </c>
      <c r="W327" s="221"/>
      <c r="X327" s="223" t="e">
        <f>$B$7*V327</f>
        <v>#DIV/0!</v>
      </c>
    </row>
    <row r="328" spans="12:24" x14ac:dyDescent="0.3">
      <c r="L328"/>
      <c r="M328"/>
      <c r="N328"/>
      <c r="O328"/>
      <c r="P328" s="213"/>
      <c r="Q328" s="221" t="e">
        <f>(V327+U326/2)*$Q$12</f>
        <v>#DIV/0!</v>
      </c>
      <c r="R328" s="221"/>
      <c r="S328" s="221" t="e">
        <f>R327+Q328/2</f>
        <v>#DIV/0!</v>
      </c>
      <c r="T328" s="221"/>
      <c r="U328" s="221" t="e">
        <f>-$Q$13*(S328+T327*((V327+U326/2)^2))</f>
        <v>#DIV/0!</v>
      </c>
      <c r="V328" s="221"/>
      <c r="W328" s="221" t="e">
        <f>V327+U328/2</f>
        <v>#DIV/0!</v>
      </c>
      <c r="X328" s="213"/>
    </row>
    <row r="329" spans="12:24" x14ac:dyDescent="0.3">
      <c r="L329"/>
      <c r="M329"/>
      <c r="N329"/>
      <c r="O329"/>
      <c r="P329" s="220">
        <f>P327+$Q$6</f>
        <v>0</v>
      </c>
      <c r="Q329" s="221"/>
      <c r="R329" s="221" t="e">
        <f>IF(R327+Q328&lt;0,(R327+Q328)*0.8,R327+Q328)</f>
        <v>#DIV/0!</v>
      </c>
      <c r="S329" s="221"/>
      <c r="T329" s="221" t="e">
        <f>T327*(X329/X327)^2</f>
        <v>#DIV/0!</v>
      </c>
      <c r="U329" s="221"/>
      <c r="V329" s="221" t="e">
        <f>IF(AND(ABS(V327+U328)&gt;$B$5*0.8,(V327+U328)&lt;0),-$B$5*0.5,IF(AND(ABS(V327+U328)&gt;$B$5*0.8,(V327+U328)&gt;0),$B$5*0.5,V327+U328))</f>
        <v>#DIV/0!</v>
      </c>
      <c r="W329" s="221"/>
      <c r="X329" s="223" t="e">
        <f>$B$7*V329</f>
        <v>#DIV/0!</v>
      </c>
    </row>
    <row r="330" spans="12:24" x14ac:dyDescent="0.3">
      <c r="L330"/>
      <c r="M330"/>
      <c r="N330"/>
      <c r="O330"/>
      <c r="P330" s="213"/>
      <c r="Q330" s="221" t="e">
        <f>(V329+U328/2)*$Q$12</f>
        <v>#DIV/0!</v>
      </c>
      <c r="R330" s="221"/>
      <c r="S330" s="221" t="e">
        <f>R329+Q330/2</f>
        <v>#DIV/0!</v>
      </c>
      <c r="T330" s="221"/>
      <c r="U330" s="221" t="e">
        <f>-$Q$13*(S330+T329*((V329+U328/2)^2))</f>
        <v>#DIV/0!</v>
      </c>
      <c r="V330" s="221"/>
      <c r="W330" s="221" t="e">
        <f>V329+U330/2</f>
        <v>#DIV/0!</v>
      </c>
      <c r="X330" s="213"/>
    </row>
    <row r="331" spans="12:24" x14ac:dyDescent="0.3">
      <c r="L331"/>
      <c r="M331"/>
      <c r="N331"/>
      <c r="O331"/>
      <c r="P331" s="220">
        <f>P329+$Q$6</f>
        <v>0</v>
      </c>
      <c r="Q331" s="221"/>
      <c r="R331" s="221" t="e">
        <f>IF(R329+Q330&lt;0,(R329+Q330)*0.8,R329+Q330)</f>
        <v>#DIV/0!</v>
      </c>
      <c r="S331" s="221"/>
      <c r="T331" s="221" t="e">
        <f>T329*(X331/X329)^2</f>
        <v>#DIV/0!</v>
      </c>
      <c r="U331" s="221"/>
      <c r="V331" s="221" t="e">
        <f>IF(AND(ABS(V329+U330)&gt;$B$5*0.8,(V329+U330)&lt;0),-$B$5*0.5,IF(AND(ABS(V329+U330)&gt;$B$5*0.8,(V329+U330)&gt;0),$B$5*0.5,V329+U330))</f>
        <v>#DIV/0!</v>
      </c>
      <c r="W331" s="221"/>
      <c r="X331" s="223" t="e">
        <f>$B$7*V331</f>
        <v>#DIV/0!</v>
      </c>
    </row>
    <row r="332" spans="12:24" x14ac:dyDescent="0.3">
      <c r="L332"/>
      <c r="M332"/>
      <c r="N332"/>
      <c r="O332"/>
      <c r="P332" s="213"/>
      <c r="Q332" s="221" t="e">
        <f>(V331+U330/2)*$Q$12</f>
        <v>#DIV/0!</v>
      </c>
      <c r="R332" s="221"/>
      <c r="S332" s="221" t="e">
        <f>R331+Q332/2</f>
        <v>#DIV/0!</v>
      </c>
      <c r="T332" s="221"/>
      <c r="U332" s="221" t="e">
        <f>-$Q$13*(S332+T331*((V331+U330/2)^2))</f>
        <v>#DIV/0!</v>
      </c>
      <c r="V332" s="221"/>
      <c r="W332" s="221" t="e">
        <f>V331+U332/2</f>
        <v>#DIV/0!</v>
      </c>
      <c r="X332" s="213"/>
    </row>
    <row r="333" spans="12:24" x14ac:dyDescent="0.3">
      <c r="L333"/>
      <c r="M333"/>
      <c r="N333"/>
      <c r="O333"/>
      <c r="P333" s="220">
        <f>P331+$Q$6</f>
        <v>0</v>
      </c>
      <c r="Q333" s="221"/>
      <c r="R333" s="221" t="e">
        <f>IF(R331+Q332&lt;0,(R331+Q332)*0.8,R331+Q332)</f>
        <v>#DIV/0!</v>
      </c>
      <c r="S333" s="221"/>
      <c r="T333" s="221" t="e">
        <f>T331*(X333/X331)^2</f>
        <v>#DIV/0!</v>
      </c>
      <c r="U333" s="221"/>
      <c r="V333" s="221" t="e">
        <f>IF(AND(ABS(V331+U332)&gt;$B$5*0.8,(V331+U332)&lt;0),-$B$5*0.5,IF(AND(ABS(V331+U332)&gt;$B$5*0.8,(V331+U332)&gt;0),$B$5*0.5,V331+U332))</f>
        <v>#DIV/0!</v>
      </c>
      <c r="W333" s="221"/>
      <c r="X333" s="223" t="e">
        <f>$B$7*V333</f>
        <v>#DIV/0!</v>
      </c>
    </row>
    <row r="334" spans="12:24" x14ac:dyDescent="0.3">
      <c r="L334"/>
      <c r="M334"/>
      <c r="N334"/>
      <c r="O334"/>
      <c r="P334" s="213"/>
      <c r="Q334" s="221" t="e">
        <f>(V333+U332/2)*$Q$12</f>
        <v>#DIV/0!</v>
      </c>
      <c r="R334" s="221"/>
      <c r="S334" s="221" t="e">
        <f>R333+Q334/2</f>
        <v>#DIV/0!</v>
      </c>
      <c r="T334" s="221"/>
      <c r="U334" s="221" t="e">
        <f>-$Q$13*(S334+T333*((V333+U332/2)^2))</f>
        <v>#DIV/0!</v>
      </c>
      <c r="V334" s="221"/>
      <c r="W334" s="221" t="e">
        <f>V333+U334/2</f>
        <v>#DIV/0!</v>
      </c>
      <c r="X334" s="213"/>
    </row>
    <row r="335" spans="12:24" x14ac:dyDescent="0.3">
      <c r="L335"/>
      <c r="M335"/>
      <c r="N335"/>
      <c r="O335"/>
      <c r="P335" s="220">
        <f>P333+$Q$6</f>
        <v>0</v>
      </c>
      <c r="Q335" s="221"/>
      <c r="R335" s="221" t="e">
        <f>IF(R333+Q334&lt;0,(R333+Q334)*0.8,R333+Q334)</f>
        <v>#DIV/0!</v>
      </c>
      <c r="S335" s="221"/>
      <c r="T335" s="221" t="e">
        <f>T333*(X335/X333)^2</f>
        <v>#DIV/0!</v>
      </c>
      <c r="U335" s="221"/>
      <c r="V335" s="221" t="e">
        <f>IF(AND(ABS(V333+U334)&gt;$B$5*0.8,(V333+U334)&lt;0),-$B$5*0.5,IF(AND(ABS(V333+U334)&gt;$B$5*0.8,(V333+U334)&gt;0),$B$5*0.5,V333+U334))</f>
        <v>#DIV/0!</v>
      </c>
      <c r="W335" s="221"/>
      <c r="X335" s="223" t="e">
        <f>$B$7*V335</f>
        <v>#DIV/0!</v>
      </c>
    </row>
    <row r="336" spans="12:24" x14ac:dyDescent="0.3">
      <c r="L336"/>
      <c r="M336"/>
      <c r="N336"/>
      <c r="O336"/>
      <c r="P336" s="213"/>
      <c r="Q336" s="221" t="e">
        <f>(V335+U334/2)*$Q$12</f>
        <v>#DIV/0!</v>
      </c>
      <c r="R336" s="221"/>
      <c r="S336" s="221" t="e">
        <f>R335+Q336/2</f>
        <v>#DIV/0!</v>
      </c>
      <c r="T336" s="221"/>
      <c r="U336" s="221" t="e">
        <f>-$Q$13*(S336+T335*((V335+U334/2)^2))</f>
        <v>#DIV/0!</v>
      </c>
      <c r="V336" s="221"/>
      <c r="W336" s="221" t="e">
        <f>V335+U336/2</f>
        <v>#DIV/0!</v>
      </c>
      <c r="X336" s="213"/>
    </row>
    <row r="337" spans="12:24" x14ac:dyDescent="0.3">
      <c r="L337"/>
      <c r="M337"/>
      <c r="N337"/>
      <c r="O337"/>
      <c r="P337" s="220">
        <f>P335+$Q$6</f>
        <v>0</v>
      </c>
      <c r="Q337" s="221"/>
      <c r="R337" s="221" t="e">
        <f>IF(R335+Q336&lt;0,(R335+Q336)*0.8,R335+Q336)</f>
        <v>#DIV/0!</v>
      </c>
      <c r="S337" s="221"/>
      <c r="T337" s="221" t="e">
        <f>T335*(X337/X335)^2</f>
        <v>#DIV/0!</v>
      </c>
      <c r="U337" s="221"/>
      <c r="V337" s="221" t="e">
        <f>IF(AND(ABS(V335+U336)&gt;$B$5*0.8,(V335+U336)&lt;0),-$B$5*0.5,IF(AND(ABS(V335+U336)&gt;$B$5*0.8,(V335+U336)&gt;0),$B$5*0.5,V335+U336))</f>
        <v>#DIV/0!</v>
      </c>
      <c r="W337" s="221"/>
      <c r="X337" s="223" t="e">
        <f>$B$7*V337</f>
        <v>#DIV/0!</v>
      </c>
    </row>
    <row r="338" spans="12:24" x14ac:dyDescent="0.3">
      <c r="L338"/>
      <c r="M338"/>
      <c r="N338"/>
      <c r="O338"/>
      <c r="P338" s="213"/>
      <c r="Q338" s="221" t="e">
        <f>(V337+U336/2)*$Q$12</f>
        <v>#DIV/0!</v>
      </c>
      <c r="R338" s="221"/>
      <c r="S338" s="221" t="e">
        <f>R337+Q338/2</f>
        <v>#DIV/0!</v>
      </c>
      <c r="T338" s="221"/>
      <c r="U338" s="221" t="e">
        <f>-$Q$13*(S338+T337*((V337+U336/2)^2))</f>
        <v>#DIV/0!</v>
      </c>
      <c r="V338" s="221"/>
      <c r="W338" s="221" t="e">
        <f>V337+U338/2</f>
        <v>#DIV/0!</v>
      </c>
      <c r="X338" s="213"/>
    </row>
    <row r="339" spans="12:24" x14ac:dyDescent="0.3">
      <c r="L339"/>
      <c r="M339"/>
      <c r="N339"/>
      <c r="O339"/>
      <c r="P339" s="220">
        <f>P337+$Q$6</f>
        <v>0</v>
      </c>
      <c r="Q339" s="221"/>
      <c r="R339" s="221" t="e">
        <f>IF(R337+Q338&lt;0,(R337+Q338)*0.8,R337+Q338)</f>
        <v>#DIV/0!</v>
      </c>
      <c r="S339" s="221"/>
      <c r="T339" s="221" t="e">
        <f>T337*(X339/X337)^2</f>
        <v>#DIV/0!</v>
      </c>
      <c r="U339" s="221"/>
      <c r="V339" s="221" t="e">
        <f>IF(AND(ABS(V337+U338)&gt;$B$5*0.8,(V337+U338)&lt;0),-$B$5*0.5,IF(AND(ABS(V337+U338)&gt;$B$5*0.8,(V337+U338)&gt;0),$B$5*0.5,V337+U338))</f>
        <v>#DIV/0!</v>
      </c>
      <c r="W339" s="221"/>
      <c r="X339" s="223" t="e">
        <f>$B$7*V339</f>
        <v>#DIV/0!</v>
      </c>
    </row>
    <row r="340" spans="12:24" x14ac:dyDescent="0.3">
      <c r="L340"/>
      <c r="M340"/>
      <c r="N340"/>
      <c r="O340"/>
      <c r="P340" s="213"/>
      <c r="Q340" s="221" t="e">
        <f>(V339+U338/2)*$Q$12</f>
        <v>#DIV/0!</v>
      </c>
      <c r="R340" s="221"/>
      <c r="S340" s="221" t="e">
        <f>R339+Q340/2</f>
        <v>#DIV/0!</v>
      </c>
      <c r="T340" s="221"/>
      <c r="U340" s="221" t="e">
        <f>-$Q$13*(S340+T339*((V339+U338/2)^2))</f>
        <v>#DIV/0!</v>
      </c>
      <c r="V340" s="221"/>
      <c r="W340" s="221" t="e">
        <f>V339+U340/2</f>
        <v>#DIV/0!</v>
      </c>
      <c r="X340" s="213"/>
    </row>
    <row r="341" spans="12:24" x14ac:dyDescent="0.3">
      <c r="L341"/>
      <c r="M341"/>
      <c r="N341"/>
      <c r="O341"/>
      <c r="P341" s="220">
        <f>P339+$Q$6</f>
        <v>0</v>
      </c>
      <c r="Q341" s="221"/>
      <c r="R341" s="221" t="e">
        <f>IF(R339+Q340&lt;0,(R339+Q340)*0.8,R339+Q340)</f>
        <v>#DIV/0!</v>
      </c>
      <c r="S341" s="221"/>
      <c r="T341" s="221" t="e">
        <f>T339*(X341/X339)^2</f>
        <v>#DIV/0!</v>
      </c>
      <c r="U341" s="221"/>
      <c r="V341" s="221" t="e">
        <f>IF(AND(ABS(V339+U340)&gt;$B$5*0.8,(V339+U340)&lt;0),-$B$5*0.5,IF(AND(ABS(V339+U340)&gt;$B$5*0.8,(V339+U340)&gt;0),$B$5*0.5,V339+U340))</f>
        <v>#DIV/0!</v>
      </c>
      <c r="W341" s="221"/>
      <c r="X341" s="223" t="e">
        <f>$B$7*V341</f>
        <v>#DIV/0!</v>
      </c>
    </row>
    <row r="342" spans="12:24" x14ac:dyDescent="0.3">
      <c r="L342"/>
      <c r="M342"/>
      <c r="N342"/>
      <c r="O342"/>
      <c r="P342" s="213"/>
      <c r="Q342" s="221" t="e">
        <f>(V341+U340/2)*$Q$12</f>
        <v>#DIV/0!</v>
      </c>
      <c r="R342" s="221"/>
      <c r="S342" s="221" t="e">
        <f>R341+Q342/2</f>
        <v>#DIV/0!</v>
      </c>
      <c r="T342" s="221"/>
      <c r="U342" s="221" t="e">
        <f>-$Q$13*(S342+T341*((V341+U340/2)^2))</f>
        <v>#DIV/0!</v>
      </c>
      <c r="V342" s="221"/>
      <c r="W342" s="221" t="e">
        <f>V341+U342/2</f>
        <v>#DIV/0!</v>
      </c>
      <c r="X342" s="213"/>
    </row>
    <row r="343" spans="12:24" x14ac:dyDescent="0.3">
      <c r="L343"/>
      <c r="M343"/>
      <c r="N343"/>
      <c r="O343"/>
      <c r="P343" s="220">
        <f>P341+$Q$6</f>
        <v>0</v>
      </c>
      <c r="Q343" s="221"/>
      <c r="R343" s="221" t="e">
        <f>IF(R341+Q342&lt;0,(R341+Q342)*0.8,R341+Q342)</f>
        <v>#DIV/0!</v>
      </c>
      <c r="S343" s="221"/>
      <c r="T343" s="221" t="e">
        <f>T341*(X343/X341)^2</f>
        <v>#DIV/0!</v>
      </c>
      <c r="U343" s="221"/>
      <c r="V343" s="221" t="e">
        <f>IF(AND(ABS(V341+U342)&gt;$B$5*0.8,(V341+U342)&lt;0),-$B$5*0.5,IF(AND(ABS(V341+U342)&gt;$B$5*0.8,(V341+U342)&gt;0),$B$5*0.5,V341+U342))</f>
        <v>#DIV/0!</v>
      </c>
      <c r="W343" s="221"/>
      <c r="X343" s="223" t="e">
        <f>$B$7*V343</f>
        <v>#DIV/0!</v>
      </c>
    </row>
    <row r="344" spans="12:24" x14ac:dyDescent="0.3">
      <c r="L344"/>
      <c r="M344"/>
      <c r="N344"/>
      <c r="O344"/>
      <c r="P344" s="213"/>
      <c r="Q344" s="221" t="e">
        <f>(V343+U342/2)*$Q$12</f>
        <v>#DIV/0!</v>
      </c>
      <c r="R344" s="221"/>
      <c r="S344" s="221" t="e">
        <f>R343+Q344/2</f>
        <v>#DIV/0!</v>
      </c>
      <c r="T344" s="221"/>
      <c r="U344" s="221" t="e">
        <f>-$Q$13*(S344+T343*((V343+U342/2)^2))</f>
        <v>#DIV/0!</v>
      </c>
      <c r="V344" s="221"/>
      <c r="W344" s="221" t="e">
        <f>V343+U344/2</f>
        <v>#DIV/0!</v>
      </c>
      <c r="X344" s="213"/>
    </row>
    <row r="345" spans="12:24" x14ac:dyDescent="0.3">
      <c r="L345"/>
      <c r="M345"/>
      <c r="N345"/>
      <c r="O345"/>
      <c r="P345" s="220">
        <f>P343+$Q$6</f>
        <v>0</v>
      </c>
      <c r="Q345" s="221"/>
      <c r="R345" s="221" t="e">
        <f>IF(R343+Q344&lt;0,(R343+Q344)*0.8,R343+Q344)</f>
        <v>#DIV/0!</v>
      </c>
      <c r="S345" s="221"/>
      <c r="T345" s="221" t="e">
        <f>T343*(X345/X343)^2</f>
        <v>#DIV/0!</v>
      </c>
      <c r="U345" s="221"/>
      <c r="V345" s="221" t="e">
        <f>IF(AND(ABS(V343+U344)&gt;$B$5*0.8,(V343+U344)&lt;0),-$B$5*0.5,IF(AND(ABS(V343+U344)&gt;$B$5*0.8,(V343+U344)&gt;0),$B$5*0.5,V343+U344))</f>
        <v>#DIV/0!</v>
      </c>
      <c r="W345" s="221"/>
      <c r="X345" s="223" t="e">
        <f>$B$7*V345</f>
        <v>#DIV/0!</v>
      </c>
    </row>
    <row r="346" spans="12:24" x14ac:dyDescent="0.3">
      <c r="L346"/>
      <c r="M346"/>
      <c r="N346"/>
      <c r="O346"/>
      <c r="P346" s="213"/>
      <c r="Q346" s="221" t="e">
        <f>(V345+U344/2)*$Q$12</f>
        <v>#DIV/0!</v>
      </c>
      <c r="R346" s="221"/>
      <c r="S346" s="221" t="e">
        <f>R345+Q346/2</f>
        <v>#DIV/0!</v>
      </c>
      <c r="T346" s="221"/>
      <c r="U346" s="221" t="e">
        <f>-$Q$13*(S346+T345*((V345+U344/2)^2))</f>
        <v>#DIV/0!</v>
      </c>
      <c r="V346" s="221"/>
      <c r="W346" s="221" t="e">
        <f>V345+U346/2</f>
        <v>#DIV/0!</v>
      </c>
      <c r="X346" s="213"/>
    </row>
    <row r="347" spans="12:24" x14ac:dyDescent="0.3">
      <c r="L347"/>
      <c r="M347"/>
      <c r="N347"/>
      <c r="O347"/>
      <c r="P347" s="220">
        <f>P345+$Q$6</f>
        <v>0</v>
      </c>
      <c r="Q347" s="221"/>
      <c r="R347" s="221" t="e">
        <f>IF(R345+Q346&lt;0,(R345+Q346)*0.8,R345+Q346)</f>
        <v>#DIV/0!</v>
      </c>
      <c r="S347" s="221"/>
      <c r="T347" s="221" t="e">
        <f>T345*(X347/X345)^2</f>
        <v>#DIV/0!</v>
      </c>
      <c r="U347" s="221"/>
      <c r="V347" s="221" t="e">
        <f>IF(AND(ABS(V345+U346)&gt;$B$5*0.8,(V345+U346)&lt;0),-$B$5*0.5,IF(AND(ABS(V345+U346)&gt;$B$5*0.8,(V345+U346)&gt;0),$B$5*0.5,V345+U346))</f>
        <v>#DIV/0!</v>
      </c>
      <c r="W347" s="221"/>
      <c r="X347" s="223" t="e">
        <f>$B$7*V347</f>
        <v>#DIV/0!</v>
      </c>
    </row>
    <row r="348" spans="12:24" x14ac:dyDescent="0.3">
      <c r="L348"/>
      <c r="M348"/>
      <c r="N348"/>
      <c r="O348"/>
      <c r="P348" s="213"/>
      <c r="Q348" s="221" t="e">
        <f>(V347+U346/2)*$Q$12</f>
        <v>#DIV/0!</v>
      </c>
      <c r="R348" s="221"/>
      <c r="S348" s="221" t="e">
        <f>R347+Q348/2</f>
        <v>#DIV/0!</v>
      </c>
      <c r="T348" s="221"/>
      <c r="U348" s="221" t="e">
        <f>-$Q$13*(S348+T347*((V347+U346/2)^2))</f>
        <v>#DIV/0!</v>
      </c>
      <c r="V348" s="221"/>
      <c r="W348" s="221" t="e">
        <f>V347+U348/2</f>
        <v>#DIV/0!</v>
      </c>
      <c r="X348" s="213"/>
    </row>
    <row r="349" spans="12:24" x14ac:dyDescent="0.3">
      <c r="L349"/>
      <c r="M349"/>
      <c r="N349"/>
      <c r="O349"/>
      <c r="P349" s="220">
        <f>P347+$Q$6</f>
        <v>0</v>
      </c>
      <c r="Q349" s="221"/>
      <c r="R349" s="221" t="e">
        <f>IF(R347+Q348&lt;0,(R347+Q348)*0.8,R347+Q348)</f>
        <v>#DIV/0!</v>
      </c>
      <c r="S349" s="221"/>
      <c r="T349" s="221" t="e">
        <f>T347*(X349/X347)^2</f>
        <v>#DIV/0!</v>
      </c>
      <c r="U349" s="221"/>
      <c r="V349" s="221" t="e">
        <f>IF(AND(ABS(V347+U348)&gt;$B$5*0.8,(V347+U348)&lt;0),-$B$5*0.5,IF(AND(ABS(V347+U348)&gt;$B$5*0.8,(V347+U348)&gt;0),$B$5*0.5,V347+U348))</f>
        <v>#DIV/0!</v>
      </c>
      <c r="W349" s="221"/>
      <c r="X349" s="223" t="e">
        <f>$B$7*V349</f>
        <v>#DIV/0!</v>
      </c>
    </row>
    <row r="350" spans="12:24" x14ac:dyDescent="0.3">
      <c r="L350"/>
      <c r="M350"/>
      <c r="N350"/>
      <c r="O350"/>
      <c r="P350" s="213"/>
      <c r="Q350" s="221" t="e">
        <f>(V349+U348/2)*$Q$12</f>
        <v>#DIV/0!</v>
      </c>
      <c r="R350" s="221"/>
      <c r="S350" s="221" t="e">
        <f>R349+Q350/2</f>
        <v>#DIV/0!</v>
      </c>
      <c r="T350" s="221"/>
      <c r="U350" s="221" t="e">
        <f>-$Q$13*(S350+T349*((V349+U348/2)^2))</f>
        <v>#DIV/0!</v>
      </c>
      <c r="V350" s="221"/>
      <c r="W350" s="221" t="e">
        <f>V349+U350/2</f>
        <v>#DIV/0!</v>
      </c>
      <c r="X350" s="213"/>
    </row>
    <row r="351" spans="12:24" x14ac:dyDescent="0.3">
      <c r="L351"/>
      <c r="M351"/>
      <c r="N351"/>
      <c r="O351"/>
      <c r="P351" s="220">
        <f>P349+$Q$6</f>
        <v>0</v>
      </c>
      <c r="Q351" s="221"/>
      <c r="R351" s="221" t="e">
        <f>IF(R349+Q350&lt;0,(R349+Q350)*0.8,R349+Q350)</f>
        <v>#DIV/0!</v>
      </c>
      <c r="S351" s="221"/>
      <c r="T351" s="221" t="e">
        <f>T349*(X351/X349)^2</f>
        <v>#DIV/0!</v>
      </c>
      <c r="U351" s="221"/>
      <c r="V351" s="221" t="e">
        <f>IF(AND(ABS(V349+U350)&gt;$B$5*0.8,(V349+U350)&lt;0),-$B$5*0.5,IF(AND(ABS(V349+U350)&gt;$B$5*0.8,(V349+U350)&gt;0),$B$5*0.5,V349+U350))</f>
        <v>#DIV/0!</v>
      </c>
      <c r="W351" s="221"/>
      <c r="X351" s="223" t="e">
        <f>$B$7*V351</f>
        <v>#DIV/0!</v>
      </c>
    </row>
    <row r="352" spans="12:24" x14ac:dyDescent="0.3">
      <c r="L352"/>
      <c r="M352"/>
      <c r="N352"/>
      <c r="O352"/>
      <c r="P352" s="213"/>
      <c r="Q352" s="221" t="e">
        <f>(V351+U350/2)*$Q$12</f>
        <v>#DIV/0!</v>
      </c>
      <c r="R352" s="221"/>
      <c r="S352" s="221" t="e">
        <f>R351+Q352/2</f>
        <v>#DIV/0!</v>
      </c>
      <c r="T352" s="221"/>
      <c r="U352" s="221" t="e">
        <f>-$Q$13*(S352+T351*((V351+U350/2)^2))</f>
        <v>#DIV/0!</v>
      </c>
      <c r="V352" s="221"/>
      <c r="W352" s="221" t="e">
        <f>V351+U352/2</f>
        <v>#DIV/0!</v>
      </c>
      <c r="X352" s="213"/>
    </row>
    <row r="353" spans="12:24" x14ac:dyDescent="0.3">
      <c r="L353"/>
      <c r="M353"/>
      <c r="N353"/>
      <c r="O353"/>
      <c r="P353" s="220">
        <f>P351+$Q$6</f>
        <v>0</v>
      </c>
      <c r="Q353" s="221"/>
      <c r="R353" s="221" t="e">
        <f>IF(R351+Q352&lt;0,(R351+Q352)*0.8,R351+Q352)</f>
        <v>#DIV/0!</v>
      </c>
      <c r="S353" s="221"/>
      <c r="T353" s="221" t="e">
        <f>T351*(X353/X351)^2</f>
        <v>#DIV/0!</v>
      </c>
      <c r="U353" s="221"/>
      <c r="V353" s="221" t="e">
        <f>IF(AND(ABS(V351+U352)&gt;$B$5*0.8,(V351+U352)&lt;0),-$B$5*0.5,IF(AND(ABS(V351+U352)&gt;$B$5*0.8,(V351+U352)&gt;0),$B$5*0.5,V351+U352))</f>
        <v>#DIV/0!</v>
      </c>
      <c r="W353" s="221"/>
      <c r="X353" s="223" t="e">
        <f>$B$7*V353</f>
        <v>#DIV/0!</v>
      </c>
    </row>
    <row r="354" spans="12:24" x14ac:dyDescent="0.3">
      <c r="L354"/>
      <c r="M354"/>
      <c r="N354"/>
      <c r="O354"/>
      <c r="P354" s="213"/>
      <c r="Q354" s="221" t="e">
        <f>(V353+U352/2)*$Q$12</f>
        <v>#DIV/0!</v>
      </c>
      <c r="R354" s="221"/>
      <c r="S354" s="221" t="e">
        <f>R353+Q354/2</f>
        <v>#DIV/0!</v>
      </c>
      <c r="T354" s="221"/>
      <c r="U354" s="221" t="e">
        <f>-$Q$13*(S354+T353*((V353+U352/2)^2))</f>
        <v>#DIV/0!</v>
      </c>
      <c r="V354" s="221"/>
      <c r="W354" s="221" t="e">
        <f>V353+U354/2</f>
        <v>#DIV/0!</v>
      </c>
      <c r="X354" s="213"/>
    </row>
    <row r="355" spans="12:24" x14ac:dyDescent="0.3">
      <c r="L355"/>
      <c r="M355"/>
      <c r="N355"/>
      <c r="O355"/>
      <c r="P355" s="220">
        <f>P353+$Q$6</f>
        <v>0</v>
      </c>
      <c r="Q355" s="221"/>
      <c r="R355" s="221" t="e">
        <f>IF(R353+Q354&lt;0,(R353+Q354)*0.8,R353+Q354)</f>
        <v>#DIV/0!</v>
      </c>
      <c r="S355" s="221"/>
      <c r="T355" s="221" t="e">
        <f>T353*(X355/X353)^2</f>
        <v>#DIV/0!</v>
      </c>
      <c r="U355" s="221"/>
      <c r="V355" s="221" t="e">
        <f>IF(AND(ABS(V353+U354)&gt;$B$5*0.8,(V353+U354)&lt;0),-$B$5*0.5,IF(AND(ABS(V353+U354)&gt;$B$5*0.8,(V353+U354)&gt;0),$B$5*0.5,V353+U354))</f>
        <v>#DIV/0!</v>
      </c>
      <c r="W355" s="221"/>
      <c r="X355" s="223" t="e">
        <f>$B$7*V355</f>
        <v>#DIV/0!</v>
      </c>
    </row>
    <row r="356" spans="12:24" x14ac:dyDescent="0.3">
      <c r="L356"/>
      <c r="M356"/>
      <c r="N356"/>
      <c r="O356"/>
      <c r="P356" s="213"/>
      <c r="Q356" s="221" t="e">
        <f>(V355+U354/2)*$Q$12</f>
        <v>#DIV/0!</v>
      </c>
      <c r="R356" s="221"/>
      <c r="S356" s="221" t="e">
        <f>R355+Q356/2</f>
        <v>#DIV/0!</v>
      </c>
      <c r="T356" s="221"/>
      <c r="U356" s="221" t="e">
        <f>-$Q$13*(S356+T355*((V355+U354/2)^2))</f>
        <v>#DIV/0!</v>
      </c>
      <c r="V356" s="221"/>
      <c r="W356" s="221" t="e">
        <f>V355+U356/2</f>
        <v>#DIV/0!</v>
      </c>
      <c r="X356" s="213"/>
    </row>
    <row r="357" spans="12:24" x14ac:dyDescent="0.3">
      <c r="L357"/>
      <c r="M357"/>
      <c r="N357"/>
      <c r="O357"/>
      <c r="P357" s="220">
        <f>P355+$Q$6</f>
        <v>0</v>
      </c>
      <c r="Q357" s="221"/>
      <c r="R357" s="221" t="e">
        <f>IF(R355+Q356&lt;0,(R355+Q356)*0.8,R355+Q356)</f>
        <v>#DIV/0!</v>
      </c>
      <c r="S357" s="221"/>
      <c r="T357" s="221" t="e">
        <f>T355*(X357/X355)^2</f>
        <v>#DIV/0!</v>
      </c>
      <c r="U357" s="221"/>
      <c r="V357" s="221" t="e">
        <f>IF(AND(ABS(V355+U356)&gt;$B$5*0.8,(V355+U356)&lt;0),-$B$5*0.5,IF(AND(ABS(V355+U356)&gt;$B$5*0.8,(V355+U356)&gt;0),$B$5*0.5,V355+U356))</f>
        <v>#DIV/0!</v>
      </c>
      <c r="W357" s="221"/>
      <c r="X357" s="223" t="e">
        <f>$B$7*V357</f>
        <v>#DIV/0!</v>
      </c>
    </row>
    <row r="358" spans="12:24" x14ac:dyDescent="0.3">
      <c r="L358"/>
      <c r="M358"/>
      <c r="N358"/>
      <c r="O358"/>
      <c r="P358" s="213"/>
      <c r="Q358" s="221" t="e">
        <f>(V357+U356/2)*$Q$12</f>
        <v>#DIV/0!</v>
      </c>
      <c r="R358" s="221"/>
      <c r="S358" s="221" t="e">
        <f>R357+Q358/2</f>
        <v>#DIV/0!</v>
      </c>
      <c r="T358" s="221"/>
      <c r="U358" s="221" t="e">
        <f>-$Q$13*(S358+T357*((V357+U356/2)^2))</f>
        <v>#DIV/0!</v>
      </c>
      <c r="V358" s="221"/>
      <c r="W358" s="221" t="e">
        <f>V357+U358/2</f>
        <v>#DIV/0!</v>
      </c>
      <c r="X358" s="213"/>
    </row>
    <row r="359" spans="12:24" x14ac:dyDescent="0.3">
      <c r="L359"/>
      <c r="M359"/>
      <c r="N359"/>
      <c r="O359"/>
      <c r="P359" s="220">
        <f>P357+$Q$6</f>
        <v>0</v>
      </c>
      <c r="Q359" s="221"/>
      <c r="R359" s="221" t="e">
        <f>IF(R357+Q358&lt;0,(R357+Q358)*0.8,R357+Q358)</f>
        <v>#DIV/0!</v>
      </c>
      <c r="S359" s="221"/>
      <c r="T359" s="221" t="e">
        <f>T357*(X359/X357)^2</f>
        <v>#DIV/0!</v>
      </c>
      <c r="U359" s="221"/>
      <c r="V359" s="221" t="e">
        <f>IF(AND(ABS(V357+U358)&gt;$B$5*0.8,(V357+U358)&lt;0),-$B$5*0.5,IF(AND(ABS(V357+U358)&gt;$B$5*0.8,(V357+U358)&gt;0),$B$5*0.5,V357+U358))</f>
        <v>#DIV/0!</v>
      </c>
      <c r="W359" s="221"/>
      <c r="X359" s="223" t="e">
        <f>$B$7*V359</f>
        <v>#DIV/0!</v>
      </c>
    </row>
    <row r="360" spans="12:24" x14ac:dyDescent="0.3">
      <c r="L360"/>
      <c r="M360"/>
      <c r="N360"/>
      <c r="O360"/>
      <c r="P360" s="213"/>
      <c r="Q360" s="221" t="e">
        <f>(V359+U358/2)*$Q$12</f>
        <v>#DIV/0!</v>
      </c>
      <c r="R360" s="221"/>
      <c r="S360" s="221" t="e">
        <f>R359+Q360/2</f>
        <v>#DIV/0!</v>
      </c>
      <c r="T360" s="221"/>
      <c r="U360" s="221" t="e">
        <f>-$Q$13*(S360+T359*((V359+U358/2)^2))</f>
        <v>#DIV/0!</v>
      </c>
      <c r="V360" s="221"/>
      <c r="W360" s="221" t="e">
        <f>V359+U360/2</f>
        <v>#DIV/0!</v>
      </c>
      <c r="X360" s="213"/>
    </row>
    <row r="361" spans="12:24" x14ac:dyDescent="0.3">
      <c r="L361"/>
      <c r="M361"/>
      <c r="N361"/>
      <c r="O361"/>
      <c r="P361" s="220">
        <f>P359+$Q$6</f>
        <v>0</v>
      </c>
      <c r="Q361" s="221"/>
      <c r="R361" s="221" t="e">
        <f>IF(R359+Q360&lt;0,(R359+Q360)*0.8,R359+Q360)</f>
        <v>#DIV/0!</v>
      </c>
      <c r="S361" s="221"/>
      <c r="T361" s="221" t="e">
        <f>T359*(X361/X359)^2</f>
        <v>#DIV/0!</v>
      </c>
      <c r="U361" s="221"/>
      <c r="V361" s="221" t="e">
        <f>IF(AND(ABS(V359+U360)&gt;$B$5*0.8,(V359+U360)&lt;0),-$B$5*0.5,IF(AND(ABS(V359+U360)&gt;$B$5*0.8,(V359+U360)&gt;0),$B$5*0.5,V359+U360))</f>
        <v>#DIV/0!</v>
      </c>
      <c r="W361" s="221"/>
      <c r="X361" s="223" t="e">
        <f>$B$7*V361</f>
        <v>#DIV/0!</v>
      </c>
    </row>
    <row r="362" spans="12:24" x14ac:dyDescent="0.3">
      <c r="L362"/>
      <c r="M362"/>
      <c r="N362"/>
      <c r="O362"/>
      <c r="P362" s="213"/>
      <c r="Q362" s="221" t="e">
        <f>(V361+U360/2)*$Q$12</f>
        <v>#DIV/0!</v>
      </c>
      <c r="R362" s="221"/>
      <c r="S362" s="221" t="e">
        <f>R361+Q362/2</f>
        <v>#DIV/0!</v>
      </c>
      <c r="T362" s="221"/>
      <c r="U362" s="221" t="e">
        <f>-$Q$13*(S362+T361*((V361+U360/2)^2))</f>
        <v>#DIV/0!</v>
      </c>
      <c r="V362" s="221"/>
      <c r="W362" s="221" t="e">
        <f>V361+U362/2</f>
        <v>#DIV/0!</v>
      </c>
      <c r="X362" s="213"/>
    </row>
    <row r="363" spans="12:24" x14ac:dyDescent="0.3">
      <c r="L363"/>
      <c r="M363"/>
      <c r="N363"/>
      <c r="O363"/>
      <c r="P363" s="220">
        <f>P361+$Q$6</f>
        <v>0</v>
      </c>
      <c r="Q363" s="221"/>
      <c r="R363" s="221" t="e">
        <f>IF(R361+Q362&lt;0,(R361+Q362)*0.8,R361+Q362)</f>
        <v>#DIV/0!</v>
      </c>
      <c r="S363" s="221"/>
      <c r="T363" s="221" t="e">
        <f>T361*(X363/X361)^2</f>
        <v>#DIV/0!</v>
      </c>
      <c r="U363" s="221"/>
      <c r="V363" s="221" t="e">
        <f>IF(AND(ABS(V361+U362)&gt;$B$5*0.8,(V361+U362)&lt;0),-$B$5*0.5,IF(AND(ABS(V361+U362)&gt;$B$5*0.8,(V361+U362)&gt;0),$B$5*0.5,V361+U362))</f>
        <v>#DIV/0!</v>
      </c>
      <c r="W363" s="221"/>
      <c r="X363" s="223" t="e">
        <f>$B$7*V363</f>
        <v>#DIV/0!</v>
      </c>
    </row>
    <row r="364" spans="12:24" x14ac:dyDescent="0.3">
      <c r="L364"/>
      <c r="M364"/>
      <c r="N364"/>
      <c r="O364"/>
      <c r="P364" s="213"/>
      <c r="Q364" s="221" t="e">
        <f>(V363+U362/2)*$Q$12</f>
        <v>#DIV/0!</v>
      </c>
      <c r="R364" s="221"/>
      <c r="S364" s="221" t="e">
        <f>R363+Q364/2</f>
        <v>#DIV/0!</v>
      </c>
      <c r="T364" s="221"/>
      <c r="U364" s="221" t="e">
        <f>-$Q$13*(S364+T363*((V363+U362/2)^2))</f>
        <v>#DIV/0!</v>
      </c>
      <c r="V364" s="221"/>
      <c r="W364" s="221" t="e">
        <f>V363+U364/2</f>
        <v>#DIV/0!</v>
      </c>
      <c r="X364" s="213"/>
    </row>
    <row r="365" spans="12:24" x14ac:dyDescent="0.3">
      <c r="L365"/>
      <c r="M365"/>
      <c r="N365"/>
      <c r="O365"/>
      <c r="P365" s="220">
        <f>P363+$Q$6</f>
        <v>0</v>
      </c>
      <c r="Q365" s="221"/>
      <c r="R365" s="221" t="e">
        <f>IF(R363+Q364&lt;0,(R363+Q364)*0.8,R363+Q364)</f>
        <v>#DIV/0!</v>
      </c>
      <c r="S365" s="221"/>
      <c r="T365" s="221" t="e">
        <f>T363*(X365/X363)^2</f>
        <v>#DIV/0!</v>
      </c>
      <c r="U365" s="221"/>
      <c r="V365" s="221" t="e">
        <f>IF(AND(ABS(V363+U364)&gt;$B$5*0.8,(V363+U364)&lt;0),-$B$5*0.5,IF(AND(ABS(V363+U364)&gt;$B$5*0.8,(V363+U364)&gt;0),$B$5*0.5,V363+U364))</f>
        <v>#DIV/0!</v>
      </c>
      <c r="W365" s="221"/>
      <c r="X365" s="223" t="e">
        <f>$B$7*V365</f>
        <v>#DIV/0!</v>
      </c>
    </row>
    <row r="366" spans="12:24" x14ac:dyDescent="0.3">
      <c r="L366"/>
      <c r="M366"/>
      <c r="N366"/>
      <c r="O366"/>
      <c r="P366" s="213"/>
      <c r="Q366" s="221" t="e">
        <f>(V365+U364/2)*$Q$12</f>
        <v>#DIV/0!</v>
      </c>
      <c r="R366" s="221"/>
      <c r="S366" s="221" t="e">
        <f>R365+Q366/2</f>
        <v>#DIV/0!</v>
      </c>
      <c r="T366" s="221"/>
      <c r="U366" s="221" t="e">
        <f>-$Q$13*(S366+T365*((V365+U364/2)^2))</f>
        <v>#DIV/0!</v>
      </c>
      <c r="V366" s="221"/>
      <c r="W366" s="221" t="e">
        <f>V365+U366/2</f>
        <v>#DIV/0!</v>
      </c>
      <c r="X366" s="213"/>
    </row>
    <row r="367" spans="12:24" x14ac:dyDescent="0.3">
      <c r="L367"/>
      <c r="M367"/>
      <c r="N367"/>
      <c r="O367"/>
      <c r="P367" s="220">
        <f>P365+$Q$6</f>
        <v>0</v>
      </c>
      <c r="Q367" s="221"/>
      <c r="R367" s="221" t="e">
        <f>IF(R365+Q366&lt;0,(R365+Q366)*0.8,R365+Q366)</f>
        <v>#DIV/0!</v>
      </c>
      <c r="S367" s="221"/>
      <c r="T367" s="221" t="e">
        <f>T365*(X367/X365)^2</f>
        <v>#DIV/0!</v>
      </c>
      <c r="U367" s="221"/>
      <c r="V367" s="221" t="e">
        <f>IF(AND(ABS(V365+U366)&gt;$B$5*0.8,(V365+U366)&lt;0),-$B$5*0.5,IF(AND(ABS(V365+U366)&gt;$B$5*0.8,(V365+U366)&gt;0),$B$5*0.5,V365+U366))</f>
        <v>#DIV/0!</v>
      </c>
      <c r="W367" s="221"/>
      <c r="X367" s="223" t="e">
        <f>$B$7*V367</f>
        <v>#DIV/0!</v>
      </c>
    </row>
    <row r="368" spans="12:24" x14ac:dyDescent="0.3">
      <c r="L368"/>
      <c r="M368"/>
      <c r="N368"/>
      <c r="O368"/>
      <c r="P368" s="213"/>
      <c r="Q368" s="221" t="e">
        <f>(V367+U366/2)*$Q$12</f>
        <v>#DIV/0!</v>
      </c>
      <c r="R368" s="221"/>
      <c r="S368" s="221" t="e">
        <f>R367+Q368/2</f>
        <v>#DIV/0!</v>
      </c>
      <c r="T368" s="221"/>
      <c r="U368" s="221" t="e">
        <f>-$Q$13*(S368+T367*((V367+U366/2)^2))</f>
        <v>#DIV/0!</v>
      </c>
      <c r="V368" s="221"/>
      <c r="W368" s="221" t="e">
        <f>V367+U368/2</f>
        <v>#DIV/0!</v>
      </c>
      <c r="X368" s="213"/>
    </row>
    <row r="369" spans="12:24" x14ac:dyDescent="0.3">
      <c r="L369"/>
      <c r="M369"/>
      <c r="N369"/>
      <c r="O369"/>
      <c r="P369" s="220">
        <f>P367+$Q$6</f>
        <v>0</v>
      </c>
      <c r="Q369" s="221"/>
      <c r="R369" s="221" t="e">
        <f>IF(R367+Q368&lt;0,(R367+Q368)*0.8,R367+Q368)</f>
        <v>#DIV/0!</v>
      </c>
      <c r="S369" s="221"/>
      <c r="T369" s="221" t="e">
        <f>T367*(X369/X367)^2</f>
        <v>#DIV/0!</v>
      </c>
      <c r="U369" s="221"/>
      <c r="V369" s="221" t="e">
        <f>IF(AND(ABS(V367+U368)&gt;$B$5*0.8,(V367+U368)&lt;0),-$B$5*0.5,IF(AND(ABS(V367+U368)&gt;$B$5*0.8,(V367+U368)&gt;0),$B$5*0.5,V367+U368))</f>
        <v>#DIV/0!</v>
      </c>
      <c r="W369" s="221"/>
      <c r="X369" s="223" t="e">
        <f>$B$7*V369</f>
        <v>#DIV/0!</v>
      </c>
    </row>
    <row r="370" spans="12:24" x14ac:dyDescent="0.3">
      <c r="L370"/>
      <c r="M370"/>
      <c r="N370"/>
      <c r="O370"/>
      <c r="P370" s="213"/>
      <c r="Q370" s="221" t="e">
        <f>(V369+U368/2)*$Q$12</f>
        <v>#DIV/0!</v>
      </c>
      <c r="R370" s="221"/>
      <c r="S370" s="221" t="e">
        <f>R369+Q370/2</f>
        <v>#DIV/0!</v>
      </c>
      <c r="T370" s="221"/>
      <c r="U370" s="221" t="e">
        <f>-$Q$13*(S370+T369*((V369+U368/2)^2))</f>
        <v>#DIV/0!</v>
      </c>
      <c r="V370" s="221"/>
      <c r="W370" s="221" t="e">
        <f>V369+U370/2</f>
        <v>#DIV/0!</v>
      </c>
      <c r="X370" s="213"/>
    </row>
    <row r="371" spans="12:24" x14ac:dyDescent="0.3">
      <c r="L371"/>
      <c r="M371"/>
      <c r="N371"/>
      <c r="O371"/>
      <c r="P371" s="220">
        <f>P369+$Q$6</f>
        <v>0</v>
      </c>
      <c r="Q371" s="221"/>
      <c r="R371" s="221" t="e">
        <f>IF(R369+Q370&lt;0,(R369+Q370)*0.8,R369+Q370)</f>
        <v>#DIV/0!</v>
      </c>
      <c r="S371" s="221"/>
      <c r="T371" s="221" t="e">
        <f>T369*(X371/X369)^2</f>
        <v>#DIV/0!</v>
      </c>
      <c r="U371" s="221"/>
      <c r="V371" s="221" t="e">
        <f>IF(AND(ABS(V369+U370)&gt;$B$5*0.8,(V369+U370)&lt;0),-$B$5*0.5,IF(AND(ABS(V369+U370)&gt;$B$5*0.8,(V369+U370)&gt;0),$B$5*0.5,V369+U370))</f>
        <v>#DIV/0!</v>
      </c>
      <c r="W371" s="221"/>
      <c r="X371" s="223" t="e">
        <f>$B$7*V371</f>
        <v>#DIV/0!</v>
      </c>
    </row>
    <row r="372" spans="12:24" x14ac:dyDescent="0.3">
      <c r="L372"/>
      <c r="M372"/>
      <c r="N372"/>
      <c r="O372"/>
      <c r="P372" s="213"/>
      <c r="Q372" s="221" t="e">
        <f>(V371+U370/2)*$Q$12</f>
        <v>#DIV/0!</v>
      </c>
      <c r="R372" s="221"/>
      <c r="S372" s="221" t="e">
        <f>R371+Q372/2</f>
        <v>#DIV/0!</v>
      </c>
      <c r="T372" s="221"/>
      <c r="U372" s="221" t="e">
        <f>-$Q$13*(S372+T371*((V371+U370/2)^2))</f>
        <v>#DIV/0!</v>
      </c>
      <c r="V372" s="221"/>
      <c r="W372" s="221" t="e">
        <f>V371+U372/2</f>
        <v>#DIV/0!</v>
      </c>
      <c r="X372" s="213"/>
    </row>
    <row r="373" spans="12:24" x14ac:dyDescent="0.3">
      <c r="L373"/>
      <c r="M373"/>
      <c r="N373"/>
      <c r="O373"/>
      <c r="P373" s="220">
        <f>P371+$Q$6</f>
        <v>0</v>
      </c>
      <c r="Q373" s="221"/>
      <c r="R373" s="221" t="e">
        <f>IF(R371+Q372&lt;0,(R371+Q372)*0.8,R371+Q372)</f>
        <v>#DIV/0!</v>
      </c>
      <c r="S373" s="221"/>
      <c r="T373" s="221" t="e">
        <f>T371*(X373/X371)^2</f>
        <v>#DIV/0!</v>
      </c>
      <c r="U373" s="221"/>
      <c r="V373" s="221" t="e">
        <f>IF(AND(ABS(V371+U372)&gt;$B$5*0.8,(V371+U372)&lt;0),-$B$5*0.5,IF(AND(ABS(V371+U372)&gt;$B$5*0.8,(V371+U372)&gt;0),$B$5*0.5,V371+U372))</f>
        <v>#DIV/0!</v>
      </c>
      <c r="W373" s="221"/>
      <c r="X373" s="223" t="e">
        <f>$B$7*V373</f>
        <v>#DIV/0!</v>
      </c>
    </row>
    <row r="374" spans="12:24" x14ac:dyDescent="0.3">
      <c r="L374"/>
      <c r="M374"/>
      <c r="N374"/>
      <c r="O374"/>
      <c r="P374" s="213"/>
      <c r="Q374" s="221" t="e">
        <f>(V373+U372/2)*$Q$12</f>
        <v>#DIV/0!</v>
      </c>
      <c r="R374" s="221"/>
      <c r="S374" s="221" t="e">
        <f>R373+Q374/2</f>
        <v>#DIV/0!</v>
      </c>
      <c r="T374" s="221"/>
      <c r="U374" s="221" t="e">
        <f>-$Q$13*(S374+T373*((V373+U372/2)^2))</f>
        <v>#DIV/0!</v>
      </c>
      <c r="V374" s="221"/>
      <c r="W374" s="221" t="e">
        <f>V373+U374/2</f>
        <v>#DIV/0!</v>
      </c>
      <c r="X374" s="213"/>
    </row>
    <row r="375" spans="12:24" x14ac:dyDescent="0.3">
      <c r="L375"/>
      <c r="M375"/>
      <c r="N375"/>
      <c r="O375"/>
      <c r="P375" s="220">
        <f>P373+$Q$6</f>
        <v>0</v>
      </c>
      <c r="Q375" s="221"/>
      <c r="R375" s="221" t="e">
        <f>IF(R373+Q374&lt;0,(R373+Q374)*0.8,R373+Q374)</f>
        <v>#DIV/0!</v>
      </c>
      <c r="S375" s="221"/>
      <c r="T375" s="221" t="e">
        <f>T373*(X375/X373)^2</f>
        <v>#DIV/0!</v>
      </c>
      <c r="U375" s="221"/>
      <c r="V375" s="221" t="e">
        <f>IF(AND(ABS(V373+U374)&gt;$B$5*0.8,(V373+U374)&lt;0),-$B$5*0.5,IF(AND(ABS(V373+U374)&gt;$B$5*0.8,(V373+U374)&gt;0),$B$5*0.5,V373+U374))</f>
        <v>#DIV/0!</v>
      </c>
      <c r="W375" s="221"/>
      <c r="X375" s="223" t="e">
        <f>$B$7*V375</f>
        <v>#DIV/0!</v>
      </c>
    </row>
    <row r="376" spans="12:24" x14ac:dyDescent="0.3">
      <c r="L376"/>
      <c r="M376"/>
      <c r="N376"/>
      <c r="O376"/>
      <c r="P376" s="213"/>
      <c r="Q376" s="221" t="e">
        <f>(V375+U374/2)*$Q$12</f>
        <v>#DIV/0!</v>
      </c>
      <c r="R376" s="221"/>
      <c r="S376" s="221" t="e">
        <f>R375+Q376/2</f>
        <v>#DIV/0!</v>
      </c>
      <c r="T376" s="221"/>
      <c r="U376" s="221" t="e">
        <f>-$Q$13*(S376+T375*((V375+U374/2)^2))</f>
        <v>#DIV/0!</v>
      </c>
      <c r="V376" s="221"/>
      <c r="W376" s="221" t="e">
        <f>V375+U376/2</f>
        <v>#DIV/0!</v>
      </c>
      <c r="X376" s="213"/>
    </row>
    <row r="377" spans="12:24" x14ac:dyDescent="0.3">
      <c r="L377"/>
      <c r="M377"/>
      <c r="N377"/>
      <c r="O377"/>
      <c r="P377" s="220">
        <f>P375+$Q$6</f>
        <v>0</v>
      </c>
      <c r="Q377" s="221"/>
      <c r="R377" s="221" t="e">
        <f>IF(R375+Q376&lt;0,(R375+Q376)*0.8,R375+Q376)</f>
        <v>#DIV/0!</v>
      </c>
      <c r="S377" s="221"/>
      <c r="T377" s="221" t="e">
        <f>T375*(X377/X375)^2</f>
        <v>#DIV/0!</v>
      </c>
      <c r="U377" s="221"/>
      <c r="V377" s="221" t="e">
        <f>IF(AND(ABS(V375+U376)&gt;$B$5*0.8,(V375+U376)&lt;0),-$B$5*0.5,IF(AND(ABS(V375+U376)&gt;$B$5*0.8,(V375+U376)&gt;0),$B$5*0.5,V375+U376))</f>
        <v>#DIV/0!</v>
      </c>
      <c r="W377" s="221"/>
      <c r="X377" s="223" t="e">
        <f>$B$7*V377</f>
        <v>#DIV/0!</v>
      </c>
    </row>
    <row r="378" spans="12:24" x14ac:dyDescent="0.3">
      <c r="L378"/>
      <c r="M378"/>
      <c r="N378"/>
      <c r="O378"/>
      <c r="P378" s="213"/>
      <c r="Q378" s="221" t="e">
        <f>(V377+U376/2)*$Q$12</f>
        <v>#DIV/0!</v>
      </c>
      <c r="R378" s="221"/>
      <c r="S378" s="221" t="e">
        <f>R377+Q378/2</f>
        <v>#DIV/0!</v>
      </c>
      <c r="T378" s="221"/>
      <c r="U378" s="221" t="e">
        <f>-$Q$13*(S378+T377*((V377+U376/2)^2))</f>
        <v>#DIV/0!</v>
      </c>
      <c r="V378" s="221"/>
      <c r="W378" s="221" t="e">
        <f>V377+U378/2</f>
        <v>#DIV/0!</v>
      </c>
      <c r="X378" s="213"/>
    </row>
    <row r="379" spans="12:24" x14ac:dyDescent="0.3">
      <c r="L379"/>
      <c r="M379"/>
      <c r="N379"/>
      <c r="O379"/>
      <c r="P379" s="220">
        <f>P377+$Q$6</f>
        <v>0</v>
      </c>
      <c r="Q379" s="221"/>
      <c r="R379" s="221" t="e">
        <f>IF(R377+Q378&lt;0,(R377+Q378)*0.8,R377+Q378)</f>
        <v>#DIV/0!</v>
      </c>
      <c r="S379" s="221"/>
      <c r="T379" s="221" t="e">
        <f>T377*(X379/X377)^2</f>
        <v>#DIV/0!</v>
      </c>
      <c r="U379" s="221"/>
      <c r="V379" s="221" t="e">
        <f>IF(AND(ABS(V377+U378)&gt;$B$5*0.8,(V377+U378)&lt;0),-$B$5*0.5,IF(AND(ABS(V377+U378)&gt;$B$5*0.8,(V377+U378)&gt;0),$B$5*0.5,V377+U378))</f>
        <v>#DIV/0!</v>
      </c>
      <c r="W379" s="221"/>
      <c r="X379" s="223" t="e">
        <f>$B$7*V379</f>
        <v>#DIV/0!</v>
      </c>
    </row>
    <row r="380" spans="12:24" x14ac:dyDescent="0.3">
      <c r="L380"/>
      <c r="M380"/>
      <c r="N380"/>
      <c r="O380"/>
      <c r="P380" s="213"/>
      <c r="Q380" s="221" t="e">
        <f>(V379+U378/2)*$Q$12</f>
        <v>#DIV/0!</v>
      </c>
      <c r="R380" s="221"/>
      <c r="S380" s="221" t="e">
        <f>R379+Q380/2</f>
        <v>#DIV/0!</v>
      </c>
      <c r="T380" s="221"/>
      <c r="U380" s="221" t="e">
        <f>-$Q$13*(S380+T379*((V379+U378/2)^2))</f>
        <v>#DIV/0!</v>
      </c>
      <c r="V380" s="221"/>
      <c r="W380" s="221" t="e">
        <f>V379+U380/2</f>
        <v>#DIV/0!</v>
      </c>
      <c r="X380" s="213"/>
    </row>
    <row r="381" spans="12:24" x14ac:dyDescent="0.3">
      <c r="L381"/>
      <c r="M381"/>
      <c r="N381"/>
      <c r="O381"/>
      <c r="P381" s="220">
        <f>P379+$Q$6</f>
        <v>0</v>
      </c>
      <c r="Q381" s="221"/>
      <c r="R381" s="221" t="e">
        <f>IF(R379+Q380&lt;0,(R379+Q380)*0.8,R379+Q380)</f>
        <v>#DIV/0!</v>
      </c>
      <c r="S381" s="221"/>
      <c r="T381" s="221" t="e">
        <f>T379*(X381/X379)^2</f>
        <v>#DIV/0!</v>
      </c>
      <c r="U381" s="221"/>
      <c r="V381" s="221" t="e">
        <f>IF(AND(ABS(V379+U380)&gt;$B$5*0.8,(V379+U380)&lt;0),-$B$5*0.5,IF(AND(ABS(V379+U380)&gt;$B$5*0.8,(V379+U380)&gt;0),$B$5*0.5,V379+U380))</f>
        <v>#DIV/0!</v>
      </c>
      <c r="W381" s="229"/>
      <c r="X381" s="223" t="e">
        <f>$B$7*V381</f>
        <v>#DIV/0!</v>
      </c>
    </row>
    <row r="382" spans="12:24" x14ac:dyDescent="0.3">
      <c r="L382"/>
      <c r="M382"/>
      <c r="N382"/>
      <c r="O382"/>
      <c r="P382" s="220"/>
      <c r="Q382" s="221" t="e">
        <f>(V381+U380/2)*$Q$12</f>
        <v>#DIV/0!</v>
      </c>
      <c r="R382" s="221"/>
      <c r="S382" s="221" t="e">
        <f>R381+Q382/2</f>
        <v>#DIV/0!</v>
      </c>
      <c r="T382" s="221"/>
      <c r="U382" s="221" t="e">
        <f>-$Q$13*(S382+T381*((V381+U380/2)^2))</f>
        <v>#DIV/0!</v>
      </c>
      <c r="V382" s="221"/>
      <c r="W382" s="229" t="e">
        <f>V381+U382/2</f>
        <v>#DIV/0!</v>
      </c>
      <c r="X382" s="213"/>
    </row>
    <row r="383" spans="12:24" x14ac:dyDescent="0.3">
      <c r="L383"/>
      <c r="M383"/>
      <c r="N383"/>
      <c r="O383"/>
      <c r="P383" s="220">
        <f>P381+$Q$6</f>
        <v>0</v>
      </c>
      <c r="Q383" s="221"/>
      <c r="R383" s="221" t="e">
        <f>IF(R381+Q382&lt;0,(R381+Q382)*0.8,R381+Q382)</f>
        <v>#DIV/0!</v>
      </c>
      <c r="S383" s="221"/>
      <c r="T383" s="221" t="e">
        <f>T381*(X383/X381)^2</f>
        <v>#DIV/0!</v>
      </c>
      <c r="U383" s="221"/>
      <c r="V383" s="221" t="e">
        <f>IF(AND(ABS(V381+U382)&gt;$B$5*0.8,(V381+U382)&lt;0),-$B$5*0.5,IF(AND(ABS(V381+U382)&gt;$B$5*0.8,(V381+U382)&gt;0),$B$5*0.5,V381+U382))</f>
        <v>#DIV/0!</v>
      </c>
      <c r="W383" s="229"/>
      <c r="X383" s="223" t="e">
        <f>$B$7*V383</f>
        <v>#DIV/0!</v>
      </c>
    </row>
    <row r="384" spans="12:24" x14ac:dyDescent="0.3">
      <c r="L384"/>
      <c r="M384"/>
      <c r="N384"/>
      <c r="O384"/>
      <c r="P384" s="213"/>
      <c r="Q384" s="221" t="e">
        <f>(V383+U382/2)*$Q$12</f>
        <v>#DIV/0!</v>
      </c>
      <c r="R384" s="221"/>
      <c r="S384" s="221" t="e">
        <f>R383+Q384/2</f>
        <v>#DIV/0!</v>
      </c>
      <c r="T384" s="221"/>
      <c r="U384" s="221" t="e">
        <f>-$Q$13*(S384+T383*((V383+U382/2)^2))</f>
        <v>#DIV/0!</v>
      </c>
      <c r="V384" s="221"/>
      <c r="W384" s="229" t="e">
        <f>V383+U384/2</f>
        <v>#DIV/0!</v>
      </c>
      <c r="X384" s="213"/>
    </row>
    <row r="385" spans="12:24" x14ac:dyDescent="0.3">
      <c r="L385"/>
      <c r="M385"/>
      <c r="N385"/>
      <c r="O385"/>
      <c r="P385" s="220">
        <f>P383+$Q$6</f>
        <v>0</v>
      </c>
      <c r="Q385" s="221"/>
      <c r="R385" s="221" t="e">
        <f>IF(R383+Q384&lt;0,(R383+Q384)*0.8,R383+Q384)</f>
        <v>#DIV/0!</v>
      </c>
      <c r="S385" s="221"/>
      <c r="T385" s="221" t="e">
        <f>T383*(X385/X383)^2</f>
        <v>#DIV/0!</v>
      </c>
      <c r="U385" s="221"/>
      <c r="V385" s="221" t="e">
        <f>IF(AND(ABS(V383+U384)&gt;$B$5*0.8,(V383+U384)&lt;0),-$B$5*0.5,IF(AND(ABS(V383+U384)&gt;$B$5*0.8,(V383+U384)&gt;0),$B$5*0.5,V383+U384))</f>
        <v>#DIV/0!</v>
      </c>
      <c r="W385" s="229"/>
      <c r="X385" s="223" t="e">
        <f>$B$7*V385</f>
        <v>#DIV/0!</v>
      </c>
    </row>
    <row r="386" spans="12:24" x14ac:dyDescent="0.3">
      <c r="L386"/>
      <c r="M386"/>
      <c r="N386"/>
      <c r="O386"/>
      <c r="P386" s="220"/>
      <c r="Q386" s="221" t="e">
        <f>(V385+U384/2)*$Q$12</f>
        <v>#DIV/0!</v>
      </c>
      <c r="R386" s="221"/>
      <c r="S386" s="221" t="e">
        <f>R385+Q386/2</f>
        <v>#DIV/0!</v>
      </c>
      <c r="T386" s="221"/>
      <c r="U386" s="221" t="e">
        <f>-$Q$13*(S386+T385*((V385+U384/2)^2))</f>
        <v>#DIV/0!</v>
      </c>
      <c r="V386" s="221"/>
      <c r="W386" s="221" t="e">
        <f>V385+U386/2</f>
        <v>#DIV/0!</v>
      </c>
      <c r="X386" s="224"/>
    </row>
    <row r="387" spans="12:24" x14ac:dyDescent="0.3">
      <c r="L387"/>
      <c r="M387"/>
      <c r="N387"/>
      <c r="O387"/>
      <c r="P387" s="220">
        <f>P385+$Q$6</f>
        <v>0</v>
      </c>
      <c r="Q387" s="221"/>
      <c r="R387" s="221" t="e">
        <f>IF(R385+Q386&lt;0,(R385+Q386)*0.8,R385+Q386)</f>
        <v>#DIV/0!</v>
      </c>
      <c r="S387" s="221"/>
      <c r="T387" s="221" t="e">
        <f>T385*(X387/X385)^2</f>
        <v>#DIV/0!</v>
      </c>
      <c r="U387" s="221"/>
      <c r="V387" s="221" t="e">
        <f>IF(AND(ABS(V385+U386)&gt;$B$5*0.8,(V385+U386)&lt;0),-$B$5*0.5,IF(AND(ABS(V385+U386)&gt;$B$5*0.8,(V385+U386)&gt;0),$B$5*0.5,V385+U386))</f>
        <v>#DIV/0!</v>
      </c>
      <c r="W387" s="221"/>
      <c r="X387" s="223" t="e">
        <f>$B$7*V387</f>
        <v>#DIV/0!</v>
      </c>
    </row>
    <row r="388" spans="12:24" x14ac:dyDescent="0.3">
      <c r="L388"/>
      <c r="M388"/>
      <c r="N388"/>
      <c r="O388"/>
      <c r="P388" s="213"/>
      <c r="Q388" s="221" t="e">
        <f>(V387+U386/2)*$Q$12</f>
        <v>#DIV/0!</v>
      </c>
      <c r="R388" s="221"/>
      <c r="S388" s="221" t="e">
        <f>R387+Q388/2</f>
        <v>#DIV/0!</v>
      </c>
      <c r="T388" s="221"/>
      <c r="U388" s="221" t="e">
        <f>-$Q$13*(S388+T387*((V387+U386/2)^2))</f>
        <v>#DIV/0!</v>
      </c>
      <c r="V388" s="221"/>
      <c r="W388" s="221" t="e">
        <f>V387+U388/2</f>
        <v>#DIV/0!</v>
      </c>
      <c r="X388" s="213"/>
    </row>
    <row r="389" spans="12:24" x14ac:dyDescent="0.3">
      <c r="L389"/>
      <c r="M389"/>
      <c r="N389"/>
      <c r="O389"/>
      <c r="P389" s="220">
        <f>P387+$Q$6</f>
        <v>0</v>
      </c>
      <c r="Q389" s="221"/>
      <c r="R389" s="221" t="e">
        <f>IF(R387+Q388&lt;0,(R387+Q388)*0.8,R387+Q388)</f>
        <v>#DIV/0!</v>
      </c>
      <c r="S389" s="221"/>
      <c r="T389" s="221" t="e">
        <f>T387*(X389/X387)^2</f>
        <v>#DIV/0!</v>
      </c>
      <c r="U389" s="221"/>
      <c r="V389" s="221" t="e">
        <f>IF(AND(ABS(V387+U388)&gt;$B$5*0.8,(V387+U388)&lt;0),-$B$5*0.5,IF(AND(ABS(V387+U388)&gt;$B$5*0.8,(V387+U388)&gt;0),$B$5*0.5,V387+U388))</f>
        <v>#DIV/0!</v>
      </c>
      <c r="W389" s="221"/>
      <c r="X389" s="223" t="e">
        <f>$B$7*V389</f>
        <v>#DIV/0!</v>
      </c>
    </row>
    <row r="390" spans="12:24" x14ac:dyDescent="0.3">
      <c r="L390"/>
      <c r="M390"/>
      <c r="N390"/>
      <c r="O390"/>
      <c r="P390" s="220"/>
      <c r="Q390" s="221" t="e">
        <f>(V389+U388/2)*$Q$12</f>
        <v>#DIV/0!</v>
      </c>
      <c r="R390" s="221"/>
      <c r="S390" s="221" t="e">
        <f>R389+Q390/2</f>
        <v>#DIV/0!</v>
      </c>
      <c r="T390" s="221"/>
      <c r="U390" s="221" t="e">
        <f>-$Q$13*(S390+T389*((V389+U388/2)^2))</f>
        <v>#DIV/0!</v>
      </c>
      <c r="V390" s="221"/>
      <c r="W390" s="221" t="e">
        <f>V389+U390/2</f>
        <v>#DIV/0!</v>
      </c>
      <c r="X390" s="213"/>
    </row>
    <row r="391" spans="12:24" x14ac:dyDescent="0.3">
      <c r="L391"/>
      <c r="M391"/>
      <c r="N391"/>
      <c r="O391"/>
      <c r="P391" s="220">
        <f>P389+$Q$6</f>
        <v>0</v>
      </c>
      <c r="Q391" s="221"/>
      <c r="R391" s="221" t="e">
        <f>IF(R389+Q390&lt;0,(R389+Q390)*0.8,R389+Q390)</f>
        <v>#DIV/0!</v>
      </c>
      <c r="S391" s="221"/>
      <c r="T391" s="221" t="e">
        <f>T389*(X391/X389)^2</f>
        <v>#DIV/0!</v>
      </c>
      <c r="U391" s="221"/>
      <c r="V391" s="221" t="e">
        <f>IF(AND(ABS(V389+U390)&gt;$B$5*0.8,(V389+U390)&lt;0),-$B$5*0.5,IF(AND(ABS(V389+U390)&gt;$B$5*0.8,(V389+U390)&gt;0),$B$5*0.5,V389+U390))</f>
        <v>#DIV/0!</v>
      </c>
      <c r="W391" s="221"/>
      <c r="X391" s="223" t="e">
        <f>$B$7*V391</f>
        <v>#DIV/0!</v>
      </c>
    </row>
    <row r="392" spans="12:24" x14ac:dyDescent="0.3">
      <c r="L392"/>
      <c r="M392"/>
      <c r="N392"/>
      <c r="O392"/>
      <c r="P392" s="213"/>
      <c r="Q392" s="221" t="e">
        <f>(V391+U390/2)*$Q$12</f>
        <v>#DIV/0!</v>
      </c>
      <c r="R392" s="221"/>
      <c r="S392" s="221" t="e">
        <f>R391+Q392/2</f>
        <v>#DIV/0!</v>
      </c>
      <c r="T392" s="221"/>
      <c r="U392" s="221" t="e">
        <f>-$Q$13*(S392+T391*((V391+U390/2)^2))</f>
        <v>#DIV/0!</v>
      </c>
      <c r="V392" s="221"/>
      <c r="W392" s="221" t="e">
        <f>V391+U392/2</f>
        <v>#DIV/0!</v>
      </c>
      <c r="X392" s="213"/>
    </row>
    <row r="393" spans="12:24" x14ac:dyDescent="0.3">
      <c r="L393"/>
      <c r="M393"/>
      <c r="N393"/>
      <c r="O393"/>
      <c r="P393" s="220">
        <f>P391+$Q$6</f>
        <v>0</v>
      </c>
      <c r="Q393" s="221"/>
      <c r="R393" s="221" t="e">
        <f>IF(R391+Q392&lt;0,(R391+Q392)*0.8,R391+Q392)</f>
        <v>#DIV/0!</v>
      </c>
      <c r="S393" s="221"/>
      <c r="T393" s="221" t="e">
        <f>T391*(X393/X391)^2</f>
        <v>#DIV/0!</v>
      </c>
      <c r="U393" s="221"/>
      <c r="V393" s="221" t="e">
        <f>IF(AND(ABS(V391+U392)&gt;$B$5*0.8,(V391+U392)&lt;0),-$B$5*0.5,IF(AND(ABS(V391+U392)&gt;$B$5*0.8,(V391+U392)&gt;0),$B$5*0.5,V391+U392))</f>
        <v>#DIV/0!</v>
      </c>
      <c r="W393" s="221"/>
      <c r="X393" s="223" t="e">
        <f>$B$7*V393</f>
        <v>#DIV/0!</v>
      </c>
    </row>
    <row r="394" spans="12:24" x14ac:dyDescent="0.3">
      <c r="L394"/>
      <c r="M394"/>
      <c r="N394"/>
      <c r="O394"/>
      <c r="P394" s="213"/>
      <c r="Q394" s="221" t="e">
        <f>(V393+U392/2)*$Q$12</f>
        <v>#DIV/0!</v>
      </c>
      <c r="R394" s="221"/>
      <c r="S394" s="221" t="e">
        <f>R393+Q394/2</f>
        <v>#DIV/0!</v>
      </c>
      <c r="T394" s="221"/>
      <c r="U394" s="221" t="e">
        <f>-$Q$13*(S394+T393*((V393+U392/2)^2))</f>
        <v>#DIV/0!</v>
      </c>
      <c r="V394" s="221"/>
      <c r="W394" s="221" t="e">
        <f>V393+U394/2</f>
        <v>#DIV/0!</v>
      </c>
      <c r="X394" s="213"/>
    </row>
    <row r="395" spans="12:24" x14ac:dyDescent="0.3">
      <c r="L395"/>
      <c r="M395"/>
      <c r="N395"/>
      <c r="O395"/>
      <c r="P395" s="220">
        <f>P393+$Q$6</f>
        <v>0</v>
      </c>
      <c r="Q395" s="221"/>
      <c r="R395" s="221" t="e">
        <f>IF(R393+Q394&lt;0,(R393+Q394)*0.8,R393+Q394)</f>
        <v>#DIV/0!</v>
      </c>
      <c r="S395" s="221"/>
      <c r="T395" s="221" t="e">
        <f>T393*(X395/X393)^2</f>
        <v>#DIV/0!</v>
      </c>
      <c r="U395" s="221"/>
      <c r="V395" s="221" t="e">
        <f>IF(AND(ABS(V393+U394)&gt;$B$5*0.8,(V393+U394)&lt;0),-$B$5*0.5,IF(AND(ABS(V393+U394)&gt;$B$5*0.8,(V393+U394)&gt;0),$B$5*0.5,V393+U394))</f>
        <v>#DIV/0!</v>
      </c>
      <c r="W395" s="221"/>
      <c r="X395" s="223" t="e">
        <f>$B$7*V395</f>
        <v>#DIV/0!</v>
      </c>
    </row>
    <row r="396" spans="12:24" x14ac:dyDescent="0.3">
      <c r="L396"/>
      <c r="M396"/>
      <c r="N396"/>
      <c r="O396"/>
      <c r="P396" s="213"/>
      <c r="Q396" s="221" t="e">
        <f>(V395+U394/2)*$Q$12</f>
        <v>#DIV/0!</v>
      </c>
      <c r="R396" s="221"/>
      <c r="S396" s="221" t="e">
        <f>R395+Q396/2</f>
        <v>#DIV/0!</v>
      </c>
      <c r="T396" s="221"/>
      <c r="U396" s="221" t="e">
        <f>-$Q$13*(S396+T395*((V395+U394/2)^2))</f>
        <v>#DIV/0!</v>
      </c>
      <c r="V396" s="221"/>
      <c r="W396" s="221" t="e">
        <f>V395+U396/2</f>
        <v>#DIV/0!</v>
      </c>
      <c r="X396" s="213"/>
    </row>
    <row r="397" spans="12:24" x14ac:dyDescent="0.3">
      <c r="L397"/>
      <c r="M397"/>
      <c r="N397"/>
      <c r="O397"/>
      <c r="P397" s="220">
        <f>P395+$Q$6</f>
        <v>0</v>
      </c>
      <c r="Q397" s="221"/>
      <c r="R397" s="221" t="e">
        <f>IF(R395+Q396&lt;0,(R395+Q396)*0.8,R395+Q396)</f>
        <v>#DIV/0!</v>
      </c>
      <c r="S397" s="221"/>
      <c r="T397" s="221" t="e">
        <f>T395*(X397/X395)^2</f>
        <v>#DIV/0!</v>
      </c>
      <c r="U397" s="221"/>
      <c r="V397" s="221" t="e">
        <f>IF(AND(ABS(V395+U396)&gt;$B$5*0.8,(V395+U396)&lt;0),-$B$5*0.5,IF(AND(ABS(V395+U396)&gt;$B$5*0.8,(V395+U396)&gt;0),$B$5*0.5,V395+U396))</f>
        <v>#DIV/0!</v>
      </c>
      <c r="W397" s="221"/>
      <c r="X397" s="223" t="e">
        <f>$B$7*V397</f>
        <v>#DIV/0!</v>
      </c>
    </row>
    <row r="398" spans="12:24" x14ac:dyDescent="0.3">
      <c r="L398"/>
      <c r="M398"/>
      <c r="N398"/>
      <c r="O398"/>
      <c r="P398" s="213"/>
      <c r="Q398" s="221" t="e">
        <f>(V397+U396/2)*$Q$12</f>
        <v>#DIV/0!</v>
      </c>
      <c r="R398" s="221"/>
      <c r="S398" s="221" t="e">
        <f>R397+Q398/2</f>
        <v>#DIV/0!</v>
      </c>
      <c r="T398" s="221"/>
      <c r="U398" s="221" t="e">
        <f>-$Q$13*(S398+T397*((V397+U396/2)^2))</f>
        <v>#DIV/0!</v>
      </c>
      <c r="V398" s="221"/>
      <c r="W398" s="221" t="e">
        <f>V397+U398/2</f>
        <v>#DIV/0!</v>
      </c>
      <c r="X398" s="213"/>
    </row>
    <row r="399" spans="12:24" x14ac:dyDescent="0.3">
      <c r="L399"/>
      <c r="M399"/>
      <c r="N399"/>
      <c r="O399"/>
      <c r="P399" s="220">
        <f>P397+$Q$6</f>
        <v>0</v>
      </c>
      <c r="Q399" s="221"/>
      <c r="R399" s="221" t="e">
        <f>IF(R397+Q398&lt;0,(R397+Q398)*0.8,R397+Q398)</f>
        <v>#DIV/0!</v>
      </c>
      <c r="S399" s="221"/>
      <c r="T399" s="221" t="e">
        <f>T397*(X399/X397)^2</f>
        <v>#DIV/0!</v>
      </c>
      <c r="U399" s="221"/>
      <c r="V399" s="221" t="e">
        <f>IF(AND(ABS(V397+U398)&gt;$B$5*0.8,(V397+U398)&lt;0),-$B$5*0.5,IF(AND(ABS(V397+U398)&gt;$B$5*0.8,(V397+U398)&gt;0),$B$5*0.5,V397+U398))</f>
        <v>#DIV/0!</v>
      </c>
      <c r="W399" s="221"/>
      <c r="X399" s="223" t="e">
        <f>$B$7*V399</f>
        <v>#DIV/0!</v>
      </c>
    </row>
    <row r="400" spans="12:24" x14ac:dyDescent="0.3">
      <c r="L400"/>
      <c r="M400"/>
      <c r="N400"/>
      <c r="O400"/>
      <c r="P400" s="213"/>
      <c r="Q400" s="221" t="e">
        <f>(V399+U398/2)*$Q$12</f>
        <v>#DIV/0!</v>
      </c>
      <c r="R400" s="221"/>
      <c r="S400" s="221" t="e">
        <f>R399+Q400/2</f>
        <v>#DIV/0!</v>
      </c>
      <c r="T400" s="221"/>
      <c r="U400" s="221" t="e">
        <f>-$Q$13*(S400+T399*((V399+U398/2)^2))</f>
        <v>#DIV/0!</v>
      </c>
      <c r="V400" s="221"/>
      <c r="W400" s="221" t="e">
        <f>V399+U400/2</f>
        <v>#DIV/0!</v>
      </c>
      <c r="X400" s="213"/>
    </row>
    <row r="401" spans="12:24" x14ac:dyDescent="0.3">
      <c r="L401"/>
      <c r="M401"/>
      <c r="N401"/>
      <c r="O401"/>
      <c r="P401" s="220">
        <f>P399+$Q$6</f>
        <v>0</v>
      </c>
      <c r="Q401" s="221"/>
      <c r="R401" s="221" t="e">
        <f>IF(R399+Q400&lt;0,(R399+Q400)*0.8,R399+Q400)</f>
        <v>#DIV/0!</v>
      </c>
      <c r="S401" s="221"/>
      <c r="T401" s="221" t="e">
        <f>T399*(X401/X399)^2</f>
        <v>#DIV/0!</v>
      </c>
      <c r="U401" s="221"/>
      <c r="V401" s="221" t="e">
        <f>IF(AND(ABS(V399+U400)&gt;$B$5*0.8,(V399+U400)&lt;0),-$B$5*0.5,IF(AND(ABS(V399+U400)&gt;$B$5*0.8,(V399+U400)&gt;0),$B$5*0.5,V399+U400))</f>
        <v>#DIV/0!</v>
      </c>
      <c r="W401" s="221"/>
      <c r="X401" s="223" t="e">
        <f>$B$7*V401</f>
        <v>#DIV/0!</v>
      </c>
    </row>
    <row r="402" spans="12:24" x14ac:dyDescent="0.3">
      <c r="L402"/>
      <c r="M402"/>
      <c r="N402"/>
      <c r="O402"/>
      <c r="P402" s="213"/>
      <c r="Q402" s="221" t="e">
        <f>(V401+U400/2)*$Q$12</f>
        <v>#DIV/0!</v>
      </c>
      <c r="R402" s="221"/>
      <c r="S402" s="221" t="e">
        <f>R401+Q402/2</f>
        <v>#DIV/0!</v>
      </c>
      <c r="T402" s="221"/>
      <c r="U402" s="221" t="e">
        <f>-$Q$13*(S402+T401*((V401+U400/2)^2))</f>
        <v>#DIV/0!</v>
      </c>
      <c r="V402" s="221"/>
      <c r="W402" s="221" t="e">
        <f>V401+U402/2</f>
        <v>#DIV/0!</v>
      </c>
      <c r="X402" s="213"/>
    </row>
    <row r="403" spans="12:24" x14ac:dyDescent="0.3">
      <c r="L403"/>
      <c r="M403"/>
      <c r="N403"/>
      <c r="O403"/>
      <c r="P403" s="220">
        <f>P401+$Q$6</f>
        <v>0</v>
      </c>
      <c r="Q403" s="221"/>
      <c r="R403" s="221" t="e">
        <f>IF(R401+Q402&lt;0,(R401+Q402)*0.8,R401+Q402)</f>
        <v>#DIV/0!</v>
      </c>
      <c r="S403" s="221"/>
      <c r="T403" s="221" t="e">
        <f>T401*(X403/X401)^2</f>
        <v>#DIV/0!</v>
      </c>
      <c r="U403" s="221"/>
      <c r="V403" s="221" t="e">
        <f>IF(AND(ABS(V401+U402)&gt;$B$5*0.8,(V401+U402)&lt;0),-$B$5*0.5,IF(AND(ABS(V401+U402)&gt;$B$5*0.8,(V401+U402)&gt;0),$B$5*0.5,V401+U402))</f>
        <v>#DIV/0!</v>
      </c>
      <c r="W403" s="221"/>
      <c r="X403" s="223" t="e">
        <f>$B$7*V403</f>
        <v>#DIV/0!</v>
      </c>
    </row>
    <row r="404" spans="12:24" x14ac:dyDescent="0.3">
      <c r="L404"/>
      <c r="M404"/>
      <c r="N404"/>
      <c r="O404"/>
      <c r="P404" s="213"/>
      <c r="Q404" s="221" t="e">
        <f>(V403+U402/2)*$Q$12</f>
        <v>#DIV/0!</v>
      </c>
      <c r="R404" s="221"/>
      <c r="S404" s="221" t="e">
        <f>R403+Q404/2</f>
        <v>#DIV/0!</v>
      </c>
      <c r="T404" s="221"/>
      <c r="U404" s="221" t="e">
        <f>-$Q$13*(S404+T403*((V403+U402/2)^2))</f>
        <v>#DIV/0!</v>
      </c>
      <c r="V404" s="221"/>
      <c r="W404" s="221" t="e">
        <f>V403+U404/2</f>
        <v>#DIV/0!</v>
      </c>
      <c r="X404" s="213"/>
    </row>
    <row r="405" spans="12:24" x14ac:dyDescent="0.3">
      <c r="L405"/>
      <c r="M405"/>
      <c r="N405"/>
      <c r="O405"/>
      <c r="P405" s="220">
        <f>P403+$Q$6</f>
        <v>0</v>
      </c>
      <c r="Q405" s="221"/>
      <c r="R405" s="221" t="e">
        <f>IF(R403+Q404&lt;0,(R403+Q404)*0.8,R403+Q404)</f>
        <v>#DIV/0!</v>
      </c>
      <c r="S405" s="221"/>
      <c r="T405" s="221" t="e">
        <f>T403*(X405/X403)^2</f>
        <v>#DIV/0!</v>
      </c>
      <c r="U405" s="221"/>
      <c r="V405" s="221" t="e">
        <f>IF(AND(ABS(V403+U404)&gt;$B$5*0.8,(V403+U404)&lt;0),-$B$5*0.5,IF(AND(ABS(V403+U404)&gt;$B$5*0.8,(V403+U404)&gt;0),$B$5*0.5,V403+U404))</f>
        <v>#DIV/0!</v>
      </c>
      <c r="W405" s="221"/>
      <c r="X405" s="223" t="e">
        <f>$B$7*V405</f>
        <v>#DIV/0!</v>
      </c>
    </row>
    <row r="406" spans="12:24" x14ac:dyDescent="0.3">
      <c r="L406"/>
      <c r="M406"/>
      <c r="N406"/>
      <c r="O406"/>
      <c r="P406" s="213"/>
      <c r="Q406" s="221" t="e">
        <f>(V405+U404/2)*$Q$12</f>
        <v>#DIV/0!</v>
      </c>
      <c r="R406" s="221"/>
      <c r="S406" s="221" t="e">
        <f>R405+Q406/2</f>
        <v>#DIV/0!</v>
      </c>
      <c r="T406" s="221"/>
      <c r="U406" s="221" t="e">
        <f>-$Q$13*(S406+T405*((V405+U404/2)^2))</f>
        <v>#DIV/0!</v>
      </c>
      <c r="V406" s="221"/>
      <c r="W406" s="221" t="e">
        <f>V405+U406/2</f>
        <v>#DIV/0!</v>
      </c>
      <c r="X406" s="213"/>
    </row>
    <row r="407" spans="12:24" x14ac:dyDescent="0.3">
      <c r="L407"/>
      <c r="M407"/>
      <c r="N407"/>
      <c r="O407"/>
      <c r="P407" s="220">
        <f>P405+$Q$6</f>
        <v>0</v>
      </c>
      <c r="Q407" s="221"/>
      <c r="R407" s="221" t="e">
        <f>IF(R405+Q406&lt;0,(R405+Q406)*0.8,R405+Q406)</f>
        <v>#DIV/0!</v>
      </c>
      <c r="S407" s="221"/>
      <c r="T407" s="221" t="e">
        <f>T405*(X407/X405)^2</f>
        <v>#DIV/0!</v>
      </c>
      <c r="U407" s="221"/>
      <c r="V407" s="221" t="e">
        <f>IF(AND(ABS(V405+U406)&gt;$B$5*0.8,(V405+U406)&lt;0),-$B$5*0.5,IF(AND(ABS(V405+U406)&gt;$B$5*0.8,(V405+U406)&gt;0),$B$5*0.5,V405+U406))</f>
        <v>#DIV/0!</v>
      </c>
      <c r="W407" s="221"/>
      <c r="X407" s="223" t="e">
        <f>$B$7*V407</f>
        <v>#DIV/0!</v>
      </c>
    </row>
    <row r="408" spans="12:24" x14ac:dyDescent="0.3">
      <c r="L408"/>
      <c r="M408"/>
      <c r="N408"/>
      <c r="O408"/>
      <c r="P408" s="213"/>
      <c r="Q408" s="221" t="e">
        <f>(V407+U406/2)*$Q$12</f>
        <v>#DIV/0!</v>
      </c>
      <c r="R408" s="221"/>
      <c r="S408" s="221" t="e">
        <f>R407+Q408/2</f>
        <v>#DIV/0!</v>
      </c>
      <c r="T408" s="221"/>
      <c r="U408" s="221" t="e">
        <f>-$Q$13*(S408+T407*((V407+U406/2)^2))</f>
        <v>#DIV/0!</v>
      </c>
      <c r="V408" s="221"/>
      <c r="W408" s="221" t="e">
        <f>V407+U408/2</f>
        <v>#DIV/0!</v>
      </c>
      <c r="X408" s="213"/>
    </row>
    <row r="409" spans="12:24" x14ac:dyDescent="0.3">
      <c r="L409"/>
      <c r="M409"/>
      <c r="N409"/>
      <c r="O409"/>
      <c r="P409" s="220">
        <f>P407+$Q$6</f>
        <v>0</v>
      </c>
      <c r="Q409" s="221"/>
      <c r="R409" s="221" t="e">
        <f>IF(R407+Q408&lt;0,(R407+Q408)*0.8,R407+Q408)</f>
        <v>#DIV/0!</v>
      </c>
      <c r="S409" s="221"/>
      <c r="T409" s="221" t="e">
        <f>T407*(X409/X407)^2</f>
        <v>#DIV/0!</v>
      </c>
      <c r="U409" s="221"/>
      <c r="V409" s="221" t="e">
        <f>IF(AND(ABS(V407+U408)&gt;$B$5*0.8,(V407+U408)&lt;0),-$B$5*0.5,IF(AND(ABS(V407+U408)&gt;$B$5*0.8,(V407+U408)&gt;0),$B$5*0.5,V407+U408))</f>
        <v>#DIV/0!</v>
      </c>
      <c r="W409" s="221"/>
      <c r="X409" s="223" t="e">
        <f>$B$7*V409</f>
        <v>#DIV/0!</v>
      </c>
    </row>
    <row r="410" spans="12:24" x14ac:dyDescent="0.3">
      <c r="L410"/>
      <c r="M410"/>
      <c r="N410"/>
      <c r="O410"/>
      <c r="P410" s="213"/>
      <c r="Q410" s="221" t="e">
        <f>(V409+U408/2)*$Q$12</f>
        <v>#DIV/0!</v>
      </c>
      <c r="R410" s="221"/>
      <c r="S410" s="221" t="e">
        <f>R409+Q410/2</f>
        <v>#DIV/0!</v>
      </c>
      <c r="T410" s="221"/>
      <c r="U410" s="221" t="e">
        <f>-$Q$13*(S410+T409*((V409+U408/2)^2))</f>
        <v>#DIV/0!</v>
      </c>
      <c r="V410" s="221"/>
      <c r="W410" s="221" t="e">
        <f>V409+U410/2</f>
        <v>#DIV/0!</v>
      </c>
      <c r="X410" s="213"/>
    </row>
    <row r="411" spans="12:24" x14ac:dyDescent="0.3">
      <c r="L411"/>
      <c r="M411"/>
      <c r="N411"/>
      <c r="O411"/>
      <c r="P411" s="220">
        <f>P409+$Q$6</f>
        <v>0</v>
      </c>
      <c r="Q411" s="221"/>
      <c r="R411" s="221" t="e">
        <f>IF(R409+Q410&lt;0,(R409+Q410)*0.8,R409+Q410)</f>
        <v>#DIV/0!</v>
      </c>
      <c r="S411" s="221"/>
      <c r="T411" s="221" t="e">
        <f>T409*(X411/X409)^2</f>
        <v>#DIV/0!</v>
      </c>
      <c r="U411" s="221"/>
      <c r="V411" s="221" t="e">
        <f>IF(AND(ABS(V409+U410)&gt;$B$5*0.8,(V409+U410)&lt;0),-$B$5*0.5,IF(AND(ABS(V409+U410)&gt;$B$5*0.8,(V409+U410)&gt;0),$B$5*0.5,V409+U410))</f>
        <v>#DIV/0!</v>
      </c>
      <c r="W411" s="221"/>
      <c r="X411" s="223" t="e">
        <f>$B$7*V411</f>
        <v>#DIV/0!</v>
      </c>
    </row>
    <row r="412" spans="12:24" x14ac:dyDescent="0.3">
      <c r="L412"/>
      <c r="M412"/>
      <c r="N412"/>
      <c r="O412"/>
      <c r="P412" s="213"/>
      <c r="Q412" s="221" t="e">
        <f>(V411+U410/2)*$Q$12</f>
        <v>#DIV/0!</v>
      </c>
      <c r="R412" s="221"/>
      <c r="S412" s="221" t="e">
        <f>R411+Q412/2</f>
        <v>#DIV/0!</v>
      </c>
      <c r="T412" s="221"/>
      <c r="U412" s="221" t="e">
        <f>-$Q$13*(S412+T411*((V411+U410/2)^2))</f>
        <v>#DIV/0!</v>
      </c>
      <c r="V412" s="221"/>
      <c r="W412" s="221" t="e">
        <f>V411+U412/2</f>
        <v>#DIV/0!</v>
      </c>
      <c r="X412" s="213"/>
    </row>
    <row r="413" spans="12:24" x14ac:dyDescent="0.3">
      <c r="L413"/>
      <c r="M413"/>
      <c r="N413"/>
      <c r="O413"/>
      <c r="P413" s="220">
        <f>P411+$Q$6</f>
        <v>0</v>
      </c>
      <c r="Q413" s="221"/>
      <c r="R413" s="221" t="e">
        <f>IF(R411+Q412&lt;0,(R411+Q412)*0.8,R411+Q412)</f>
        <v>#DIV/0!</v>
      </c>
      <c r="S413" s="221"/>
      <c r="T413" s="221" t="e">
        <f>T411*(X413/X411)^2</f>
        <v>#DIV/0!</v>
      </c>
      <c r="U413" s="221"/>
      <c r="V413" s="221" t="e">
        <f>IF(AND(ABS(V411+U412)&gt;$B$5*0.8,(V411+U412)&lt;0),-$B$5*0.5,IF(AND(ABS(V411+U412)&gt;$B$5*0.8,(V411+U412)&gt;0),$B$5*0.5,V411+U412))</f>
        <v>#DIV/0!</v>
      </c>
      <c r="W413" s="221"/>
      <c r="X413" s="223" t="e">
        <f>$B$7*V413</f>
        <v>#DIV/0!</v>
      </c>
    </row>
    <row r="414" spans="12:24" x14ac:dyDescent="0.3">
      <c r="L414"/>
      <c r="M414"/>
      <c r="N414"/>
      <c r="O414"/>
      <c r="P414" s="213"/>
      <c r="Q414" s="221" t="e">
        <f>(V413+U412/2)*$Q$12</f>
        <v>#DIV/0!</v>
      </c>
      <c r="R414" s="221"/>
      <c r="S414" s="221" t="e">
        <f>R413+Q414/2</f>
        <v>#DIV/0!</v>
      </c>
      <c r="T414" s="221"/>
      <c r="U414" s="221" t="e">
        <f>-$Q$13*(S414+T413*((V413+U412/2)^2))</f>
        <v>#DIV/0!</v>
      </c>
      <c r="V414" s="221"/>
      <c r="W414" s="221" t="e">
        <f>V413+U414/2</f>
        <v>#DIV/0!</v>
      </c>
      <c r="X414" s="213"/>
    </row>
    <row r="415" spans="12:24" x14ac:dyDescent="0.3">
      <c r="L415"/>
      <c r="M415"/>
      <c r="N415"/>
      <c r="O415"/>
      <c r="P415" s="220">
        <f>P413+$Q$6</f>
        <v>0</v>
      </c>
      <c r="Q415" s="221"/>
      <c r="R415" s="221" t="e">
        <f>IF(R413+Q414&lt;0,(R413+Q414)*0.8,R413+Q414)</f>
        <v>#DIV/0!</v>
      </c>
      <c r="S415" s="221"/>
      <c r="T415" s="221" t="e">
        <f>T413*(X415/X413)^2</f>
        <v>#DIV/0!</v>
      </c>
      <c r="U415" s="221"/>
      <c r="V415" s="221" t="e">
        <f>IF(AND(ABS(V413+U414)&gt;$B$5*0.8,(V413+U414)&lt;0),-$B$5*0.5,IF(AND(ABS(V413+U414)&gt;$B$5*0.8,(V413+U414)&gt;0),$B$5*0.5,V413+U414))</f>
        <v>#DIV/0!</v>
      </c>
      <c r="W415" s="221"/>
      <c r="X415" s="223" t="e">
        <f>$B$7*V415</f>
        <v>#DIV/0!</v>
      </c>
    </row>
    <row r="416" spans="12:24" x14ac:dyDescent="0.3">
      <c r="L416"/>
      <c r="M416"/>
      <c r="N416"/>
      <c r="O416"/>
      <c r="P416" s="213"/>
      <c r="Q416" s="221" t="e">
        <f>(V415+U414/2)*$Q$12</f>
        <v>#DIV/0!</v>
      </c>
      <c r="R416" s="221"/>
      <c r="S416" s="221" t="e">
        <f>R415+Q416/2</f>
        <v>#DIV/0!</v>
      </c>
      <c r="T416" s="221"/>
      <c r="U416" s="221" t="e">
        <f>-$Q$13*(S416+T415*((V415+U414/2)^2))</f>
        <v>#DIV/0!</v>
      </c>
      <c r="V416" s="221"/>
      <c r="W416" s="221" t="e">
        <f>V415+U416/2</f>
        <v>#DIV/0!</v>
      </c>
      <c r="X416" s="213"/>
    </row>
    <row r="417" spans="12:24" x14ac:dyDescent="0.3">
      <c r="L417"/>
      <c r="M417"/>
      <c r="N417"/>
      <c r="O417"/>
      <c r="P417" s="220">
        <f>P415+$Q$6</f>
        <v>0</v>
      </c>
      <c r="Q417" s="221"/>
      <c r="R417" s="221" t="e">
        <f>IF(R415+Q416&lt;0,(R415+Q416)*0.8,R415+Q416)</f>
        <v>#DIV/0!</v>
      </c>
      <c r="S417" s="221"/>
      <c r="T417" s="221" t="e">
        <f>T415*(X417/X415)^2</f>
        <v>#DIV/0!</v>
      </c>
      <c r="U417" s="221"/>
      <c r="V417" s="221" t="e">
        <f>IF(AND(ABS(V415+U416)&gt;$B$5*0.8,(V415+U416)&lt;0),-$B$5*0.5,IF(AND(ABS(V415+U416)&gt;$B$5*0.8,(V415+U416)&gt;0),$B$5*0.5,V415+U416))</f>
        <v>#DIV/0!</v>
      </c>
      <c r="W417" s="221"/>
      <c r="X417" s="223" t="e">
        <f>$B$7*V417</f>
        <v>#DIV/0!</v>
      </c>
    </row>
    <row r="418" spans="12:24" x14ac:dyDescent="0.3">
      <c r="L418"/>
      <c r="M418"/>
      <c r="N418"/>
      <c r="O418"/>
      <c r="P418" s="213"/>
      <c r="Q418" s="221" t="e">
        <f>(V417+U416/2)*$Q$12</f>
        <v>#DIV/0!</v>
      </c>
      <c r="R418" s="221"/>
      <c r="S418" s="221" t="e">
        <f>R417+Q418/2</f>
        <v>#DIV/0!</v>
      </c>
      <c r="T418" s="221"/>
      <c r="U418" s="221" t="e">
        <f>-$Q$13*(S418+T417*((V417+U416/2)^2))</f>
        <v>#DIV/0!</v>
      </c>
      <c r="V418" s="221"/>
      <c r="W418" s="221" t="e">
        <f>V417+U418/2</f>
        <v>#DIV/0!</v>
      </c>
      <c r="X418" s="213"/>
    </row>
    <row r="419" spans="12:24" x14ac:dyDescent="0.3">
      <c r="L419"/>
      <c r="M419"/>
      <c r="N419"/>
      <c r="O419"/>
      <c r="P419" s="220">
        <f>P417+$Q$6</f>
        <v>0</v>
      </c>
      <c r="Q419" s="221"/>
      <c r="R419" s="221" t="e">
        <f>IF(R417+Q418&lt;0,(R417+Q418)*0.8,R417+Q418)</f>
        <v>#DIV/0!</v>
      </c>
      <c r="S419" s="221"/>
      <c r="T419" s="221" t="e">
        <f>T417*(X419/X417)^2</f>
        <v>#DIV/0!</v>
      </c>
      <c r="U419" s="221"/>
      <c r="V419" s="221" t="e">
        <f>IF(AND(ABS(V417+U418)&gt;$B$5*0.8,(V417+U418)&lt;0),-$B$5*0.5,IF(AND(ABS(V417+U418)&gt;$B$5*0.8,(V417+U418)&gt;0),$B$5*0.5,V417+U418))</f>
        <v>#DIV/0!</v>
      </c>
      <c r="W419" s="221"/>
      <c r="X419" s="223" t="e">
        <f>$B$7*V419</f>
        <v>#DIV/0!</v>
      </c>
    </row>
    <row r="420" spans="12:24" x14ac:dyDescent="0.3">
      <c r="L420"/>
      <c r="M420"/>
      <c r="N420"/>
      <c r="O420"/>
      <c r="P420" s="213"/>
      <c r="Q420" s="221" t="e">
        <f>(V419+U418/2)*$Q$12</f>
        <v>#DIV/0!</v>
      </c>
      <c r="R420" s="221"/>
      <c r="S420" s="221" t="e">
        <f>R419+Q420/2</f>
        <v>#DIV/0!</v>
      </c>
      <c r="T420" s="221"/>
      <c r="U420" s="221" t="e">
        <f>-$Q$13*(S420+T419*((V419+U418/2)^2))</f>
        <v>#DIV/0!</v>
      </c>
      <c r="V420" s="221"/>
      <c r="W420" s="221" t="e">
        <f>V419+U420/2</f>
        <v>#DIV/0!</v>
      </c>
      <c r="X420" s="213"/>
    </row>
    <row r="421" spans="12:24" x14ac:dyDescent="0.3">
      <c r="L421"/>
      <c r="M421"/>
      <c r="N421"/>
      <c r="O421"/>
      <c r="P421" s="220">
        <f>P419+$Q$6</f>
        <v>0</v>
      </c>
      <c r="Q421" s="221"/>
      <c r="R421" s="221" t="e">
        <f>IF(R419+Q420&lt;0,(R419+Q420)*0.8,R419+Q420)</f>
        <v>#DIV/0!</v>
      </c>
      <c r="S421" s="221"/>
      <c r="T421" s="221" t="e">
        <f>T419*(X421/X419)^2</f>
        <v>#DIV/0!</v>
      </c>
      <c r="U421" s="221"/>
      <c r="V421" s="221" t="e">
        <f>IF(AND(ABS(V419+U420)&gt;$B$5*0.8,(V419+U420)&lt;0),-$B$5*0.5,IF(AND(ABS(V419+U420)&gt;$B$5*0.8,(V419+U420)&gt;0),$B$5*0.5,V419+U420))</f>
        <v>#DIV/0!</v>
      </c>
      <c r="W421" s="221"/>
      <c r="X421" s="223" t="e">
        <f>$B$7*V421</f>
        <v>#DIV/0!</v>
      </c>
    </row>
    <row r="422" spans="12:24" x14ac:dyDescent="0.3">
      <c r="L422"/>
      <c r="M422"/>
      <c r="N422"/>
      <c r="O422"/>
      <c r="P422" s="213"/>
      <c r="Q422" s="221" t="e">
        <f>(V421+U420/2)*$Q$12</f>
        <v>#DIV/0!</v>
      </c>
      <c r="R422" s="221"/>
      <c r="S422" s="221" t="e">
        <f>R421+Q422/2</f>
        <v>#DIV/0!</v>
      </c>
      <c r="T422" s="221"/>
      <c r="U422" s="221" t="e">
        <f>-$Q$13*(S422+T421*((V421+U420/2)^2))</f>
        <v>#DIV/0!</v>
      </c>
      <c r="V422" s="221"/>
      <c r="W422" s="221" t="e">
        <f>V421+U422/2</f>
        <v>#DIV/0!</v>
      </c>
      <c r="X422" s="213"/>
    </row>
    <row r="423" spans="12:24" x14ac:dyDescent="0.3">
      <c r="L423"/>
      <c r="M423"/>
      <c r="N423"/>
      <c r="O423"/>
      <c r="P423" s="220">
        <f>P421+$Q$6</f>
        <v>0</v>
      </c>
      <c r="Q423" s="221"/>
      <c r="R423" s="221" t="e">
        <f>IF(R421+Q422&lt;0,(R421+Q422)*0.8,R421+Q422)</f>
        <v>#DIV/0!</v>
      </c>
      <c r="S423" s="221"/>
      <c r="T423" s="221" t="e">
        <f>T421*(X423/X421)^2</f>
        <v>#DIV/0!</v>
      </c>
      <c r="U423" s="221"/>
      <c r="V423" s="221" t="e">
        <f>IF(AND(ABS(V421+U422)&gt;$B$5*0.8,(V421+U422)&lt;0),-$B$5*0.5,IF(AND(ABS(V421+U422)&gt;$B$5*0.8,(V421+U422)&gt;0),$B$5*0.5,V421+U422))</f>
        <v>#DIV/0!</v>
      </c>
      <c r="W423" s="221"/>
      <c r="X423" s="223" t="e">
        <f>$B$7*V423</f>
        <v>#DIV/0!</v>
      </c>
    </row>
    <row r="424" spans="12:24" x14ac:dyDescent="0.3">
      <c r="L424"/>
      <c r="M424"/>
      <c r="N424"/>
      <c r="O424"/>
      <c r="P424" s="213"/>
      <c r="Q424" s="221" t="e">
        <f>(V423+U422/2)*$Q$12</f>
        <v>#DIV/0!</v>
      </c>
      <c r="R424" s="221"/>
      <c r="S424" s="221" t="e">
        <f>R423+Q424/2</f>
        <v>#DIV/0!</v>
      </c>
      <c r="T424" s="221"/>
      <c r="U424" s="221" t="e">
        <f>-$Q$13*(S424+T423*((V423+U422/2)^2))</f>
        <v>#DIV/0!</v>
      </c>
      <c r="V424" s="221"/>
      <c r="W424" s="221" t="e">
        <f>V423+U424/2</f>
        <v>#DIV/0!</v>
      </c>
      <c r="X424" s="213"/>
    </row>
    <row r="425" spans="12:24" x14ac:dyDescent="0.3">
      <c r="L425"/>
      <c r="M425"/>
      <c r="N425"/>
      <c r="O425"/>
      <c r="P425" s="220">
        <f>P423+$Q$6</f>
        <v>0</v>
      </c>
      <c r="Q425" s="221"/>
      <c r="R425" s="221" t="e">
        <f>IF(R423+Q424&lt;0,(R423+Q424)*0.8,R423+Q424)</f>
        <v>#DIV/0!</v>
      </c>
      <c r="S425" s="221"/>
      <c r="T425" s="221" t="e">
        <f>T423*(X425/X423)^2</f>
        <v>#DIV/0!</v>
      </c>
      <c r="U425" s="221"/>
      <c r="V425" s="221" t="e">
        <f>IF(AND(ABS(V423+U424)&gt;$B$5*0.8,(V423+U424)&lt;0),-$B$5*0.5,IF(AND(ABS(V423+U424)&gt;$B$5*0.8,(V423+U424)&gt;0),$B$5*0.5,V423+U424))</f>
        <v>#DIV/0!</v>
      </c>
      <c r="W425" s="221"/>
      <c r="X425" s="223" t="e">
        <f>$B$7*V425</f>
        <v>#DIV/0!</v>
      </c>
    </row>
    <row r="426" spans="12:24" x14ac:dyDescent="0.3">
      <c r="L426"/>
      <c r="M426"/>
      <c r="N426"/>
      <c r="O426"/>
      <c r="P426" s="213"/>
      <c r="Q426" s="221" t="e">
        <f>(V425+U424/2)*$Q$12</f>
        <v>#DIV/0!</v>
      </c>
      <c r="R426" s="221"/>
      <c r="S426" s="221" t="e">
        <f>R425+Q426/2</f>
        <v>#DIV/0!</v>
      </c>
      <c r="T426" s="221"/>
      <c r="U426" s="221" t="e">
        <f>-$Q$13*(S426+T425*((V425+U424/2)^2))</f>
        <v>#DIV/0!</v>
      </c>
      <c r="V426" s="221"/>
      <c r="W426" s="221" t="e">
        <f>V425+U426/2</f>
        <v>#DIV/0!</v>
      </c>
      <c r="X426" s="213"/>
    </row>
    <row r="427" spans="12:24" x14ac:dyDescent="0.3">
      <c r="L427"/>
      <c r="M427"/>
      <c r="N427"/>
      <c r="O427"/>
      <c r="P427" s="220">
        <f>P425+$Q$6</f>
        <v>0</v>
      </c>
      <c r="Q427" s="221"/>
      <c r="R427" s="221" t="e">
        <f>IF(R425+Q426&lt;0,(R425+Q426)*0.8,R425+Q426)</f>
        <v>#DIV/0!</v>
      </c>
      <c r="S427" s="221"/>
      <c r="T427" s="221" t="e">
        <f>T425*(X427/X425)^2</f>
        <v>#DIV/0!</v>
      </c>
      <c r="U427" s="221"/>
      <c r="V427" s="221" t="e">
        <f>IF(AND(ABS(V425+U426)&gt;$B$5*0.8,(V425+U426)&lt;0),-$B$5*0.5,IF(AND(ABS(V425+U426)&gt;$B$5*0.8,(V425+U426)&gt;0),$B$5*0.5,V425+U426))</f>
        <v>#DIV/0!</v>
      </c>
      <c r="W427" s="221"/>
      <c r="X427" s="223" t="e">
        <f>$B$7*V427</f>
        <v>#DIV/0!</v>
      </c>
    </row>
    <row r="428" spans="12:24" x14ac:dyDescent="0.3">
      <c r="L428"/>
      <c r="M428"/>
      <c r="N428"/>
      <c r="O428"/>
      <c r="P428" s="213"/>
      <c r="Q428" s="221" t="e">
        <f>(V427+U426/2)*$Q$12</f>
        <v>#DIV/0!</v>
      </c>
      <c r="R428" s="221"/>
      <c r="S428" s="221" t="e">
        <f>R427+Q428/2</f>
        <v>#DIV/0!</v>
      </c>
      <c r="T428" s="221"/>
      <c r="U428" s="221" t="e">
        <f>-$Q$13*(S428+T427*((V427+U426/2)^2))</f>
        <v>#DIV/0!</v>
      </c>
      <c r="V428" s="221"/>
      <c r="W428" s="221" t="e">
        <f>V427+U428/2</f>
        <v>#DIV/0!</v>
      </c>
      <c r="X428" s="213"/>
    </row>
    <row r="429" spans="12:24" x14ac:dyDescent="0.3">
      <c r="L429"/>
      <c r="M429"/>
      <c r="N429"/>
      <c r="O429"/>
      <c r="P429" s="220">
        <f>P427+$Q$6</f>
        <v>0</v>
      </c>
      <c r="Q429" s="221"/>
      <c r="R429" s="221" t="e">
        <f>IF(R427+Q428&lt;0,(R427+Q428)*0.8,R427+Q428)</f>
        <v>#DIV/0!</v>
      </c>
      <c r="S429" s="221"/>
      <c r="T429" s="221" t="e">
        <f>T427*(X429/X427)^2</f>
        <v>#DIV/0!</v>
      </c>
      <c r="U429" s="221"/>
      <c r="V429" s="221" t="e">
        <f>IF(AND(ABS(V427+U428)&gt;$B$5*0.8,(V427+U428)&lt;0),-$B$5*0.5,IF(AND(ABS(V427+U428)&gt;$B$5*0.8,(V427+U428)&gt;0),$B$5*0.5,V427+U428))</f>
        <v>#DIV/0!</v>
      </c>
      <c r="W429" s="221"/>
      <c r="X429" s="223" t="e">
        <f>$B$7*V429</f>
        <v>#DIV/0!</v>
      </c>
    </row>
    <row r="430" spans="12:24" x14ac:dyDescent="0.3">
      <c r="L430"/>
      <c r="M430"/>
      <c r="N430"/>
      <c r="O430"/>
      <c r="P430" s="213"/>
      <c r="Q430" s="221" t="e">
        <f>(V429+U428/2)*$Q$12</f>
        <v>#DIV/0!</v>
      </c>
      <c r="R430" s="221"/>
      <c r="S430" s="221" t="e">
        <f>R429+Q430/2</f>
        <v>#DIV/0!</v>
      </c>
      <c r="T430" s="221"/>
      <c r="U430" s="221" t="e">
        <f>-$Q$13*(S430+T429*((V429+U428/2)^2))</f>
        <v>#DIV/0!</v>
      </c>
      <c r="V430" s="221"/>
      <c r="W430" s="221" t="e">
        <f>V429+U430/2</f>
        <v>#DIV/0!</v>
      </c>
      <c r="X430" s="213"/>
    </row>
    <row r="431" spans="12:24" x14ac:dyDescent="0.3">
      <c r="L431"/>
      <c r="M431"/>
      <c r="N431"/>
      <c r="O431"/>
      <c r="P431" s="220">
        <f>P429+$Q$6</f>
        <v>0</v>
      </c>
      <c r="Q431" s="221"/>
      <c r="R431" s="221" t="e">
        <f>IF(R429+Q430&lt;0,(R429+Q430)*0.8,R429+Q430)</f>
        <v>#DIV/0!</v>
      </c>
      <c r="S431" s="221"/>
      <c r="T431" s="221" t="e">
        <f>T429*(X431/X429)^2</f>
        <v>#DIV/0!</v>
      </c>
      <c r="U431" s="221"/>
      <c r="V431" s="221" t="e">
        <f>IF(AND(ABS(V429+U430)&gt;$B$5*0.8,(V429+U430)&lt;0),-$B$5*0.5,IF(AND(ABS(V429+U430)&gt;$B$5*0.8,(V429+U430)&gt;0),$B$5*0.5,V429+U430))</f>
        <v>#DIV/0!</v>
      </c>
      <c r="W431" s="221"/>
      <c r="X431" s="223" t="e">
        <f>$B$7*V431</f>
        <v>#DIV/0!</v>
      </c>
    </row>
    <row r="432" spans="12:24" x14ac:dyDescent="0.3">
      <c r="L432"/>
      <c r="M432"/>
      <c r="N432"/>
      <c r="O432"/>
      <c r="P432" s="213"/>
      <c r="Q432" s="221" t="e">
        <f>(V431+U430/2)*$Q$12</f>
        <v>#DIV/0!</v>
      </c>
      <c r="R432" s="221"/>
      <c r="S432" s="221" t="e">
        <f>R431+Q432/2</f>
        <v>#DIV/0!</v>
      </c>
      <c r="T432" s="221"/>
      <c r="U432" s="221" t="e">
        <f>-$Q$13*(S432+T431*((V431+U430/2)^2))</f>
        <v>#DIV/0!</v>
      </c>
      <c r="V432" s="221"/>
      <c r="W432" s="221" t="e">
        <f>V431+U432/2</f>
        <v>#DIV/0!</v>
      </c>
      <c r="X432" s="213"/>
    </row>
    <row r="433" spans="12:24" x14ac:dyDescent="0.3">
      <c r="L433"/>
      <c r="M433"/>
      <c r="N433"/>
      <c r="O433"/>
      <c r="P433" s="220">
        <f>P431+$Q$6</f>
        <v>0</v>
      </c>
      <c r="Q433" s="221"/>
      <c r="R433" s="221" t="e">
        <f>IF(R431+Q432&lt;0,(R431+Q432)*0.8,R431+Q432)</f>
        <v>#DIV/0!</v>
      </c>
      <c r="S433" s="221"/>
      <c r="T433" s="221" t="e">
        <f>T431*(X433/X431)^2</f>
        <v>#DIV/0!</v>
      </c>
      <c r="U433" s="221"/>
      <c r="V433" s="221" t="e">
        <f>IF(AND(ABS(V431+U432)&gt;$B$5*0.8,(V431+U432)&lt;0),-$B$5*0.5,IF(AND(ABS(V431+U432)&gt;$B$5*0.8,(V431+U432)&gt;0),$B$5*0.5,V431+U432))</f>
        <v>#DIV/0!</v>
      </c>
      <c r="W433" s="221"/>
      <c r="X433" s="223" t="e">
        <f>$B$7*V433</f>
        <v>#DIV/0!</v>
      </c>
    </row>
    <row r="434" spans="12:24" x14ac:dyDescent="0.3">
      <c r="L434"/>
      <c r="M434"/>
      <c r="N434"/>
      <c r="O434"/>
      <c r="P434" s="213"/>
      <c r="Q434" s="221" t="e">
        <f>(V433+U432/2)*$Q$12</f>
        <v>#DIV/0!</v>
      </c>
      <c r="R434" s="221"/>
      <c r="S434" s="221" t="e">
        <f>R433+Q434/2</f>
        <v>#DIV/0!</v>
      </c>
      <c r="T434" s="221"/>
      <c r="U434" s="221" t="e">
        <f>-$Q$13*(S434+T433*((V433+U432/2)^2))</f>
        <v>#DIV/0!</v>
      </c>
      <c r="V434" s="221"/>
      <c r="W434" s="221" t="e">
        <f>V433+U434/2</f>
        <v>#DIV/0!</v>
      </c>
      <c r="X434" s="213"/>
    </row>
    <row r="435" spans="12:24" x14ac:dyDescent="0.3">
      <c r="L435"/>
      <c r="M435"/>
      <c r="N435"/>
      <c r="O435"/>
      <c r="P435" s="220">
        <f>P433+$Q$6</f>
        <v>0</v>
      </c>
      <c r="Q435" s="221"/>
      <c r="R435" s="221" t="e">
        <f>IF(R433+Q434&lt;0,(R433+Q434)*0.8,R433+Q434)</f>
        <v>#DIV/0!</v>
      </c>
      <c r="S435" s="221"/>
      <c r="T435" s="221" t="e">
        <f>T433*(X435/X433)^2</f>
        <v>#DIV/0!</v>
      </c>
      <c r="U435" s="221"/>
      <c r="V435" s="221" t="e">
        <f>IF(AND(ABS(V433+U434)&gt;$B$5*0.8,(V433+U434)&lt;0),-$B$5*0.5,IF(AND(ABS(V433+U434)&gt;$B$5*0.8,(V433+U434)&gt;0),$B$5*0.5,V433+U434))</f>
        <v>#DIV/0!</v>
      </c>
      <c r="W435" s="221"/>
      <c r="X435" s="223" t="e">
        <f>$B$7*V435</f>
        <v>#DIV/0!</v>
      </c>
    </row>
    <row r="436" spans="12:24" x14ac:dyDescent="0.3">
      <c r="L436"/>
      <c r="M436"/>
      <c r="N436"/>
      <c r="O436"/>
      <c r="P436" s="213"/>
      <c r="Q436" s="221" t="e">
        <f>(V435+U434/2)*$Q$12</f>
        <v>#DIV/0!</v>
      </c>
      <c r="R436" s="221"/>
      <c r="S436" s="221" t="e">
        <f>R435+Q436/2</f>
        <v>#DIV/0!</v>
      </c>
      <c r="T436" s="221"/>
      <c r="U436" s="221" t="e">
        <f>-$Q$13*(S436+T435*((V435+U434/2)^2))</f>
        <v>#DIV/0!</v>
      </c>
      <c r="V436" s="221"/>
      <c r="W436" s="221" t="e">
        <f>V435+U436/2</f>
        <v>#DIV/0!</v>
      </c>
      <c r="X436" s="213"/>
    </row>
    <row r="437" spans="12:24" x14ac:dyDescent="0.3">
      <c r="L437"/>
      <c r="M437"/>
      <c r="N437"/>
      <c r="O437"/>
      <c r="P437" s="220">
        <f>P435+$Q$6</f>
        <v>0</v>
      </c>
      <c r="Q437" s="221"/>
      <c r="R437" s="221" t="e">
        <f>IF(R435+Q436&lt;0,(R435+Q436)*0.8,R435+Q436)</f>
        <v>#DIV/0!</v>
      </c>
      <c r="S437" s="221"/>
      <c r="T437" s="221" t="e">
        <f>T435*(X437/X435)^2</f>
        <v>#DIV/0!</v>
      </c>
      <c r="U437" s="221"/>
      <c r="V437" s="221" t="e">
        <f>IF(AND(ABS(V435+U436)&gt;$B$5*0.8,(V435+U436)&lt;0),-$B$5*0.5,IF(AND(ABS(V435+U436)&gt;$B$5*0.8,(V435+U436)&gt;0),$B$5*0.5,V435+U436))</f>
        <v>#DIV/0!</v>
      </c>
      <c r="W437" s="221"/>
      <c r="X437" s="223" t="e">
        <f>$B$7*V437</f>
        <v>#DIV/0!</v>
      </c>
    </row>
    <row r="438" spans="12:24" x14ac:dyDescent="0.3">
      <c r="L438"/>
      <c r="M438"/>
      <c r="N438"/>
      <c r="O438"/>
      <c r="P438" s="213"/>
      <c r="Q438" s="221" t="e">
        <f>(V437+U436/2)*$Q$12</f>
        <v>#DIV/0!</v>
      </c>
      <c r="R438" s="221"/>
      <c r="S438" s="221" t="e">
        <f>R437+Q438/2</f>
        <v>#DIV/0!</v>
      </c>
      <c r="T438" s="221"/>
      <c r="U438" s="221" t="e">
        <f>-$Q$13*(S438+T437*((V437+U436/2)^2))</f>
        <v>#DIV/0!</v>
      </c>
      <c r="V438" s="221"/>
      <c r="W438" s="221" t="e">
        <f>V437+U438/2</f>
        <v>#DIV/0!</v>
      </c>
      <c r="X438" s="213"/>
    </row>
    <row r="439" spans="12:24" x14ac:dyDescent="0.3">
      <c r="L439"/>
      <c r="M439"/>
      <c r="N439"/>
      <c r="O439"/>
      <c r="P439" s="220">
        <f>P437+$Q$6</f>
        <v>0</v>
      </c>
      <c r="Q439" s="221"/>
      <c r="R439" s="221" t="e">
        <f>IF(R437+Q438&lt;0,(R437+Q438)*0.8,R437+Q438)</f>
        <v>#DIV/0!</v>
      </c>
      <c r="S439" s="221"/>
      <c r="T439" s="221" t="e">
        <f>T437*(X439/X437)^2</f>
        <v>#DIV/0!</v>
      </c>
      <c r="U439" s="221"/>
      <c r="V439" s="221" t="e">
        <f>IF(AND(ABS(V437+U438)&gt;$B$5*0.8,(V437+U438)&lt;0),-$B$5*0.5,IF(AND(ABS(V437+U438)&gt;$B$5*0.8,(V437+U438)&gt;0),$B$5*0.5,V437+U438))</f>
        <v>#DIV/0!</v>
      </c>
      <c r="W439" s="221"/>
      <c r="X439" s="223" t="e">
        <f>$B$7*V439</f>
        <v>#DIV/0!</v>
      </c>
    </row>
    <row r="440" spans="12:24" x14ac:dyDescent="0.3">
      <c r="L440"/>
      <c r="M440"/>
      <c r="N440"/>
      <c r="O440"/>
      <c r="P440" s="213"/>
      <c r="Q440" s="221" t="e">
        <f>(V439+U438/2)*$Q$12</f>
        <v>#DIV/0!</v>
      </c>
      <c r="R440" s="221"/>
      <c r="S440" s="221" t="e">
        <f>R439+Q440/2</f>
        <v>#DIV/0!</v>
      </c>
      <c r="T440" s="221"/>
      <c r="U440" s="221" t="e">
        <f>-$Q$13*(S440+T439*((V439+U438/2)^2))</f>
        <v>#DIV/0!</v>
      </c>
      <c r="V440" s="221"/>
      <c r="W440" s="221" t="e">
        <f>V439+U440/2</f>
        <v>#DIV/0!</v>
      </c>
      <c r="X440" s="213"/>
    </row>
    <row r="441" spans="12:24" x14ac:dyDescent="0.3">
      <c r="L441"/>
      <c r="M441"/>
      <c r="N441"/>
      <c r="O441"/>
      <c r="P441" s="220">
        <f>P439+$Q$6</f>
        <v>0</v>
      </c>
      <c r="Q441" s="221"/>
      <c r="R441" s="221" t="e">
        <f>IF(R439+Q440&lt;0,(R439+Q440)*0.8,R439+Q440)</f>
        <v>#DIV/0!</v>
      </c>
      <c r="S441" s="221"/>
      <c r="T441" s="221" t="e">
        <f>T439*(X441/X439)^2</f>
        <v>#DIV/0!</v>
      </c>
      <c r="U441" s="221"/>
      <c r="V441" s="221" t="e">
        <f>IF(AND(ABS(V439+U440)&gt;$B$5*0.8,(V439+U440)&lt;0),-$B$5*0.5,IF(AND(ABS(V439+U440)&gt;$B$5*0.8,(V439+U440)&gt;0),$B$5*0.5,V439+U440))</f>
        <v>#DIV/0!</v>
      </c>
      <c r="W441" s="221"/>
      <c r="X441" s="223" t="e">
        <f>$B$7*V441</f>
        <v>#DIV/0!</v>
      </c>
    </row>
    <row r="442" spans="12:24" x14ac:dyDescent="0.3">
      <c r="L442"/>
      <c r="M442"/>
      <c r="N442"/>
      <c r="O442"/>
      <c r="P442" s="213"/>
      <c r="Q442" s="221" t="e">
        <f>(V441+U440/2)*$Q$12</f>
        <v>#DIV/0!</v>
      </c>
      <c r="R442" s="221"/>
      <c r="S442" s="221" t="e">
        <f>R441+Q442/2</f>
        <v>#DIV/0!</v>
      </c>
      <c r="T442" s="221"/>
      <c r="U442" s="221" t="e">
        <f>-$Q$13*(S442+T441*((V441+U440/2)^2))</f>
        <v>#DIV/0!</v>
      </c>
      <c r="V442" s="221"/>
      <c r="W442" s="221" t="e">
        <f>V441+U442/2</f>
        <v>#DIV/0!</v>
      </c>
      <c r="X442" s="213"/>
    </row>
    <row r="443" spans="12:24" x14ac:dyDescent="0.3">
      <c r="L443"/>
      <c r="M443"/>
      <c r="N443"/>
      <c r="O443"/>
      <c r="P443" s="220">
        <f>P441+$Q$6</f>
        <v>0</v>
      </c>
      <c r="Q443" s="221"/>
      <c r="R443" s="221" t="e">
        <f>IF(R441+Q442&lt;0,(R441+Q442)*0.8,R441+Q442)</f>
        <v>#DIV/0!</v>
      </c>
      <c r="S443" s="221"/>
      <c r="T443" s="221" t="e">
        <f>T441*(X443/X441)^2</f>
        <v>#DIV/0!</v>
      </c>
      <c r="U443" s="221"/>
      <c r="V443" s="221" t="e">
        <f>IF(AND(ABS(V441+U442)&gt;$B$5*0.8,(V441+U442)&lt;0),-$B$5*0.5,IF(AND(ABS(V441+U442)&gt;$B$5*0.8,(V441+U442)&gt;0),$B$5*0.5,V441+U442))</f>
        <v>#DIV/0!</v>
      </c>
      <c r="W443" s="221"/>
      <c r="X443" s="223" t="e">
        <f>$B$7*V443</f>
        <v>#DIV/0!</v>
      </c>
    </row>
    <row r="444" spans="12:24" x14ac:dyDescent="0.3">
      <c r="L444"/>
      <c r="M444"/>
      <c r="N444"/>
      <c r="O444"/>
      <c r="P444" s="213"/>
      <c r="Q444" s="221" t="e">
        <f>(V443+U442/2)*$Q$12</f>
        <v>#DIV/0!</v>
      </c>
      <c r="R444" s="221"/>
      <c r="S444" s="221" t="e">
        <f>R443+Q444/2</f>
        <v>#DIV/0!</v>
      </c>
      <c r="T444" s="221"/>
      <c r="U444" s="221" t="e">
        <f>-$Q$13*(S444+T443*((V443+U442/2)^2))</f>
        <v>#DIV/0!</v>
      </c>
      <c r="V444" s="221"/>
      <c r="W444" s="221" t="e">
        <f>V443+U444/2</f>
        <v>#DIV/0!</v>
      </c>
      <c r="X444" s="213"/>
    </row>
    <row r="445" spans="12:24" x14ac:dyDescent="0.3">
      <c r="L445"/>
      <c r="M445"/>
      <c r="N445"/>
      <c r="O445"/>
      <c r="P445" s="220">
        <f>P443+$Q$6</f>
        <v>0</v>
      </c>
      <c r="Q445" s="221"/>
      <c r="R445" s="221" t="e">
        <f>IF(R443+Q444&lt;0,(R443+Q444)*0.8,R443+Q444)</f>
        <v>#DIV/0!</v>
      </c>
      <c r="S445" s="221"/>
      <c r="T445" s="221" t="e">
        <f>T443*(X445/X443)^2</f>
        <v>#DIV/0!</v>
      </c>
      <c r="U445" s="221"/>
      <c r="V445" s="221" t="e">
        <f>IF(AND(ABS(V443+U444)&gt;$B$5*0.8,(V443+U444)&lt;0),-$B$5*0.5,IF(AND(ABS(V443+U444)&gt;$B$5*0.8,(V443+U444)&gt;0),$B$5*0.5,V443+U444))</f>
        <v>#DIV/0!</v>
      </c>
      <c r="W445" s="221"/>
      <c r="X445" s="223" t="e">
        <f>$B$7*V445</f>
        <v>#DIV/0!</v>
      </c>
    </row>
    <row r="446" spans="12:24" x14ac:dyDescent="0.3">
      <c r="L446"/>
      <c r="M446"/>
      <c r="N446"/>
      <c r="O446"/>
      <c r="P446" s="213"/>
      <c r="Q446" s="221" t="e">
        <f>(V445+U444/2)*$Q$12</f>
        <v>#DIV/0!</v>
      </c>
      <c r="R446" s="221"/>
      <c r="S446" s="221" t="e">
        <f>R445+Q446/2</f>
        <v>#DIV/0!</v>
      </c>
      <c r="T446" s="221"/>
      <c r="U446" s="221" t="e">
        <f>-$Q$13*(S446+T445*((V445+U444/2)^2))</f>
        <v>#DIV/0!</v>
      </c>
      <c r="V446" s="221"/>
      <c r="W446" s="221" t="e">
        <f>V445+U446/2</f>
        <v>#DIV/0!</v>
      </c>
      <c r="X446" s="213"/>
    </row>
    <row r="447" spans="12:24" x14ac:dyDescent="0.3">
      <c r="L447"/>
      <c r="M447"/>
      <c r="N447"/>
      <c r="O447"/>
      <c r="P447" s="220">
        <f>P445+$Q$6</f>
        <v>0</v>
      </c>
      <c r="Q447" s="221"/>
      <c r="R447" s="221" t="e">
        <f>IF(R445+Q446&lt;0,(R445+Q446)*0.8,R445+Q446)</f>
        <v>#DIV/0!</v>
      </c>
      <c r="S447" s="221"/>
      <c r="T447" s="221" t="e">
        <f>T445*(X447/X445)^2</f>
        <v>#DIV/0!</v>
      </c>
      <c r="U447" s="221"/>
      <c r="V447" s="221" t="e">
        <f>IF(AND(ABS(V445+U446)&gt;$B$5*0.8,(V445+U446)&lt;0),-$B$5*0.5,IF(AND(ABS(V445+U446)&gt;$B$5*0.8,(V445+U446)&gt;0),$B$5*0.5,V445+U446))</f>
        <v>#DIV/0!</v>
      </c>
      <c r="W447" s="221"/>
      <c r="X447" s="223" t="e">
        <f>$B$7*V447</f>
        <v>#DIV/0!</v>
      </c>
    </row>
    <row r="448" spans="12:24" x14ac:dyDescent="0.3">
      <c r="L448"/>
      <c r="M448"/>
      <c r="N448"/>
      <c r="O448"/>
      <c r="P448" s="213"/>
      <c r="Q448" s="221" t="e">
        <f>(V447+U446/2)*$Q$12</f>
        <v>#DIV/0!</v>
      </c>
      <c r="R448" s="221"/>
      <c r="S448" s="221" t="e">
        <f>R447+Q448/2</f>
        <v>#DIV/0!</v>
      </c>
      <c r="T448" s="221"/>
      <c r="U448" s="221" t="e">
        <f>-$Q$13*(S448+T447*((V447+U446/2)^2))</f>
        <v>#DIV/0!</v>
      </c>
      <c r="V448" s="221"/>
      <c r="W448" s="221" t="e">
        <f>V447+U448/2</f>
        <v>#DIV/0!</v>
      </c>
      <c r="X448" s="213"/>
    </row>
    <row r="449" spans="12:24" x14ac:dyDescent="0.3">
      <c r="L449"/>
      <c r="M449"/>
      <c r="N449"/>
      <c r="O449"/>
      <c r="P449" s="220">
        <f>P447+$Q$6</f>
        <v>0</v>
      </c>
      <c r="Q449" s="221"/>
      <c r="R449" s="221" t="e">
        <f>IF(R447+Q448&lt;0,(R447+Q448)*0.8,R447+Q448)</f>
        <v>#DIV/0!</v>
      </c>
      <c r="S449" s="221"/>
      <c r="T449" s="221" t="e">
        <f>T447*(X449/X447)^2</f>
        <v>#DIV/0!</v>
      </c>
      <c r="U449" s="221"/>
      <c r="V449" s="221" t="e">
        <f>IF(AND(ABS(V447+U448)&gt;$B$5*0.8,(V447+U448)&lt;0),-$B$5*0.5,IF(AND(ABS(V447+U448)&gt;$B$5*0.8,(V447+U448)&gt;0),$B$5*0.5,V447+U448))</f>
        <v>#DIV/0!</v>
      </c>
      <c r="W449" s="221"/>
      <c r="X449" s="223" t="e">
        <f>$B$7*V449</f>
        <v>#DIV/0!</v>
      </c>
    </row>
    <row r="450" spans="12:24" x14ac:dyDescent="0.3">
      <c r="L450"/>
      <c r="M450"/>
      <c r="N450"/>
      <c r="O450"/>
      <c r="P450" s="213"/>
      <c r="Q450" s="221" t="e">
        <f>(V449+U448/2)*$Q$12</f>
        <v>#DIV/0!</v>
      </c>
      <c r="R450" s="221"/>
      <c r="S450" s="221" t="e">
        <f>R449+Q450/2</f>
        <v>#DIV/0!</v>
      </c>
      <c r="T450" s="221"/>
      <c r="U450" s="221" t="e">
        <f>-$Q$13*(S450+T449*((V449+U448/2)^2))</f>
        <v>#DIV/0!</v>
      </c>
      <c r="V450" s="221"/>
      <c r="W450" s="221" t="e">
        <f>V449+U450/2</f>
        <v>#DIV/0!</v>
      </c>
      <c r="X450" s="213"/>
    </row>
    <row r="451" spans="12:24" x14ac:dyDescent="0.3">
      <c r="L451"/>
      <c r="M451"/>
      <c r="N451"/>
      <c r="O451"/>
      <c r="P451" s="220">
        <f>P449+$Q$6</f>
        <v>0</v>
      </c>
      <c r="Q451" s="221"/>
      <c r="R451" s="221" t="e">
        <f>IF(R449+Q450&lt;0,(R449+Q450)*0.8,R449+Q450)</f>
        <v>#DIV/0!</v>
      </c>
      <c r="S451" s="221"/>
      <c r="T451" s="221" t="e">
        <f>T449*(X451/X449)^2</f>
        <v>#DIV/0!</v>
      </c>
      <c r="U451" s="221"/>
      <c r="V451" s="221" t="e">
        <f>IF(AND(ABS(V449+U450)&gt;$B$5*0.8,(V449+U450)&lt;0),-$B$5*0.5,IF(AND(ABS(V449+U450)&gt;$B$5*0.8,(V449+U450)&gt;0),$B$5*0.5,V449+U450))</f>
        <v>#DIV/0!</v>
      </c>
      <c r="W451" s="221"/>
      <c r="X451" s="223" t="e">
        <f>$B$7*V451</f>
        <v>#DIV/0!</v>
      </c>
    </row>
    <row r="452" spans="12:24" x14ac:dyDescent="0.3">
      <c r="L452"/>
      <c r="M452"/>
      <c r="N452"/>
      <c r="O452"/>
      <c r="P452" s="213"/>
      <c r="Q452" s="221" t="e">
        <f>(V451+U450/2)*$Q$12</f>
        <v>#DIV/0!</v>
      </c>
      <c r="R452" s="221"/>
      <c r="S452" s="221" t="e">
        <f>R451+Q452/2</f>
        <v>#DIV/0!</v>
      </c>
      <c r="T452" s="221"/>
      <c r="U452" s="221" t="e">
        <f>-$Q$13*(S452+T451*((V451+U450/2)^2))</f>
        <v>#DIV/0!</v>
      </c>
      <c r="V452" s="221"/>
      <c r="W452" s="221" t="e">
        <f>V451+U452/2</f>
        <v>#DIV/0!</v>
      </c>
      <c r="X452" s="213"/>
    </row>
    <row r="453" spans="12:24" x14ac:dyDescent="0.3">
      <c r="L453"/>
      <c r="M453"/>
      <c r="N453"/>
      <c r="O453"/>
      <c r="P453" s="220">
        <f>P451+$Q$6</f>
        <v>0</v>
      </c>
      <c r="Q453" s="221"/>
      <c r="R453" s="221" t="e">
        <f>IF(R451+Q452&lt;0,(R451+Q452)*0.8,R451+Q452)</f>
        <v>#DIV/0!</v>
      </c>
      <c r="S453" s="221"/>
      <c r="T453" s="221" t="e">
        <f>T451*(X453/X451)^2</f>
        <v>#DIV/0!</v>
      </c>
      <c r="U453" s="221"/>
      <c r="V453" s="221" t="e">
        <f>IF(AND(ABS(V451+U452)&gt;$B$5*0.8,(V451+U452)&lt;0),-$B$5*0.5,IF(AND(ABS(V451+U452)&gt;$B$5*0.8,(V451+U452)&gt;0),$B$5*0.5,V451+U452))</f>
        <v>#DIV/0!</v>
      </c>
      <c r="W453" s="221"/>
      <c r="X453" s="223" t="e">
        <f>$B$7*V453</f>
        <v>#DIV/0!</v>
      </c>
    </row>
    <row r="454" spans="12:24" x14ac:dyDescent="0.3">
      <c r="L454"/>
      <c r="M454"/>
      <c r="N454"/>
      <c r="O454"/>
      <c r="P454" s="213"/>
      <c r="Q454" s="221" t="e">
        <f>(V453+U452/2)*$Q$12</f>
        <v>#DIV/0!</v>
      </c>
      <c r="R454" s="221"/>
      <c r="S454" s="221" t="e">
        <f>R453+Q454/2</f>
        <v>#DIV/0!</v>
      </c>
      <c r="T454" s="221"/>
      <c r="U454" s="221" t="e">
        <f>-$Q$13*(S454+T453*((V453+U452/2)^2))</f>
        <v>#DIV/0!</v>
      </c>
      <c r="V454" s="221"/>
      <c r="W454" s="221" t="e">
        <f>V453+U454/2</f>
        <v>#DIV/0!</v>
      </c>
      <c r="X454" s="213"/>
    </row>
    <row r="455" spans="12:24" x14ac:dyDescent="0.3">
      <c r="L455"/>
      <c r="M455"/>
      <c r="N455"/>
      <c r="O455"/>
      <c r="P455" s="220">
        <f>P453+$Q$6</f>
        <v>0</v>
      </c>
      <c r="Q455" s="221"/>
      <c r="R455" s="221" t="e">
        <f>IF(R453+Q454&lt;0,(R453+Q454)*0.8,R453+Q454)</f>
        <v>#DIV/0!</v>
      </c>
      <c r="S455" s="221"/>
      <c r="T455" s="221" t="e">
        <f>T453*(X455/X453)^2</f>
        <v>#DIV/0!</v>
      </c>
      <c r="U455" s="221"/>
      <c r="V455" s="221" t="e">
        <f>IF(AND(ABS(V453+U454)&gt;$B$5*0.8,(V453+U454)&lt;0),-$B$5*0.5,IF(AND(ABS(V453+U454)&gt;$B$5*0.8,(V453+U454)&gt;0),$B$5*0.5,V453+U454))</f>
        <v>#DIV/0!</v>
      </c>
      <c r="W455" s="221"/>
      <c r="X455" s="223" t="e">
        <f>$B$7*V455</f>
        <v>#DIV/0!</v>
      </c>
    </row>
    <row r="456" spans="12:24" x14ac:dyDescent="0.3">
      <c r="L456"/>
      <c r="M456"/>
      <c r="N456"/>
      <c r="O456"/>
      <c r="P456" s="213"/>
      <c r="Q456" s="221" t="e">
        <f>(V455+U454/2)*$Q$12</f>
        <v>#DIV/0!</v>
      </c>
      <c r="R456" s="221"/>
      <c r="S456" s="221" t="e">
        <f>R455+Q456/2</f>
        <v>#DIV/0!</v>
      </c>
      <c r="T456" s="221"/>
      <c r="U456" s="221" t="e">
        <f>-$Q$13*(S456+T455*((V455+U454/2)^2))</f>
        <v>#DIV/0!</v>
      </c>
      <c r="V456" s="221"/>
      <c r="W456" s="221" t="e">
        <f>V455+U456/2</f>
        <v>#DIV/0!</v>
      </c>
      <c r="X456" s="213"/>
    </row>
    <row r="457" spans="12:24" x14ac:dyDescent="0.3">
      <c r="L457"/>
      <c r="M457"/>
      <c r="N457"/>
      <c r="O457"/>
      <c r="P457" s="220">
        <f>P455+$Q$6</f>
        <v>0</v>
      </c>
      <c r="Q457" s="221"/>
      <c r="R457" s="221" t="e">
        <f>IF(R455+Q456&lt;0,(R455+Q456)*0.8,R455+Q456)</f>
        <v>#DIV/0!</v>
      </c>
      <c r="S457" s="221"/>
      <c r="T457" s="221" t="e">
        <f>T455*(X457/X455)^2</f>
        <v>#DIV/0!</v>
      </c>
      <c r="U457" s="221"/>
      <c r="V457" s="221" t="e">
        <f>IF(AND(ABS(V455+U456)&gt;$B$5*0.8,(V455+U456)&lt;0),-$B$5*0.5,IF(AND(ABS(V455+U456)&gt;$B$5*0.8,(V455+U456)&gt;0),$B$5*0.5,V455+U456))</f>
        <v>#DIV/0!</v>
      </c>
      <c r="W457" s="221"/>
      <c r="X457" s="223" t="e">
        <f>$B$7*V457</f>
        <v>#DIV/0!</v>
      </c>
    </row>
    <row r="458" spans="12:24" x14ac:dyDescent="0.3">
      <c r="L458"/>
      <c r="M458"/>
      <c r="N458"/>
      <c r="O458"/>
      <c r="P458" s="213"/>
      <c r="Q458" s="221" t="e">
        <f>(V457+U456/2)*$Q$12</f>
        <v>#DIV/0!</v>
      </c>
      <c r="R458" s="221"/>
      <c r="S458" s="221" t="e">
        <f>R457+Q458/2</f>
        <v>#DIV/0!</v>
      </c>
      <c r="T458" s="221"/>
      <c r="U458" s="221" t="e">
        <f>-$Q$13*(S458+T457*((V457+U456/2)^2))</f>
        <v>#DIV/0!</v>
      </c>
      <c r="V458" s="221"/>
      <c r="W458" s="221" t="e">
        <f>V457+U458/2</f>
        <v>#DIV/0!</v>
      </c>
      <c r="X458" s="213"/>
    </row>
    <row r="459" spans="12:24" x14ac:dyDescent="0.3">
      <c r="L459"/>
      <c r="M459"/>
      <c r="N459"/>
      <c r="O459"/>
      <c r="P459" s="220">
        <f>P457+$Q$6</f>
        <v>0</v>
      </c>
      <c r="Q459" s="221"/>
      <c r="R459" s="221" t="e">
        <f>IF(R457+Q458&lt;0,(R457+Q458)*0.8,R457+Q458)</f>
        <v>#DIV/0!</v>
      </c>
      <c r="S459" s="221"/>
      <c r="T459" s="221" t="e">
        <f>T457*(X459/X457)^2</f>
        <v>#DIV/0!</v>
      </c>
      <c r="U459" s="221"/>
      <c r="V459" s="221" t="e">
        <f>IF(AND(ABS(V457+U458)&gt;$B$5*0.8,(V457+U458)&lt;0),-$B$5*0.5,IF(AND(ABS(V457+U458)&gt;$B$5*0.8,(V457+U458)&gt;0),$B$5*0.5,V457+U458))</f>
        <v>#DIV/0!</v>
      </c>
      <c r="W459" s="221"/>
      <c r="X459" s="223" t="e">
        <f>$B$7*V459</f>
        <v>#DIV/0!</v>
      </c>
    </row>
    <row r="460" spans="12:24" x14ac:dyDescent="0.3">
      <c r="L460"/>
      <c r="M460"/>
      <c r="N460"/>
      <c r="O460"/>
      <c r="P460" s="213"/>
      <c r="Q460" s="221" t="e">
        <f>(V459+U458/2)*$Q$12</f>
        <v>#DIV/0!</v>
      </c>
      <c r="R460" s="221"/>
      <c r="S460" s="221" t="e">
        <f>R459+Q460/2</f>
        <v>#DIV/0!</v>
      </c>
      <c r="T460" s="221"/>
      <c r="U460" s="221" t="e">
        <f>-$Q$13*(S460+T459*((V459+U458/2)^2))</f>
        <v>#DIV/0!</v>
      </c>
      <c r="V460" s="221"/>
      <c r="W460" s="221" t="e">
        <f>V459+U460/2</f>
        <v>#DIV/0!</v>
      </c>
      <c r="X460" s="213"/>
    </row>
    <row r="461" spans="12:24" x14ac:dyDescent="0.3">
      <c r="L461"/>
      <c r="M461"/>
      <c r="N461"/>
      <c r="O461"/>
      <c r="P461" s="220">
        <f>P459+$Q$6</f>
        <v>0</v>
      </c>
      <c r="Q461" s="221"/>
      <c r="R461" s="221" t="e">
        <f>IF(R459+Q460&lt;0,(R459+Q460)*0.8,R459+Q460)</f>
        <v>#DIV/0!</v>
      </c>
      <c r="S461" s="221"/>
      <c r="T461" s="221" t="e">
        <f>T459*(X461/X459)^2</f>
        <v>#DIV/0!</v>
      </c>
      <c r="U461" s="221"/>
      <c r="V461" s="221" t="e">
        <f>IF(AND(ABS(V459+U460)&gt;$B$5*0.8,(V459+U460)&lt;0),-$B$5*0.5,IF(AND(ABS(V459+U460)&gt;$B$5*0.8,(V459+U460)&gt;0),$B$5*0.5,V459+U460))</f>
        <v>#DIV/0!</v>
      </c>
      <c r="W461" s="221"/>
      <c r="X461" s="223" t="e">
        <f>$B$7*V461</f>
        <v>#DIV/0!</v>
      </c>
    </row>
    <row r="462" spans="12:24" x14ac:dyDescent="0.3">
      <c r="L462"/>
      <c r="M462"/>
      <c r="N462"/>
      <c r="O462"/>
      <c r="P462" s="213"/>
      <c r="Q462" s="221" t="e">
        <f>(V461+U460/2)*$Q$12</f>
        <v>#DIV/0!</v>
      </c>
      <c r="R462" s="221"/>
      <c r="S462" s="221" t="e">
        <f>R461+Q462/2</f>
        <v>#DIV/0!</v>
      </c>
      <c r="T462" s="221"/>
      <c r="U462" s="221" t="e">
        <f>-$Q$13*(S462+T461*((V461+U460/2)^2))</f>
        <v>#DIV/0!</v>
      </c>
      <c r="V462" s="221"/>
      <c r="W462" s="221" t="e">
        <f>V461+U462/2</f>
        <v>#DIV/0!</v>
      </c>
      <c r="X462" s="213"/>
    </row>
    <row r="463" spans="12:24" x14ac:dyDescent="0.3">
      <c r="L463"/>
      <c r="M463"/>
      <c r="N463"/>
      <c r="O463"/>
      <c r="P463" s="220">
        <f>P461+$Q$6</f>
        <v>0</v>
      </c>
      <c r="Q463" s="221"/>
      <c r="R463" s="221" t="e">
        <f>IF(R461+Q462&lt;0,(R461+Q462)*0.8,R461+Q462)</f>
        <v>#DIV/0!</v>
      </c>
      <c r="S463" s="221"/>
      <c r="T463" s="221" t="e">
        <f>T461*(X463/X461)^2</f>
        <v>#DIV/0!</v>
      </c>
      <c r="U463" s="221"/>
      <c r="V463" s="221" t="e">
        <f>IF(AND(ABS(V461+U462)&gt;$B$5*0.8,(V461+U462)&lt;0),-$B$5*0.5,IF(AND(ABS(V461+U462)&gt;$B$5*0.8,(V461+U462)&gt;0),$B$5*0.5,V461+U462))</f>
        <v>#DIV/0!</v>
      </c>
      <c r="W463" s="221"/>
      <c r="X463" s="223" t="e">
        <f>$B$7*V463</f>
        <v>#DIV/0!</v>
      </c>
    </row>
    <row r="464" spans="12:24" x14ac:dyDescent="0.3">
      <c r="L464"/>
      <c r="M464"/>
      <c r="N464"/>
      <c r="O464"/>
      <c r="P464" s="213"/>
      <c r="Q464" s="221" t="e">
        <f>(V463+U462/2)*$Q$12</f>
        <v>#DIV/0!</v>
      </c>
      <c r="R464" s="221"/>
      <c r="S464" s="221" t="e">
        <f>R463+Q464/2</f>
        <v>#DIV/0!</v>
      </c>
      <c r="T464" s="221"/>
      <c r="U464" s="221" t="e">
        <f>-$Q$13*(S464+T463*((V463+U462/2)^2))</f>
        <v>#DIV/0!</v>
      </c>
      <c r="V464" s="221"/>
      <c r="W464" s="221" t="e">
        <f>V463+U464/2</f>
        <v>#DIV/0!</v>
      </c>
      <c r="X464" s="213"/>
    </row>
    <row r="465" spans="12:24" x14ac:dyDescent="0.3">
      <c r="L465"/>
      <c r="M465"/>
      <c r="N465"/>
      <c r="O465"/>
      <c r="P465" s="220">
        <f>P463+$Q$6</f>
        <v>0</v>
      </c>
      <c r="Q465" s="221"/>
      <c r="R465" s="221" t="e">
        <f>IF(R463+Q464&lt;0,(R463+Q464)*0.8,R463+Q464)</f>
        <v>#DIV/0!</v>
      </c>
      <c r="S465" s="221"/>
      <c r="T465" s="221" t="e">
        <f>T463*(X465/X463)^2</f>
        <v>#DIV/0!</v>
      </c>
      <c r="U465" s="221"/>
      <c r="V465" s="221" t="e">
        <f>IF(AND(ABS(V463+U464)&gt;$B$5*0.8,(V463+U464)&lt;0),-$B$5*0.5,IF(AND(ABS(V463+U464)&gt;$B$5*0.8,(V463+U464)&gt;0),$B$5*0.5,V463+U464))</f>
        <v>#DIV/0!</v>
      </c>
      <c r="W465" s="221"/>
      <c r="X465" s="223" t="e">
        <f>$B$7*V465</f>
        <v>#DIV/0!</v>
      </c>
    </row>
    <row r="466" spans="12:24" x14ac:dyDescent="0.3">
      <c r="L466"/>
      <c r="M466"/>
      <c r="N466"/>
      <c r="O466"/>
      <c r="P466" s="213"/>
      <c r="Q466" s="221" t="e">
        <f>(V465+U464/2)*$Q$12</f>
        <v>#DIV/0!</v>
      </c>
      <c r="R466" s="221"/>
      <c r="S466" s="221" t="e">
        <f>R465+Q466/2</f>
        <v>#DIV/0!</v>
      </c>
      <c r="T466" s="221"/>
      <c r="U466" s="221" t="e">
        <f>-$Q$13*(S466+T465*((V465+U464/2)^2))</f>
        <v>#DIV/0!</v>
      </c>
      <c r="V466" s="221"/>
      <c r="W466" s="221" t="e">
        <f>V465+U466/2</f>
        <v>#DIV/0!</v>
      </c>
      <c r="X466" s="213"/>
    </row>
    <row r="467" spans="12:24" x14ac:dyDescent="0.3">
      <c r="L467"/>
      <c r="M467"/>
      <c r="N467"/>
      <c r="O467"/>
      <c r="P467" s="220">
        <f>P465+$Q$6</f>
        <v>0</v>
      </c>
      <c r="Q467" s="221"/>
      <c r="R467" s="221" t="e">
        <f>IF(R465+Q466&lt;0,(R465+Q466)*0.8,R465+Q466)</f>
        <v>#DIV/0!</v>
      </c>
      <c r="S467" s="221"/>
      <c r="T467" s="221" t="e">
        <f>T465*(X467/X465)^2</f>
        <v>#DIV/0!</v>
      </c>
      <c r="U467" s="221"/>
      <c r="V467" s="221" t="e">
        <f>IF(AND(ABS(V465+U466)&gt;$B$5*0.8,(V465+U466)&lt;0),-$B$5*0.5,IF(AND(ABS(V465+U466)&gt;$B$5*0.8,(V465+U466)&gt;0),$B$5*0.5,V465+U466))</f>
        <v>#DIV/0!</v>
      </c>
      <c r="W467" s="221"/>
      <c r="X467" s="223" t="e">
        <f>$B$7*V467</f>
        <v>#DIV/0!</v>
      </c>
    </row>
    <row r="468" spans="12:24" x14ac:dyDescent="0.3">
      <c r="L468"/>
      <c r="M468"/>
      <c r="N468"/>
      <c r="O468"/>
      <c r="P468" s="213"/>
      <c r="Q468" s="221" t="e">
        <f>(V467+U466/2)*$Q$12</f>
        <v>#DIV/0!</v>
      </c>
      <c r="R468" s="221"/>
      <c r="S468" s="221" t="e">
        <f>R467+Q468/2</f>
        <v>#DIV/0!</v>
      </c>
      <c r="T468" s="221"/>
      <c r="U468" s="221" t="e">
        <f>-$Q$13*(S468+T467*((V467+U466/2)^2))</f>
        <v>#DIV/0!</v>
      </c>
      <c r="V468" s="221"/>
      <c r="W468" s="221" t="e">
        <f>V467+U468/2</f>
        <v>#DIV/0!</v>
      </c>
      <c r="X468" s="213"/>
    </row>
    <row r="469" spans="12:24" x14ac:dyDescent="0.3">
      <c r="L469"/>
      <c r="M469"/>
      <c r="N469"/>
      <c r="O469"/>
      <c r="P469" s="220">
        <f>P467+$Q$6</f>
        <v>0</v>
      </c>
      <c r="Q469" s="221"/>
      <c r="R469" s="221" t="e">
        <f>R467+Q468</f>
        <v>#DIV/0!</v>
      </c>
      <c r="S469" s="221"/>
      <c r="T469" s="221" t="e">
        <f>T467*(X469/X467)^2</f>
        <v>#DIV/0!</v>
      </c>
      <c r="U469" s="221"/>
      <c r="V469" s="221" t="e">
        <f>V467+U468</f>
        <v>#DIV/0!</v>
      </c>
      <c r="W469" s="229"/>
      <c r="X469" s="223" t="e">
        <f>$B$7*V469</f>
        <v>#DIV/0!</v>
      </c>
    </row>
    <row r="470" spans="12:24" x14ac:dyDescent="0.3">
      <c r="L470"/>
      <c r="M470"/>
      <c r="N470"/>
      <c r="O470"/>
      <c r="P470" s="220"/>
      <c r="Q470" s="221" t="e">
        <f>(V469+U468/2)*$Q$12</f>
        <v>#DIV/0!</v>
      </c>
      <c r="R470" s="221"/>
      <c r="S470" s="221" t="e">
        <f>R469+Q470/2</f>
        <v>#DIV/0!</v>
      </c>
      <c r="T470" s="221"/>
      <c r="U470" s="221" t="e">
        <f>-$Q$13*(S470+T469*((V469+U468/2)^2))</f>
        <v>#DIV/0!</v>
      </c>
      <c r="V470" s="221"/>
      <c r="W470" s="221" t="e">
        <f>V469+U470/2</f>
        <v>#DIV/0!</v>
      </c>
      <c r="X470" s="213"/>
    </row>
    <row r="471" spans="12:24" x14ac:dyDescent="0.3">
      <c r="L471"/>
      <c r="M471"/>
      <c r="N471"/>
      <c r="O471"/>
      <c r="P471" s="220">
        <f>P469+$Q$6</f>
        <v>0</v>
      </c>
      <c r="Q471" s="221"/>
      <c r="R471" s="221" t="e">
        <f>IF(R469+Q470&lt;0,(R469+Q470)*0.8,R469+Q470)</f>
        <v>#DIV/0!</v>
      </c>
      <c r="S471" s="221"/>
      <c r="T471" s="221" t="e">
        <f>T469*(X471/X469)^2</f>
        <v>#DIV/0!</v>
      </c>
      <c r="U471" s="221"/>
      <c r="V471" s="221" t="e">
        <f>IF(AND(ABS(V469+U470)&gt;$B$5*0.8,(V469+U470)&lt;0),-$B$5*0.5,IF(AND(ABS(V469+U470)&gt;$B$5*0.8,(V469+U470)&gt;0),$B$5*0.5,V469+U470))</f>
        <v>#DIV/0!</v>
      </c>
      <c r="W471" s="229"/>
      <c r="X471" s="223" t="e">
        <f>$B$7*V471</f>
        <v>#DIV/0!</v>
      </c>
    </row>
    <row r="472" spans="12:24" x14ac:dyDescent="0.3">
      <c r="L472"/>
      <c r="M472"/>
      <c r="N472"/>
      <c r="O472"/>
      <c r="P472" s="220"/>
      <c r="Q472" s="221" t="e">
        <f>(V471+U470/2)*$Q$12</f>
        <v>#DIV/0!</v>
      </c>
      <c r="R472" s="221"/>
      <c r="S472" s="221" t="e">
        <f>R471+Q472/2</f>
        <v>#DIV/0!</v>
      </c>
      <c r="T472" s="221"/>
      <c r="U472" s="221" t="e">
        <f>-$Q$13*(S472+T471*((V471+U470/2)^2))</f>
        <v>#DIV/0!</v>
      </c>
      <c r="V472" s="221"/>
      <c r="W472" s="229" t="e">
        <f>V471+U472/2</f>
        <v>#DIV/0!</v>
      </c>
      <c r="X472" s="224"/>
    </row>
    <row r="473" spans="12:24" x14ac:dyDescent="0.3">
      <c r="L473"/>
      <c r="M473"/>
      <c r="N473"/>
      <c r="O473"/>
      <c r="P473" s="220">
        <f>P471+$Q$6</f>
        <v>0</v>
      </c>
      <c r="Q473" s="221"/>
      <c r="R473" s="221" t="e">
        <f>IF(R471+Q472&lt;0,(R471+Q472)*0.8,R471+Q472)</f>
        <v>#DIV/0!</v>
      </c>
      <c r="S473" s="221"/>
      <c r="T473" s="221" t="e">
        <f>T471*(X473/X471)^2</f>
        <v>#DIV/0!</v>
      </c>
      <c r="U473" s="221"/>
      <c r="V473" s="221" t="e">
        <f>IF(AND(ABS(V471+U472)&gt;$B$5*0.8,(V471+U472)&lt;0),-$B$5*0.5,IF(AND(ABS(V471+U472)&gt;$B$5*0.8,(V471+U472)&gt;0),$B$5*0.5,V471+U472))</f>
        <v>#DIV/0!</v>
      </c>
      <c r="W473" s="229"/>
      <c r="X473" s="223" t="e">
        <f>$B$7*V473</f>
        <v>#DIV/0!</v>
      </c>
    </row>
    <row r="474" spans="12:24" x14ac:dyDescent="0.3">
      <c r="L474"/>
      <c r="M474"/>
      <c r="N474"/>
      <c r="O474"/>
      <c r="P474" s="220"/>
      <c r="Q474" s="221" t="e">
        <f>(V473+U472/2)*$Q$12</f>
        <v>#DIV/0!</v>
      </c>
      <c r="R474" s="221"/>
      <c r="S474" s="221" t="e">
        <f>R473+Q474/2</f>
        <v>#DIV/0!</v>
      </c>
      <c r="T474" s="221"/>
      <c r="U474" s="221" t="e">
        <f>-$Q$13*(S474+T473*((V473+U472/2)^2))</f>
        <v>#DIV/0!</v>
      </c>
      <c r="V474" s="221"/>
      <c r="W474" s="229" t="e">
        <f>V473+U474/2</f>
        <v>#DIV/0!</v>
      </c>
      <c r="X474" s="213"/>
    </row>
    <row r="475" spans="12:24" x14ac:dyDescent="0.3">
      <c r="L475"/>
      <c r="M475"/>
      <c r="N475"/>
      <c r="O475"/>
      <c r="P475" s="220">
        <f>P473+$Q$6</f>
        <v>0</v>
      </c>
      <c r="Q475" s="221"/>
      <c r="R475" s="221" t="e">
        <f>IF(R473+Q474&lt;0,(R473+Q474)*0.8,R473+Q474)</f>
        <v>#DIV/0!</v>
      </c>
      <c r="S475" s="221"/>
      <c r="T475" s="221" t="e">
        <f>T473*(X475/X473)^2</f>
        <v>#DIV/0!</v>
      </c>
      <c r="U475" s="221"/>
      <c r="V475" s="221" t="e">
        <f>IF(AND(ABS(V473+U474)&gt;$B$5*0.8,(V473+U474)&lt;0),-$B$5*0.5,IF(AND(ABS(V473+U474)&gt;$B$5*0.8,(V473+U474)&gt;0),$B$5*0.5,V473+U474))</f>
        <v>#DIV/0!</v>
      </c>
      <c r="W475" s="229"/>
      <c r="X475" s="223" t="e">
        <f>$B$7*V475</f>
        <v>#DIV/0!</v>
      </c>
    </row>
    <row r="476" spans="12:24" x14ac:dyDescent="0.3">
      <c r="L476"/>
      <c r="M476"/>
      <c r="N476"/>
      <c r="O476"/>
      <c r="P476" s="220"/>
      <c r="Q476" s="221" t="e">
        <f>(V475+U474/2)*$Q$12</f>
        <v>#DIV/0!</v>
      </c>
      <c r="R476" s="221"/>
      <c r="S476" s="221" t="e">
        <f>R475+Q476/2</f>
        <v>#DIV/0!</v>
      </c>
      <c r="T476" s="221"/>
      <c r="U476" s="221" t="e">
        <f>-$Q$13*(S476+T475*((V475+U474/2)^2))</f>
        <v>#DIV/0!</v>
      </c>
      <c r="V476" s="221"/>
      <c r="W476" s="229" t="e">
        <f>V475+U476/2</f>
        <v>#DIV/0!</v>
      </c>
      <c r="X476" s="224"/>
    </row>
    <row r="477" spans="12:24" x14ac:dyDescent="0.3">
      <c r="L477"/>
      <c r="M477"/>
      <c r="N477"/>
      <c r="O477"/>
      <c r="P477" s="220">
        <f>P475+$Q$6</f>
        <v>0</v>
      </c>
      <c r="Q477" s="221"/>
      <c r="R477" s="221" t="e">
        <f>IF(R475+Q476&lt;0,(R475+Q476)*0.8,R475+Q476)</f>
        <v>#DIV/0!</v>
      </c>
      <c r="S477" s="221"/>
      <c r="T477" s="221" t="e">
        <f>T475*(X477/X475)^2</f>
        <v>#DIV/0!</v>
      </c>
      <c r="U477" s="221"/>
      <c r="V477" s="221" t="e">
        <f>IF(AND(ABS(V475+U476)&gt;$B$5*0.8,(V475+U476)&lt;0),-$B$5*0.5,IF(AND(ABS(V475+U476)&gt;$B$5*0.8,(V475+U476)&gt;0),$B$5*0.5,V475+U476))</f>
        <v>#DIV/0!</v>
      </c>
      <c r="W477" s="229"/>
      <c r="X477" s="223" t="e">
        <f>$B$7*V477</f>
        <v>#DIV/0!</v>
      </c>
    </row>
    <row r="478" spans="12:24" x14ac:dyDescent="0.3">
      <c r="L478"/>
      <c r="M478"/>
      <c r="N478"/>
      <c r="O478"/>
      <c r="P478" s="220"/>
      <c r="Q478" s="221" t="e">
        <f>(V477+U476/2)*$Q$12</f>
        <v>#DIV/0!</v>
      </c>
      <c r="R478" s="221"/>
      <c r="S478" s="221" t="e">
        <f>R477+Q478/2</f>
        <v>#DIV/0!</v>
      </c>
      <c r="T478" s="221"/>
      <c r="U478" s="221" t="e">
        <f>-$Q$13*(S478+T477*((V477+U476/2)^2))</f>
        <v>#DIV/0!</v>
      </c>
      <c r="V478" s="221"/>
      <c r="W478" s="229" t="e">
        <f>V477+U478/2</f>
        <v>#DIV/0!</v>
      </c>
      <c r="X478" s="213"/>
    </row>
    <row r="479" spans="12:24" x14ac:dyDescent="0.3">
      <c r="L479"/>
      <c r="M479"/>
      <c r="N479"/>
      <c r="O479"/>
      <c r="P479" s="220">
        <f>P477+$Q$6</f>
        <v>0</v>
      </c>
      <c r="Q479" s="221"/>
      <c r="R479" s="221" t="e">
        <f>IF(R477+Q478&lt;0,(R477+Q478)*0.8,R477+Q478)</f>
        <v>#DIV/0!</v>
      </c>
      <c r="S479" s="221"/>
      <c r="T479" s="221" t="e">
        <f>T477*(X479/X477)^2</f>
        <v>#DIV/0!</v>
      </c>
      <c r="U479" s="221"/>
      <c r="V479" s="221" t="e">
        <f>IF(AND(ABS(V477+U478)&gt;$B$5*0.8,(V477+U478)&lt;0),-$B$5*0.5,IF(AND(ABS(V477+U478)&gt;$B$5*0.8,(V477+U478)&gt;0),$B$5*0.5,V477+U478))</f>
        <v>#DIV/0!</v>
      </c>
      <c r="W479" s="229"/>
      <c r="X479" s="223" t="e">
        <f>$B$7*V479</f>
        <v>#DIV/0!</v>
      </c>
    </row>
    <row r="480" spans="12:24" x14ac:dyDescent="0.3">
      <c r="L480"/>
      <c r="M480"/>
      <c r="N480"/>
      <c r="O480"/>
      <c r="P480" s="220"/>
      <c r="Q480" s="221" t="e">
        <f>(V479+U478/2)*$Q$12</f>
        <v>#DIV/0!</v>
      </c>
      <c r="R480" s="221"/>
      <c r="S480" s="221" t="e">
        <f>R479+Q480/2</f>
        <v>#DIV/0!</v>
      </c>
      <c r="T480" s="221"/>
      <c r="U480" s="221" t="e">
        <f>-$Q$13*(S480+T479*((V479+U478/2)^2))</f>
        <v>#DIV/0!</v>
      </c>
      <c r="V480" s="221"/>
      <c r="W480" s="229" t="e">
        <f>V479+U480/2</f>
        <v>#DIV/0!</v>
      </c>
      <c r="X480" s="213"/>
    </row>
    <row r="481" spans="12:24" x14ac:dyDescent="0.3">
      <c r="L481"/>
      <c r="M481"/>
      <c r="N481"/>
      <c r="O481"/>
      <c r="P481" s="220">
        <f>P479+$Q$6</f>
        <v>0</v>
      </c>
      <c r="Q481" s="221"/>
      <c r="R481" s="221" t="e">
        <f>IF(R479+Q480&lt;0,(R479+Q480)*0.8,R479+Q480)</f>
        <v>#DIV/0!</v>
      </c>
      <c r="S481" s="221"/>
      <c r="T481" s="221" t="e">
        <f>T479*(X481/X479)^2</f>
        <v>#DIV/0!</v>
      </c>
      <c r="U481" s="221"/>
      <c r="V481" s="221" t="e">
        <f>IF(AND(ABS(V479+U480)&gt;$B$5*0.8,(V479+U480)&lt;0),-$B$5*0.5,IF(AND(ABS(V479+U480)&gt;$B$5*0.8,(V479+U480)&gt;0),$B$5*0.5,V479+U480))</f>
        <v>#DIV/0!</v>
      </c>
      <c r="W481" s="229"/>
      <c r="X481" s="223" t="e">
        <f>$B$7*V481</f>
        <v>#DIV/0!</v>
      </c>
    </row>
    <row r="482" spans="12:24" x14ac:dyDescent="0.3">
      <c r="L482"/>
      <c r="M482"/>
      <c r="N482"/>
      <c r="O482"/>
      <c r="P482" s="220"/>
      <c r="Q482" s="221" t="e">
        <f>(V481+U480/2)*$Q$12</f>
        <v>#DIV/0!</v>
      </c>
      <c r="R482" s="221"/>
      <c r="S482" s="221" t="e">
        <f>R481+Q482/2</f>
        <v>#DIV/0!</v>
      </c>
      <c r="T482" s="221"/>
      <c r="U482" s="221" t="e">
        <f>-$Q$13*(S482+T481*((V481+U480/2)^2))</f>
        <v>#DIV/0!</v>
      </c>
      <c r="V482" s="221"/>
      <c r="W482" s="229" t="e">
        <f>V481+U482/2</f>
        <v>#DIV/0!</v>
      </c>
      <c r="X482" s="224"/>
    </row>
    <row r="483" spans="12:24" x14ac:dyDescent="0.3">
      <c r="L483"/>
      <c r="M483"/>
      <c r="N483"/>
      <c r="O483"/>
      <c r="P483" s="220">
        <f>P481+$Q$6</f>
        <v>0</v>
      </c>
      <c r="Q483" s="221"/>
      <c r="R483" s="221" t="e">
        <f>IF(R481+Q482&lt;0,(R481+Q482)*0.8,R481+Q482)</f>
        <v>#DIV/0!</v>
      </c>
      <c r="S483" s="221"/>
      <c r="T483" s="221" t="e">
        <f>T481*(X483/X481)^2</f>
        <v>#DIV/0!</v>
      </c>
      <c r="U483" s="221"/>
      <c r="V483" s="221" t="e">
        <f>IF(AND(ABS(V481+U482)&gt;$B$5*0.8,(V481+U482)&lt;0),-$B$5*0.5,IF(AND(ABS(V481+U482)&gt;$B$5*0.8,(V481+U482)&gt;0),$B$5*0.5,V481+U482))</f>
        <v>#DIV/0!</v>
      </c>
      <c r="W483" s="229"/>
      <c r="X483" s="223" t="e">
        <f>$B$7*V483</f>
        <v>#DIV/0!</v>
      </c>
    </row>
    <row r="484" spans="12:24" x14ac:dyDescent="0.3">
      <c r="L484"/>
      <c r="M484"/>
      <c r="N484"/>
      <c r="O484"/>
      <c r="P484" s="220"/>
      <c r="Q484" s="221" t="e">
        <f>(V483+U482/2)*$Q$12</f>
        <v>#DIV/0!</v>
      </c>
      <c r="R484" s="221"/>
      <c r="S484" s="221" t="e">
        <f>R483+Q484/2</f>
        <v>#DIV/0!</v>
      </c>
      <c r="T484" s="221"/>
      <c r="U484" s="221" t="e">
        <f>-$Q$13*(S484+T483*((V483+U482/2)^2))</f>
        <v>#DIV/0!</v>
      </c>
      <c r="V484" s="221"/>
      <c r="W484" s="229" t="e">
        <f>V483+U484/2</f>
        <v>#DIV/0!</v>
      </c>
      <c r="X484" s="213"/>
    </row>
    <row r="485" spans="12:24" x14ac:dyDescent="0.3">
      <c r="L485"/>
      <c r="M485"/>
      <c r="N485"/>
      <c r="O485"/>
      <c r="P485" s="220">
        <f>P483+$Q$6</f>
        <v>0</v>
      </c>
      <c r="Q485" s="221"/>
      <c r="R485" s="221" t="e">
        <f>IF(R483+Q484&lt;0,(R483+Q484)*0.8,R483+Q484)</f>
        <v>#DIV/0!</v>
      </c>
      <c r="S485" s="221"/>
      <c r="T485" s="221" t="e">
        <f>T483*(X485/X483)^2</f>
        <v>#DIV/0!</v>
      </c>
      <c r="U485" s="221"/>
      <c r="V485" s="221" t="e">
        <f>IF(AND(ABS(V483+U484)&gt;$B$5*0.8,(V483+U484)&lt;0),-$B$5*0.5,IF(AND(ABS(V483+U484)&gt;$B$5*0.8,(V483+U484)&gt;0),$B$5*0.5,V483+U484))</f>
        <v>#DIV/0!</v>
      </c>
      <c r="W485" s="229"/>
      <c r="X485" s="223" t="e">
        <f>$B$7*V485</f>
        <v>#DIV/0!</v>
      </c>
    </row>
    <row r="486" spans="12:24" x14ac:dyDescent="0.3">
      <c r="L486"/>
      <c r="M486"/>
      <c r="N486"/>
      <c r="O486"/>
      <c r="P486" s="220"/>
      <c r="Q486" s="221" t="e">
        <f>(V485+U484/2)*$Q$12</f>
        <v>#DIV/0!</v>
      </c>
      <c r="R486" s="221"/>
      <c r="S486" s="221" t="e">
        <f>R485+Q486/2</f>
        <v>#DIV/0!</v>
      </c>
      <c r="T486" s="221"/>
      <c r="U486" s="221" t="e">
        <f>-$Q$13*(S486+T485*((V485+U484/2)^2))</f>
        <v>#DIV/0!</v>
      </c>
      <c r="V486" s="221"/>
      <c r="W486" s="229" t="e">
        <f>V485+U486/2</f>
        <v>#DIV/0!</v>
      </c>
      <c r="X486" s="213"/>
    </row>
    <row r="487" spans="12:24" x14ac:dyDescent="0.3">
      <c r="L487"/>
      <c r="M487"/>
      <c r="N487"/>
      <c r="O487"/>
      <c r="P487" s="220">
        <f>P485+$Q$6</f>
        <v>0</v>
      </c>
      <c r="Q487" s="221"/>
      <c r="R487" s="221" t="e">
        <f>IF(R485+Q486&lt;0,(R485+Q486)*0.8,R485+Q486)</f>
        <v>#DIV/0!</v>
      </c>
      <c r="S487" s="221"/>
      <c r="T487" s="221" t="e">
        <f>T485*(X487/X485)^2</f>
        <v>#DIV/0!</v>
      </c>
      <c r="U487" s="221"/>
      <c r="V487" s="221" t="e">
        <f>IF(AND(ABS(V485+U486)&gt;$B$5*0.8,(V485+U486)&lt;0),-$B$5*0.5,IF(AND(ABS(V485+U486)&gt;$B$5*0.8,(V485+U486)&gt;0),$B$5*0.5,V485+U486))</f>
        <v>#DIV/0!</v>
      </c>
      <c r="W487" s="229"/>
      <c r="X487" s="223" t="e">
        <f>$B$7*V487</f>
        <v>#DIV/0!</v>
      </c>
    </row>
    <row r="488" spans="12:24" x14ac:dyDescent="0.3">
      <c r="L488"/>
      <c r="M488"/>
      <c r="N488"/>
      <c r="O488"/>
      <c r="P488" s="220"/>
      <c r="Q488" s="221" t="e">
        <f>(V487+U486/2)*$Q$12</f>
        <v>#DIV/0!</v>
      </c>
      <c r="R488" s="221"/>
      <c r="S488" s="221" t="e">
        <f>R487+Q488/2</f>
        <v>#DIV/0!</v>
      </c>
      <c r="T488" s="221"/>
      <c r="U488" s="221" t="e">
        <f>-$Q$13*(S488+T487*((V487+U486/2)^2))</f>
        <v>#DIV/0!</v>
      </c>
      <c r="V488" s="221"/>
      <c r="W488" s="229" t="e">
        <f>V487+U488/2</f>
        <v>#DIV/0!</v>
      </c>
      <c r="X488" s="213"/>
    </row>
    <row r="489" spans="12:24" x14ac:dyDescent="0.3">
      <c r="L489"/>
      <c r="M489"/>
      <c r="N489"/>
      <c r="O489"/>
      <c r="P489" s="220">
        <f>P487+$Q$6</f>
        <v>0</v>
      </c>
      <c r="Q489" s="221"/>
      <c r="R489" s="221" t="e">
        <f>IF(R487+Q488&lt;0,(R487+Q488)*0.8,R487+Q488)</f>
        <v>#DIV/0!</v>
      </c>
      <c r="S489" s="221"/>
      <c r="T489" s="221" t="e">
        <f>T487*(X489/X487)^2</f>
        <v>#DIV/0!</v>
      </c>
      <c r="U489" s="221"/>
      <c r="V489" s="221" t="e">
        <f>IF(AND(ABS(V487+U488)&gt;$B$5*0.8,(V487+U488)&lt;0),-$B$5*0.5,IF(AND(ABS(V487+U488)&gt;$B$5*0.8,(V487+U488)&gt;0),$B$5*0.5,V487+U488))</f>
        <v>#DIV/0!</v>
      </c>
      <c r="W489" s="229"/>
      <c r="X489" s="223" t="e">
        <f>$B$7*V489</f>
        <v>#DIV/0!</v>
      </c>
    </row>
    <row r="490" spans="12:24" x14ac:dyDescent="0.3">
      <c r="L490"/>
      <c r="M490"/>
      <c r="N490"/>
      <c r="O490"/>
      <c r="P490" s="220"/>
      <c r="Q490" s="221" t="e">
        <f>(V489+U488/2)*$Q$12</f>
        <v>#DIV/0!</v>
      </c>
      <c r="R490" s="221"/>
      <c r="S490" s="221" t="e">
        <f>R489+Q490/2</f>
        <v>#DIV/0!</v>
      </c>
      <c r="T490" s="221"/>
      <c r="U490" s="221" t="e">
        <f>-$Q$13*(S490+T489*((V489+U488/2)^2))</f>
        <v>#DIV/0!</v>
      </c>
      <c r="V490" s="221"/>
      <c r="W490" s="229" t="e">
        <f>V489+U490/2</f>
        <v>#DIV/0!</v>
      </c>
      <c r="X490" s="213"/>
    </row>
    <row r="491" spans="12:24" x14ac:dyDescent="0.3">
      <c r="L491"/>
      <c r="M491"/>
      <c r="N491"/>
      <c r="O491"/>
      <c r="P491" s="220">
        <f>P489+$Q$6</f>
        <v>0</v>
      </c>
      <c r="Q491" s="221"/>
      <c r="R491" s="221" t="e">
        <f>IF(R489+Q490&lt;0,(R489+Q490)*0.8,R489+Q490)</f>
        <v>#DIV/0!</v>
      </c>
      <c r="S491" s="221"/>
      <c r="T491" s="221" t="e">
        <f>T489*(X491/X489)^2</f>
        <v>#DIV/0!</v>
      </c>
      <c r="U491" s="221"/>
      <c r="V491" s="221" t="e">
        <f>IF(AND(ABS(V489+U490)&gt;$B$5*0.8,(V489+U490)&lt;0),-$B$5*0.5,IF(AND(ABS(V489+U490)&gt;$B$5*0.8,(V489+U490)&gt;0),$B$5*0.5,V489+U490))</f>
        <v>#DIV/0!</v>
      </c>
      <c r="W491" s="229"/>
      <c r="X491" s="223" t="e">
        <f>$B$7*V491</f>
        <v>#DIV/0!</v>
      </c>
    </row>
    <row r="492" spans="12:24" x14ac:dyDescent="0.3">
      <c r="L492"/>
      <c r="M492"/>
      <c r="N492"/>
      <c r="O492"/>
      <c r="P492" s="213"/>
      <c r="Q492" s="221" t="e">
        <f>(V491+U490/2)*$Q$12</f>
        <v>#DIV/0!</v>
      </c>
      <c r="R492" s="221"/>
      <c r="S492" s="221" t="e">
        <f>R491+Q492/2</f>
        <v>#DIV/0!</v>
      </c>
      <c r="T492" s="221"/>
      <c r="U492" s="221" t="e">
        <f>-$Q$13*(S492+T491*((V491+U490/2)^2))</f>
        <v>#DIV/0!</v>
      </c>
      <c r="V492" s="221"/>
      <c r="W492" s="229" t="e">
        <f>V491+U492/2</f>
        <v>#DIV/0!</v>
      </c>
      <c r="X492" s="224"/>
    </row>
    <row r="493" spans="12:24" x14ac:dyDescent="0.3">
      <c r="L493"/>
      <c r="M493"/>
      <c r="N493"/>
      <c r="O493"/>
      <c r="P493" s="220">
        <f>P491+$Q$6</f>
        <v>0</v>
      </c>
      <c r="Q493" s="221"/>
      <c r="R493" s="221" t="e">
        <f>IF(R491+Q492&lt;0,(R491+Q492)*0.8,R491+Q492)</f>
        <v>#DIV/0!</v>
      </c>
      <c r="S493" s="221"/>
      <c r="T493" s="221" t="e">
        <f>T491*(X493/X491)^2</f>
        <v>#DIV/0!</v>
      </c>
      <c r="U493" s="221"/>
      <c r="V493" s="221" t="e">
        <f>IF(AND(ABS(V491+U492)&gt;$B$5*0.8,(V491+U492)&lt;0),-$B$5*0.5,IF(AND(ABS(V491+U492)&gt;$B$5*0.8,(V491+U492)&gt;0),$B$5*0.5,V491+U492))</f>
        <v>#DIV/0!</v>
      </c>
      <c r="W493" s="229"/>
      <c r="X493" s="223" t="e">
        <f>$B$7*V493</f>
        <v>#DIV/0!</v>
      </c>
    </row>
    <row r="494" spans="12:24" x14ac:dyDescent="0.3">
      <c r="L494"/>
      <c r="M494"/>
      <c r="N494"/>
      <c r="O494"/>
      <c r="P494" s="220"/>
      <c r="Q494" s="221" t="e">
        <f>(V493+U492/2)*$Q$12</f>
        <v>#DIV/0!</v>
      </c>
      <c r="R494" s="221"/>
      <c r="S494" s="221" t="e">
        <f>R493+Q494/2</f>
        <v>#DIV/0!</v>
      </c>
      <c r="T494" s="221"/>
      <c r="U494" s="221" t="e">
        <f>-$Q$13*(S494+T493*((V493+U492/2)^2))</f>
        <v>#DIV/0!</v>
      </c>
      <c r="V494" s="221"/>
      <c r="W494" s="229" t="e">
        <f>V493+U494/2</f>
        <v>#DIV/0!</v>
      </c>
      <c r="X494" s="213"/>
    </row>
    <row r="495" spans="12:24" x14ac:dyDescent="0.3">
      <c r="L495"/>
      <c r="M495"/>
      <c r="N495"/>
      <c r="O495"/>
      <c r="P495" s="220">
        <f>P493+$Q$6</f>
        <v>0</v>
      </c>
      <c r="Q495" s="221"/>
      <c r="R495" s="221" t="e">
        <f>IF(R493+Q494&lt;0,(R493+Q494)*0.8,R493+Q494)</f>
        <v>#DIV/0!</v>
      </c>
      <c r="S495" s="221"/>
      <c r="T495" s="221" t="e">
        <f>T493*(X495/X493)^2</f>
        <v>#DIV/0!</v>
      </c>
      <c r="U495" s="221"/>
      <c r="V495" s="221" t="e">
        <f>IF(AND(ABS(V493+U494)&gt;$B$5*0.8,(V493+U494)&lt;0),-$B$5*0.5,IF(AND(ABS(V493+U494)&gt;$B$5*0.8,(V493+U494)&gt;0),$B$5*0.5,V493+U494))</f>
        <v>#DIV/0!</v>
      </c>
      <c r="W495" s="229"/>
      <c r="X495" s="223" t="e">
        <f>$B$7*V495</f>
        <v>#DIV/0!</v>
      </c>
    </row>
    <row r="496" spans="12:24" x14ac:dyDescent="0.3">
      <c r="L496"/>
      <c r="M496"/>
      <c r="N496"/>
      <c r="O496"/>
      <c r="P496" s="213"/>
      <c r="Q496" s="221" t="e">
        <f>(V495+U494/2)*$Q$12</f>
        <v>#DIV/0!</v>
      </c>
      <c r="R496" s="221"/>
      <c r="S496" s="221" t="e">
        <f>R495+Q496/2</f>
        <v>#DIV/0!</v>
      </c>
      <c r="T496" s="221"/>
      <c r="U496" s="221" t="e">
        <f>-$Q$13*(S496+T495*((V495+U494/2)^2))</f>
        <v>#DIV/0!</v>
      </c>
      <c r="V496" s="221"/>
      <c r="W496" s="229" t="e">
        <f>V495+U496/2</f>
        <v>#DIV/0!</v>
      </c>
      <c r="X496" s="224"/>
    </row>
    <row r="497" spans="12:24" x14ac:dyDescent="0.3">
      <c r="L497"/>
      <c r="M497"/>
      <c r="N497"/>
      <c r="O497"/>
      <c r="P497" s="220">
        <f>P495+$Q$6</f>
        <v>0</v>
      </c>
      <c r="Q497" s="221"/>
      <c r="R497" s="221" t="e">
        <f>IF(R495+Q496&lt;0,(R495+Q496)*0.8,R495+Q496)</f>
        <v>#DIV/0!</v>
      </c>
      <c r="S497" s="221"/>
      <c r="T497" s="221" t="e">
        <f>T495*(X497/X495)^2</f>
        <v>#DIV/0!</v>
      </c>
      <c r="U497" s="221"/>
      <c r="V497" s="221" t="e">
        <f>IF(AND(ABS(V495+U496)&gt;$B$5*0.8,(V495+U496)&lt;0),-$B$5*0.5,IF(AND(ABS(V495+U496)&gt;$B$5*0.8,(V495+U496)&gt;0),$B$5*0.5,V495+U496))</f>
        <v>#DIV/0!</v>
      </c>
      <c r="W497" s="229"/>
      <c r="X497" s="223" t="e">
        <f>$B$7*V497</f>
        <v>#DIV/0!</v>
      </c>
    </row>
    <row r="498" spans="12:24" x14ac:dyDescent="0.3">
      <c r="L498"/>
      <c r="M498"/>
      <c r="N498"/>
      <c r="O498"/>
      <c r="P498" s="220"/>
      <c r="Q498" s="221" t="e">
        <f>(V497+U496/2)*$Q$12</f>
        <v>#DIV/0!</v>
      </c>
      <c r="R498" s="221"/>
      <c r="S498" s="221" t="e">
        <f>R497+Q498/2</f>
        <v>#DIV/0!</v>
      </c>
      <c r="T498" s="221"/>
      <c r="U498" s="221" t="e">
        <f>-$Q$13*(S498+T497*((V497+U496/2)^2))</f>
        <v>#DIV/0!</v>
      </c>
      <c r="V498" s="221"/>
      <c r="W498" s="229" t="e">
        <f>V497+U498/2</f>
        <v>#DIV/0!</v>
      </c>
      <c r="X498" s="213"/>
    </row>
    <row r="499" spans="12:24" x14ac:dyDescent="0.3">
      <c r="L499"/>
      <c r="M499"/>
      <c r="N499"/>
      <c r="O499"/>
      <c r="P499" s="220">
        <f>P497+$Q$6</f>
        <v>0</v>
      </c>
      <c r="Q499" s="221"/>
      <c r="R499" s="221" t="e">
        <f>IF(R497+Q498&lt;0,(R497+Q498)*0.8,R497+Q498)</f>
        <v>#DIV/0!</v>
      </c>
      <c r="S499" s="221"/>
      <c r="T499" s="221" t="e">
        <f>T497*(X499/X497)^2</f>
        <v>#DIV/0!</v>
      </c>
      <c r="U499" s="221"/>
      <c r="V499" s="221" t="e">
        <f>IF(AND(ABS(V497+U498)&gt;$B$5*0.8,(V497+U498)&lt;0),-$B$5*0.5,IF(AND(ABS(V497+U498)&gt;$B$5*0.8,(V497+U498)&gt;0),$B$5*0.5,V497+U498))</f>
        <v>#DIV/0!</v>
      </c>
      <c r="W499" s="229"/>
      <c r="X499" s="223" t="e">
        <f>$B$7*V499</f>
        <v>#DIV/0!</v>
      </c>
    </row>
    <row r="500" spans="12:24" x14ac:dyDescent="0.3">
      <c r="L500"/>
      <c r="M500"/>
      <c r="N500"/>
      <c r="O500"/>
      <c r="P500" s="213"/>
      <c r="Q500" s="221" t="e">
        <f>(V499+U498/2)*$Q$12</f>
        <v>#DIV/0!</v>
      </c>
      <c r="R500" s="221"/>
      <c r="S500" s="221" t="e">
        <f>R499+Q500/2</f>
        <v>#DIV/0!</v>
      </c>
      <c r="T500" s="221"/>
      <c r="U500" s="221" t="e">
        <f>-$Q$13*(S500+T499*((V499+U498/2)^2))</f>
        <v>#DIV/0!</v>
      </c>
      <c r="V500" s="221"/>
      <c r="W500" s="229" t="e">
        <f>V499+U500/2</f>
        <v>#DIV/0!</v>
      </c>
      <c r="X500" s="213"/>
    </row>
    <row r="501" spans="12:24" x14ac:dyDescent="0.3">
      <c r="L501"/>
      <c r="M501"/>
      <c r="N501"/>
      <c r="O501"/>
      <c r="P501" s="220">
        <f>P499+$Q$6</f>
        <v>0</v>
      </c>
      <c r="Q501" s="221"/>
      <c r="R501" s="221" t="e">
        <f>IF(R499+Q500&lt;0,(R499+Q500)*0.8,R499+Q500)</f>
        <v>#DIV/0!</v>
      </c>
      <c r="S501" s="221"/>
      <c r="T501" s="221" t="e">
        <f>T499*(X501/X499)^2</f>
        <v>#DIV/0!</v>
      </c>
      <c r="U501" s="221"/>
      <c r="V501" s="221" t="e">
        <f>IF(AND(ABS(V499+U500)&gt;$B$5*0.8,(V499+U500)&lt;0),-$B$5*0.5,IF(AND(ABS(V499+U500)&gt;$B$5*0.8,(V499+U500)&gt;0),$B$5*0.5,V499+U500))</f>
        <v>#DIV/0!</v>
      </c>
      <c r="W501" s="229"/>
      <c r="X501" s="223" t="e">
        <f>$B$7*V501</f>
        <v>#DIV/0!</v>
      </c>
    </row>
    <row r="502" spans="12:24" x14ac:dyDescent="0.3">
      <c r="L502"/>
      <c r="M502"/>
      <c r="N502"/>
      <c r="O502"/>
      <c r="P502" s="220"/>
      <c r="Q502" s="221" t="e">
        <f>(V501+U500/2)*$Q$12</f>
        <v>#DIV/0!</v>
      </c>
      <c r="R502" s="221"/>
      <c r="S502" s="221" t="e">
        <f>R501+Q502/2</f>
        <v>#DIV/0!</v>
      </c>
      <c r="T502" s="221"/>
      <c r="U502" s="221" t="e">
        <f>-$Q$13*(S502+T501*((V501+U500/2)^2))</f>
        <v>#DIV/0!</v>
      </c>
      <c r="V502" s="221"/>
      <c r="W502" s="229" t="e">
        <f>V501+U502/2</f>
        <v>#DIV/0!</v>
      </c>
      <c r="X502" s="224"/>
    </row>
    <row r="503" spans="12:24" x14ac:dyDescent="0.3">
      <c r="L503"/>
      <c r="M503"/>
      <c r="N503"/>
      <c r="O503"/>
      <c r="P503" s="220">
        <f>P501+$Q$6</f>
        <v>0</v>
      </c>
      <c r="Q503" s="221"/>
      <c r="R503" s="221" t="e">
        <f>IF(R501+Q502&lt;0,(R501+Q502)*0.8,R501+Q502)</f>
        <v>#DIV/0!</v>
      </c>
      <c r="S503" s="221"/>
      <c r="T503" s="221" t="e">
        <f>T501*(X503/X501)^2</f>
        <v>#DIV/0!</v>
      </c>
      <c r="U503" s="221"/>
      <c r="V503" s="221" t="e">
        <f>IF(AND(ABS(V501+U502)&gt;$B$5*0.8,(V501+U502)&lt;0),-$B$5*0.5,IF(AND(ABS(V501+U502)&gt;$B$5*0.8,(V501+U502)&gt;0),$B$5*0.5,V501+U502))</f>
        <v>#DIV/0!</v>
      </c>
      <c r="W503" s="229"/>
      <c r="X503" s="223" t="e">
        <f>$B$7*V503</f>
        <v>#DIV/0!</v>
      </c>
    </row>
    <row r="504" spans="12:24" x14ac:dyDescent="0.3">
      <c r="L504"/>
      <c r="M504"/>
      <c r="N504"/>
      <c r="O504"/>
      <c r="P504" s="213"/>
      <c r="Q504" s="221" t="e">
        <f>(V503+U502/2)*$Q$12</f>
        <v>#DIV/0!</v>
      </c>
      <c r="R504" s="221"/>
      <c r="S504" s="221" t="e">
        <f>R503+Q504/2</f>
        <v>#DIV/0!</v>
      </c>
      <c r="T504" s="221"/>
      <c r="U504" s="221" t="e">
        <f>-$Q$13*(S504+T503*((V503+U502/2)^2))</f>
        <v>#DIV/0!</v>
      </c>
      <c r="V504" s="221"/>
      <c r="W504" s="229" t="e">
        <f>V503+U504/2</f>
        <v>#DIV/0!</v>
      </c>
      <c r="X504" s="213"/>
    </row>
    <row r="505" spans="12:24" x14ac:dyDescent="0.3">
      <c r="L505"/>
      <c r="M505"/>
      <c r="N505"/>
      <c r="O505"/>
      <c r="P505" s="220">
        <f>P503+$Q$6</f>
        <v>0</v>
      </c>
      <c r="Q505" s="221"/>
      <c r="R505" s="221" t="e">
        <f>IF(R503+Q504&lt;0,(R503+Q504)*0.8,R503+Q504)</f>
        <v>#DIV/0!</v>
      </c>
      <c r="S505" s="221"/>
      <c r="T505" s="221" t="e">
        <f>T503*(X505/X503)^2</f>
        <v>#DIV/0!</v>
      </c>
      <c r="U505" s="221"/>
      <c r="V505" s="221" t="e">
        <f>IF(AND(ABS(V503+U504)&gt;$B$5*0.8,(V503+U504)&lt;0),-$B$5*0.5,IF(AND(ABS(V503+U504)&gt;$B$5*0.8,(V503+U504)&gt;0),$B$5*0.5,V503+U504))</f>
        <v>#DIV/0!</v>
      </c>
      <c r="W505" s="229"/>
      <c r="X505" s="223" t="e">
        <f>$B$7*V505</f>
        <v>#DIV/0!</v>
      </c>
    </row>
    <row r="506" spans="12:24" x14ac:dyDescent="0.3">
      <c r="L506"/>
      <c r="M506"/>
      <c r="N506"/>
      <c r="O506"/>
      <c r="P506" s="220"/>
      <c r="Q506" s="221" t="e">
        <f>(V505+U504/2)*$Q$12</f>
        <v>#DIV/0!</v>
      </c>
      <c r="R506" s="221"/>
      <c r="S506" s="221" t="e">
        <f>R505+Q506/2</f>
        <v>#DIV/0!</v>
      </c>
      <c r="T506" s="221"/>
      <c r="U506" s="221" t="e">
        <f>-$Q$13*(S506+T505*((V505+U504/2)^2))</f>
        <v>#DIV/0!</v>
      </c>
      <c r="V506" s="221"/>
      <c r="W506" s="229" t="e">
        <f>V505+U506/2</f>
        <v>#DIV/0!</v>
      </c>
      <c r="X506" s="213"/>
    </row>
    <row r="507" spans="12:24" x14ac:dyDescent="0.3">
      <c r="L507"/>
      <c r="M507"/>
      <c r="N507"/>
      <c r="O507"/>
      <c r="P507" s="220">
        <f>P505+$Q$6</f>
        <v>0</v>
      </c>
      <c r="Q507" s="221"/>
      <c r="R507" s="221" t="e">
        <f>IF(R505+Q506&lt;0,(R505+Q506)*0.8,R505+Q506)</f>
        <v>#DIV/0!</v>
      </c>
      <c r="S507" s="221"/>
      <c r="T507" s="221" t="e">
        <f>T505*(X507/X505)^2</f>
        <v>#DIV/0!</v>
      </c>
      <c r="U507" s="221"/>
      <c r="V507" s="221" t="e">
        <f>IF(AND(ABS(V505+U506)&gt;$B$5*0.8,(V505+U506)&lt;0),-$B$5*0.5,IF(AND(ABS(V505+U506)&gt;$B$5*0.8,(V505+U506)&gt;0),$B$5*0.5,V505+U506))</f>
        <v>#DIV/0!</v>
      </c>
      <c r="W507" s="229"/>
      <c r="X507" s="223" t="e">
        <f>$B$7*V507</f>
        <v>#DIV/0!</v>
      </c>
    </row>
    <row r="508" spans="12:24" x14ac:dyDescent="0.3">
      <c r="L508"/>
      <c r="M508"/>
      <c r="N508"/>
      <c r="O508"/>
      <c r="P508" s="213"/>
      <c r="Q508" s="221" t="e">
        <f>(V507+U506/2)*$Q$12</f>
        <v>#DIV/0!</v>
      </c>
      <c r="R508" s="221"/>
      <c r="S508" s="221" t="e">
        <f>R507+Q508/2</f>
        <v>#DIV/0!</v>
      </c>
      <c r="T508" s="221"/>
      <c r="U508" s="221" t="e">
        <f>-$Q$13*(S508+T507*((V507+U506/2)^2))</f>
        <v>#DIV/0!</v>
      </c>
      <c r="V508" s="221"/>
      <c r="W508" s="229" t="e">
        <f>V507+U508/2</f>
        <v>#DIV/0!</v>
      </c>
      <c r="X508" s="213"/>
    </row>
    <row r="509" spans="12:24" x14ac:dyDescent="0.3">
      <c r="L509"/>
      <c r="M509"/>
      <c r="N509"/>
      <c r="O509"/>
      <c r="P509" s="220">
        <f>P507+$Q$6</f>
        <v>0</v>
      </c>
      <c r="Q509" s="221"/>
      <c r="R509" s="221" t="e">
        <f>IF(R507+Q508&lt;0,(R507+Q508)*0.8,R507+Q508)</f>
        <v>#DIV/0!</v>
      </c>
      <c r="S509" s="221"/>
      <c r="T509" s="221" t="e">
        <f>T507*(X509/X507)^2</f>
        <v>#DIV/0!</v>
      </c>
      <c r="U509" s="221"/>
      <c r="V509" s="221" t="e">
        <f>IF(AND(ABS(V507+U508)&gt;$B$5*0.8,(V507+U508)&lt;0),-$B$5*0.5,IF(AND(ABS(V507+U508)&gt;$B$5*0.8,(V507+U508)&gt;0),$B$5*0.5,V507+U508))</f>
        <v>#DIV/0!</v>
      </c>
      <c r="W509" s="229"/>
      <c r="X509" s="223" t="e">
        <f>$B$7*V509</f>
        <v>#DIV/0!</v>
      </c>
    </row>
    <row r="510" spans="12:24" x14ac:dyDescent="0.3">
      <c r="L510"/>
      <c r="M510"/>
      <c r="N510"/>
      <c r="O510"/>
      <c r="P510" s="220"/>
      <c r="Q510" s="221" t="e">
        <f>(V509+U508/2)*$Q$12</f>
        <v>#DIV/0!</v>
      </c>
      <c r="R510" s="221"/>
      <c r="S510" s="221" t="e">
        <f>R509+Q510/2</f>
        <v>#DIV/0!</v>
      </c>
      <c r="T510" s="221"/>
      <c r="U510" s="221" t="e">
        <f>-$Q$13*(S510+T509*((V509+U508/2)^2))</f>
        <v>#DIV/0!</v>
      </c>
      <c r="V510" s="221"/>
      <c r="W510" s="229" t="e">
        <f>V509+U510/2</f>
        <v>#DIV/0!</v>
      </c>
      <c r="X510" s="213"/>
    </row>
    <row r="511" spans="12:24" x14ac:dyDescent="0.3">
      <c r="L511"/>
      <c r="M511"/>
      <c r="N511"/>
      <c r="O511"/>
      <c r="P511" s="220">
        <f>P509+$Q$6</f>
        <v>0</v>
      </c>
      <c r="Q511" s="221"/>
      <c r="R511" s="221" t="e">
        <f>IF(R509+Q510&lt;0,(R509+Q510)*0.8,R509+Q510)</f>
        <v>#DIV/0!</v>
      </c>
      <c r="S511" s="221"/>
      <c r="T511" s="221" t="e">
        <f>T509*(X511/X509)^2</f>
        <v>#DIV/0!</v>
      </c>
      <c r="U511" s="221"/>
      <c r="V511" s="221" t="e">
        <f>IF(AND(ABS(V509+U510)&gt;$B$5*0.8,(V509+U510)&lt;0),-$B$5*0.5,IF(AND(ABS(V509+U510)&gt;$B$5*0.8,(V509+U510)&gt;0),$B$5*0.5,V509+U510))</f>
        <v>#DIV/0!</v>
      </c>
      <c r="W511" s="229"/>
      <c r="X511" s="223" t="e">
        <f>$B$7*V511</f>
        <v>#DIV/0!</v>
      </c>
    </row>
    <row r="512" spans="12:24" x14ac:dyDescent="0.3">
      <c r="L512"/>
      <c r="M512"/>
      <c r="N512"/>
      <c r="O512"/>
      <c r="P512" s="213"/>
      <c r="Q512" s="221" t="e">
        <f>(V511+U510/2)*$Q$12</f>
        <v>#DIV/0!</v>
      </c>
      <c r="R512" s="221"/>
      <c r="S512" s="221" t="e">
        <f>R511+Q512/2</f>
        <v>#DIV/0!</v>
      </c>
      <c r="T512" s="221"/>
      <c r="U512" s="221" t="e">
        <f>-$Q$13*(S512+T511*((V511+U510/2)^2))</f>
        <v>#DIV/0!</v>
      </c>
      <c r="V512" s="221"/>
      <c r="W512" s="229" t="e">
        <f>V511+U512/2</f>
        <v>#DIV/0!</v>
      </c>
      <c r="X512" s="224"/>
    </row>
    <row r="513" spans="12:24" x14ac:dyDescent="0.3">
      <c r="L513"/>
      <c r="M513"/>
      <c r="N513"/>
      <c r="O513"/>
      <c r="P513" s="220">
        <f>P511+$Q$6</f>
        <v>0</v>
      </c>
      <c r="Q513" s="221"/>
      <c r="R513" s="221" t="e">
        <f>IF(R511+Q512&lt;0,(R511+Q512)*0.8,R511+Q512)</f>
        <v>#DIV/0!</v>
      </c>
      <c r="S513" s="221"/>
      <c r="T513" s="221" t="e">
        <f>T511*(X513/X511)^2</f>
        <v>#DIV/0!</v>
      </c>
      <c r="U513" s="221"/>
      <c r="V513" s="221" t="e">
        <f>IF(AND(ABS(V511+U512)&gt;$B$5*0.8,(V511+U512)&lt;0),-$B$5*0.5,IF(AND(ABS(V511+U512)&gt;$B$5*0.8,(V511+U512)&gt;0),$B$5*0.5,V511+U512))</f>
        <v>#DIV/0!</v>
      </c>
      <c r="W513" s="229"/>
      <c r="X513" s="223" t="e">
        <f>$B$7*V513</f>
        <v>#DIV/0!</v>
      </c>
    </row>
    <row r="514" spans="12:24" x14ac:dyDescent="0.3">
      <c r="L514"/>
      <c r="M514"/>
      <c r="N514"/>
      <c r="O514"/>
      <c r="P514" s="220"/>
      <c r="Q514" s="221" t="e">
        <f>(V513+U512/2)*$Q$12</f>
        <v>#DIV/0!</v>
      </c>
      <c r="R514" s="221"/>
      <c r="S514" s="221" t="e">
        <f>R513+Q514/2</f>
        <v>#DIV/0!</v>
      </c>
      <c r="T514" s="221"/>
      <c r="U514" s="221" t="e">
        <f>-$Q$13*(S514+T513*((V513+U512/2)^2))</f>
        <v>#DIV/0!</v>
      </c>
      <c r="V514" s="221"/>
      <c r="W514" s="229" t="e">
        <f>V513+U514/2</f>
        <v>#DIV/0!</v>
      </c>
      <c r="X514" s="213"/>
    </row>
    <row r="515" spans="12:24" x14ac:dyDescent="0.3">
      <c r="L515"/>
      <c r="M515"/>
      <c r="N515"/>
      <c r="O515"/>
      <c r="P515" s="220">
        <f>P513+$Q$6</f>
        <v>0</v>
      </c>
      <c r="Q515" s="221"/>
      <c r="R515" s="221" t="e">
        <f>IF(R513+Q514&lt;0,(R513+Q514)*0.8,R513+Q514)</f>
        <v>#DIV/0!</v>
      </c>
      <c r="S515" s="221"/>
      <c r="T515" s="221" t="e">
        <f>T513*(X515/X513)^2</f>
        <v>#DIV/0!</v>
      </c>
      <c r="U515" s="221"/>
      <c r="V515" s="221" t="e">
        <f>IF(AND(ABS(V513+U514)&gt;$B$5*0.8,(V513+U514)&lt;0),-$B$5*0.5,IF(AND(ABS(V513+U514)&gt;$B$5*0.8,(V513+U514)&gt;0),$B$5*0.5,V513+U514))</f>
        <v>#DIV/0!</v>
      </c>
      <c r="W515" s="229"/>
      <c r="X515" s="223" t="e">
        <f>$B$7*V515</f>
        <v>#DIV/0!</v>
      </c>
    </row>
    <row r="516" spans="12:24" x14ac:dyDescent="0.3">
      <c r="L516"/>
      <c r="M516"/>
      <c r="N516"/>
      <c r="O516"/>
      <c r="P516" s="213"/>
      <c r="Q516" s="221" t="e">
        <f>(V515+U514/2)*$Q$12</f>
        <v>#DIV/0!</v>
      </c>
      <c r="R516" s="221"/>
      <c r="S516" s="221" t="e">
        <f>R515+Q516/2</f>
        <v>#DIV/0!</v>
      </c>
      <c r="T516" s="221"/>
      <c r="U516" s="221" t="e">
        <f>-$Q$13*(S516+T515*((V515+U514/2)^2))</f>
        <v>#DIV/0!</v>
      </c>
      <c r="V516" s="221"/>
      <c r="W516" s="229" t="e">
        <f>V515+U516/2</f>
        <v>#DIV/0!</v>
      </c>
      <c r="X516" s="223"/>
    </row>
    <row r="517" spans="12:24" x14ac:dyDescent="0.3">
      <c r="L517"/>
      <c r="M517"/>
      <c r="N517"/>
      <c r="O517"/>
      <c r="P517" s="220">
        <f>P515+$Q$6</f>
        <v>0</v>
      </c>
      <c r="Q517" s="221"/>
      <c r="R517" s="221" t="e">
        <f>IF(R515+Q516&lt;0,(R515+Q516)*0.8,R515+Q516)</f>
        <v>#DIV/0!</v>
      </c>
      <c r="S517" s="221"/>
      <c r="T517" s="221" t="e">
        <f>T515*(X517/X515)^2</f>
        <v>#DIV/0!</v>
      </c>
      <c r="U517" s="221"/>
      <c r="V517" s="221" t="e">
        <f>IF(AND(ABS(V515+U516)&gt;$B$5*0.8,(V515+U516)&lt;0),-$B$5*0.5,IF(AND(ABS(V515+U516)&gt;$B$5*0.8,(V515+U516)&gt;0),$B$5*0.5,V515+U516))</f>
        <v>#DIV/0!</v>
      </c>
      <c r="W517" s="229"/>
      <c r="X517" s="223" t="e">
        <f>$B$7*V517</f>
        <v>#DIV/0!</v>
      </c>
    </row>
    <row r="518" spans="12:24" x14ac:dyDescent="0.3">
      <c r="L518"/>
      <c r="M518"/>
      <c r="N518"/>
      <c r="O518"/>
      <c r="P518" s="220"/>
      <c r="Q518" s="221" t="e">
        <f>(V517+U516/2)*$Q$12</f>
        <v>#DIV/0!</v>
      </c>
      <c r="R518" s="221"/>
      <c r="S518" s="221" t="e">
        <f>R517+Q518/2</f>
        <v>#DIV/0!</v>
      </c>
      <c r="T518" s="221"/>
      <c r="U518" s="221" t="e">
        <f>-$Q$13*(S518+T517*((V517+U516/2)^2))</f>
        <v>#DIV/0!</v>
      </c>
      <c r="V518" s="221"/>
      <c r="W518" s="229" t="e">
        <f>V517+U518/2</f>
        <v>#DIV/0!</v>
      </c>
      <c r="X518" s="213"/>
    </row>
    <row r="519" spans="12:24" x14ac:dyDescent="0.3">
      <c r="L519"/>
      <c r="M519"/>
      <c r="N519"/>
      <c r="O519"/>
      <c r="P519" s="220">
        <f>P517+$Q$6</f>
        <v>0</v>
      </c>
      <c r="Q519" s="221"/>
      <c r="R519" s="221" t="e">
        <f>IF(R517+Q518&lt;0,(R517+Q518)*0.8,R517+Q518)</f>
        <v>#DIV/0!</v>
      </c>
      <c r="S519" s="221"/>
      <c r="T519" s="221" t="e">
        <f>T517*(X519/X517)^2</f>
        <v>#DIV/0!</v>
      </c>
      <c r="U519" s="221"/>
      <c r="V519" s="221" t="e">
        <f>IF(AND(ABS(V517+U518)&gt;$B$5*0.8,(V517+U518)&lt;0),-$B$5*0.5,IF(AND(ABS(V517+U518)&gt;$B$5*0.8,(V517+U518)&gt;0),$B$5*0.5,V517+U518))</f>
        <v>#DIV/0!</v>
      </c>
      <c r="W519" s="229"/>
      <c r="X519" s="223" t="e">
        <f>$B$7*V519</f>
        <v>#DIV/0!</v>
      </c>
    </row>
    <row r="520" spans="12:24" x14ac:dyDescent="0.3">
      <c r="L520"/>
      <c r="M520"/>
      <c r="N520"/>
      <c r="O520"/>
      <c r="P520" s="213"/>
      <c r="Q520" s="221" t="e">
        <f>(V519+U518/2)*$Q$12</f>
        <v>#DIV/0!</v>
      </c>
      <c r="R520" s="221"/>
      <c r="S520" s="221" t="e">
        <f>R519+Q520/2</f>
        <v>#DIV/0!</v>
      </c>
      <c r="T520" s="221"/>
      <c r="U520" s="221" t="e">
        <f>-$Q$13*(S520+T519*((V519+U518/2)^2))</f>
        <v>#DIV/0!</v>
      </c>
      <c r="V520" s="221"/>
      <c r="W520" s="229" t="e">
        <f>V519+U520/2</f>
        <v>#DIV/0!</v>
      </c>
      <c r="X520" s="213"/>
    </row>
    <row r="521" spans="12:24" x14ac:dyDescent="0.3">
      <c r="L521"/>
      <c r="M521"/>
      <c r="N521"/>
      <c r="O521"/>
      <c r="P521" s="220">
        <f>P519+$Q$6</f>
        <v>0</v>
      </c>
      <c r="Q521" s="221"/>
      <c r="R521" s="221" t="e">
        <f>IF(R519+Q520&lt;0,(R519+Q520)*0.8,R519+Q520)</f>
        <v>#DIV/0!</v>
      </c>
      <c r="S521" s="221"/>
      <c r="T521" s="221" t="e">
        <f>T519*(X521/X519)^2</f>
        <v>#DIV/0!</v>
      </c>
      <c r="U521" s="221"/>
      <c r="V521" s="221" t="e">
        <f>IF(AND(ABS(V519+U520)&gt;$B$5*0.8,(V519+U520)&lt;0),-$B$5*0.5,IF(AND(ABS(V519+U520)&gt;$B$5*0.8,(V519+U520)&gt;0),$B$5*0.5,V519+U520))</f>
        <v>#DIV/0!</v>
      </c>
      <c r="W521" s="229"/>
      <c r="X521" s="223" t="e">
        <f>$B$7*V521</f>
        <v>#DIV/0!</v>
      </c>
    </row>
    <row r="522" spans="12:24" x14ac:dyDescent="0.3">
      <c r="L522"/>
      <c r="M522"/>
      <c r="N522"/>
      <c r="O522"/>
      <c r="P522" s="220"/>
      <c r="Q522" s="221" t="e">
        <f>(V521+U520/2)*$Q$12</f>
        <v>#DIV/0!</v>
      </c>
      <c r="R522" s="221"/>
      <c r="S522" s="221" t="e">
        <f>R521+Q522/2</f>
        <v>#DIV/0!</v>
      </c>
      <c r="T522" s="221"/>
      <c r="U522" s="221" t="e">
        <f>-$Q$13*(S522+T521*((V521+U520/2)^2))</f>
        <v>#DIV/0!</v>
      </c>
      <c r="V522" s="221"/>
      <c r="W522" s="221" t="e">
        <f>V521+U522/2</f>
        <v>#DIV/0!</v>
      </c>
      <c r="X522" s="224"/>
    </row>
    <row r="523" spans="12:24" x14ac:dyDescent="0.3">
      <c r="L523"/>
      <c r="M523"/>
      <c r="N523"/>
      <c r="O523"/>
      <c r="P523" s="220">
        <f>P521+$Q$6</f>
        <v>0</v>
      </c>
      <c r="Q523" s="221"/>
      <c r="R523" s="221" t="e">
        <f>IF(R521+Q522&lt;0,(R521+Q522)*0.8,R521+Q522)</f>
        <v>#DIV/0!</v>
      </c>
      <c r="S523" s="221"/>
      <c r="T523" s="221" t="e">
        <f>T521*(X523/X521)^2</f>
        <v>#DIV/0!</v>
      </c>
      <c r="U523" s="221"/>
      <c r="V523" s="221" t="e">
        <f>IF(AND(ABS(V521+U522)&gt;$B$5*0.8,(V521+U522)&lt;0),-$B$5*0.5,IF(AND(ABS(V521+U522)&gt;$B$5*0.8,(V521+U522)&gt;0),$B$5*0.5,V521+U522))</f>
        <v>#DIV/0!</v>
      </c>
      <c r="W523" s="221"/>
      <c r="X523" s="223" t="e">
        <f>$B$7*V523</f>
        <v>#DIV/0!</v>
      </c>
    </row>
    <row r="524" spans="12:24" x14ac:dyDescent="0.3">
      <c r="L524"/>
      <c r="M524"/>
      <c r="N524"/>
      <c r="O524"/>
      <c r="P524" s="213"/>
      <c r="Q524" s="221" t="e">
        <f>(V523+U522/2)*$Q$12</f>
        <v>#DIV/0!</v>
      </c>
      <c r="R524" s="221"/>
      <c r="S524" s="221" t="e">
        <f>R523+Q524/2</f>
        <v>#DIV/0!</v>
      </c>
      <c r="T524" s="221"/>
      <c r="U524" s="221" t="e">
        <f>-$Q$13*(S524+T523*((V523+U522/2)^2))</f>
        <v>#DIV/0!</v>
      </c>
      <c r="V524" s="221"/>
      <c r="W524" s="221" t="e">
        <f>V523+U524/2</f>
        <v>#DIV/0!</v>
      </c>
      <c r="X524" s="213"/>
    </row>
    <row r="525" spans="12:24" x14ac:dyDescent="0.3">
      <c r="L525"/>
      <c r="M525"/>
      <c r="N525"/>
      <c r="O525"/>
      <c r="P525" s="220">
        <f>P523+$Q$6</f>
        <v>0</v>
      </c>
      <c r="Q525" s="221"/>
      <c r="R525" s="221" t="e">
        <f>IF(R523+Q524&lt;0,(R523+Q524)*0.8,R523+Q524)</f>
        <v>#DIV/0!</v>
      </c>
      <c r="S525" s="221"/>
      <c r="T525" s="221" t="e">
        <f>T523*(X525/X523)^2</f>
        <v>#DIV/0!</v>
      </c>
      <c r="U525" s="221"/>
      <c r="V525" s="221" t="e">
        <f>IF(AND(ABS(V523+U524)&gt;$B$5*0.8,(V523+U524)&lt;0),-$B$5*0.5,IF(AND(ABS(V523+U524)&gt;$B$5*0.8,(V523+U524)&gt;0),$B$5*0.5,V523+U524))</f>
        <v>#DIV/0!</v>
      </c>
      <c r="W525" s="221"/>
      <c r="X525" s="223" t="e">
        <f>$B$7*V525</f>
        <v>#DIV/0!</v>
      </c>
    </row>
    <row r="526" spans="12:24" x14ac:dyDescent="0.3">
      <c r="L526"/>
      <c r="M526"/>
      <c r="N526"/>
      <c r="O526"/>
      <c r="P526" s="220"/>
      <c r="Q526" s="221" t="e">
        <f>(V525+U524/2)*$Q$12</f>
        <v>#DIV/0!</v>
      </c>
      <c r="R526" s="221"/>
      <c r="S526" s="221" t="e">
        <f>R525+Q526/2</f>
        <v>#DIV/0!</v>
      </c>
      <c r="T526" s="221"/>
      <c r="U526" s="221" t="e">
        <f>-$Q$13*(S526+T525*((V525+U524/2)^2))</f>
        <v>#DIV/0!</v>
      </c>
      <c r="V526" s="221"/>
      <c r="W526" s="221" t="e">
        <f>V525+U526/2</f>
        <v>#DIV/0!</v>
      </c>
      <c r="X526" s="213"/>
    </row>
    <row r="527" spans="12:24" x14ac:dyDescent="0.3">
      <c r="L527"/>
      <c r="M527"/>
      <c r="N527"/>
      <c r="O527"/>
      <c r="P527" s="220">
        <f>P525+$Q$6</f>
        <v>0</v>
      </c>
      <c r="Q527" s="221"/>
      <c r="R527" s="221" t="e">
        <f>IF(R525+Q526&lt;0,(R525+Q526)*0.8,R525+Q526)</f>
        <v>#DIV/0!</v>
      </c>
      <c r="S527" s="221"/>
      <c r="T527" s="221" t="e">
        <f>T525*(X527/X525)^2</f>
        <v>#DIV/0!</v>
      </c>
      <c r="U527" s="221"/>
      <c r="V527" s="221" t="e">
        <f>IF(AND(ABS(V525+U526)&gt;$B$5*0.8,(V525+U526)&lt;0),-$B$5*0.5,IF(AND(ABS(V525+U526)&gt;$B$5*0.8,(V525+U526)&gt;0),$B$5*0.5,V525+U526))</f>
        <v>#DIV/0!</v>
      </c>
      <c r="W527" s="221"/>
      <c r="X527" s="223" t="e">
        <f>$B$7*V527</f>
        <v>#DIV/0!</v>
      </c>
    </row>
    <row r="528" spans="12:24" x14ac:dyDescent="0.3">
      <c r="L528"/>
      <c r="M528"/>
      <c r="N528"/>
      <c r="O528"/>
      <c r="P528" s="213"/>
      <c r="Q528" s="221" t="e">
        <f>(V527+U526/2)*$Q$12</f>
        <v>#DIV/0!</v>
      </c>
      <c r="R528" s="221"/>
      <c r="S528" s="221" t="e">
        <f>R527+Q528/2</f>
        <v>#DIV/0!</v>
      </c>
      <c r="T528" s="221"/>
      <c r="U528" s="221" t="e">
        <f>-$Q$13*(S528+T527*((V527+U526/2)^2))</f>
        <v>#DIV/0!</v>
      </c>
      <c r="V528" s="221"/>
      <c r="W528" s="221" t="e">
        <f>V527+U528/2</f>
        <v>#DIV/0!</v>
      </c>
      <c r="X528" s="213"/>
    </row>
    <row r="529" spans="12:24" x14ac:dyDescent="0.3">
      <c r="L529"/>
      <c r="M529"/>
      <c r="N529"/>
      <c r="O529"/>
      <c r="P529" s="220">
        <f>P527+$Q$6</f>
        <v>0</v>
      </c>
      <c r="Q529" s="221"/>
      <c r="R529" s="221" t="e">
        <f>IF(R527+Q528&lt;0,(R527+Q528)*0.8,R527+Q528)</f>
        <v>#DIV/0!</v>
      </c>
      <c r="S529" s="221"/>
      <c r="T529" s="221" t="e">
        <f>T527*(X529/X527)^2</f>
        <v>#DIV/0!</v>
      </c>
      <c r="U529" s="221"/>
      <c r="V529" s="221" t="e">
        <f>IF(AND(ABS(V527+U528)&gt;$B$5*0.8,(V527+U528)&lt;0),-$B$5*0.5,IF(AND(ABS(V527+U528)&gt;$B$5*0.8,(V527+U528)&gt;0),$B$5*0.5,V527+U528))</f>
        <v>#DIV/0!</v>
      </c>
      <c r="W529" s="221"/>
      <c r="X529" s="223" t="e">
        <f>$B$7*V529</f>
        <v>#DIV/0!</v>
      </c>
    </row>
    <row r="530" spans="12:24" x14ac:dyDescent="0.3">
      <c r="L530"/>
      <c r="M530"/>
      <c r="N530"/>
      <c r="O530"/>
      <c r="P530" s="213"/>
      <c r="Q530" s="221" t="e">
        <f>(V529+U528/2)*$Q$12</f>
        <v>#DIV/0!</v>
      </c>
      <c r="R530" s="221"/>
      <c r="S530" s="221" t="e">
        <f>R529+Q530/2</f>
        <v>#DIV/0!</v>
      </c>
      <c r="T530" s="221"/>
      <c r="U530" s="221" t="e">
        <f>-$Q$13*(S530+T529*((V529+U528/2)^2))</f>
        <v>#DIV/0!</v>
      </c>
      <c r="V530" s="221"/>
      <c r="W530" s="221" t="e">
        <f>V529+U530/2</f>
        <v>#DIV/0!</v>
      </c>
      <c r="X530" s="213"/>
    </row>
    <row r="531" spans="12:24" x14ac:dyDescent="0.3">
      <c r="L531"/>
      <c r="M531"/>
      <c r="N531"/>
      <c r="O531"/>
      <c r="P531" s="220">
        <f>P529+$Q$6</f>
        <v>0</v>
      </c>
      <c r="Q531" s="221"/>
      <c r="R531" s="221" t="e">
        <f>IF(R529+Q530&lt;0,(R529+Q530)*0.8,R529+Q530)</f>
        <v>#DIV/0!</v>
      </c>
      <c r="S531" s="221"/>
      <c r="T531" s="221" t="e">
        <f>T529*(X531/X529)^2</f>
        <v>#DIV/0!</v>
      </c>
      <c r="U531" s="221"/>
      <c r="V531" s="221" t="e">
        <f>IF(AND(ABS(V529+U530)&gt;$B$5*0.8,(V529+U530)&lt;0),-$B$5*0.5,IF(AND(ABS(V529+U530)&gt;$B$5*0.8,(V529+U530)&gt;0),$B$5*0.5,V529+U530))</f>
        <v>#DIV/0!</v>
      </c>
      <c r="W531" s="221"/>
      <c r="X531" s="223" t="e">
        <f>$B$7*V531</f>
        <v>#DIV/0!</v>
      </c>
    </row>
    <row r="532" spans="12:24" x14ac:dyDescent="0.3">
      <c r="L532"/>
      <c r="M532"/>
      <c r="N532"/>
      <c r="O532"/>
      <c r="P532" s="213"/>
      <c r="Q532" s="221" t="e">
        <f>(V531+U530/2)*$Q$12</f>
        <v>#DIV/0!</v>
      </c>
      <c r="R532" s="221"/>
      <c r="S532" s="221" t="e">
        <f>R531+Q532/2</f>
        <v>#DIV/0!</v>
      </c>
      <c r="T532" s="221"/>
      <c r="U532" s="221" t="e">
        <f>-$Q$13*(S532+T531*((V531+U530/2)^2))</f>
        <v>#DIV/0!</v>
      </c>
      <c r="V532" s="221"/>
      <c r="W532" s="221" t="e">
        <f>V531+U532/2</f>
        <v>#DIV/0!</v>
      </c>
      <c r="X532" s="213"/>
    </row>
    <row r="533" spans="12:24" x14ac:dyDescent="0.3">
      <c r="L533"/>
      <c r="M533"/>
      <c r="N533"/>
      <c r="O533"/>
      <c r="P533" s="220">
        <f>P531+$Q$6</f>
        <v>0</v>
      </c>
      <c r="Q533" s="221"/>
      <c r="R533" s="221" t="e">
        <f>IF(R531+Q532&lt;0,(R531+Q532)*0.8,R531+Q532)</f>
        <v>#DIV/0!</v>
      </c>
      <c r="S533" s="221"/>
      <c r="T533" s="221" t="e">
        <f>T531*(X533/X531)^2</f>
        <v>#DIV/0!</v>
      </c>
      <c r="U533" s="221"/>
      <c r="V533" s="221" t="e">
        <f>IF(AND(ABS(V531+U532)&gt;$B$5*0.8,(V531+U532)&lt;0),-$B$5*0.5,IF(AND(ABS(V531+U532)&gt;$B$5*0.8,(V531+U532)&gt;0),$B$5*0.5,V531+U532))</f>
        <v>#DIV/0!</v>
      </c>
      <c r="W533" s="221"/>
      <c r="X533" s="223" t="e">
        <f>$B$7*V533</f>
        <v>#DIV/0!</v>
      </c>
    </row>
    <row r="534" spans="12:24" x14ac:dyDescent="0.3">
      <c r="L534"/>
      <c r="M534"/>
      <c r="N534"/>
      <c r="O534"/>
      <c r="P534" s="213"/>
      <c r="Q534" s="221" t="e">
        <f>(V533+U532/2)*$Q$12</f>
        <v>#DIV/0!</v>
      </c>
      <c r="R534" s="221"/>
      <c r="S534" s="221" t="e">
        <f>R533+Q534/2</f>
        <v>#DIV/0!</v>
      </c>
      <c r="T534" s="221"/>
      <c r="U534" s="221" t="e">
        <f>-$Q$13*(S534+T533*((V533+U532/2)^2))</f>
        <v>#DIV/0!</v>
      </c>
      <c r="V534" s="221"/>
      <c r="W534" s="221" t="e">
        <f>V533+U534/2</f>
        <v>#DIV/0!</v>
      </c>
      <c r="X534" s="213"/>
    </row>
    <row r="535" spans="12:24" x14ac:dyDescent="0.3">
      <c r="L535"/>
      <c r="M535"/>
      <c r="N535"/>
      <c r="O535"/>
      <c r="P535" s="220">
        <f>P533+$Q$6</f>
        <v>0</v>
      </c>
      <c r="Q535" s="221"/>
      <c r="R535" s="221" t="e">
        <f>IF(R533+Q534&lt;0,(R533+Q534)*0.8,R533+Q534)</f>
        <v>#DIV/0!</v>
      </c>
      <c r="S535" s="221"/>
      <c r="T535" s="221" t="e">
        <f>T533*(X535/X533)^2</f>
        <v>#DIV/0!</v>
      </c>
      <c r="U535" s="221"/>
      <c r="V535" s="221" t="e">
        <f>IF(AND(ABS(V533+U534)&gt;$B$5*0.8,(V533+U534)&lt;0),-$B$5*0.5,IF(AND(ABS(V533+U534)&gt;$B$5*0.8,(V533+U534)&gt;0),$B$5*0.5,V533+U534))</f>
        <v>#DIV/0!</v>
      </c>
      <c r="W535" s="221"/>
      <c r="X535" s="223" t="e">
        <f>$B$7*V535</f>
        <v>#DIV/0!</v>
      </c>
    </row>
    <row r="536" spans="12:24" x14ac:dyDescent="0.3">
      <c r="L536"/>
      <c r="M536"/>
      <c r="N536"/>
      <c r="O536"/>
      <c r="P536" s="213"/>
      <c r="Q536" s="221" t="e">
        <f>(V535+U534/2)*$Q$12</f>
        <v>#DIV/0!</v>
      </c>
      <c r="R536" s="221"/>
      <c r="S536" s="221" t="e">
        <f>R535+Q536/2</f>
        <v>#DIV/0!</v>
      </c>
      <c r="T536" s="221"/>
      <c r="U536" s="221" t="e">
        <f>-$Q$13*(S536+T535*((V535+U534/2)^2))</f>
        <v>#DIV/0!</v>
      </c>
      <c r="V536" s="221"/>
      <c r="W536" s="221" t="e">
        <f>V535+U536/2</f>
        <v>#DIV/0!</v>
      </c>
      <c r="X536" s="213"/>
    </row>
    <row r="537" spans="12:24" x14ac:dyDescent="0.3">
      <c r="L537"/>
      <c r="M537"/>
      <c r="N537"/>
      <c r="O537"/>
      <c r="P537" s="220">
        <f>P535+$Q$6</f>
        <v>0</v>
      </c>
      <c r="Q537" s="221"/>
      <c r="R537" s="221" t="e">
        <f>IF(R535+Q536&lt;0,(R535+Q536)*0.8,R535+Q536)</f>
        <v>#DIV/0!</v>
      </c>
      <c r="S537" s="221"/>
      <c r="T537" s="221" t="e">
        <f>T535*(X537/X535)^2</f>
        <v>#DIV/0!</v>
      </c>
      <c r="U537" s="221"/>
      <c r="V537" s="221" t="e">
        <f>IF(AND(ABS(V535+U536)&gt;$B$5*0.8,(V535+U536)&lt;0),-$B$5*0.5,IF(AND(ABS(V535+U536)&gt;$B$5*0.8,(V535+U536)&gt;0),$B$5*0.5,V535+U536))</f>
        <v>#DIV/0!</v>
      </c>
      <c r="W537" s="221"/>
      <c r="X537" s="223" t="e">
        <f>$B$7*V537</f>
        <v>#DIV/0!</v>
      </c>
    </row>
    <row r="538" spans="12:24" x14ac:dyDescent="0.3">
      <c r="L538"/>
      <c r="M538"/>
      <c r="N538"/>
      <c r="O538"/>
      <c r="P538" s="213"/>
      <c r="Q538" s="221" t="e">
        <f>(V537+U536/2)*$Q$12</f>
        <v>#DIV/0!</v>
      </c>
      <c r="R538" s="221"/>
      <c r="S538" s="221" t="e">
        <f>R537+Q538/2</f>
        <v>#DIV/0!</v>
      </c>
      <c r="T538" s="221"/>
      <c r="U538" s="221" t="e">
        <f>-$Q$13*(S538+T537*((V537+U536/2)^2))</f>
        <v>#DIV/0!</v>
      </c>
      <c r="V538" s="221"/>
      <c r="W538" s="221" t="e">
        <f>V537+U538/2</f>
        <v>#DIV/0!</v>
      </c>
      <c r="X538" s="213"/>
    </row>
    <row r="539" spans="12:24" x14ac:dyDescent="0.3">
      <c r="L539"/>
      <c r="M539"/>
      <c r="N539"/>
      <c r="O539"/>
      <c r="P539" s="220">
        <f>P537+$Q$6</f>
        <v>0</v>
      </c>
      <c r="Q539" s="221"/>
      <c r="R539" s="221" t="e">
        <f>IF(R537+Q538&lt;0,(R537+Q538)*0.8,R537+Q538)</f>
        <v>#DIV/0!</v>
      </c>
      <c r="S539" s="221"/>
      <c r="T539" s="221" t="e">
        <f>T537*(X539/X537)^2</f>
        <v>#DIV/0!</v>
      </c>
      <c r="U539" s="221"/>
      <c r="V539" s="221" t="e">
        <f>IF(AND(ABS(V537+U538)&gt;$B$5*0.8,(V537+U538)&lt;0),-$B$5*0.5,IF(AND(ABS(V537+U538)&gt;$B$5*0.8,(V537+U538)&gt;0),$B$5*0.5,V537+U538))</f>
        <v>#DIV/0!</v>
      </c>
      <c r="W539" s="221"/>
      <c r="X539" s="223" t="e">
        <f>$B$7*V539</f>
        <v>#DIV/0!</v>
      </c>
    </row>
    <row r="540" spans="12:24" x14ac:dyDescent="0.3">
      <c r="L540"/>
      <c r="M540"/>
      <c r="N540"/>
      <c r="O540"/>
      <c r="P540" s="213"/>
      <c r="Q540" s="221" t="e">
        <f>(V539+U538/2)*$Q$12</f>
        <v>#DIV/0!</v>
      </c>
      <c r="R540" s="221"/>
      <c r="S540" s="221" t="e">
        <f>R539+Q540/2</f>
        <v>#DIV/0!</v>
      </c>
      <c r="T540" s="221"/>
      <c r="U540" s="221" t="e">
        <f>-$Q$13*(S540+T539*((V539+U538/2)^2))</f>
        <v>#DIV/0!</v>
      </c>
      <c r="V540" s="221"/>
      <c r="W540" s="221" t="e">
        <f>V539+U540/2</f>
        <v>#DIV/0!</v>
      </c>
      <c r="X540" s="213"/>
    </row>
    <row r="541" spans="12:24" x14ac:dyDescent="0.3">
      <c r="L541"/>
      <c r="M541"/>
      <c r="N541"/>
      <c r="O541"/>
      <c r="P541" s="220">
        <f>P539+$Q$6</f>
        <v>0</v>
      </c>
      <c r="Q541" s="221"/>
      <c r="R541" s="221" t="e">
        <f>IF(R539+Q540&lt;0,(R539+Q540)*0.8,R539+Q540)</f>
        <v>#DIV/0!</v>
      </c>
      <c r="S541" s="221"/>
      <c r="T541" s="221" t="e">
        <f>T539*(X541/X539)^2</f>
        <v>#DIV/0!</v>
      </c>
      <c r="U541" s="221"/>
      <c r="V541" s="221" t="e">
        <f>IF(AND(ABS(V539+U540)&gt;$B$5*0.8,(V539+U540)&lt;0),-$B$5*0.5,IF(AND(ABS(V539+U540)&gt;$B$5*0.8,(V539+U540)&gt;0),$B$5*0.5,V539+U540))</f>
        <v>#DIV/0!</v>
      </c>
      <c r="W541" s="221"/>
      <c r="X541" s="223" t="e">
        <f>$B$7*V541</f>
        <v>#DIV/0!</v>
      </c>
    </row>
    <row r="542" spans="12:24" x14ac:dyDescent="0.3">
      <c r="L542"/>
      <c r="M542"/>
      <c r="N542"/>
      <c r="O542"/>
      <c r="P542" s="213"/>
      <c r="Q542" s="221" t="e">
        <f>(V541+U540/2)*$Q$12</f>
        <v>#DIV/0!</v>
      </c>
      <c r="R542" s="221"/>
      <c r="S542" s="221" t="e">
        <f>R541+Q542/2</f>
        <v>#DIV/0!</v>
      </c>
      <c r="T542" s="221"/>
      <c r="U542" s="221" t="e">
        <f>-$Q$13*(S542+T541*((V541+U540/2)^2))</f>
        <v>#DIV/0!</v>
      </c>
      <c r="V542" s="221"/>
      <c r="W542" s="221" t="e">
        <f>V541+U542/2</f>
        <v>#DIV/0!</v>
      </c>
      <c r="X542" s="213"/>
    </row>
    <row r="543" spans="12:24" x14ac:dyDescent="0.3">
      <c r="L543"/>
      <c r="M543"/>
      <c r="N543"/>
      <c r="O543"/>
      <c r="P543" s="220">
        <f>P541+$Q$6</f>
        <v>0</v>
      </c>
      <c r="Q543" s="221"/>
      <c r="R543" s="221" t="e">
        <f>IF(R541+Q542&lt;0,(R541+Q542)*0.8,R541+Q542)</f>
        <v>#DIV/0!</v>
      </c>
      <c r="S543" s="221"/>
      <c r="T543" s="221" t="e">
        <f>T541*(X543/X541)^2</f>
        <v>#DIV/0!</v>
      </c>
      <c r="U543" s="221"/>
      <c r="V543" s="221" t="e">
        <f>IF(AND(ABS(V541+U542)&gt;$B$5*0.8,(V541+U542)&lt;0),-$B$5*0.5,IF(AND(ABS(V541+U542)&gt;$B$5*0.8,(V541+U542)&gt;0),$B$5*0.5,V541+U542))</f>
        <v>#DIV/0!</v>
      </c>
      <c r="W543" s="221"/>
      <c r="X543" s="223" t="e">
        <f>$B$7*V543</f>
        <v>#DIV/0!</v>
      </c>
    </row>
    <row r="544" spans="12:24" x14ac:dyDescent="0.3">
      <c r="L544"/>
      <c r="M544"/>
      <c r="N544"/>
      <c r="O544"/>
      <c r="P544" s="213"/>
      <c r="Q544" s="221" t="e">
        <f>(V543+U542/2)*$Q$12</f>
        <v>#DIV/0!</v>
      </c>
      <c r="R544" s="221"/>
      <c r="S544" s="221" t="e">
        <f>R543+Q544/2</f>
        <v>#DIV/0!</v>
      </c>
      <c r="T544" s="221"/>
      <c r="U544" s="221" t="e">
        <f>-$Q$13*(S544+T543*((V543+U542/2)^2))</f>
        <v>#DIV/0!</v>
      </c>
      <c r="V544" s="221"/>
      <c r="W544" s="221" t="e">
        <f>V543+U544/2</f>
        <v>#DIV/0!</v>
      </c>
      <c r="X544" s="213"/>
    </row>
    <row r="545" spans="12:24" x14ac:dyDescent="0.3">
      <c r="L545"/>
      <c r="M545"/>
      <c r="N545"/>
      <c r="O545"/>
      <c r="P545" s="220">
        <f>P543+$Q$6</f>
        <v>0</v>
      </c>
      <c r="Q545" s="221"/>
      <c r="R545" s="221" t="e">
        <f>IF(R543+Q544&lt;0,(R543+Q544)*0.8,R543+Q544)</f>
        <v>#DIV/0!</v>
      </c>
      <c r="S545" s="221"/>
      <c r="T545" s="221" t="e">
        <f>T543*(X545/X543)^2</f>
        <v>#DIV/0!</v>
      </c>
      <c r="U545" s="221"/>
      <c r="V545" s="221" t="e">
        <f>IF(AND(ABS(V543+U544)&gt;$B$5*0.8,(V543+U544)&lt;0),-$B$5*0.5,IF(AND(ABS(V543+U544)&gt;$B$5*0.8,(V543+U544)&gt;0),$B$5*0.5,V543+U544))</f>
        <v>#DIV/0!</v>
      </c>
      <c r="W545" s="221"/>
      <c r="X545" s="223" t="e">
        <f>$B$7*V545</f>
        <v>#DIV/0!</v>
      </c>
    </row>
    <row r="546" spans="12:24" x14ac:dyDescent="0.3">
      <c r="L546"/>
      <c r="M546"/>
      <c r="N546"/>
      <c r="O546"/>
      <c r="P546" s="213"/>
      <c r="Q546" s="221" t="e">
        <f>(V545+U544/2)*$Q$12</f>
        <v>#DIV/0!</v>
      </c>
      <c r="R546" s="221"/>
      <c r="S546" s="221" t="e">
        <f>R545+Q546/2</f>
        <v>#DIV/0!</v>
      </c>
      <c r="T546" s="221"/>
      <c r="U546" s="221" t="e">
        <f>-$Q$13*(S546+T545*((V545+U544/2)^2))</f>
        <v>#DIV/0!</v>
      </c>
      <c r="V546" s="221"/>
      <c r="W546" s="221" t="e">
        <f>V545+U546/2</f>
        <v>#DIV/0!</v>
      </c>
      <c r="X546" s="213"/>
    </row>
    <row r="547" spans="12:24" x14ac:dyDescent="0.3">
      <c r="L547"/>
      <c r="M547"/>
      <c r="N547"/>
      <c r="O547"/>
      <c r="P547" s="220">
        <f>P545+$Q$6</f>
        <v>0</v>
      </c>
      <c r="Q547" s="221"/>
      <c r="R547" s="221" t="e">
        <f>IF(R545+Q546&lt;0,(R545+Q546)*0.8,R545+Q546)</f>
        <v>#DIV/0!</v>
      </c>
      <c r="S547" s="221"/>
      <c r="T547" s="221" t="e">
        <f>T545*(X547/X545)^2</f>
        <v>#DIV/0!</v>
      </c>
      <c r="U547" s="221"/>
      <c r="V547" s="221" t="e">
        <f>IF(AND(ABS(V545+U546)&gt;$B$5*0.8,(V545+U546)&lt;0),-$B$5*0.5,IF(AND(ABS(V545+U546)&gt;$B$5*0.8,(V545+U546)&gt;0),$B$5*0.5,V545+U546))</f>
        <v>#DIV/0!</v>
      </c>
      <c r="W547" s="221"/>
      <c r="X547" s="223" t="e">
        <f>$B$7*V547</f>
        <v>#DIV/0!</v>
      </c>
    </row>
    <row r="548" spans="12:24" x14ac:dyDescent="0.3">
      <c r="L548"/>
      <c r="M548"/>
      <c r="N548"/>
      <c r="O548"/>
      <c r="P548" s="213"/>
      <c r="Q548" s="221" t="e">
        <f>(V547+U546/2)*$Q$12</f>
        <v>#DIV/0!</v>
      </c>
      <c r="R548" s="221"/>
      <c r="S548" s="221" t="e">
        <f>R547+Q548/2</f>
        <v>#DIV/0!</v>
      </c>
      <c r="T548" s="221"/>
      <c r="U548" s="221" t="e">
        <f>-$Q$13*(S548+T547*((V547+U546/2)^2))</f>
        <v>#DIV/0!</v>
      </c>
      <c r="V548" s="221"/>
      <c r="W548" s="221" t="e">
        <f>V547+U548/2</f>
        <v>#DIV/0!</v>
      </c>
      <c r="X548" s="213"/>
    </row>
    <row r="549" spans="12:24" x14ac:dyDescent="0.3">
      <c r="L549"/>
      <c r="M549"/>
      <c r="N549"/>
      <c r="O549"/>
      <c r="P549" s="220">
        <f>P547+$Q$6</f>
        <v>0</v>
      </c>
      <c r="Q549" s="221"/>
      <c r="R549" s="221" t="e">
        <f>IF(R547+Q548&lt;0,(R547+Q548)*0.8,R547+Q548)</f>
        <v>#DIV/0!</v>
      </c>
      <c r="S549" s="221"/>
      <c r="T549" s="221" t="e">
        <f>T547*(X549/X547)^2</f>
        <v>#DIV/0!</v>
      </c>
      <c r="U549" s="221"/>
      <c r="V549" s="221" t="e">
        <f>IF(AND(ABS(V547+U548)&gt;$B$5*0.8,(V547+U548)&lt;0),-$B$5*0.5,IF(AND(ABS(V547+U548)&gt;$B$5*0.8,(V547+U548)&gt;0),$B$5*0.5,V547+U548))</f>
        <v>#DIV/0!</v>
      </c>
      <c r="W549" s="221"/>
      <c r="X549" s="223" t="e">
        <f>$B$7*V549</f>
        <v>#DIV/0!</v>
      </c>
    </row>
    <row r="550" spans="12:24" x14ac:dyDescent="0.3">
      <c r="L550"/>
      <c r="M550"/>
      <c r="N550"/>
      <c r="O550"/>
      <c r="P550" s="213"/>
      <c r="Q550" s="221" t="e">
        <f>(V549+U548/2)*$Q$12</f>
        <v>#DIV/0!</v>
      </c>
      <c r="R550" s="221"/>
      <c r="S550" s="221" t="e">
        <f>R549+Q550/2</f>
        <v>#DIV/0!</v>
      </c>
      <c r="T550" s="221"/>
      <c r="U550" s="221" t="e">
        <f>-$Q$13*(S550+T549*((V549+U548/2)^2))</f>
        <v>#DIV/0!</v>
      </c>
      <c r="V550" s="221"/>
      <c r="W550" s="221" t="e">
        <f>V549+U550/2</f>
        <v>#DIV/0!</v>
      </c>
      <c r="X550" s="213"/>
    </row>
    <row r="551" spans="12:24" x14ac:dyDescent="0.3">
      <c r="L551"/>
      <c r="M551"/>
      <c r="N551"/>
      <c r="O551"/>
      <c r="P551" s="220">
        <f>P549+$Q$6</f>
        <v>0</v>
      </c>
      <c r="Q551" s="221"/>
      <c r="R551" s="221" t="e">
        <f>IF(R549+Q550&lt;0,(R549+Q550)*0.8,R549+Q550)</f>
        <v>#DIV/0!</v>
      </c>
      <c r="S551" s="221"/>
      <c r="T551" s="221" t="e">
        <f>T549*(X551/X549)^2</f>
        <v>#DIV/0!</v>
      </c>
      <c r="U551" s="221"/>
      <c r="V551" s="221" t="e">
        <f>IF(AND(ABS(V549+U550)&gt;$B$5*0.8,(V549+U550)&lt;0),-$B$5*0.5,IF(AND(ABS(V549+U550)&gt;$B$5*0.8,(V549+U550)&gt;0),$B$5*0.5,V549+U550))</f>
        <v>#DIV/0!</v>
      </c>
      <c r="W551" s="221"/>
      <c r="X551" s="223" t="e">
        <f>$B$7*V551</f>
        <v>#DIV/0!</v>
      </c>
    </row>
    <row r="552" spans="12:24" x14ac:dyDescent="0.3">
      <c r="L552"/>
      <c r="M552"/>
      <c r="N552"/>
      <c r="O552"/>
      <c r="P552" s="213"/>
      <c r="Q552" s="221" t="e">
        <f>(V551+U550/2)*$Q$12</f>
        <v>#DIV/0!</v>
      </c>
      <c r="R552" s="221"/>
      <c r="S552" s="221" t="e">
        <f>R551+Q552/2</f>
        <v>#DIV/0!</v>
      </c>
      <c r="T552" s="221"/>
      <c r="U552" s="221" t="e">
        <f>-$Q$13*(S552+T551*((V551+U550/2)^2))</f>
        <v>#DIV/0!</v>
      </c>
      <c r="V552" s="221"/>
      <c r="W552" s="221" t="e">
        <f>V551+U552/2</f>
        <v>#DIV/0!</v>
      </c>
      <c r="X552" s="213"/>
    </row>
    <row r="553" spans="12:24" x14ac:dyDescent="0.3">
      <c r="L553"/>
      <c r="M553"/>
      <c r="N553"/>
      <c r="O553"/>
      <c r="P553" s="220">
        <f>P551+$Q$6</f>
        <v>0</v>
      </c>
      <c r="Q553" s="221"/>
      <c r="R553" s="221" t="e">
        <f>IF(R551+Q552&lt;0,(R551+Q552)*0.8,R551+Q552)</f>
        <v>#DIV/0!</v>
      </c>
      <c r="S553" s="221"/>
      <c r="T553" s="221" t="e">
        <f>T551*(X553/X551)^2</f>
        <v>#DIV/0!</v>
      </c>
      <c r="U553" s="221"/>
      <c r="V553" s="221" t="e">
        <f>IF(AND(ABS(V551+U552)&gt;$B$5*0.8,(V551+U552)&lt;0),-$B$5*0.5,IF(AND(ABS(V551+U552)&gt;$B$5*0.8,(V551+U552)&gt;0),$B$5*0.5,V551+U552))</f>
        <v>#DIV/0!</v>
      </c>
      <c r="W553" s="221"/>
      <c r="X553" s="223" t="e">
        <f>$B$7*V553</f>
        <v>#DIV/0!</v>
      </c>
    </row>
    <row r="554" spans="12:24" x14ac:dyDescent="0.3">
      <c r="L554"/>
      <c r="M554"/>
      <c r="N554"/>
      <c r="O554"/>
      <c r="P554" s="213"/>
      <c r="Q554" s="221" t="e">
        <f>(V553+U552/2)*$Q$12</f>
        <v>#DIV/0!</v>
      </c>
      <c r="R554" s="221"/>
      <c r="S554" s="221" t="e">
        <f>R553+Q554/2</f>
        <v>#DIV/0!</v>
      </c>
      <c r="T554" s="221"/>
      <c r="U554" s="221" t="e">
        <f>-$Q$13*(S554+T553*((V553+U552/2)^2))</f>
        <v>#DIV/0!</v>
      </c>
      <c r="V554" s="221"/>
      <c r="W554" s="221" t="e">
        <f>V553+U554/2</f>
        <v>#DIV/0!</v>
      </c>
      <c r="X554" s="213"/>
    </row>
    <row r="555" spans="12:24" x14ac:dyDescent="0.3">
      <c r="L555"/>
      <c r="M555"/>
      <c r="N555"/>
      <c r="O555"/>
      <c r="P555" s="220">
        <f>P553+$Q$6</f>
        <v>0</v>
      </c>
      <c r="Q555" s="221"/>
      <c r="R555" s="221" t="e">
        <f>IF(R553+Q554&lt;0,(R553+Q554)*0.8,R553+Q554)</f>
        <v>#DIV/0!</v>
      </c>
      <c r="S555" s="221"/>
      <c r="T555" s="221" t="e">
        <f>T553*(X555/X553)^2</f>
        <v>#DIV/0!</v>
      </c>
      <c r="U555" s="221"/>
      <c r="V555" s="221" t="e">
        <f>IF(AND(ABS(V553+U554)&gt;$B$5*0.8,(V553+U554)&lt;0),-$B$5*0.5,IF(AND(ABS(V553+U554)&gt;$B$5*0.8,(V553+U554)&gt;0),$B$5*0.5,V553+U554))</f>
        <v>#DIV/0!</v>
      </c>
      <c r="W555" s="221"/>
      <c r="X555" s="223" t="e">
        <f>$B$7*V555</f>
        <v>#DIV/0!</v>
      </c>
    </row>
    <row r="556" spans="12:24" x14ac:dyDescent="0.3">
      <c r="L556"/>
      <c r="M556"/>
      <c r="N556"/>
      <c r="O556"/>
      <c r="P556" s="213"/>
      <c r="Q556" s="221" t="e">
        <f>(V555+U554/2)*$Q$12</f>
        <v>#DIV/0!</v>
      </c>
      <c r="R556" s="221"/>
      <c r="S556" s="221" t="e">
        <f>R555+Q556/2</f>
        <v>#DIV/0!</v>
      </c>
      <c r="T556" s="221"/>
      <c r="U556" s="221" t="e">
        <f>-$Q$13*(S556+T555*((V555+U554/2)^2))</f>
        <v>#DIV/0!</v>
      </c>
      <c r="V556" s="221"/>
      <c r="W556" s="221" t="e">
        <f>V555+U556/2</f>
        <v>#DIV/0!</v>
      </c>
      <c r="X556" s="213"/>
    </row>
    <row r="557" spans="12:24" x14ac:dyDescent="0.3">
      <c r="L557"/>
      <c r="M557"/>
      <c r="N557"/>
      <c r="O557"/>
      <c r="P557" s="220">
        <f>P555+$Q$6</f>
        <v>0</v>
      </c>
      <c r="Q557" s="221"/>
      <c r="R557" s="221" t="e">
        <f>IF(R555+Q556&lt;0,(R555+Q556)*0.8,R555+Q556)</f>
        <v>#DIV/0!</v>
      </c>
      <c r="S557" s="221"/>
      <c r="T557" s="221" t="e">
        <f>T555*(X557/X555)^2</f>
        <v>#DIV/0!</v>
      </c>
      <c r="U557" s="221"/>
      <c r="V557" s="221" t="e">
        <f>IF(AND(ABS(V555+U556)&gt;$B$5*0.8,(V555+U556)&lt;0),-$B$5*0.5,IF(AND(ABS(V555+U556)&gt;$B$5*0.8,(V555+U556)&gt;0),$B$5*0.5,V555+U556))</f>
        <v>#DIV/0!</v>
      </c>
      <c r="W557" s="221"/>
      <c r="X557" s="223" t="e">
        <f>$B$7*V557</f>
        <v>#DIV/0!</v>
      </c>
    </row>
    <row r="558" spans="12:24" x14ac:dyDescent="0.3">
      <c r="L558"/>
      <c r="M558"/>
      <c r="N558"/>
      <c r="O558"/>
      <c r="P558" s="213"/>
      <c r="Q558" s="221" t="e">
        <f>(V557+U556/2)*$Q$12</f>
        <v>#DIV/0!</v>
      </c>
      <c r="R558" s="221"/>
      <c r="S558" s="221" t="e">
        <f>R557+Q558/2</f>
        <v>#DIV/0!</v>
      </c>
      <c r="T558" s="221"/>
      <c r="U558" s="221" t="e">
        <f>-$Q$13*(S558+T557*((V557+U556/2)^2))</f>
        <v>#DIV/0!</v>
      </c>
      <c r="V558" s="221"/>
      <c r="W558" s="221" t="e">
        <f>V557+U558/2</f>
        <v>#DIV/0!</v>
      </c>
      <c r="X558" s="213"/>
    </row>
    <row r="559" spans="12:24" x14ac:dyDescent="0.3">
      <c r="L559"/>
      <c r="M559"/>
      <c r="N559"/>
      <c r="O559"/>
      <c r="P559" s="220">
        <f>P557+$Q$6</f>
        <v>0</v>
      </c>
      <c r="Q559" s="221"/>
      <c r="R559" s="221" t="e">
        <f>IF(R557+Q558&lt;0,(R557+Q558)*0.8,R557+Q558)</f>
        <v>#DIV/0!</v>
      </c>
      <c r="S559" s="221"/>
      <c r="T559" s="221" t="e">
        <f>T557*(X559/X557)^2</f>
        <v>#DIV/0!</v>
      </c>
      <c r="U559" s="221"/>
      <c r="V559" s="221" t="e">
        <f>IF(AND(ABS(V557+U558)&gt;$B$5*0.8,(V557+U558)&lt;0),-$B$5*0.5,IF(AND(ABS(V557+U558)&gt;$B$5*0.8,(V557+U558)&gt;0),$B$5*0.5,V557+U558))</f>
        <v>#DIV/0!</v>
      </c>
      <c r="W559" s="221"/>
      <c r="X559" s="223" t="e">
        <f>$B$7*V559</f>
        <v>#DIV/0!</v>
      </c>
    </row>
    <row r="560" spans="12:24" x14ac:dyDescent="0.3">
      <c r="L560"/>
      <c r="M560"/>
      <c r="N560"/>
      <c r="O560"/>
      <c r="P560" s="213"/>
      <c r="Q560" s="221" t="e">
        <f>(V559+U558/2)*$Q$12</f>
        <v>#DIV/0!</v>
      </c>
      <c r="R560" s="221"/>
      <c r="S560" s="221" t="e">
        <f>R559+Q560/2</f>
        <v>#DIV/0!</v>
      </c>
      <c r="T560" s="221"/>
      <c r="U560" s="221" t="e">
        <f>-$Q$13*(S560+T559*((V559+U558/2)^2))</f>
        <v>#DIV/0!</v>
      </c>
      <c r="V560" s="221"/>
      <c r="W560" s="221" t="e">
        <f>V559+U560/2</f>
        <v>#DIV/0!</v>
      </c>
      <c r="X560" s="213"/>
    </row>
    <row r="561" spans="12:24" x14ac:dyDescent="0.3">
      <c r="L561"/>
      <c r="M561"/>
      <c r="N561"/>
      <c r="O561"/>
      <c r="P561" s="220">
        <f>P559+$Q$6</f>
        <v>0</v>
      </c>
      <c r="Q561" s="221"/>
      <c r="R561" s="221" t="e">
        <f>IF(R559+Q560&lt;0,(R559+Q560)*0.8,R559+Q560)</f>
        <v>#DIV/0!</v>
      </c>
      <c r="S561" s="221"/>
      <c r="T561" s="221" t="e">
        <f>T559*(X561/X559)^2</f>
        <v>#DIV/0!</v>
      </c>
      <c r="U561" s="221"/>
      <c r="V561" s="221" t="e">
        <f>IF(AND(ABS(V559+U560)&gt;$B$5*0.8,(V559+U560)&lt;0),-$B$5*0.5,IF(AND(ABS(V559+U560)&gt;$B$5*0.8,(V559+U560)&gt;0),$B$5*0.5,V559+U560))</f>
        <v>#DIV/0!</v>
      </c>
      <c r="W561" s="221"/>
      <c r="X561" s="223" t="e">
        <f>$B$7*V561</f>
        <v>#DIV/0!</v>
      </c>
    </row>
    <row r="562" spans="12:24" x14ac:dyDescent="0.3">
      <c r="L562"/>
      <c r="M562"/>
      <c r="N562"/>
      <c r="O562"/>
      <c r="P562" s="213"/>
      <c r="Q562" s="221" t="e">
        <f>(V561+U560/2)*$Q$12</f>
        <v>#DIV/0!</v>
      </c>
      <c r="R562" s="221"/>
      <c r="S562" s="221" t="e">
        <f>R561+Q562/2</f>
        <v>#DIV/0!</v>
      </c>
      <c r="T562" s="221"/>
      <c r="U562" s="221" t="e">
        <f>-$Q$13*(S562+T561*((V561+U560/2)^2))</f>
        <v>#DIV/0!</v>
      </c>
      <c r="V562" s="221"/>
      <c r="W562" s="221" t="e">
        <f>V561+U562/2</f>
        <v>#DIV/0!</v>
      </c>
      <c r="X562" s="213"/>
    </row>
    <row r="563" spans="12:24" x14ac:dyDescent="0.3">
      <c r="L563"/>
      <c r="M563"/>
      <c r="N563"/>
      <c r="O563"/>
      <c r="P563" s="220">
        <f>P561+$Q$6</f>
        <v>0</v>
      </c>
      <c r="Q563" s="221"/>
      <c r="R563" s="221" t="e">
        <f>IF(R561+Q562&lt;0,(R561+Q562)*0.8,R561+Q562)</f>
        <v>#DIV/0!</v>
      </c>
      <c r="S563" s="221"/>
      <c r="T563" s="221" t="e">
        <f>T561*(X563/X561)^2</f>
        <v>#DIV/0!</v>
      </c>
      <c r="U563" s="221"/>
      <c r="V563" s="221" t="e">
        <f>IF(AND(ABS(V561+U562)&gt;$B$5*0.8,(V561+U562)&lt;0),-$B$5*0.5,IF(AND(ABS(V561+U562)&gt;$B$5*0.8,(V561+U562)&gt;0),$B$5*0.5,V561+U562))</f>
        <v>#DIV/0!</v>
      </c>
      <c r="W563" s="221"/>
      <c r="X563" s="223" t="e">
        <f>$B$7*V563</f>
        <v>#DIV/0!</v>
      </c>
    </row>
    <row r="564" spans="12:24" x14ac:dyDescent="0.3">
      <c r="L564"/>
      <c r="M564"/>
      <c r="N564"/>
      <c r="O564"/>
      <c r="P564" s="213"/>
      <c r="Q564" s="221" t="e">
        <f>(V563+U562/2)*$Q$12</f>
        <v>#DIV/0!</v>
      </c>
      <c r="R564" s="221"/>
      <c r="S564" s="221" t="e">
        <f>R563+Q564/2</f>
        <v>#DIV/0!</v>
      </c>
      <c r="T564" s="221"/>
      <c r="U564" s="221" t="e">
        <f>-$Q$13*(S564+T563*((V563+U562/2)^2))</f>
        <v>#DIV/0!</v>
      </c>
      <c r="V564" s="221"/>
      <c r="W564" s="221" t="e">
        <f>V563+U564/2</f>
        <v>#DIV/0!</v>
      </c>
      <c r="X564" s="213"/>
    </row>
    <row r="565" spans="12:24" x14ac:dyDescent="0.3">
      <c r="L565"/>
      <c r="M565"/>
      <c r="N565"/>
      <c r="O565"/>
      <c r="P565" s="220">
        <f>P563+$Q$6</f>
        <v>0</v>
      </c>
      <c r="Q565" s="221"/>
      <c r="R565" s="221" t="e">
        <f>IF(R563+Q564&lt;0,(R563+Q564)*0.8,R563+Q564)</f>
        <v>#DIV/0!</v>
      </c>
      <c r="S565" s="221"/>
      <c r="T565" s="221" t="e">
        <f>T563*(X565/X563)^2</f>
        <v>#DIV/0!</v>
      </c>
      <c r="U565" s="221"/>
      <c r="V565" s="221" t="e">
        <f>IF(AND(ABS(V563+U564)&gt;$B$5*0.8,(V563+U564)&lt;0),-$B$5*0.5,IF(AND(ABS(V563+U564)&gt;$B$5*0.8,(V563+U564)&gt;0),$B$5*0.5,V563+U564))</f>
        <v>#DIV/0!</v>
      </c>
      <c r="W565" s="221"/>
      <c r="X565" s="223" t="e">
        <f>$B$7*V565</f>
        <v>#DIV/0!</v>
      </c>
    </row>
    <row r="566" spans="12:24" x14ac:dyDescent="0.3">
      <c r="L566"/>
      <c r="M566"/>
      <c r="N566"/>
      <c r="O566"/>
      <c r="P566" s="213"/>
      <c r="Q566" s="221" t="e">
        <f>(V565+U564/2)*$Q$12</f>
        <v>#DIV/0!</v>
      </c>
      <c r="R566" s="221"/>
      <c r="S566" s="221" t="e">
        <f>R565+Q566/2</f>
        <v>#DIV/0!</v>
      </c>
      <c r="T566" s="221"/>
      <c r="U566" s="221" t="e">
        <f>-$Q$13*(S566+T565*((V565+U564/2)^2))</f>
        <v>#DIV/0!</v>
      </c>
      <c r="V566" s="221"/>
      <c r="W566" s="221" t="e">
        <f>V565+U566/2</f>
        <v>#DIV/0!</v>
      </c>
      <c r="X566" s="213"/>
    </row>
    <row r="567" spans="12:24" x14ac:dyDescent="0.3">
      <c r="L567"/>
      <c r="M567"/>
      <c r="N567"/>
      <c r="O567"/>
      <c r="P567" s="220">
        <f>P565+$Q$6</f>
        <v>0</v>
      </c>
      <c r="Q567" s="221"/>
      <c r="R567" s="221" t="e">
        <f>IF(R565+Q566&lt;0,(R565+Q566)*0.8,R565+Q566)</f>
        <v>#DIV/0!</v>
      </c>
      <c r="S567" s="221"/>
      <c r="T567" s="221" t="e">
        <f>T565*(X567/X565)^2</f>
        <v>#DIV/0!</v>
      </c>
      <c r="U567" s="221"/>
      <c r="V567" s="221" t="e">
        <f>IF(AND(ABS(V565+U566)&gt;$B$5*0.8,(V565+U566)&lt;0),-$B$5*0.5,IF(AND(ABS(V565+U566)&gt;$B$5*0.8,(V565+U566)&gt;0),$B$5*0.5,V565+U566))</f>
        <v>#DIV/0!</v>
      </c>
      <c r="W567" s="221"/>
      <c r="X567" s="223" t="e">
        <f>$B$7*V567</f>
        <v>#DIV/0!</v>
      </c>
    </row>
    <row r="568" spans="12:24" x14ac:dyDescent="0.3">
      <c r="L568"/>
      <c r="M568"/>
      <c r="N568"/>
      <c r="O568"/>
      <c r="P568" s="213"/>
      <c r="Q568" s="221" t="e">
        <f>(V567+U566/2)*$Q$12</f>
        <v>#DIV/0!</v>
      </c>
      <c r="R568" s="221"/>
      <c r="S568" s="221" t="e">
        <f>R567+Q568/2</f>
        <v>#DIV/0!</v>
      </c>
      <c r="T568" s="221"/>
      <c r="U568" s="221" t="e">
        <f>-$Q$13*(S568+T567*((V567+U566/2)^2))</f>
        <v>#DIV/0!</v>
      </c>
      <c r="V568" s="221"/>
      <c r="W568" s="221" t="e">
        <f>V567+U568/2</f>
        <v>#DIV/0!</v>
      </c>
      <c r="X568" s="213"/>
    </row>
    <row r="569" spans="12:24" x14ac:dyDescent="0.3">
      <c r="L569"/>
      <c r="M569"/>
      <c r="N569"/>
      <c r="O569"/>
      <c r="P569" s="220">
        <f>P567+$Q$6</f>
        <v>0</v>
      </c>
      <c r="Q569" s="221"/>
      <c r="R569" s="221" t="e">
        <f>IF(R567+Q568&lt;0,(R567+Q568)*0.8,R567+Q568)</f>
        <v>#DIV/0!</v>
      </c>
      <c r="S569" s="221"/>
      <c r="T569" s="221" t="e">
        <f>T567*(X569/X567)^2</f>
        <v>#DIV/0!</v>
      </c>
      <c r="U569" s="221"/>
      <c r="V569" s="221" t="e">
        <f>IF(AND(ABS(V567+U568)&gt;$B$5*0.8,(V567+U568)&lt;0),-$B$5*0.5,IF(AND(ABS(V567+U568)&gt;$B$5*0.8,(V567+U568)&gt;0),$B$5*0.5,V567+U568))</f>
        <v>#DIV/0!</v>
      </c>
      <c r="W569" s="221"/>
      <c r="X569" s="223" t="e">
        <f>$B$7*V569</f>
        <v>#DIV/0!</v>
      </c>
    </row>
    <row r="570" spans="12:24" x14ac:dyDescent="0.3">
      <c r="L570"/>
      <c r="M570"/>
      <c r="N570"/>
      <c r="O570"/>
      <c r="P570" s="213"/>
      <c r="Q570" s="221" t="e">
        <f>(V569+U568/2)*$Q$12</f>
        <v>#DIV/0!</v>
      </c>
      <c r="R570" s="221"/>
      <c r="S570" s="221" t="e">
        <f>R569+Q570/2</f>
        <v>#DIV/0!</v>
      </c>
      <c r="T570" s="221"/>
      <c r="U570" s="221" t="e">
        <f>-$Q$13*(S570+T569*((V569+U568/2)^2))</f>
        <v>#DIV/0!</v>
      </c>
      <c r="V570" s="221"/>
      <c r="W570" s="221" t="e">
        <f>V569+U570/2</f>
        <v>#DIV/0!</v>
      </c>
      <c r="X570" s="213"/>
    </row>
    <row r="571" spans="12:24" x14ac:dyDescent="0.3">
      <c r="L571"/>
      <c r="M571"/>
      <c r="N571"/>
      <c r="O571"/>
      <c r="P571" s="220">
        <f>P569+$Q$6</f>
        <v>0</v>
      </c>
      <c r="Q571" s="221"/>
      <c r="R571" s="221" t="e">
        <f>IF(R569+Q570&lt;0,(R569+Q570)*0.8,R569+Q570)</f>
        <v>#DIV/0!</v>
      </c>
      <c r="S571" s="221"/>
      <c r="T571" s="221" t="e">
        <f>T569*(X571/X569)^2</f>
        <v>#DIV/0!</v>
      </c>
      <c r="U571" s="221"/>
      <c r="V571" s="221" t="e">
        <f>IF(AND(ABS(V569+U570)&gt;$B$5*0.8,(V569+U570)&lt;0),-$B$5*0.5,IF(AND(ABS(V569+U570)&gt;$B$5*0.8,(V569+U570)&gt;0),$B$5*0.5,V569+U570))</f>
        <v>#DIV/0!</v>
      </c>
      <c r="W571" s="221"/>
      <c r="X571" s="223" t="e">
        <f>$B$7*V571</f>
        <v>#DIV/0!</v>
      </c>
    </row>
    <row r="572" spans="12:24" x14ac:dyDescent="0.3">
      <c r="L572"/>
      <c r="M572"/>
      <c r="N572"/>
      <c r="O572"/>
      <c r="P572" s="213"/>
      <c r="Q572" s="221" t="e">
        <f>(V571+U570/2)*$Q$12</f>
        <v>#DIV/0!</v>
      </c>
      <c r="R572" s="221"/>
      <c r="S572" s="221" t="e">
        <f>R571+Q572/2</f>
        <v>#DIV/0!</v>
      </c>
      <c r="T572" s="221"/>
      <c r="U572" s="221" t="e">
        <f>-$Q$13*(S572+T571*((V571+U570/2)^2))</f>
        <v>#DIV/0!</v>
      </c>
      <c r="V572" s="221"/>
      <c r="W572" s="221" t="e">
        <f>V571+U572/2</f>
        <v>#DIV/0!</v>
      </c>
      <c r="X572" s="213"/>
    </row>
    <row r="573" spans="12:24" x14ac:dyDescent="0.3">
      <c r="L573"/>
      <c r="M573"/>
      <c r="N573"/>
      <c r="O573"/>
      <c r="P573" s="220">
        <f>P571+$Q$6</f>
        <v>0</v>
      </c>
      <c r="Q573" s="221"/>
      <c r="R573" s="221" t="e">
        <f>IF(R571+Q572&lt;0,(R571+Q572)*0.8,R571+Q572)</f>
        <v>#DIV/0!</v>
      </c>
      <c r="S573" s="221"/>
      <c r="T573" s="221" t="e">
        <f>T571*(X573/X571)^2</f>
        <v>#DIV/0!</v>
      </c>
      <c r="U573" s="221"/>
      <c r="V573" s="221" t="e">
        <f>IF(AND(ABS(V571+U572)&gt;$B$5*0.8,(V571+U572)&lt;0),-$B$5*0.5,IF(AND(ABS(V571+U572)&gt;$B$5*0.8,(V571+U572)&gt;0),$B$5*0.5,V571+U572))</f>
        <v>#DIV/0!</v>
      </c>
      <c r="W573" s="221"/>
      <c r="X573" s="223" t="e">
        <f>$B$7*V573</f>
        <v>#DIV/0!</v>
      </c>
    </row>
    <row r="574" spans="12:24" x14ac:dyDescent="0.3">
      <c r="L574"/>
      <c r="M574"/>
      <c r="N574"/>
      <c r="O574"/>
      <c r="P574" s="213"/>
      <c r="Q574" s="221" t="e">
        <f>(V573+U572/2)*$Q$12</f>
        <v>#DIV/0!</v>
      </c>
      <c r="R574" s="221"/>
      <c r="S574" s="221" t="e">
        <f>R573+Q574/2</f>
        <v>#DIV/0!</v>
      </c>
      <c r="T574" s="221"/>
      <c r="U574" s="221" t="e">
        <f>-$Q$13*(S574+T573*((V573+U572/2)^2))</f>
        <v>#DIV/0!</v>
      </c>
      <c r="V574" s="221"/>
      <c r="W574" s="221" t="e">
        <f>V573+U574/2</f>
        <v>#DIV/0!</v>
      </c>
      <c r="X574" s="213"/>
    </row>
    <row r="575" spans="12:24" x14ac:dyDescent="0.3">
      <c r="L575"/>
      <c r="M575"/>
      <c r="N575"/>
      <c r="O575"/>
      <c r="P575" s="220">
        <f>P573+$Q$6</f>
        <v>0</v>
      </c>
      <c r="Q575" s="221"/>
      <c r="R575" s="221" t="e">
        <f>IF(R573+Q574&lt;0,(R573+Q574)*0.8,R573+Q574)</f>
        <v>#DIV/0!</v>
      </c>
      <c r="S575" s="221"/>
      <c r="T575" s="221" t="e">
        <f>T573*(X575/X573)^2</f>
        <v>#DIV/0!</v>
      </c>
      <c r="U575" s="221"/>
      <c r="V575" s="221" t="e">
        <f>IF(AND(ABS(V573+U574)&gt;$B$5*0.8,(V573+U574)&lt;0),-$B$5*0.5,IF(AND(ABS(V573+U574)&gt;$B$5*0.8,(V573+U574)&gt;0),$B$5*0.5,V573+U574))</f>
        <v>#DIV/0!</v>
      </c>
      <c r="W575" s="221"/>
      <c r="X575" s="223" t="e">
        <f>$B$7*V575</f>
        <v>#DIV/0!</v>
      </c>
    </row>
    <row r="576" spans="12:24" x14ac:dyDescent="0.3">
      <c r="L576"/>
      <c r="M576"/>
      <c r="N576"/>
      <c r="O576"/>
      <c r="P576" s="213"/>
      <c r="Q576" s="221" t="e">
        <f>(V575+U574/2)*$Q$12</f>
        <v>#DIV/0!</v>
      </c>
      <c r="R576" s="221"/>
      <c r="S576" s="221" t="e">
        <f>R575+Q576/2</f>
        <v>#DIV/0!</v>
      </c>
      <c r="T576" s="221"/>
      <c r="U576" s="221" t="e">
        <f>-$Q$13*(S576+T575*((V575+U574/2)^2))</f>
        <v>#DIV/0!</v>
      </c>
      <c r="V576" s="221"/>
      <c r="W576" s="221" t="e">
        <f>V575+U576/2</f>
        <v>#DIV/0!</v>
      </c>
      <c r="X576" s="213"/>
    </row>
    <row r="577" spans="12:24" x14ac:dyDescent="0.3">
      <c r="L577"/>
      <c r="M577"/>
      <c r="N577"/>
      <c r="O577"/>
      <c r="P577" s="220">
        <f>P575+$Q$6</f>
        <v>0</v>
      </c>
      <c r="Q577" s="221"/>
      <c r="R577" s="221" t="e">
        <f>IF(R575+Q576&lt;0,(R575+Q576)*0.8,R575+Q576)</f>
        <v>#DIV/0!</v>
      </c>
      <c r="S577" s="221"/>
      <c r="T577" s="221" t="e">
        <f>T575*(X577/X575)^2</f>
        <v>#DIV/0!</v>
      </c>
      <c r="U577" s="221"/>
      <c r="V577" s="221" t="e">
        <f>IF(AND(ABS(V575+U576)&gt;$B$5*0.8,(V575+U576)&lt;0),-$B$5*0.5,IF(AND(ABS(V575+U576)&gt;$B$5*0.8,(V575+U576)&gt;0),$B$5*0.5,V575+U576))</f>
        <v>#DIV/0!</v>
      </c>
      <c r="W577" s="221"/>
      <c r="X577" s="223" t="e">
        <f>$B$7*V577</f>
        <v>#DIV/0!</v>
      </c>
    </row>
    <row r="578" spans="12:24" x14ac:dyDescent="0.3">
      <c r="L578"/>
      <c r="M578"/>
      <c r="N578"/>
      <c r="O578"/>
      <c r="P578" s="213"/>
      <c r="Q578" s="221" t="e">
        <f>(V577+U576/2)*$Q$12</f>
        <v>#DIV/0!</v>
      </c>
      <c r="R578" s="221"/>
      <c r="S578" s="221" t="e">
        <f>R577+Q578/2</f>
        <v>#DIV/0!</v>
      </c>
      <c r="T578" s="221"/>
      <c r="U578" s="221" t="e">
        <f>-$Q$13*(S578+T577*((V577+U576/2)^2))</f>
        <v>#DIV/0!</v>
      </c>
      <c r="V578" s="221"/>
      <c r="W578" s="221" t="e">
        <f>V577+U578/2</f>
        <v>#DIV/0!</v>
      </c>
      <c r="X578" s="213"/>
    </row>
    <row r="579" spans="12:24" x14ac:dyDescent="0.3">
      <c r="L579"/>
      <c r="M579"/>
      <c r="N579"/>
      <c r="O579"/>
      <c r="P579" s="220">
        <f>P577+$Q$6</f>
        <v>0</v>
      </c>
      <c r="Q579" s="221"/>
      <c r="R579" s="221" t="e">
        <f>IF(R577+Q578&lt;0,(R577+Q578)*0.8,R577+Q578)</f>
        <v>#DIV/0!</v>
      </c>
      <c r="S579" s="221"/>
      <c r="T579" s="221" t="e">
        <f>T577*(X579/X577)^2</f>
        <v>#DIV/0!</v>
      </c>
      <c r="U579" s="221"/>
      <c r="V579" s="221" t="e">
        <f>IF(AND(ABS(V577+U578)&gt;$B$5*0.8,(V577+U578)&lt;0),-$B$5*0.5,IF(AND(ABS(V577+U578)&gt;$B$5*0.8,(V577+U578)&gt;0),$B$5*0.5,V577+U578))</f>
        <v>#DIV/0!</v>
      </c>
      <c r="W579" s="221"/>
      <c r="X579" s="223" t="e">
        <f>$B$7*V579</f>
        <v>#DIV/0!</v>
      </c>
    </row>
    <row r="580" spans="12:24" x14ac:dyDescent="0.3">
      <c r="L580"/>
      <c r="M580"/>
      <c r="N580"/>
      <c r="O580"/>
      <c r="P580" s="213"/>
      <c r="Q580" s="221" t="e">
        <f>(V579+U578/2)*$Q$12</f>
        <v>#DIV/0!</v>
      </c>
      <c r="R580" s="221"/>
      <c r="S580" s="221" t="e">
        <f>R579+Q580/2</f>
        <v>#DIV/0!</v>
      </c>
      <c r="T580" s="221"/>
      <c r="U580" s="221" t="e">
        <f>-$Q$13*(S580+T579*((V579+U578/2)^2))</f>
        <v>#DIV/0!</v>
      </c>
      <c r="V580" s="221"/>
      <c r="W580" s="221" t="e">
        <f>V579+U580/2</f>
        <v>#DIV/0!</v>
      </c>
      <c r="X580" s="213"/>
    </row>
    <row r="581" spans="12:24" x14ac:dyDescent="0.3">
      <c r="L581"/>
      <c r="M581"/>
      <c r="N581"/>
      <c r="O581"/>
      <c r="P581" s="220">
        <f>P579+$Q$6</f>
        <v>0</v>
      </c>
      <c r="Q581" s="221"/>
      <c r="R581" s="221" t="e">
        <f>IF(R579+Q580&lt;0,(R579+Q580)*0.8,R579+Q580)</f>
        <v>#DIV/0!</v>
      </c>
      <c r="S581" s="221"/>
      <c r="T581" s="221" t="e">
        <f>T579*(X581/X579)^2</f>
        <v>#DIV/0!</v>
      </c>
      <c r="U581" s="221"/>
      <c r="V581" s="221" t="e">
        <f>IF(AND(ABS(V579+U580)&gt;$B$5*0.8,(V579+U580)&lt;0),-$B$5*0.5,IF(AND(ABS(V579+U580)&gt;$B$5*0.8,(V579+U580)&gt;0),$B$5*0.5,V579+U580))</f>
        <v>#DIV/0!</v>
      </c>
      <c r="W581" s="221"/>
      <c r="X581" s="223" t="e">
        <f>$B$7*V581</f>
        <v>#DIV/0!</v>
      </c>
    </row>
    <row r="582" spans="12:24" x14ac:dyDescent="0.3">
      <c r="L582"/>
      <c r="M582"/>
      <c r="N582"/>
      <c r="O582"/>
      <c r="P582" s="213"/>
      <c r="Q582" s="221" t="e">
        <f>(V581+U580/2)*$Q$12</f>
        <v>#DIV/0!</v>
      </c>
      <c r="R582" s="221"/>
      <c r="S582" s="221" t="e">
        <f>R581+Q582/2</f>
        <v>#DIV/0!</v>
      </c>
      <c r="T582" s="221"/>
      <c r="U582" s="221" t="e">
        <f>-$Q$13*(S582+T581*((V581+U580/2)^2))</f>
        <v>#DIV/0!</v>
      </c>
      <c r="V582" s="221"/>
      <c r="W582" s="221" t="e">
        <f>V581+U582/2</f>
        <v>#DIV/0!</v>
      </c>
      <c r="X582" s="213"/>
    </row>
    <row r="583" spans="12:24" x14ac:dyDescent="0.3">
      <c r="L583"/>
      <c r="M583"/>
      <c r="N583"/>
      <c r="O583"/>
      <c r="P583" s="220">
        <f>P581+$Q$6</f>
        <v>0</v>
      </c>
      <c r="Q583" s="221"/>
      <c r="R583" s="221" t="e">
        <f>IF(R581+Q582&lt;0,(R581+Q582)*0.8,R581+Q582)</f>
        <v>#DIV/0!</v>
      </c>
      <c r="S583" s="221"/>
      <c r="T583" s="221" t="e">
        <f>T581*(X583/X581)^2</f>
        <v>#DIV/0!</v>
      </c>
      <c r="U583" s="221"/>
      <c r="V583" s="221" t="e">
        <f>IF(AND(ABS(V581+U582)&gt;$B$5*0.8,(V581+U582)&lt;0),-$B$5*0.5,IF(AND(ABS(V581+U582)&gt;$B$5*0.8,(V581+U582)&gt;0),$B$5*0.5,V581+U582))</f>
        <v>#DIV/0!</v>
      </c>
      <c r="W583" s="221"/>
      <c r="X583" s="223" t="e">
        <f>$B$7*V583</f>
        <v>#DIV/0!</v>
      </c>
    </row>
    <row r="584" spans="12:24" x14ac:dyDescent="0.3">
      <c r="L584"/>
      <c r="M584"/>
      <c r="N584"/>
      <c r="O584"/>
      <c r="P584" s="213"/>
      <c r="Q584" s="221" t="e">
        <f>(V583+U582/2)*$Q$12</f>
        <v>#DIV/0!</v>
      </c>
      <c r="R584" s="221"/>
      <c r="S584" s="221" t="e">
        <f>R583+Q584/2</f>
        <v>#DIV/0!</v>
      </c>
      <c r="T584" s="221"/>
      <c r="U584" s="221" t="e">
        <f>-$Q$13*(S584+T583*((V583+U582/2)^2))</f>
        <v>#DIV/0!</v>
      </c>
      <c r="V584" s="221"/>
      <c r="W584" s="221" t="e">
        <f>V583+U584/2</f>
        <v>#DIV/0!</v>
      </c>
      <c r="X584" s="213"/>
    </row>
    <row r="585" spans="12:24" x14ac:dyDescent="0.3">
      <c r="L585"/>
      <c r="M585"/>
      <c r="N585"/>
      <c r="O585"/>
      <c r="P585" s="220">
        <f>P583+$Q$6</f>
        <v>0</v>
      </c>
      <c r="Q585" s="221"/>
      <c r="R585" s="221" t="e">
        <f>IF(R583+Q584&lt;0,(R583+Q584)*0.8,R583+Q584)</f>
        <v>#DIV/0!</v>
      </c>
      <c r="S585" s="221"/>
      <c r="T585" s="221" t="e">
        <f>T583*(X585/X583)^2</f>
        <v>#DIV/0!</v>
      </c>
      <c r="U585" s="221"/>
      <c r="V585" s="221" t="e">
        <f>IF(AND(ABS(V583+U584)&gt;$B$5*0.8,(V583+U584)&lt;0),-$B$5*0.5,IF(AND(ABS(V583+U584)&gt;$B$5*0.8,(V583+U584)&gt;0),$B$5*0.5,V583+U584))</f>
        <v>#DIV/0!</v>
      </c>
      <c r="W585" s="221"/>
      <c r="X585" s="223" t="e">
        <f>$B$7*V585</f>
        <v>#DIV/0!</v>
      </c>
    </row>
    <row r="586" spans="12:24" x14ac:dyDescent="0.3">
      <c r="L586"/>
      <c r="M586"/>
      <c r="N586"/>
      <c r="O586"/>
      <c r="P586" s="213"/>
      <c r="Q586" s="221" t="e">
        <f>(V585+U584/2)*$Q$12</f>
        <v>#DIV/0!</v>
      </c>
      <c r="R586" s="221"/>
      <c r="S586" s="221" t="e">
        <f>R585+Q586/2</f>
        <v>#DIV/0!</v>
      </c>
      <c r="T586" s="221"/>
      <c r="U586" s="221" t="e">
        <f>-$Q$13*(S586+T585*((V585+U584/2)^2))</f>
        <v>#DIV/0!</v>
      </c>
      <c r="V586" s="221"/>
      <c r="W586" s="221" t="e">
        <f>V585+U586/2</f>
        <v>#DIV/0!</v>
      </c>
      <c r="X586" s="213"/>
    </row>
    <row r="587" spans="12:24" x14ac:dyDescent="0.3">
      <c r="L587"/>
      <c r="M587"/>
      <c r="N587"/>
      <c r="O587"/>
      <c r="P587" s="220">
        <f>P585+$Q$6</f>
        <v>0</v>
      </c>
      <c r="Q587" s="221"/>
      <c r="R587" s="221" t="e">
        <f>IF(R585+Q586&lt;0,(R585+Q586)*0.8,R585+Q586)</f>
        <v>#DIV/0!</v>
      </c>
      <c r="S587" s="221"/>
      <c r="T587" s="221" t="e">
        <f>T585*(X587/X585)^2</f>
        <v>#DIV/0!</v>
      </c>
      <c r="U587" s="221"/>
      <c r="V587" s="221" t="e">
        <f>IF(AND(ABS(V585+U586)&gt;$B$5*0.8,(V585+U586)&lt;0),-$B$5*0.5,IF(AND(ABS(V585+U586)&gt;$B$5*0.8,(V585+U586)&gt;0),$B$5*0.5,V585+U586))</f>
        <v>#DIV/0!</v>
      </c>
      <c r="W587" s="221"/>
      <c r="X587" s="223" t="e">
        <f>$B$7*V587</f>
        <v>#DIV/0!</v>
      </c>
    </row>
    <row r="588" spans="12:24" x14ac:dyDescent="0.3">
      <c r="L588"/>
      <c r="M588"/>
      <c r="N588"/>
      <c r="O588"/>
      <c r="P588" s="213"/>
      <c r="Q588" s="221" t="e">
        <f>(V587+U586/2)*$Q$12</f>
        <v>#DIV/0!</v>
      </c>
      <c r="R588" s="221"/>
      <c r="S588" s="221" t="e">
        <f>R587+Q588/2</f>
        <v>#DIV/0!</v>
      </c>
      <c r="T588" s="221"/>
      <c r="U588" s="221" t="e">
        <f>-$Q$13*(S588+T587*((V587+U586/2)^2))</f>
        <v>#DIV/0!</v>
      </c>
      <c r="V588" s="221"/>
      <c r="W588" s="221" t="e">
        <f>V587+U588/2</f>
        <v>#DIV/0!</v>
      </c>
      <c r="X588" s="213"/>
    </row>
    <row r="589" spans="12:24" x14ac:dyDescent="0.3">
      <c r="L589"/>
      <c r="M589"/>
      <c r="N589"/>
      <c r="O589"/>
      <c r="P589" s="220">
        <f>P587+$Q$6</f>
        <v>0</v>
      </c>
      <c r="Q589" s="221"/>
      <c r="R589" s="221" t="e">
        <f>IF(R587+Q588&lt;0,(R587+Q588)*0.8,R587+Q588)</f>
        <v>#DIV/0!</v>
      </c>
      <c r="S589" s="221"/>
      <c r="T589" s="221" t="e">
        <f>T587*(X589/X587)^2</f>
        <v>#DIV/0!</v>
      </c>
      <c r="U589" s="221"/>
      <c r="V589" s="221" t="e">
        <f>IF(AND(ABS(V587+U588)&gt;$B$5*0.8,(V587+U588)&lt;0),-$B$5*0.5,IF(AND(ABS(V587+U588)&gt;$B$5*0.8,(V587+U588)&gt;0),$B$5*0.5,V587+U588))</f>
        <v>#DIV/0!</v>
      </c>
      <c r="W589" s="221"/>
      <c r="X589" s="223" t="e">
        <f>$B$7*V589</f>
        <v>#DIV/0!</v>
      </c>
    </row>
    <row r="590" spans="12:24" x14ac:dyDescent="0.3">
      <c r="L590"/>
      <c r="M590"/>
      <c r="N590"/>
      <c r="O590"/>
      <c r="P590" s="213"/>
      <c r="Q590" s="221" t="e">
        <f>(V589+U588/2)*$Q$12</f>
        <v>#DIV/0!</v>
      </c>
      <c r="R590" s="221"/>
      <c r="S590" s="221" t="e">
        <f>R589+Q590/2</f>
        <v>#DIV/0!</v>
      </c>
      <c r="T590" s="221"/>
      <c r="U590" s="221" t="e">
        <f>-$Q$13*(S590+T589*((V589+U588/2)^2))</f>
        <v>#DIV/0!</v>
      </c>
      <c r="V590" s="221"/>
      <c r="W590" s="221" t="e">
        <f>V589+U590/2</f>
        <v>#DIV/0!</v>
      </c>
      <c r="X590" s="213"/>
    </row>
    <row r="591" spans="12:24" x14ac:dyDescent="0.3">
      <c r="L591"/>
      <c r="M591"/>
      <c r="N591"/>
      <c r="O591"/>
      <c r="P591" s="220">
        <f>P589+$Q$6</f>
        <v>0</v>
      </c>
      <c r="Q591" s="221"/>
      <c r="R591" s="221" t="e">
        <f>IF(R589+Q590&lt;0,(R589+Q590)*0.8,R589+Q590)</f>
        <v>#DIV/0!</v>
      </c>
      <c r="S591" s="221"/>
      <c r="T591" s="221" t="e">
        <f>T589*(X591/X589)^2</f>
        <v>#DIV/0!</v>
      </c>
      <c r="U591" s="221"/>
      <c r="V591" s="221" t="e">
        <f>IF(AND(ABS(V589+U590)&gt;$B$5*0.8,(V589+U590)&lt;0),-$B$5*0.5,IF(AND(ABS(V589+U590)&gt;$B$5*0.8,(V589+U590)&gt;0),$B$5*0.5,V589+U590))</f>
        <v>#DIV/0!</v>
      </c>
      <c r="W591" s="221"/>
      <c r="X591" s="223" t="e">
        <f>$B$7*V591</f>
        <v>#DIV/0!</v>
      </c>
    </row>
    <row r="592" spans="12:24" x14ac:dyDescent="0.3">
      <c r="L592"/>
      <c r="M592"/>
      <c r="N592"/>
      <c r="O592"/>
      <c r="P592" s="213"/>
      <c r="Q592" s="221" t="e">
        <f>(V591+U590/2)*$Q$12</f>
        <v>#DIV/0!</v>
      </c>
      <c r="R592" s="221"/>
      <c r="S592" s="221" t="e">
        <f>R591+Q592/2</f>
        <v>#DIV/0!</v>
      </c>
      <c r="T592" s="221"/>
      <c r="U592" s="221" t="e">
        <f>-$Q$13*(S592+T591*((V591+U590/2)^2))</f>
        <v>#DIV/0!</v>
      </c>
      <c r="V592" s="221"/>
      <c r="W592" s="221" t="e">
        <f>V591+U592/2</f>
        <v>#DIV/0!</v>
      </c>
      <c r="X592" s="213"/>
    </row>
    <row r="593" spans="12:24" x14ac:dyDescent="0.3">
      <c r="L593"/>
      <c r="M593"/>
      <c r="N593"/>
      <c r="O593"/>
      <c r="P593" s="220">
        <f>P591+$Q$6</f>
        <v>0</v>
      </c>
      <c r="Q593" s="221"/>
      <c r="R593" s="221" t="e">
        <f>IF(R591+Q592&lt;0,(R591+Q592)*0.8,R591+Q592)</f>
        <v>#DIV/0!</v>
      </c>
      <c r="S593" s="221"/>
      <c r="T593" s="221" t="e">
        <f>T591*(X593/X591)^2</f>
        <v>#DIV/0!</v>
      </c>
      <c r="U593" s="221"/>
      <c r="V593" s="221" t="e">
        <f>IF(AND(ABS(V591+U592)&gt;$B$5*0.8,(V591+U592)&lt;0),-$B$5*0.5,IF(AND(ABS(V591+U592)&gt;$B$5*0.8,(V591+U592)&gt;0),$B$5*0.5,V591+U592))</f>
        <v>#DIV/0!</v>
      </c>
      <c r="W593" s="221"/>
      <c r="X593" s="223" t="e">
        <f>$B$7*V593</f>
        <v>#DIV/0!</v>
      </c>
    </row>
    <row r="594" spans="12:24" x14ac:dyDescent="0.3">
      <c r="L594"/>
      <c r="M594"/>
      <c r="N594"/>
      <c r="O594"/>
      <c r="P594" s="213"/>
      <c r="Q594" s="221" t="e">
        <f>(V593+U592/2)*$Q$12</f>
        <v>#DIV/0!</v>
      </c>
      <c r="R594" s="221"/>
      <c r="S594" s="221" t="e">
        <f>R593+Q594/2</f>
        <v>#DIV/0!</v>
      </c>
      <c r="T594" s="221"/>
      <c r="U594" s="221" t="e">
        <f>-$Q$13*(S594+T593*((V593+U592/2)^2))</f>
        <v>#DIV/0!</v>
      </c>
      <c r="V594" s="221"/>
      <c r="W594" s="221" t="e">
        <f>V593+U594/2</f>
        <v>#DIV/0!</v>
      </c>
      <c r="X594" s="213"/>
    </row>
    <row r="595" spans="12:24" x14ac:dyDescent="0.3">
      <c r="L595"/>
      <c r="M595"/>
      <c r="N595"/>
      <c r="O595"/>
      <c r="P595" s="220">
        <f>P593+$Q$6</f>
        <v>0</v>
      </c>
      <c r="Q595" s="221"/>
      <c r="R595" s="221" t="e">
        <f>IF(R593+Q594&lt;0,(R593+Q594)*0.8,R593+Q594)</f>
        <v>#DIV/0!</v>
      </c>
      <c r="S595" s="221"/>
      <c r="T595" s="221" t="e">
        <f>T593*(X595/X593)^2</f>
        <v>#DIV/0!</v>
      </c>
      <c r="U595" s="221"/>
      <c r="V595" s="221" t="e">
        <f>IF(AND(ABS(V593+U594)&gt;$B$5*0.8,(V593+U594)&lt;0),-$B$5*0.5,IF(AND(ABS(V593+U594)&gt;$B$5*0.8,(V593+U594)&gt;0),$B$5*0.5,V593+U594))</f>
        <v>#DIV/0!</v>
      </c>
      <c r="W595" s="221"/>
      <c r="X595" s="223" t="e">
        <f>$B$7*V595</f>
        <v>#DIV/0!</v>
      </c>
    </row>
    <row r="596" spans="12:24" x14ac:dyDescent="0.3">
      <c r="L596"/>
      <c r="M596"/>
      <c r="N596"/>
      <c r="O596"/>
      <c r="P596" s="213"/>
      <c r="Q596" s="221" t="e">
        <f>(V595+U594/2)*$Q$12</f>
        <v>#DIV/0!</v>
      </c>
      <c r="R596" s="221"/>
      <c r="S596" s="221" t="e">
        <f>R595+Q596/2</f>
        <v>#DIV/0!</v>
      </c>
      <c r="T596" s="221"/>
      <c r="U596" s="221" t="e">
        <f>-$Q$13*(S596+T595*((V595+U594/2)^2))</f>
        <v>#DIV/0!</v>
      </c>
      <c r="V596" s="221"/>
      <c r="W596" s="221" t="e">
        <f>V595+U596/2</f>
        <v>#DIV/0!</v>
      </c>
      <c r="X596" s="213"/>
    </row>
    <row r="597" spans="12:24" x14ac:dyDescent="0.3">
      <c r="L597"/>
      <c r="M597"/>
      <c r="N597"/>
      <c r="O597"/>
      <c r="P597" s="220">
        <f>P595+$Q$6</f>
        <v>0</v>
      </c>
      <c r="Q597" s="221"/>
      <c r="R597" s="221" t="e">
        <f>IF(R595+Q596&lt;0,(R595+Q596)*0.8,R595+Q596)</f>
        <v>#DIV/0!</v>
      </c>
      <c r="S597" s="221"/>
      <c r="T597" s="221" t="e">
        <f>T595*(X597/X595)^2</f>
        <v>#DIV/0!</v>
      </c>
      <c r="U597" s="221"/>
      <c r="V597" s="221" t="e">
        <f>IF(AND(ABS(V595+U596)&gt;$B$5*0.8,(V595+U596)&lt;0),-$B$5*0.5,IF(AND(ABS(V595+U596)&gt;$B$5*0.8,(V595+U596)&gt;0),$B$5*0.5,V595+U596))</f>
        <v>#DIV/0!</v>
      </c>
      <c r="W597" s="221"/>
      <c r="X597" s="223" t="e">
        <f>$B$7*V597</f>
        <v>#DIV/0!</v>
      </c>
    </row>
    <row r="598" spans="12:24" x14ac:dyDescent="0.3">
      <c r="L598"/>
      <c r="M598"/>
      <c r="N598"/>
      <c r="O598"/>
      <c r="P598" s="213"/>
      <c r="Q598" s="221" t="e">
        <f>(V597+U596/2)*$Q$12</f>
        <v>#DIV/0!</v>
      </c>
      <c r="R598" s="221"/>
      <c r="S598" s="221" t="e">
        <f>R597+Q598/2</f>
        <v>#DIV/0!</v>
      </c>
      <c r="T598" s="221"/>
      <c r="U598" s="221" t="e">
        <f>-$Q$13*(S598+T597*((V597+U596/2)^2))</f>
        <v>#DIV/0!</v>
      </c>
      <c r="V598" s="221"/>
      <c r="W598" s="221" t="e">
        <f>V597+U598/2</f>
        <v>#DIV/0!</v>
      </c>
      <c r="X598" s="213"/>
    </row>
    <row r="599" spans="12:24" x14ac:dyDescent="0.3">
      <c r="L599"/>
      <c r="M599"/>
      <c r="N599"/>
      <c r="O599"/>
      <c r="P599" s="220">
        <f>P597+$Q$6</f>
        <v>0</v>
      </c>
      <c r="Q599" s="221"/>
      <c r="R599" s="221" t="e">
        <f>IF(R597+Q598&lt;0,(R597+Q598)*0.8,R597+Q598)</f>
        <v>#DIV/0!</v>
      </c>
      <c r="S599" s="221"/>
      <c r="T599" s="221" t="e">
        <f>T597*(X599/X597)^2</f>
        <v>#DIV/0!</v>
      </c>
      <c r="U599" s="221"/>
      <c r="V599" s="221" t="e">
        <f>IF(AND(ABS(V597+U598)&gt;$B$5*0.8,(V597+U598)&lt;0),-$B$5*0.5,IF(AND(ABS(V597+U598)&gt;$B$5*0.8,(V597+U598)&gt;0),$B$5*0.5,V597+U598))</f>
        <v>#DIV/0!</v>
      </c>
      <c r="W599" s="221"/>
      <c r="X599" s="223" t="e">
        <f>$B$7*V599</f>
        <v>#DIV/0!</v>
      </c>
    </row>
    <row r="600" spans="12:24" x14ac:dyDescent="0.3">
      <c r="L600"/>
      <c r="M600"/>
      <c r="N600"/>
      <c r="O600"/>
      <c r="P600" s="213"/>
      <c r="Q600" s="221" t="e">
        <f>(V599+U598/2)*$Q$12</f>
        <v>#DIV/0!</v>
      </c>
      <c r="R600" s="221"/>
      <c r="S600" s="221" t="e">
        <f>R599+Q600/2</f>
        <v>#DIV/0!</v>
      </c>
      <c r="T600" s="221"/>
      <c r="U600" s="221" t="e">
        <f>-$Q$13*(S600+T599*((V599+U598/2)^2))</f>
        <v>#DIV/0!</v>
      </c>
      <c r="V600" s="221"/>
      <c r="W600" s="221" t="e">
        <f>V599+U600/2</f>
        <v>#DIV/0!</v>
      </c>
      <c r="X600" s="213"/>
    </row>
    <row r="601" spans="12:24" x14ac:dyDescent="0.3">
      <c r="L601"/>
      <c r="M601"/>
      <c r="N601"/>
      <c r="O601"/>
      <c r="P601" s="220">
        <f>P599+$Q$6</f>
        <v>0</v>
      </c>
      <c r="Q601" s="221"/>
      <c r="R601" s="221" t="e">
        <f>IF(R599+Q600&lt;0,(R599+Q600)*0.8,R599+Q600)</f>
        <v>#DIV/0!</v>
      </c>
      <c r="S601" s="221"/>
      <c r="T601" s="221" t="e">
        <f>T599*(X601/X599)^2</f>
        <v>#DIV/0!</v>
      </c>
      <c r="U601" s="221"/>
      <c r="V601" s="221" t="e">
        <f>IF(AND(ABS(V599+U600)&gt;$B$5*0.8,(V599+U600)&lt;0),-$B$5*0.5,IF(AND(ABS(V599+U600)&gt;$B$5*0.8,(V599+U600)&gt;0),$B$5*0.5,V599+U600))</f>
        <v>#DIV/0!</v>
      </c>
      <c r="W601" s="221"/>
      <c r="X601" s="223" t="e">
        <f>$B$7*V601</f>
        <v>#DIV/0!</v>
      </c>
    </row>
    <row r="602" spans="12:24" x14ac:dyDescent="0.3">
      <c r="L602"/>
      <c r="M602"/>
      <c r="N602"/>
      <c r="O602"/>
      <c r="P602" s="213"/>
      <c r="Q602" s="221" t="e">
        <f>(V601+U600/2)*$Q$12</f>
        <v>#DIV/0!</v>
      </c>
      <c r="R602" s="221"/>
      <c r="S602" s="221" t="e">
        <f>R601+Q602/2</f>
        <v>#DIV/0!</v>
      </c>
      <c r="T602" s="221"/>
      <c r="U602" s="221" t="e">
        <f>-$Q$13*(S602+T601*((V601+U600/2)^2))</f>
        <v>#DIV/0!</v>
      </c>
      <c r="V602" s="221"/>
      <c r="W602" s="221" t="e">
        <f>V601+U602/2</f>
        <v>#DIV/0!</v>
      </c>
      <c r="X602" s="213"/>
    </row>
    <row r="603" spans="12:24" x14ac:dyDescent="0.3">
      <c r="L603"/>
      <c r="M603"/>
      <c r="N603"/>
      <c r="O603"/>
      <c r="P603" s="220">
        <f>P601+$Q$6</f>
        <v>0</v>
      </c>
      <c r="Q603" s="221"/>
      <c r="R603" s="221" t="e">
        <f>IF(R601+Q602&lt;0,(R601+Q602)*0.8,R601+Q602)</f>
        <v>#DIV/0!</v>
      </c>
      <c r="S603" s="221"/>
      <c r="T603" s="221" t="e">
        <f>T601*(X603/X601)^2</f>
        <v>#DIV/0!</v>
      </c>
      <c r="U603" s="221"/>
      <c r="V603" s="221" t="e">
        <f>IF(AND(ABS(V601+U602)&gt;$B$5*0.8,(V601+U602)&lt;0),-$B$5*0.5,IF(AND(ABS(V601+U602)&gt;$B$5*0.8,(V601+U602)&gt;0),$B$5*0.5,V601+U602))</f>
        <v>#DIV/0!</v>
      </c>
      <c r="W603" s="221"/>
      <c r="X603" s="223" t="e">
        <f>$B$7*V603</f>
        <v>#DIV/0!</v>
      </c>
    </row>
    <row r="604" spans="12:24" x14ac:dyDescent="0.3">
      <c r="L604"/>
      <c r="M604"/>
      <c r="N604"/>
      <c r="O604"/>
      <c r="P604" s="213"/>
      <c r="Q604" s="221" t="e">
        <f>(V603+U602/2)*$Q$12</f>
        <v>#DIV/0!</v>
      </c>
      <c r="R604" s="221"/>
      <c r="S604" s="221" t="e">
        <f>R603+Q604/2</f>
        <v>#DIV/0!</v>
      </c>
      <c r="T604" s="221"/>
      <c r="U604" s="221" t="e">
        <f>-$Q$13*(S604+T603*((V603+U602/2)^2))</f>
        <v>#DIV/0!</v>
      </c>
      <c r="V604" s="221"/>
      <c r="W604" s="221" t="e">
        <f>V603+U604/2</f>
        <v>#DIV/0!</v>
      </c>
      <c r="X604" s="213"/>
    </row>
    <row r="605" spans="12:24" x14ac:dyDescent="0.3">
      <c r="L605"/>
      <c r="M605"/>
      <c r="N605"/>
      <c r="O605"/>
      <c r="P605" s="220">
        <f>P603+$Q$6</f>
        <v>0</v>
      </c>
      <c r="Q605" s="221"/>
      <c r="R605" s="221" t="e">
        <f>IF(R603+Q604&lt;0,(R603+Q604)*0.8,R603+Q604)</f>
        <v>#DIV/0!</v>
      </c>
      <c r="S605" s="221"/>
      <c r="T605" s="221" t="e">
        <f>T603*(X605/X603)^2</f>
        <v>#DIV/0!</v>
      </c>
      <c r="U605" s="221"/>
      <c r="V605" s="221" t="e">
        <f>IF(AND(ABS(V603+U604)&gt;$B$5*0.8,(V603+U604)&lt;0),-$B$5*0.5,IF(AND(ABS(V603+U604)&gt;$B$5*0.8,(V603+U604)&gt;0),$B$5*0.5,V603+U604))</f>
        <v>#DIV/0!</v>
      </c>
      <c r="W605" s="229"/>
      <c r="X605" s="223" t="e">
        <f>$B$7*V605</f>
        <v>#DIV/0!</v>
      </c>
    </row>
    <row r="606" spans="12:24" x14ac:dyDescent="0.3">
      <c r="L606"/>
      <c r="M606"/>
      <c r="N606"/>
      <c r="O606"/>
      <c r="P606" s="220"/>
      <c r="Q606" s="221" t="e">
        <f>(V605+U604/2)*$Q$12</f>
        <v>#DIV/0!</v>
      </c>
      <c r="R606" s="221"/>
      <c r="S606" s="221" t="e">
        <f>R605+Q606/2</f>
        <v>#DIV/0!</v>
      </c>
      <c r="T606" s="221"/>
      <c r="U606" s="221" t="e">
        <f>-$Q$13*(S606+T605*((V605+U604/2)^2))</f>
        <v>#DIV/0!</v>
      </c>
      <c r="V606" s="221"/>
      <c r="W606" s="229" t="e">
        <f>V605+U606/2</f>
        <v>#DIV/0!</v>
      </c>
      <c r="X606" s="213"/>
    </row>
    <row r="607" spans="12:24" x14ac:dyDescent="0.3">
      <c r="L607"/>
      <c r="M607"/>
      <c r="N607"/>
      <c r="O607"/>
      <c r="P607" s="220">
        <f>P605+$Q$6</f>
        <v>0</v>
      </c>
      <c r="Q607" s="221"/>
      <c r="R607" s="221" t="e">
        <f>IF(R605+Q606&lt;0,(R605+Q606)*0.8,R605+Q606)</f>
        <v>#DIV/0!</v>
      </c>
      <c r="S607" s="221"/>
      <c r="T607" s="221" t="e">
        <f>T605*(X607/X605)^2</f>
        <v>#DIV/0!</v>
      </c>
      <c r="U607" s="221"/>
      <c r="V607" s="221" t="e">
        <f>IF(AND(ABS(V605+U606)&gt;$B$5*0.8,(V605+U606)&lt;0),-$B$5*0.5,IF(AND(ABS(V605+U606)&gt;$B$5*0.8,(V605+U606)&gt;0),$B$5*0.5,V605+U606))</f>
        <v>#DIV/0!</v>
      </c>
      <c r="W607" s="229"/>
      <c r="X607" s="223" t="e">
        <f>$B$7*V607</f>
        <v>#DIV/0!</v>
      </c>
    </row>
    <row r="608" spans="12:24" x14ac:dyDescent="0.3">
      <c r="L608"/>
      <c r="M608"/>
      <c r="N608"/>
      <c r="O608"/>
      <c r="P608" s="213"/>
      <c r="Q608" s="221" t="e">
        <f>(V607+U606/2)*$Q$12</f>
        <v>#DIV/0!</v>
      </c>
      <c r="R608" s="221"/>
      <c r="S608" s="221" t="e">
        <f>R607+Q608/2</f>
        <v>#DIV/0!</v>
      </c>
      <c r="T608" s="221"/>
      <c r="U608" s="221" t="e">
        <f>-$Q$13*(S608+T607*((V607+U606/2)^2))</f>
        <v>#DIV/0!</v>
      </c>
      <c r="V608" s="221"/>
      <c r="W608" s="229" t="e">
        <f>V607+U608/2</f>
        <v>#DIV/0!</v>
      </c>
      <c r="X608" s="213"/>
    </row>
    <row r="609" spans="12:24" x14ac:dyDescent="0.3">
      <c r="L609"/>
      <c r="M609"/>
      <c r="N609"/>
      <c r="O609"/>
      <c r="P609" s="220">
        <f>P607+$Q$6</f>
        <v>0</v>
      </c>
      <c r="Q609" s="221"/>
      <c r="R609" s="221" t="e">
        <f>IF(R607+Q608&lt;0,(R607+Q608)*0.8,R607+Q608)</f>
        <v>#DIV/0!</v>
      </c>
      <c r="S609" s="221"/>
      <c r="T609" s="221" t="e">
        <f>T607*(X609/X607)^2</f>
        <v>#DIV/0!</v>
      </c>
      <c r="U609" s="221"/>
      <c r="V609" s="221" t="e">
        <f>IF(AND(ABS(V607+U608)&gt;$B$5*0.8,(V607+U608)&lt;0),-$B$5*0.5,IF(AND(ABS(V607+U608)&gt;$B$5*0.8,(V607+U608)&gt;0),$B$5*0.5,V607+U608))</f>
        <v>#DIV/0!</v>
      </c>
      <c r="W609" s="229"/>
      <c r="X609" s="223" t="e">
        <f>$B$7*V609</f>
        <v>#DIV/0!</v>
      </c>
    </row>
    <row r="610" spans="12:24" x14ac:dyDescent="0.3">
      <c r="L610"/>
      <c r="M610"/>
      <c r="N610"/>
      <c r="O610"/>
      <c r="P610" s="220"/>
      <c r="Q610" s="221" t="e">
        <f>(V609+U608/2)*$Q$12</f>
        <v>#DIV/0!</v>
      </c>
      <c r="R610" s="221"/>
      <c r="S610" s="221" t="e">
        <f>R609+Q610/2</f>
        <v>#DIV/0!</v>
      </c>
      <c r="T610" s="221"/>
      <c r="U610" s="221" t="e">
        <f>-$Q$13*(S610+T609*((V609+U608/2)^2))</f>
        <v>#DIV/0!</v>
      </c>
      <c r="V610" s="221"/>
      <c r="W610" s="221" t="e">
        <f>V609+U610/2</f>
        <v>#DIV/0!</v>
      </c>
      <c r="X610" s="224"/>
    </row>
    <row r="611" spans="12:24" x14ac:dyDescent="0.3">
      <c r="L611"/>
      <c r="M611"/>
      <c r="N611"/>
      <c r="O611"/>
      <c r="P611" s="220">
        <f>P609+$Q$6</f>
        <v>0</v>
      </c>
      <c r="Q611" s="221"/>
      <c r="R611" s="221" t="e">
        <f>IF(R609+Q610&lt;0,(R609+Q610)*0.8,R609+Q610)</f>
        <v>#DIV/0!</v>
      </c>
      <c r="S611" s="221"/>
      <c r="T611" s="221" t="e">
        <f>T609*(X611/X609)^2</f>
        <v>#DIV/0!</v>
      </c>
      <c r="U611" s="221"/>
      <c r="V611" s="221" t="e">
        <f>IF(AND(ABS(V609+U610)&gt;$B$5*0.8,(V609+U610)&lt;0),-$B$5*0.5,IF(AND(ABS(V609+U610)&gt;$B$5*0.8,(V609+U610)&gt;0),$B$5*0.5,V609+U610))</f>
        <v>#DIV/0!</v>
      </c>
      <c r="W611" s="221"/>
      <c r="X611" s="223" t="e">
        <f>$B$7*V611</f>
        <v>#DIV/0!</v>
      </c>
    </row>
    <row r="612" spans="12:24" x14ac:dyDescent="0.3">
      <c r="L612"/>
      <c r="M612"/>
      <c r="N612"/>
      <c r="O612"/>
      <c r="P612" s="213"/>
      <c r="Q612" s="221" t="e">
        <f>(V611+U610/2)*$Q$12</f>
        <v>#DIV/0!</v>
      </c>
      <c r="R612" s="221"/>
      <c r="S612" s="221" t="e">
        <f>R611+Q612/2</f>
        <v>#DIV/0!</v>
      </c>
      <c r="T612" s="221"/>
      <c r="U612" s="221" t="e">
        <f>-$Q$13*(S612+T611*((V611+U610/2)^2))</f>
        <v>#DIV/0!</v>
      </c>
      <c r="V612" s="221"/>
      <c r="W612" s="221" t="e">
        <f>V611+U612/2</f>
        <v>#DIV/0!</v>
      </c>
      <c r="X612" s="213"/>
    </row>
    <row r="613" spans="12:24" x14ac:dyDescent="0.3">
      <c r="L613"/>
      <c r="M613"/>
      <c r="N613"/>
      <c r="O613"/>
      <c r="P613" s="220">
        <f>P611+$Q$6</f>
        <v>0</v>
      </c>
      <c r="Q613" s="221"/>
      <c r="R613" s="221" t="e">
        <f>IF(R611+Q612&lt;0,(R611+Q612)*0.8,R611+Q612)</f>
        <v>#DIV/0!</v>
      </c>
      <c r="S613" s="221"/>
      <c r="T613" s="221" t="e">
        <f>T611*(X613/X611)^2</f>
        <v>#DIV/0!</v>
      </c>
      <c r="U613" s="221"/>
      <c r="V613" s="221" t="e">
        <f>IF(AND(ABS(V611+U612)&gt;$B$5*0.8,(V611+U612)&lt;0),-$B$5*0.5,IF(AND(ABS(V611+U612)&gt;$B$5*0.8,(V611+U612)&gt;0),$B$5*0.5,V611+U612))</f>
        <v>#DIV/0!</v>
      </c>
      <c r="W613" s="221"/>
      <c r="X613" s="223" t="e">
        <f>$B$7*V613</f>
        <v>#DIV/0!</v>
      </c>
    </row>
    <row r="614" spans="12:24" x14ac:dyDescent="0.3">
      <c r="L614"/>
      <c r="M614"/>
      <c r="N614"/>
      <c r="O614"/>
      <c r="P614" s="220"/>
      <c r="Q614" s="221" t="e">
        <f>(V613+U612/2)*$Q$12</f>
        <v>#DIV/0!</v>
      </c>
      <c r="R614" s="221"/>
      <c r="S614" s="221" t="e">
        <f>R613+Q614/2</f>
        <v>#DIV/0!</v>
      </c>
      <c r="T614" s="221"/>
      <c r="U614" s="221" t="e">
        <f>-$Q$13*(S614+T613*((V613+U612/2)^2))</f>
        <v>#DIV/0!</v>
      </c>
      <c r="V614" s="221"/>
      <c r="W614" s="221" t="e">
        <f>V613+U614/2</f>
        <v>#DIV/0!</v>
      </c>
      <c r="X614" s="213"/>
    </row>
    <row r="615" spans="12:24" x14ac:dyDescent="0.3">
      <c r="L615"/>
      <c r="M615"/>
      <c r="N615"/>
      <c r="O615"/>
      <c r="P615" s="220">
        <f>P613+$Q$6</f>
        <v>0</v>
      </c>
      <c r="Q615" s="221"/>
      <c r="R615" s="221" t="e">
        <f>IF(R613+Q614&lt;0,(R613+Q614)*0.8,R613+Q614)</f>
        <v>#DIV/0!</v>
      </c>
      <c r="S615" s="221"/>
      <c r="T615" s="221" t="e">
        <f>T613*(X615/X613)^2</f>
        <v>#DIV/0!</v>
      </c>
      <c r="U615" s="221"/>
      <c r="V615" s="221" t="e">
        <f>IF(AND(ABS(V613+U614)&gt;$B$5*0.8,(V613+U614)&lt;0),-$B$5*0.5,IF(AND(ABS(V613+U614)&gt;$B$5*0.8,(V613+U614)&gt;0),$B$5*0.5,V613+U614))</f>
        <v>#DIV/0!</v>
      </c>
      <c r="W615" s="221"/>
      <c r="X615" s="223" t="e">
        <f>$B$7*V615</f>
        <v>#DIV/0!</v>
      </c>
    </row>
    <row r="616" spans="12:24" x14ac:dyDescent="0.3">
      <c r="L616"/>
      <c r="M616"/>
      <c r="N616"/>
      <c r="O616"/>
      <c r="P616" s="213"/>
      <c r="Q616" s="221" t="e">
        <f>(V615+U614/2)*$Q$12</f>
        <v>#DIV/0!</v>
      </c>
      <c r="R616" s="221"/>
      <c r="S616" s="221" t="e">
        <f>R615+Q616/2</f>
        <v>#DIV/0!</v>
      </c>
      <c r="T616" s="221"/>
      <c r="U616" s="221" t="e">
        <f>-$Q$13*(S616+T615*((V615+U614/2)^2))</f>
        <v>#DIV/0!</v>
      </c>
      <c r="V616" s="221"/>
      <c r="W616" s="221" t="e">
        <f>V615+U616/2</f>
        <v>#DIV/0!</v>
      </c>
      <c r="X616" s="213"/>
    </row>
    <row r="617" spans="12:24" x14ac:dyDescent="0.3">
      <c r="L617"/>
      <c r="M617"/>
      <c r="N617"/>
      <c r="O617"/>
      <c r="P617" s="220">
        <f>P615+$Q$6</f>
        <v>0</v>
      </c>
      <c r="Q617" s="221"/>
      <c r="R617" s="221" t="e">
        <f>IF(R615+Q616&lt;0,(R615+Q616)*0.8,R615+Q616)</f>
        <v>#DIV/0!</v>
      </c>
      <c r="S617" s="221"/>
      <c r="T617" s="221" t="e">
        <f>T615*(X617/X615)^2</f>
        <v>#DIV/0!</v>
      </c>
      <c r="U617" s="221"/>
      <c r="V617" s="221" t="e">
        <f>IF(AND(ABS(V615+U616)&gt;$B$5*0.8,(V615+U616)&lt;0),-$B$5*0.5,IF(AND(ABS(V615+U616)&gt;$B$5*0.8,(V615+U616)&gt;0),$B$5*0.5,V615+U616))</f>
        <v>#DIV/0!</v>
      </c>
      <c r="W617" s="221"/>
      <c r="X617" s="223" t="e">
        <f>$B$7*V617</f>
        <v>#DIV/0!</v>
      </c>
    </row>
    <row r="618" spans="12:24" x14ac:dyDescent="0.3">
      <c r="L618"/>
      <c r="M618"/>
      <c r="N618"/>
      <c r="O618"/>
      <c r="P618" s="213"/>
      <c r="Q618" s="221" t="e">
        <f>(V617+U616/2)*$Q$12</f>
        <v>#DIV/0!</v>
      </c>
      <c r="R618" s="221"/>
      <c r="S618" s="221" t="e">
        <f>R617+Q618/2</f>
        <v>#DIV/0!</v>
      </c>
      <c r="T618" s="221"/>
      <c r="U618" s="221" t="e">
        <f>-$Q$13*(S618+T617*((V617+U616/2)^2))</f>
        <v>#DIV/0!</v>
      </c>
      <c r="V618" s="221"/>
      <c r="W618" s="221" t="e">
        <f>V617+U618/2</f>
        <v>#DIV/0!</v>
      </c>
      <c r="X618" s="213"/>
    </row>
    <row r="619" spans="12:24" x14ac:dyDescent="0.3">
      <c r="L619"/>
      <c r="M619"/>
      <c r="N619"/>
      <c r="O619"/>
      <c r="P619" s="220">
        <f>P617+$Q$6</f>
        <v>0</v>
      </c>
      <c r="Q619" s="221"/>
      <c r="R619" s="221" t="e">
        <f>IF(R617+Q618&lt;0,(R617+Q618)*0.8,R617+Q618)</f>
        <v>#DIV/0!</v>
      </c>
      <c r="S619" s="221"/>
      <c r="T619" s="221" t="e">
        <f>T617*(X619/X617)^2</f>
        <v>#DIV/0!</v>
      </c>
      <c r="U619" s="221"/>
      <c r="V619" s="221" t="e">
        <f>IF(AND(ABS(V617+U618)&gt;$B$5*0.8,(V617+U618)&lt;0),-$B$5*0.5,IF(AND(ABS(V617+U618)&gt;$B$5*0.8,(V617+U618)&gt;0),$B$5*0.5,V617+U618))</f>
        <v>#DIV/0!</v>
      </c>
      <c r="W619" s="221"/>
      <c r="X619" s="223" t="e">
        <f>$B$7*V619</f>
        <v>#DIV/0!</v>
      </c>
    </row>
    <row r="620" spans="12:24" x14ac:dyDescent="0.3">
      <c r="L620"/>
      <c r="M620"/>
      <c r="N620"/>
      <c r="O620"/>
      <c r="P620" s="213"/>
      <c r="Q620" s="221" t="e">
        <f>(V619+U618/2)*$Q$12</f>
        <v>#DIV/0!</v>
      </c>
      <c r="R620" s="221"/>
      <c r="S620" s="221" t="e">
        <f>R619+Q620/2</f>
        <v>#DIV/0!</v>
      </c>
      <c r="T620" s="221"/>
      <c r="U620" s="221" t="e">
        <f>-$Q$13*(S620+T619*((V619+U618/2)^2))</f>
        <v>#DIV/0!</v>
      </c>
      <c r="V620" s="221"/>
      <c r="W620" s="221" t="e">
        <f>V619+U620/2</f>
        <v>#DIV/0!</v>
      </c>
      <c r="X620" s="213"/>
    </row>
    <row r="621" spans="12:24" x14ac:dyDescent="0.3">
      <c r="L621"/>
      <c r="M621"/>
      <c r="N621"/>
      <c r="O621"/>
      <c r="P621" s="220">
        <f>P619+$Q$6</f>
        <v>0</v>
      </c>
      <c r="Q621" s="221"/>
      <c r="R621" s="221" t="e">
        <f>IF(R619+Q620&lt;0,(R619+Q620)*0.8,R619+Q620)</f>
        <v>#DIV/0!</v>
      </c>
      <c r="S621" s="221"/>
      <c r="T621" s="221" t="e">
        <f>T619*(X621/X619)^2</f>
        <v>#DIV/0!</v>
      </c>
      <c r="U621" s="221"/>
      <c r="V621" s="221" t="e">
        <f>IF(AND(ABS(V619+U620)&gt;$B$5*0.8,(V619+U620)&lt;0),-$B$5*0.5,IF(AND(ABS(V619+U620)&gt;$B$5*0.8,(V619+U620)&gt;0),$B$5*0.5,V619+U620))</f>
        <v>#DIV/0!</v>
      </c>
      <c r="W621" s="221"/>
      <c r="X621" s="223" t="e">
        <f>$B$7*V621</f>
        <v>#DIV/0!</v>
      </c>
    </row>
    <row r="622" spans="12:24" x14ac:dyDescent="0.3">
      <c r="L622"/>
      <c r="M622"/>
      <c r="N622"/>
      <c r="O622"/>
      <c r="P622" s="213"/>
      <c r="Q622" s="221" t="e">
        <f>(V621+U620/2)*$Q$12</f>
        <v>#DIV/0!</v>
      </c>
      <c r="R622" s="221"/>
      <c r="S622" s="221" t="e">
        <f>R621+Q622/2</f>
        <v>#DIV/0!</v>
      </c>
      <c r="T622" s="221"/>
      <c r="U622" s="221" t="e">
        <f>-$Q$13*(S622+T621*((V621+U620/2)^2))</f>
        <v>#DIV/0!</v>
      </c>
      <c r="V622" s="221"/>
      <c r="W622" s="221" t="e">
        <f>V621+U622/2</f>
        <v>#DIV/0!</v>
      </c>
      <c r="X622" s="213"/>
    </row>
    <row r="623" spans="12:24" x14ac:dyDescent="0.3">
      <c r="L623"/>
      <c r="M623"/>
      <c r="N623"/>
      <c r="O623"/>
      <c r="P623" s="220">
        <f>P621+$Q$6</f>
        <v>0</v>
      </c>
      <c r="Q623" s="221"/>
      <c r="R623" s="221" t="e">
        <f>IF(R621+Q622&lt;0,(R621+Q622)*0.8,R621+Q622)</f>
        <v>#DIV/0!</v>
      </c>
      <c r="S623" s="221"/>
      <c r="T623" s="221" t="e">
        <f>T621*(X623/X621)^2</f>
        <v>#DIV/0!</v>
      </c>
      <c r="U623" s="221"/>
      <c r="V623" s="221" t="e">
        <f>IF(AND(ABS(V621+U622)&gt;$B$5*0.8,(V621+U622)&lt;0),-$B$5*0.5,IF(AND(ABS(V621+U622)&gt;$B$5*0.8,(V621+U622)&gt;0),$B$5*0.5,V621+U622))</f>
        <v>#DIV/0!</v>
      </c>
      <c r="W623" s="221"/>
      <c r="X623" s="223" t="e">
        <f>$B$7*V623</f>
        <v>#DIV/0!</v>
      </c>
    </row>
    <row r="624" spans="12:24" x14ac:dyDescent="0.3">
      <c r="L624"/>
      <c r="M624"/>
      <c r="N624"/>
      <c r="O624"/>
      <c r="P624" s="213"/>
      <c r="Q624" s="221" t="e">
        <f>(V623+U622/2)*$Q$12</f>
        <v>#DIV/0!</v>
      </c>
      <c r="R624" s="221"/>
      <c r="S624" s="221" t="e">
        <f>R623+Q624/2</f>
        <v>#DIV/0!</v>
      </c>
      <c r="T624" s="221"/>
      <c r="U624" s="221" t="e">
        <f>-$Q$13*(S624+T623*((V623+U622/2)^2))</f>
        <v>#DIV/0!</v>
      </c>
      <c r="V624" s="221"/>
      <c r="W624" s="221" t="e">
        <f>V623+U624/2</f>
        <v>#DIV/0!</v>
      </c>
      <c r="X624" s="213"/>
    </row>
    <row r="625" spans="12:24" x14ac:dyDescent="0.3">
      <c r="L625"/>
      <c r="M625"/>
      <c r="N625"/>
      <c r="O625"/>
      <c r="P625" s="220">
        <f>P623+$Q$6</f>
        <v>0</v>
      </c>
      <c r="Q625" s="221"/>
      <c r="R625" s="221" t="e">
        <f>IF(R623+Q624&lt;0,(R623+Q624)*0.8,R623+Q624)</f>
        <v>#DIV/0!</v>
      </c>
      <c r="S625" s="221"/>
      <c r="T625" s="221" t="e">
        <f>T623*(X625/X623)^2</f>
        <v>#DIV/0!</v>
      </c>
      <c r="U625" s="221"/>
      <c r="V625" s="221" t="e">
        <f>IF(AND(ABS(V623+U624)&gt;$B$5*0.8,(V623+U624)&lt;0),-$B$5*0.5,IF(AND(ABS(V623+U624)&gt;$B$5*0.8,(V623+U624)&gt;0),$B$5*0.5,V623+U624))</f>
        <v>#DIV/0!</v>
      </c>
      <c r="W625" s="221"/>
      <c r="X625" s="223" t="e">
        <f>$B$7*V625</f>
        <v>#DIV/0!</v>
      </c>
    </row>
    <row r="626" spans="12:24" x14ac:dyDescent="0.3">
      <c r="L626"/>
      <c r="M626"/>
      <c r="N626"/>
      <c r="O626"/>
      <c r="P626" s="213"/>
      <c r="Q626" s="221" t="e">
        <f>(V625+U624/2)*$Q$12</f>
        <v>#DIV/0!</v>
      </c>
      <c r="R626" s="221"/>
      <c r="S626" s="221" t="e">
        <f>R625+Q626/2</f>
        <v>#DIV/0!</v>
      </c>
      <c r="T626" s="221"/>
      <c r="U626" s="221" t="e">
        <f>-$Q$13*(S626+T625*((V625+U624/2)^2))</f>
        <v>#DIV/0!</v>
      </c>
      <c r="V626" s="221"/>
      <c r="W626" s="221" t="e">
        <f>V625+U626/2</f>
        <v>#DIV/0!</v>
      </c>
      <c r="X626" s="213"/>
    </row>
    <row r="627" spans="12:24" x14ac:dyDescent="0.3">
      <c r="L627"/>
      <c r="M627"/>
      <c r="N627"/>
      <c r="O627"/>
      <c r="P627" s="220">
        <f>P625+$Q$6</f>
        <v>0</v>
      </c>
      <c r="Q627" s="221"/>
      <c r="R627" s="221" t="e">
        <f>IF(R625+Q626&lt;0,(R625+Q626)*0.8,R625+Q626)</f>
        <v>#DIV/0!</v>
      </c>
      <c r="S627" s="221"/>
      <c r="T627" s="221" t="e">
        <f>T625*(X627/X625)^2</f>
        <v>#DIV/0!</v>
      </c>
      <c r="U627" s="221"/>
      <c r="V627" s="221" t="e">
        <f>IF(AND(ABS(V625+U626)&gt;$B$5*0.8,(V625+U626)&lt;0),-$B$5*0.5,IF(AND(ABS(V625+U626)&gt;$B$5*0.8,(V625+U626)&gt;0),$B$5*0.5,V625+U626))</f>
        <v>#DIV/0!</v>
      </c>
      <c r="W627" s="221"/>
      <c r="X627" s="223" t="e">
        <f>$B$7*V627</f>
        <v>#DIV/0!</v>
      </c>
    </row>
    <row r="628" spans="12:24" x14ac:dyDescent="0.3">
      <c r="L628"/>
      <c r="M628"/>
      <c r="N628"/>
      <c r="O628"/>
      <c r="P628" s="213"/>
      <c r="Q628" s="221" t="e">
        <f>(V627+U626/2)*$Q$12</f>
        <v>#DIV/0!</v>
      </c>
      <c r="R628" s="221"/>
      <c r="S628" s="221" t="e">
        <f>R627+Q628/2</f>
        <v>#DIV/0!</v>
      </c>
      <c r="T628" s="221"/>
      <c r="U628" s="221" t="e">
        <f>-$Q$13*(S628+T627*((V627+U626/2)^2))</f>
        <v>#DIV/0!</v>
      </c>
      <c r="V628" s="221"/>
      <c r="W628" s="221" t="e">
        <f>V627+U628/2</f>
        <v>#DIV/0!</v>
      </c>
      <c r="X628" s="213"/>
    </row>
    <row r="629" spans="12:24" x14ac:dyDescent="0.3">
      <c r="L629"/>
      <c r="M629"/>
      <c r="N629"/>
      <c r="O629"/>
      <c r="P629" s="220">
        <f>P627+$Q$6</f>
        <v>0</v>
      </c>
      <c r="Q629" s="221"/>
      <c r="R629" s="221" t="e">
        <f>IF(R627+Q628&lt;0,(R627+Q628)*0.8,R627+Q628)</f>
        <v>#DIV/0!</v>
      </c>
      <c r="S629" s="221"/>
      <c r="T629" s="221" t="e">
        <f>T627*(X629/X627)^2</f>
        <v>#DIV/0!</v>
      </c>
      <c r="U629" s="221"/>
      <c r="V629" s="221" t="e">
        <f>IF(AND(ABS(V627+U628)&gt;$B$5*0.8,(V627+U628)&lt;0),-$B$5*0.5,IF(AND(ABS(V627+U628)&gt;$B$5*0.8,(V627+U628)&gt;0),$B$5*0.5,V627+U628))</f>
        <v>#DIV/0!</v>
      </c>
      <c r="W629" s="221"/>
      <c r="X629" s="223" t="e">
        <f>$B$7*V629</f>
        <v>#DIV/0!</v>
      </c>
    </row>
    <row r="630" spans="12:24" x14ac:dyDescent="0.3">
      <c r="L630"/>
      <c r="M630"/>
      <c r="N630"/>
      <c r="O630"/>
      <c r="P630" s="213"/>
      <c r="Q630" s="221" t="e">
        <f>(V629+U628/2)*$Q$12</f>
        <v>#DIV/0!</v>
      </c>
      <c r="R630" s="221"/>
      <c r="S630" s="221" t="e">
        <f>R629+Q630/2</f>
        <v>#DIV/0!</v>
      </c>
      <c r="T630" s="221"/>
      <c r="U630" s="221" t="e">
        <f>-$Q$13*(S630+T629*((V629+U628/2)^2))</f>
        <v>#DIV/0!</v>
      </c>
      <c r="V630" s="221"/>
      <c r="W630" s="221" t="e">
        <f>V629+U630/2</f>
        <v>#DIV/0!</v>
      </c>
      <c r="X630" s="213"/>
    </row>
    <row r="631" spans="12:24" x14ac:dyDescent="0.3">
      <c r="L631"/>
      <c r="M631"/>
      <c r="N631"/>
      <c r="O631"/>
      <c r="P631" s="220">
        <f>P629+$Q$6</f>
        <v>0</v>
      </c>
      <c r="Q631" s="221"/>
      <c r="R631" s="221" t="e">
        <f>IF(R629+Q630&lt;0,(R629+Q630)*0.8,R629+Q630)</f>
        <v>#DIV/0!</v>
      </c>
      <c r="S631" s="221"/>
      <c r="T631" s="221" t="e">
        <f>T629*(X631/X629)^2</f>
        <v>#DIV/0!</v>
      </c>
      <c r="U631" s="221"/>
      <c r="V631" s="221" t="e">
        <f>IF(AND(ABS(V629+U630)&gt;$B$5*0.8,(V629+U630)&lt;0),-$B$5*0.5,IF(AND(ABS(V629+U630)&gt;$B$5*0.8,(V629+U630)&gt;0),$B$5*0.5,V629+U630))</f>
        <v>#DIV/0!</v>
      </c>
      <c r="W631" s="221"/>
      <c r="X631" s="223" t="e">
        <f>$B$7*V631</f>
        <v>#DIV/0!</v>
      </c>
    </row>
    <row r="632" spans="12:24" x14ac:dyDescent="0.3">
      <c r="L632"/>
      <c r="M632"/>
      <c r="N632"/>
      <c r="O632"/>
      <c r="P632" s="213"/>
      <c r="Q632" s="221" t="e">
        <f>(V631+U630/2)*$Q$12</f>
        <v>#DIV/0!</v>
      </c>
      <c r="R632" s="221"/>
      <c r="S632" s="221" t="e">
        <f>R631+Q632/2</f>
        <v>#DIV/0!</v>
      </c>
      <c r="T632" s="221"/>
      <c r="U632" s="221" t="e">
        <f>-$Q$13*(S632+T631*((V631+U630/2)^2))</f>
        <v>#DIV/0!</v>
      </c>
      <c r="V632" s="221"/>
      <c r="W632" s="221" t="e">
        <f>V631+U632/2</f>
        <v>#DIV/0!</v>
      </c>
      <c r="X632" s="213"/>
    </row>
    <row r="633" spans="12:24" x14ac:dyDescent="0.3">
      <c r="L633"/>
      <c r="M633"/>
      <c r="N633"/>
      <c r="O633"/>
      <c r="P633" s="220">
        <f>P631+$Q$6</f>
        <v>0</v>
      </c>
      <c r="Q633" s="221"/>
      <c r="R633" s="221" t="e">
        <f>IF(R631+Q632&lt;0,(R631+Q632)*0.8,R631+Q632)</f>
        <v>#DIV/0!</v>
      </c>
      <c r="S633" s="221"/>
      <c r="T633" s="221" t="e">
        <f>T631*(X633/X631)^2</f>
        <v>#DIV/0!</v>
      </c>
      <c r="U633" s="221"/>
      <c r="V633" s="221" t="e">
        <f>IF(AND(ABS(V631+U632)&gt;$B$5*0.8,(V631+U632)&lt;0),-$B$5*0.5,IF(AND(ABS(V631+U632)&gt;$B$5*0.8,(V631+U632)&gt;0),$B$5*0.5,V631+U632))</f>
        <v>#DIV/0!</v>
      </c>
      <c r="W633" s="221"/>
      <c r="X633" s="223" t="e">
        <f>$B$7*V633</f>
        <v>#DIV/0!</v>
      </c>
    </row>
    <row r="634" spans="12:24" x14ac:dyDescent="0.3">
      <c r="L634"/>
      <c r="M634"/>
      <c r="N634"/>
      <c r="O634"/>
      <c r="P634" s="213"/>
      <c r="Q634" s="221" t="e">
        <f>(V633+U632/2)*$Q$12</f>
        <v>#DIV/0!</v>
      </c>
      <c r="R634" s="221"/>
      <c r="S634" s="221" t="e">
        <f>R633+Q634/2</f>
        <v>#DIV/0!</v>
      </c>
      <c r="T634" s="221"/>
      <c r="U634" s="221" t="e">
        <f>-$Q$13*(S634+T633*((V633+U632/2)^2))</f>
        <v>#DIV/0!</v>
      </c>
      <c r="V634" s="221"/>
      <c r="W634" s="221" t="e">
        <f>V633+U634/2</f>
        <v>#DIV/0!</v>
      </c>
      <c r="X634" s="213"/>
    </row>
    <row r="635" spans="12:24" x14ac:dyDescent="0.3">
      <c r="L635"/>
      <c r="M635"/>
      <c r="N635"/>
      <c r="O635"/>
      <c r="P635" s="220">
        <f>P633+$Q$6</f>
        <v>0</v>
      </c>
      <c r="Q635" s="221"/>
      <c r="R635" s="221" t="e">
        <f>IF(R633+Q634&lt;0,(R633+Q634)*0.8,R633+Q634)</f>
        <v>#DIV/0!</v>
      </c>
      <c r="S635" s="221"/>
      <c r="T635" s="221" t="e">
        <f>T633*(X635/X633)^2</f>
        <v>#DIV/0!</v>
      </c>
      <c r="U635" s="221"/>
      <c r="V635" s="221" t="e">
        <f>IF(AND(ABS(V633+U634)&gt;$B$5*0.8,(V633+U634)&lt;0),-$B$5*0.5,IF(AND(ABS(V633+U634)&gt;$B$5*0.8,(V633+U634)&gt;0),$B$5*0.5,V633+U634))</f>
        <v>#DIV/0!</v>
      </c>
      <c r="W635" s="221"/>
      <c r="X635" s="223" t="e">
        <f>$B$7*V635</f>
        <v>#DIV/0!</v>
      </c>
    </row>
    <row r="636" spans="12:24" x14ac:dyDescent="0.3">
      <c r="L636"/>
      <c r="M636"/>
      <c r="N636"/>
      <c r="O636"/>
      <c r="P636" s="213"/>
      <c r="Q636" s="221" t="e">
        <f>(V635+U634/2)*$Q$12</f>
        <v>#DIV/0!</v>
      </c>
      <c r="R636" s="221"/>
      <c r="S636" s="221" t="e">
        <f>R635+Q636/2</f>
        <v>#DIV/0!</v>
      </c>
      <c r="T636" s="221"/>
      <c r="U636" s="221" t="e">
        <f>-$Q$13*(S636+T635*((V635+U634/2)^2))</f>
        <v>#DIV/0!</v>
      </c>
      <c r="V636" s="221"/>
      <c r="W636" s="221" t="e">
        <f>V635+U636/2</f>
        <v>#DIV/0!</v>
      </c>
      <c r="X636" s="213"/>
    </row>
    <row r="637" spans="12:24" x14ac:dyDescent="0.3">
      <c r="L637"/>
      <c r="M637"/>
      <c r="N637"/>
      <c r="O637"/>
      <c r="P637" s="220">
        <f>P635+$Q$6</f>
        <v>0</v>
      </c>
      <c r="Q637" s="221"/>
      <c r="R637" s="221" t="e">
        <f>IF(R635+Q636&lt;0,(R635+Q636)*0.8,R635+Q636)</f>
        <v>#DIV/0!</v>
      </c>
      <c r="S637" s="221"/>
      <c r="T637" s="221" t="e">
        <f>T635*(X637/X635)^2</f>
        <v>#DIV/0!</v>
      </c>
      <c r="U637" s="221"/>
      <c r="V637" s="221" t="e">
        <f>IF(AND(ABS(V635+U636)&gt;$B$5*0.8,(V635+U636)&lt;0),-$B$5*0.5,IF(AND(ABS(V635+U636)&gt;$B$5*0.8,(V635+U636)&gt;0),$B$5*0.5,V635+U636))</f>
        <v>#DIV/0!</v>
      </c>
      <c r="W637" s="221"/>
      <c r="X637" s="223" t="e">
        <f>$B$7*V637</f>
        <v>#DIV/0!</v>
      </c>
    </row>
    <row r="638" spans="12:24" x14ac:dyDescent="0.3">
      <c r="L638"/>
      <c r="M638"/>
      <c r="N638"/>
      <c r="O638"/>
      <c r="P638" s="213"/>
      <c r="Q638" s="221" t="e">
        <f>(V637+U636/2)*$Q$12</f>
        <v>#DIV/0!</v>
      </c>
      <c r="R638" s="221"/>
      <c r="S638" s="221" t="e">
        <f>R637+Q638/2</f>
        <v>#DIV/0!</v>
      </c>
      <c r="T638" s="221"/>
      <c r="U638" s="221" t="e">
        <f>-$Q$13*(S638+T637*((V637+U636/2)^2))</f>
        <v>#DIV/0!</v>
      </c>
      <c r="V638" s="221"/>
      <c r="W638" s="221" t="e">
        <f>V637+U638/2</f>
        <v>#DIV/0!</v>
      </c>
      <c r="X638" s="213"/>
    </row>
    <row r="639" spans="12:24" x14ac:dyDescent="0.3">
      <c r="L639"/>
      <c r="M639"/>
      <c r="N639"/>
      <c r="O639"/>
      <c r="P639" s="220">
        <f>P637+$Q$6</f>
        <v>0</v>
      </c>
      <c r="Q639" s="221"/>
      <c r="R639" s="221" t="e">
        <f>IF(R637+Q638&lt;0,(R637+Q638)*0.8,R637+Q638)</f>
        <v>#DIV/0!</v>
      </c>
      <c r="S639" s="221"/>
      <c r="T639" s="221" t="e">
        <f>T637*(X639/X637)^2</f>
        <v>#DIV/0!</v>
      </c>
      <c r="U639" s="221"/>
      <c r="V639" s="221" t="e">
        <f>IF(AND(ABS(V637+U638)&gt;$B$5*0.8,(V637+U638)&lt;0),-$B$5*0.5,IF(AND(ABS(V637+U638)&gt;$B$5*0.8,(V637+U638)&gt;0),$B$5*0.5,V637+U638))</f>
        <v>#DIV/0!</v>
      </c>
      <c r="W639" s="221"/>
      <c r="X639" s="223" t="e">
        <f>$B$7*V639</f>
        <v>#DIV/0!</v>
      </c>
    </row>
    <row r="640" spans="12:24" x14ac:dyDescent="0.3">
      <c r="L640"/>
      <c r="M640"/>
      <c r="N640"/>
      <c r="O640"/>
      <c r="P640" s="213"/>
      <c r="Q640" s="221" t="e">
        <f>(V639+U638/2)*$Q$12</f>
        <v>#DIV/0!</v>
      </c>
      <c r="R640" s="221"/>
      <c r="S640" s="221" t="e">
        <f>R639+Q640/2</f>
        <v>#DIV/0!</v>
      </c>
      <c r="T640" s="221"/>
      <c r="U640" s="221" t="e">
        <f>-$Q$13*(S640+T639*((V639+U638/2)^2))</f>
        <v>#DIV/0!</v>
      </c>
      <c r="V640" s="221"/>
      <c r="W640" s="221" t="e">
        <f>V639+U640/2</f>
        <v>#DIV/0!</v>
      </c>
      <c r="X640" s="213"/>
    </row>
    <row r="641" spans="12:24" x14ac:dyDescent="0.3">
      <c r="L641"/>
      <c r="M641"/>
      <c r="N641"/>
      <c r="O641"/>
      <c r="P641" s="220">
        <f>P639+$Q$6</f>
        <v>0</v>
      </c>
      <c r="Q641" s="221"/>
      <c r="R641" s="221" t="e">
        <f>IF(R639+Q640&lt;0,(R639+Q640)*0.8,R639+Q640)</f>
        <v>#DIV/0!</v>
      </c>
      <c r="S641" s="221"/>
      <c r="T641" s="221" t="e">
        <f>T639*(X641/X639)^2</f>
        <v>#DIV/0!</v>
      </c>
      <c r="U641" s="221"/>
      <c r="V641" s="221" t="e">
        <f>IF(AND(ABS(V639+U640)&gt;$B$5*0.8,(V639+U640)&lt;0),-$B$5*0.5,IF(AND(ABS(V639+U640)&gt;$B$5*0.8,(V639+U640)&gt;0),$B$5*0.5,V639+U640))</f>
        <v>#DIV/0!</v>
      </c>
      <c r="W641" s="221"/>
      <c r="X641" s="223" t="e">
        <f>$B$7*V641</f>
        <v>#DIV/0!</v>
      </c>
    </row>
    <row r="642" spans="12:24" x14ac:dyDescent="0.3">
      <c r="L642"/>
      <c r="M642"/>
      <c r="N642"/>
      <c r="O642"/>
      <c r="P642" s="213"/>
      <c r="Q642" s="221" t="e">
        <f>(V641+U640/2)*$Q$12</f>
        <v>#DIV/0!</v>
      </c>
      <c r="R642" s="221"/>
      <c r="S642" s="221" t="e">
        <f>R641+Q642/2</f>
        <v>#DIV/0!</v>
      </c>
      <c r="T642" s="221"/>
      <c r="U642" s="221" t="e">
        <f>-$Q$13*(S642+T641*((V641+U640/2)^2))</f>
        <v>#DIV/0!</v>
      </c>
      <c r="V642" s="221"/>
      <c r="W642" s="221" t="e">
        <f>V641+U642/2</f>
        <v>#DIV/0!</v>
      </c>
      <c r="X642" s="213"/>
    </row>
    <row r="643" spans="12:24" x14ac:dyDescent="0.3">
      <c r="L643"/>
      <c r="M643"/>
      <c r="N643"/>
      <c r="O643"/>
      <c r="P643" s="220">
        <f>P641+$Q$6</f>
        <v>0</v>
      </c>
      <c r="Q643" s="221"/>
      <c r="R643" s="221" t="e">
        <f>IF(R641+Q642&lt;0,(R641+Q642)*0.8,R641+Q642)</f>
        <v>#DIV/0!</v>
      </c>
      <c r="S643" s="221"/>
      <c r="T643" s="221" t="e">
        <f>T641*(X643/X641)^2</f>
        <v>#DIV/0!</v>
      </c>
      <c r="U643" s="221"/>
      <c r="V643" s="221" t="e">
        <f>IF(AND(ABS(V641+U642)&gt;$B$5*0.8,(V641+U642)&lt;0),-$B$5*0.5,IF(AND(ABS(V641+U642)&gt;$B$5*0.8,(V641+U642)&gt;0),$B$5*0.5,V641+U642))</f>
        <v>#DIV/0!</v>
      </c>
      <c r="W643" s="221"/>
      <c r="X643" s="223" t="e">
        <f>$B$7*V643</f>
        <v>#DIV/0!</v>
      </c>
    </row>
    <row r="644" spans="12:24" x14ac:dyDescent="0.3">
      <c r="L644"/>
      <c r="M644"/>
      <c r="N644"/>
      <c r="O644"/>
      <c r="P644" s="213"/>
      <c r="Q644" s="221" t="e">
        <f>(V643+U642/2)*$Q$12</f>
        <v>#DIV/0!</v>
      </c>
      <c r="R644" s="221"/>
      <c r="S644" s="221" t="e">
        <f>R643+Q644/2</f>
        <v>#DIV/0!</v>
      </c>
      <c r="T644" s="221"/>
      <c r="U644" s="221" t="e">
        <f>-$Q$13*(S644+T643*((V643+U642/2)^2))</f>
        <v>#DIV/0!</v>
      </c>
      <c r="V644" s="221"/>
      <c r="W644" s="221" t="e">
        <f>V643+U644/2</f>
        <v>#DIV/0!</v>
      </c>
      <c r="X644" s="213"/>
    </row>
    <row r="645" spans="12:24" x14ac:dyDescent="0.3">
      <c r="L645"/>
      <c r="M645"/>
      <c r="N645"/>
      <c r="O645"/>
      <c r="P645" s="220">
        <f>P643+$Q$6</f>
        <v>0</v>
      </c>
      <c r="Q645" s="221"/>
      <c r="R645" s="221" t="e">
        <f>IF(R643+Q644&lt;0,(R643+Q644)*0.8,R643+Q644)</f>
        <v>#DIV/0!</v>
      </c>
      <c r="S645" s="221"/>
      <c r="T645" s="221" t="e">
        <f>T643*(X645/X643)^2</f>
        <v>#DIV/0!</v>
      </c>
      <c r="U645" s="221"/>
      <c r="V645" s="221" t="e">
        <f>IF(AND(ABS(V643+U644)&gt;$B$5*0.8,(V643+U644)&lt;0),-$B$5*0.5,IF(AND(ABS(V643+U644)&gt;$B$5*0.8,(V643+U644)&gt;0),$B$5*0.5,V643+U644))</f>
        <v>#DIV/0!</v>
      </c>
      <c r="W645" s="221"/>
      <c r="X645" s="223" t="e">
        <f>$B$7*V645</f>
        <v>#DIV/0!</v>
      </c>
    </row>
    <row r="646" spans="12:24" x14ac:dyDescent="0.3">
      <c r="L646"/>
      <c r="M646"/>
      <c r="N646"/>
      <c r="O646"/>
      <c r="P646" s="213"/>
      <c r="Q646" s="221" t="e">
        <f>(V645+U644/2)*$Q$12</f>
        <v>#DIV/0!</v>
      </c>
      <c r="R646" s="221"/>
      <c r="S646" s="221" t="e">
        <f>R645+Q646/2</f>
        <v>#DIV/0!</v>
      </c>
      <c r="T646" s="221"/>
      <c r="U646" s="221" t="e">
        <f>-$Q$13*(S646+T645*((V645+U644/2)^2))</f>
        <v>#DIV/0!</v>
      </c>
      <c r="V646" s="221"/>
      <c r="W646" s="221" t="e">
        <f>V645+U646/2</f>
        <v>#DIV/0!</v>
      </c>
      <c r="X646" s="213"/>
    </row>
    <row r="647" spans="12:24" x14ac:dyDescent="0.3">
      <c r="L647"/>
      <c r="M647"/>
      <c r="N647"/>
      <c r="O647"/>
      <c r="P647" s="220">
        <f>P645+$Q$6</f>
        <v>0</v>
      </c>
      <c r="Q647" s="221"/>
      <c r="R647" s="221" t="e">
        <f>IF(R645+Q646&lt;0,(R645+Q646)*0.8,R645+Q646)</f>
        <v>#DIV/0!</v>
      </c>
      <c r="S647" s="221"/>
      <c r="T647" s="221" t="e">
        <f>T645*(X647/X645)^2</f>
        <v>#DIV/0!</v>
      </c>
      <c r="U647" s="221"/>
      <c r="V647" s="221" t="e">
        <f>IF(AND(ABS(V645+U646)&gt;$B$5*0.8,(V645+U646)&lt;0),-$B$5*0.5,IF(AND(ABS(V645+U646)&gt;$B$5*0.8,(V645+U646)&gt;0),$B$5*0.5,V645+U646))</f>
        <v>#DIV/0!</v>
      </c>
      <c r="W647" s="221"/>
      <c r="X647" s="223" t="e">
        <f>$B$7*V647</f>
        <v>#DIV/0!</v>
      </c>
    </row>
    <row r="648" spans="12:24" x14ac:dyDescent="0.3">
      <c r="L648"/>
      <c r="M648"/>
      <c r="N648"/>
      <c r="O648"/>
      <c r="P648" s="213"/>
      <c r="Q648" s="221" t="e">
        <f>(V647+U646/2)*$Q$12</f>
        <v>#DIV/0!</v>
      </c>
      <c r="R648" s="221"/>
      <c r="S648" s="221" t="e">
        <f>R647+Q648/2</f>
        <v>#DIV/0!</v>
      </c>
      <c r="T648" s="221"/>
      <c r="U648" s="221" t="e">
        <f>-$Q$13*(S648+T647*((V647+U646/2)^2))</f>
        <v>#DIV/0!</v>
      </c>
      <c r="V648" s="221"/>
      <c r="W648" s="221" t="e">
        <f>V647+U648/2</f>
        <v>#DIV/0!</v>
      </c>
      <c r="X648" s="213"/>
    </row>
    <row r="649" spans="12:24" x14ac:dyDescent="0.3">
      <c r="L649"/>
      <c r="M649"/>
      <c r="N649"/>
      <c r="O649"/>
      <c r="P649" s="220">
        <f>P647+$Q$6</f>
        <v>0</v>
      </c>
      <c r="Q649" s="221"/>
      <c r="R649" s="221" t="e">
        <f>IF(R647+Q648&lt;0,(R647+Q648)*0.8,R647+Q648)</f>
        <v>#DIV/0!</v>
      </c>
      <c r="S649" s="221"/>
      <c r="T649" s="221" t="e">
        <f>T647*(X649/X647)^2</f>
        <v>#DIV/0!</v>
      </c>
      <c r="U649" s="221"/>
      <c r="V649" s="221" t="e">
        <f>IF(AND(ABS(V647+U648)&gt;$B$5*0.8,(V647+U648)&lt;0),-$B$5*0.5,IF(AND(ABS(V647+U648)&gt;$B$5*0.8,(V647+U648)&gt;0),$B$5*0.5,V647+U648))</f>
        <v>#DIV/0!</v>
      </c>
      <c r="W649" s="221"/>
      <c r="X649" s="223" t="e">
        <f>$B$7*V649</f>
        <v>#DIV/0!</v>
      </c>
    </row>
    <row r="650" spans="12:24" x14ac:dyDescent="0.3">
      <c r="L650"/>
      <c r="M650"/>
      <c r="N650"/>
      <c r="O650"/>
      <c r="P650" s="213"/>
      <c r="Q650" s="221" t="e">
        <f>(V649+U648/2)*$Q$12</f>
        <v>#DIV/0!</v>
      </c>
      <c r="R650" s="221"/>
      <c r="S650" s="221" t="e">
        <f>R649+Q650/2</f>
        <v>#DIV/0!</v>
      </c>
      <c r="T650" s="221"/>
      <c r="U650" s="221" t="e">
        <f>-$Q$13*(S650+T649*((V649+U648/2)^2))</f>
        <v>#DIV/0!</v>
      </c>
      <c r="V650" s="221"/>
      <c r="W650" s="221" t="e">
        <f>V649+U650/2</f>
        <v>#DIV/0!</v>
      </c>
      <c r="X650" s="213"/>
    </row>
    <row r="651" spans="12:24" x14ac:dyDescent="0.3">
      <c r="L651"/>
      <c r="M651"/>
      <c r="N651"/>
      <c r="O651"/>
      <c r="P651" s="220">
        <f>P649+$Q$6</f>
        <v>0</v>
      </c>
      <c r="Q651" s="221"/>
      <c r="R651" s="221" t="e">
        <f>IF(R649+Q650&lt;0,(R649+Q650)*0.8,R649+Q650)</f>
        <v>#DIV/0!</v>
      </c>
      <c r="S651" s="221"/>
      <c r="T651" s="221" t="e">
        <f>T649*(X651/X649)^2</f>
        <v>#DIV/0!</v>
      </c>
      <c r="U651" s="221"/>
      <c r="V651" s="221" t="e">
        <f>IF(AND(ABS(V649+U650)&gt;$B$5*0.8,(V649+U650)&lt;0),-$B$5*0.5,IF(AND(ABS(V649+U650)&gt;$B$5*0.8,(V649+U650)&gt;0),$B$5*0.5,V649+U650))</f>
        <v>#DIV/0!</v>
      </c>
      <c r="W651" s="221"/>
      <c r="X651" s="223" t="e">
        <f>$B$7*V651</f>
        <v>#DIV/0!</v>
      </c>
    </row>
    <row r="652" spans="12:24" x14ac:dyDescent="0.3">
      <c r="L652"/>
      <c r="M652"/>
      <c r="N652"/>
      <c r="O652"/>
      <c r="P652" s="213"/>
      <c r="Q652" s="221" t="e">
        <f>(V651+U650/2)*$Q$12</f>
        <v>#DIV/0!</v>
      </c>
      <c r="R652" s="221"/>
      <c r="S652" s="221" t="e">
        <f>R651+Q652/2</f>
        <v>#DIV/0!</v>
      </c>
      <c r="T652" s="221"/>
      <c r="U652" s="221" t="e">
        <f>-$Q$13*(S652+T651*((V651+U650/2)^2))</f>
        <v>#DIV/0!</v>
      </c>
      <c r="V652" s="221"/>
      <c r="W652" s="221" t="e">
        <f>V651+U652/2</f>
        <v>#DIV/0!</v>
      </c>
      <c r="X652" s="213"/>
    </row>
    <row r="653" spans="12:24" x14ac:dyDescent="0.3">
      <c r="L653"/>
      <c r="M653"/>
      <c r="N653"/>
      <c r="O653"/>
      <c r="P653" s="220">
        <f>P651+$Q$6</f>
        <v>0</v>
      </c>
      <c r="Q653" s="221"/>
      <c r="R653" s="221" t="e">
        <f>IF(R651+Q652&lt;0,(R651+Q652)*0.8,R651+Q652)</f>
        <v>#DIV/0!</v>
      </c>
      <c r="S653" s="221"/>
      <c r="T653" s="221" t="e">
        <f>T651*(X653/X651)^2</f>
        <v>#DIV/0!</v>
      </c>
      <c r="U653" s="221"/>
      <c r="V653" s="221" t="e">
        <f>IF(AND(ABS(V651+U652)&gt;$B$5*0.8,(V651+U652)&lt;0),-$B$5*0.5,IF(AND(ABS(V651+U652)&gt;$B$5*0.8,(V651+U652)&gt;0),$B$5*0.5,V651+U652))</f>
        <v>#DIV/0!</v>
      </c>
      <c r="W653" s="221"/>
      <c r="X653" s="223" t="e">
        <f>$B$7*V653</f>
        <v>#DIV/0!</v>
      </c>
    </row>
    <row r="654" spans="12:24" x14ac:dyDescent="0.3">
      <c r="L654"/>
      <c r="M654"/>
      <c r="N654"/>
      <c r="O654"/>
      <c r="P654" s="213"/>
      <c r="Q654" s="221" t="e">
        <f>(V653+U652/2)*$Q$12</f>
        <v>#DIV/0!</v>
      </c>
      <c r="R654" s="221"/>
      <c r="S654" s="221" t="e">
        <f>R653+Q654/2</f>
        <v>#DIV/0!</v>
      </c>
      <c r="T654" s="221"/>
      <c r="U654" s="221" t="e">
        <f>-$Q$13*(S654+T653*((V653+U652/2)^2))</f>
        <v>#DIV/0!</v>
      </c>
      <c r="V654" s="221"/>
      <c r="W654" s="221" t="e">
        <f>V653+U654/2</f>
        <v>#DIV/0!</v>
      </c>
      <c r="X654" s="213"/>
    </row>
    <row r="655" spans="12:24" x14ac:dyDescent="0.3">
      <c r="L655"/>
      <c r="M655"/>
      <c r="N655"/>
      <c r="O655"/>
      <c r="P655" s="220">
        <f>P653+$Q$6</f>
        <v>0</v>
      </c>
      <c r="Q655" s="221"/>
      <c r="R655" s="221" t="e">
        <f>IF(R653+Q654&lt;0,(R653+Q654)*0.8,R653+Q654)</f>
        <v>#DIV/0!</v>
      </c>
      <c r="S655" s="221"/>
      <c r="T655" s="221" t="e">
        <f>T653*(X655/X653)^2</f>
        <v>#DIV/0!</v>
      </c>
      <c r="U655" s="221"/>
      <c r="V655" s="221" t="e">
        <f>IF(AND(ABS(V653+U654)&gt;$B$5*0.8,(V653+U654)&lt;0),-$B$5*0.5,IF(AND(ABS(V653+U654)&gt;$B$5*0.8,(V653+U654)&gt;0),$B$5*0.5,V653+U654))</f>
        <v>#DIV/0!</v>
      </c>
      <c r="W655" s="221"/>
      <c r="X655" s="223" t="e">
        <f>$B$7*V655</f>
        <v>#DIV/0!</v>
      </c>
    </row>
    <row r="656" spans="12:24" x14ac:dyDescent="0.3">
      <c r="L656"/>
      <c r="M656"/>
      <c r="N656"/>
      <c r="O656"/>
      <c r="P656" s="213"/>
      <c r="Q656" s="221" t="e">
        <f>(V655+U654/2)*$Q$12</f>
        <v>#DIV/0!</v>
      </c>
      <c r="R656" s="221"/>
      <c r="S656" s="221" t="e">
        <f>R655+Q656/2</f>
        <v>#DIV/0!</v>
      </c>
      <c r="T656" s="221"/>
      <c r="U656" s="221" t="e">
        <f>-$Q$13*(S656+T655*((V655+U654/2)^2))</f>
        <v>#DIV/0!</v>
      </c>
      <c r="V656" s="221"/>
      <c r="W656" s="221" t="e">
        <f>V655+U656/2</f>
        <v>#DIV/0!</v>
      </c>
      <c r="X656" s="213"/>
    </row>
    <row r="657" spans="12:24" x14ac:dyDescent="0.3">
      <c r="L657"/>
      <c r="M657"/>
      <c r="N657"/>
      <c r="O657"/>
      <c r="P657" s="220">
        <f>P655+$Q$6</f>
        <v>0</v>
      </c>
      <c r="Q657" s="221"/>
      <c r="R657" s="221" t="e">
        <f>IF(R655+Q656&lt;0,(R655+Q656)*0.8,R655+Q656)</f>
        <v>#DIV/0!</v>
      </c>
      <c r="S657" s="221"/>
      <c r="T657" s="221" t="e">
        <f>T655*(X657/X655)^2</f>
        <v>#DIV/0!</v>
      </c>
      <c r="U657" s="221"/>
      <c r="V657" s="221" t="e">
        <f>IF(AND(ABS(V655+U656)&gt;$B$5*0.8,(V655+U656)&lt;0),-$B$5*0.5,IF(AND(ABS(V655+U656)&gt;$B$5*0.8,(V655+U656)&gt;0),$B$5*0.5,V655+U656))</f>
        <v>#DIV/0!</v>
      </c>
      <c r="W657" s="221"/>
      <c r="X657" s="223" t="e">
        <f>$B$7*V657</f>
        <v>#DIV/0!</v>
      </c>
    </row>
    <row r="658" spans="12:24" x14ac:dyDescent="0.3">
      <c r="L658"/>
      <c r="M658"/>
      <c r="N658"/>
      <c r="O658"/>
      <c r="P658" s="213"/>
      <c r="Q658" s="221" t="e">
        <f>(V657+U656/2)*$Q$12</f>
        <v>#DIV/0!</v>
      </c>
      <c r="R658" s="221"/>
      <c r="S658" s="221" t="e">
        <f>R657+Q658/2</f>
        <v>#DIV/0!</v>
      </c>
      <c r="T658" s="221"/>
      <c r="U658" s="221" t="e">
        <f>-$Q$13*(S658+T657*((V657+U656/2)^2))</f>
        <v>#DIV/0!</v>
      </c>
      <c r="V658" s="221"/>
      <c r="W658" s="221" t="e">
        <f>V657+U658/2</f>
        <v>#DIV/0!</v>
      </c>
      <c r="X658" s="213"/>
    </row>
    <row r="659" spans="12:24" x14ac:dyDescent="0.3">
      <c r="L659"/>
      <c r="M659"/>
      <c r="N659"/>
      <c r="O659"/>
      <c r="P659" s="220">
        <f>P657+$Q$6</f>
        <v>0</v>
      </c>
      <c r="Q659" s="221"/>
      <c r="R659" s="221" t="e">
        <f>IF(R657+Q658&lt;0,(R657+Q658)*0.8,R657+Q658)</f>
        <v>#DIV/0!</v>
      </c>
      <c r="S659" s="221"/>
      <c r="T659" s="221" t="e">
        <f>T657*(X659/X657)^2</f>
        <v>#DIV/0!</v>
      </c>
      <c r="U659" s="221"/>
      <c r="V659" s="221" t="e">
        <f>IF(AND(ABS(V657+U658)&gt;$B$5*0.8,(V657+U658)&lt;0),-$B$5*0.5,IF(AND(ABS(V657+U658)&gt;$B$5*0.8,(V657+U658)&gt;0),$B$5*0.5,V657+U658))</f>
        <v>#DIV/0!</v>
      </c>
      <c r="W659" s="221"/>
      <c r="X659" s="223" t="e">
        <f>$B$7*V659</f>
        <v>#DIV/0!</v>
      </c>
    </row>
    <row r="660" spans="12:24" x14ac:dyDescent="0.3">
      <c r="L660"/>
      <c r="M660"/>
      <c r="N660"/>
      <c r="O660"/>
      <c r="P660" s="213"/>
      <c r="Q660" s="221" t="e">
        <f>(V659+U658/2)*$Q$12</f>
        <v>#DIV/0!</v>
      </c>
      <c r="R660" s="221"/>
      <c r="S660" s="221" t="e">
        <f>R659+Q660/2</f>
        <v>#DIV/0!</v>
      </c>
      <c r="T660" s="221"/>
      <c r="U660" s="221" t="e">
        <f>-$Q$13*(S660+T659*((V659+U658/2)^2))</f>
        <v>#DIV/0!</v>
      </c>
      <c r="V660" s="221"/>
      <c r="W660" s="221" t="e">
        <f>V659+U660/2</f>
        <v>#DIV/0!</v>
      </c>
      <c r="X660" s="213"/>
    </row>
    <row r="661" spans="12:24" x14ac:dyDescent="0.3">
      <c r="L661"/>
      <c r="M661"/>
      <c r="N661"/>
      <c r="O661"/>
      <c r="P661" s="220">
        <f>P659+$Q$6</f>
        <v>0</v>
      </c>
      <c r="Q661" s="221"/>
      <c r="R661" s="221" t="e">
        <f>IF(R659+Q660&lt;0,(R659+Q660)*0.8,R659+Q660)</f>
        <v>#DIV/0!</v>
      </c>
      <c r="S661" s="221"/>
      <c r="T661" s="221" t="e">
        <f>T659*(X661/X659)^2</f>
        <v>#DIV/0!</v>
      </c>
      <c r="U661" s="221"/>
      <c r="V661" s="221" t="e">
        <f>IF(AND(ABS(V659+U660)&gt;$B$5*0.8,(V659+U660)&lt;0),-$B$5*0.5,IF(AND(ABS(V659+U660)&gt;$B$5*0.8,(V659+U660)&gt;0),$B$5*0.5,V659+U660))</f>
        <v>#DIV/0!</v>
      </c>
      <c r="W661" s="221"/>
      <c r="X661" s="223" t="e">
        <f>$B$7*V661</f>
        <v>#DIV/0!</v>
      </c>
    </row>
    <row r="662" spans="12:24" x14ac:dyDescent="0.3">
      <c r="L662"/>
      <c r="M662"/>
      <c r="N662"/>
      <c r="O662"/>
      <c r="P662" s="213"/>
      <c r="Q662" s="221" t="e">
        <f>(V661+U660/2)*$Q$12</f>
        <v>#DIV/0!</v>
      </c>
      <c r="R662" s="221"/>
      <c r="S662" s="221" t="e">
        <f>R661+Q662/2</f>
        <v>#DIV/0!</v>
      </c>
      <c r="T662" s="221"/>
      <c r="U662" s="221" t="e">
        <f>-$Q$13*(S662+T661*((V661+U660/2)^2))</f>
        <v>#DIV/0!</v>
      </c>
      <c r="V662" s="221"/>
      <c r="W662" s="221" t="e">
        <f>V661+U662/2</f>
        <v>#DIV/0!</v>
      </c>
      <c r="X662" s="213"/>
    </row>
    <row r="663" spans="12:24" x14ac:dyDescent="0.3">
      <c r="L663"/>
      <c r="M663"/>
      <c r="N663"/>
      <c r="O663"/>
      <c r="P663" s="220">
        <f>P661+$Q$6</f>
        <v>0</v>
      </c>
      <c r="Q663" s="221"/>
      <c r="R663" s="221" t="e">
        <f>IF(R661+Q662&lt;0,(R661+Q662)*0.8,R661+Q662)</f>
        <v>#DIV/0!</v>
      </c>
      <c r="S663" s="221"/>
      <c r="T663" s="221" t="e">
        <f>T661*(X663/X661)^2</f>
        <v>#DIV/0!</v>
      </c>
      <c r="U663" s="221"/>
      <c r="V663" s="221" t="e">
        <f>IF(AND(ABS(V661+U662)&gt;$B$5*0.8,(V661+U662)&lt;0),-$B$5*0.5,IF(AND(ABS(V661+U662)&gt;$B$5*0.8,(V661+U662)&gt;0),$B$5*0.5,V661+U662))</f>
        <v>#DIV/0!</v>
      </c>
      <c r="W663" s="221"/>
      <c r="X663" s="223" t="e">
        <f>$B$7*V663</f>
        <v>#DIV/0!</v>
      </c>
    </row>
    <row r="664" spans="12:24" x14ac:dyDescent="0.3">
      <c r="L664"/>
      <c r="M664"/>
      <c r="N664"/>
      <c r="O664"/>
      <c r="P664" s="213"/>
      <c r="Q664" s="221" t="e">
        <f>(V663+U662/2)*$Q$12</f>
        <v>#DIV/0!</v>
      </c>
      <c r="R664" s="221"/>
      <c r="S664" s="221" t="e">
        <f>R663+Q664/2</f>
        <v>#DIV/0!</v>
      </c>
      <c r="T664" s="221"/>
      <c r="U664" s="221" t="e">
        <f>-$Q$13*(S664+T663*((V663+U662/2)^2))</f>
        <v>#DIV/0!</v>
      </c>
      <c r="V664" s="221"/>
      <c r="W664" s="221" t="e">
        <f>V663+U664/2</f>
        <v>#DIV/0!</v>
      </c>
      <c r="X664" s="213"/>
    </row>
    <row r="665" spans="12:24" x14ac:dyDescent="0.3">
      <c r="L665"/>
      <c r="M665"/>
      <c r="N665"/>
      <c r="O665"/>
      <c r="P665" s="220">
        <f>P663+$Q$6</f>
        <v>0</v>
      </c>
      <c r="Q665" s="221"/>
      <c r="R665" s="221" t="e">
        <f>IF(R663+Q664&lt;0,(R663+Q664)*0.8,R663+Q664)</f>
        <v>#DIV/0!</v>
      </c>
      <c r="S665" s="221"/>
      <c r="T665" s="221" t="e">
        <f>T663*(X665/X663)^2</f>
        <v>#DIV/0!</v>
      </c>
      <c r="U665" s="221"/>
      <c r="V665" s="221" t="e">
        <f>IF(AND(ABS(V663+U664)&gt;$B$5*0.8,(V663+U664)&lt;0),-$B$5*0.5,IF(AND(ABS(V663+U664)&gt;$B$5*0.8,(V663+U664)&gt;0),$B$5*0.5,V663+U664))</f>
        <v>#DIV/0!</v>
      </c>
      <c r="W665" s="221"/>
      <c r="X665" s="223" t="e">
        <f>$B$7*V665</f>
        <v>#DIV/0!</v>
      </c>
    </row>
    <row r="666" spans="12:24" x14ac:dyDescent="0.3">
      <c r="L666"/>
      <c r="M666"/>
      <c r="N666"/>
      <c r="O666"/>
      <c r="P666" s="213"/>
      <c r="Q666" s="221" t="e">
        <f>(V665+U664/2)*$Q$12</f>
        <v>#DIV/0!</v>
      </c>
      <c r="R666" s="221"/>
      <c r="S666" s="221" t="e">
        <f>R665+Q666/2</f>
        <v>#DIV/0!</v>
      </c>
      <c r="T666" s="221"/>
      <c r="U666" s="221" t="e">
        <f>-$Q$13*(S666+T665*((V665+U664/2)^2))</f>
        <v>#DIV/0!</v>
      </c>
      <c r="V666" s="221"/>
      <c r="W666" s="221" t="e">
        <f>V665+U666/2</f>
        <v>#DIV/0!</v>
      </c>
      <c r="X666" s="213"/>
    </row>
    <row r="667" spans="12:24" x14ac:dyDescent="0.3">
      <c r="L667"/>
      <c r="M667"/>
      <c r="N667"/>
      <c r="O667"/>
      <c r="P667" s="220">
        <f>P665+$Q$6</f>
        <v>0</v>
      </c>
      <c r="Q667" s="221"/>
      <c r="R667" s="221" t="e">
        <f>IF(R665+Q666&lt;0,(R665+Q666)*0.8,R665+Q666)</f>
        <v>#DIV/0!</v>
      </c>
      <c r="S667" s="221"/>
      <c r="T667" s="221" t="e">
        <f>T665*(X667/X665)^2</f>
        <v>#DIV/0!</v>
      </c>
      <c r="U667" s="221"/>
      <c r="V667" s="221" t="e">
        <f>IF(AND(ABS(V665+U666)&gt;$B$5*0.8,(V665+U666)&lt;0),-$B$5*0.5,IF(AND(ABS(V665+U666)&gt;$B$5*0.8,(V665+U666)&gt;0),$B$5*0.5,V665+U666))</f>
        <v>#DIV/0!</v>
      </c>
      <c r="W667" s="221"/>
      <c r="X667" s="223" t="e">
        <f>$B$7*V667</f>
        <v>#DIV/0!</v>
      </c>
    </row>
    <row r="668" spans="12:24" x14ac:dyDescent="0.3">
      <c r="L668"/>
      <c r="M668"/>
      <c r="N668"/>
      <c r="O668"/>
      <c r="P668" s="213"/>
      <c r="Q668" s="221" t="e">
        <f>(V667+U666/2)*$Q$12</f>
        <v>#DIV/0!</v>
      </c>
      <c r="R668" s="221"/>
      <c r="S668" s="221" t="e">
        <f>R667+Q668/2</f>
        <v>#DIV/0!</v>
      </c>
      <c r="T668" s="221"/>
      <c r="U668" s="221" t="e">
        <f>-$Q$13*(S668+T667*((V667+U666/2)^2))</f>
        <v>#DIV/0!</v>
      </c>
      <c r="V668" s="221"/>
      <c r="W668" s="221" t="e">
        <f>V667+U668/2</f>
        <v>#DIV/0!</v>
      </c>
      <c r="X668" s="213"/>
    </row>
    <row r="669" spans="12:24" x14ac:dyDescent="0.3">
      <c r="L669"/>
      <c r="M669"/>
      <c r="N669"/>
      <c r="O669"/>
      <c r="P669" s="220">
        <f>P667+$Q$6</f>
        <v>0</v>
      </c>
      <c r="Q669" s="221"/>
      <c r="R669" s="221" t="e">
        <f>IF(R667+Q668&lt;0,(R667+Q668)*0.8,R667+Q668)</f>
        <v>#DIV/0!</v>
      </c>
      <c r="S669" s="221"/>
      <c r="T669" s="221" t="e">
        <f>T667*(X669/X667)^2</f>
        <v>#DIV/0!</v>
      </c>
      <c r="U669" s="221"/>
      <c r="V669" s="221" t="e">
        <f>IF(AND(ABS(V667+U668)&gt;$B$5*0.8,(V667+U668)&lt;0),-$B$5*0.5,IF(AND(ABS(V667+U668)&gt;$B$5*0.8,(V667+U668)&gt;0),$B$5*0.5,V667+U668))</f>
        <v>#DIV/0!</v>
      </c>
      <c r="W669" s="221"/>
      <c r="X669" s="223" t="e">
        <f>$B$7*V669</f>
        <v>#DIV/0!</v>
      </c>
    </row>
    <row r="670" spans="12:24" x14ac:dyDescent="0.3">
      <c r="L670"/>
      <c r="M670"/>
      <c r="N670"/>
      <c r="O670"/>
      <c r="P670" s="213"/>
      <c r="Q670" s="221" t="e">
        <f>(V669+U668/2)*$Q$12</f>
        <v>#DIV/0!</v>
      </c>
      <c r="R670" s="221"/>
      <c r="S670" s="221" t="e">
        <f>R669+Q670/2</f>
        <v>#DIV/0!</v>
      </c>
      <c r="T670" s="221"/>
      <c r="U670" s="221" t="e">
        <f>-$Q$13*(S670+T669*((V669+U668/2)^2))</f>
        <v>#DIV/0!</v>
      </c>
      <c r="V670" s="221"/>
      <c r="W670" s="221" t="e">
        <f>V669+U670/2</f>
        <v>#DIV/0!</v>
      </c>
      <c r="X670" s="213"/>
    </row>
    <row r="671" spans="12:24" x14ac:dyDescent="0.3">
      <c r="L671"/>
      <c r="M671"/>
      <c r="N671"/>
      <c r="O671"/>
      <c r="P671" s="220">
        <f>P669+$Q$6</f>
        <v>0</v>
      </c>
      <c r="Q671" s="221"/>
      <c r="R671" s="221" t="e">
        <f>IF(R669+Q670&lt;0,(R669+Q670)*0.8,R669+Q670)</f>
        <v>#DIV/0!</v>
      </c>
      <c r="S671" s="221"/>
      <c r="T671" s="221" t="e">
        <f>T669*(X671/X669)^2</f>
        <v>#DIV/0!</v>
      </c>
      <c r="U671" s="221"/>
      <c r="V671" s="221" t="e">
        <f>IF(AND(ABS(V669+U670)&gt;$B$5*0.8,(V669+U670)&lt;0),-$B$5*0.5,IF(AND(ABS(V669+U670)&gt;$B$5*0.8,(V669+U670)&gt;0),$B$5*0.5,V669+U670))</f>
        <v>#DIV/0!</v>
      </c>
      <c r="W671" s="221"/>
      <c r="X671" s="223" t="e">
        <f>$B$7*V671</f>
        <v>#DIV/0!</v>
      </c>
    </row>
    <row r="672" spans="12:24" x14ac:dyDescent="0.3">
      <c r="L672"/>
      <c r="M672"/>
      <c r="N672"/>
      <c r="O672"/>
      <c r="P672" s="213"/>
      <c r="Q672" s="221" t="e">
        <f>(V671+U670/2)*$Q$12</f>
        <v>#DIV/0!</v>
      </c>
      <c r="R672" s="221"/>
      <c r="S672" s="221" t="e">
        <f>R671+Q672/2</f>
        <v>#DIV/0!</v>
      </c>
      <c r="T672" s="221"/>
      <c r="U672" s="221" t="e">
        <f>-$Q$13*(S672+T671*((V671+U670/2)^2))</f>
        <v>#DIV/0!</v>
      </c>
      <c r="V672" s="221"/>
      <c r="W672" s="221" t="e">
        <f>V671+U672/2</f>
        <v>#DIV/0!</v>
      </c>
      <c r="X672" s="213"/>
    </row>
    <row r="673" spans="12:24" x14ac:dyDescent="0.3">
      <c r="L673"/>
      <c r="M673"/>
      <c r="N673"/>
      <c r="O673"/>
      <c r="P673" s="220">
        <f>P671+$Q$6</f>
        <v>0</v>
      </c>
      <c r="Q673" s="221"/>
      <c r="R673" s="221" t="e">
        <f>IF(R671+Q672&lt;0,(R671+Q672)*0.8,R671+Q672)</f>
        <v>#DIV/0!</v>
      </c>
      <c r="S673" s="221"/>
      <c r="T673" s="221" t="e">
        <f>T671*(X673/X671)^2</f>
        <v>#DIV/0!</v>
      </c>
      <c r="U673" s="221"/>
      <c r="V673" s="221" t="e">
        <f>IF(AND(ABS(V671+U672)&gt;$B$5*0.8,(V671+U672)&lt;0),-$B$5*0.5,IF(AND(ABS(V671+U672)&gt;$B$5*0.8,(V671+U672)&gt;0),$B$5*0.5,V671+U672))</f>
        <v>#DIV/0!</v>
      </c>
      <c r="W673" s="221"/>
      <c r="X673" s="223" t="e">
        <f>$B$7*V673</f>
        <v>#DIV/0!</v>
      </c>
    </row>
    <row r="674" spans="12:24" x14ac:dyDescent="0.3">
      <c r="L674"/>
      <c r="M674"/>
      <c r="N674"/>
      <c r="O674"/>
      <c r="P674" s="213"/>
      <c r="Q674" s="221" t="e">
        <f>(V673+U672/2)*$Q$12</f>
        <v>#DIV/0!</v>
      </c>
      <c r="R674" s="221"/>
      <c r="S674" s="221" t="e">
        <f>R673+Q674/2</f>
        <v>#DIV/0!</v>
      </c>
      <c r="T674" s="221"/>
      <c r="U674" s="221" t="e">
        <f>-$Q$13*(S674+T673*((V673+U672/2)^2))</f>
        <v>#DIV/0!</v>
      </c>
      <c r="V674" s="221"/>
      <c r="W674" s="221" t="e">
        <f>V673+U674/2</f>
        <v>#DIV/0!</v>
      </c>
      <c r="X674" s="213"/>
    </row>
    <row r="675" spans="12:24" x14ac:dyDescent="0.3">
      <c r="L675"/>
      <c r="M675"/>
      <c r="N675"/>
      <c r="O675"/>
      <c r="P675" s="220">
        <f>P673+$Q$6</f>
        <v>0</v>
      </c>
      <c r="Q675" s="221"/>
      <c r="R675" s="221" t="e">
        <f>IF(R673+Q674&lt;0,(R673+Q674)*0.8,R673+Q674)</f>
        <v>#DIV/0!</v>
      </c>
      <c r="S675" s="221"/>
      <c r="T675" s="221" t="e">
        <f>T673*(X675/X673)^2</f>
        <v>#DIV/0!</v>
      </c>
      <c r="U675" s="221"/>
      <c r="V675" s="221" t="e">
        <f>IF(AND(ABS(V673+U674)&gt;$B$5*0.8,(V673+U674)&lt;0),-$B$5*0.5,IF(AND(ABS(V673+U674)&gt;$B$5*0.8,(V673+U674)&gt;0),$B$5*0.5,V673+U674))</f>
        <v>#DIV/0!</v>
      </c>
      <c r="W675" s="221"/>
      <c r="X675" s="223" t="e">
        <f>$B$7*V675</f>
        <v>#DIV/0!</v>
      </c>
    </row>
    <row r="676" spans="12:24" x14ac:dyDescent="0.3">
      <c r="L676"/>
      <c r="M676"/>
      <c r="N676"/>
      <c r="O676"/>
      <c r="P676" s="213"/>
      <c r="Q676" s="221" t="e">
        <f>(V675+U674/2)*$Q$12</f>
        <v>#DIV/0!</v>
      </c>
      <c r="R676" s="221"/>
      <c r="S676" s="221" t="e">
        <f>R675+Q676/2</f>
        <v>#DIV/0!</v>
      </c>
      <c r="T676" s="221"/>
      <c r="U676" s="221" t="e">
        <f>-$Q$13*(S676+T675*((V675+U674/2)^2))</f>
        <v>#DIV/0!</v>
      </c>
      <c r="V676" s="221"/>
      <c r="W676" s="221" t="e">
        <f>V675+U676/2</f>
        <v>#DIV/0!</v>
      </c>
      <c r="X676" s="213"/>
    </row>
    <row r="677" spans="12:24" x14ac:dyDescent="0.3">
      <c r="L677"/>
      <c r="M677"/>
      <c r="N677"/>
      <c r="O677"/>
      <c r="P677" s="220">
        <f>P675+$Q$6</f>
        <v>0</v>
      </c>
      <c r="Q677" s="221"/>
      <c r="R677" s="221" t="e">
        <f>IF(R675+Q676&lt;0,(R675+Q676)*0.8,R675+Q676)</f>
        <v>#DIV/0!</v>
      </c>
      <c r="S677" s="221"/>
      <c r="T677" s="221" t="e">
        <f>T675*(X677/X675)^2</f>
        <v>#DIV/0!</v>
      </c>
      <c r="U677" s="221"/>
      <c r="V677" s="221" t="e">
        <f>IF(AND(ABS(V675+U676)&gt;$B$5*0.8,(V675+U676)&lt;0),-$B$5*0.5,IF(AND(ABS(V675+U676)&gt;$B$5*0.8,(V675+U676)&gt;0),$B$5*0.5,V675+U676))</f>
        <v>#DIV/0!</v>
      </c>
      <c r="W677" s="221"/>
      <c r="X677" s="223" t="e">
        <f>$B$7*V677</f>
        <v>#DIV/0!</v>
      </c>
    </row>
    <row r="678" spans="12:24" x14ac:dyDescent="0.3">
      <c r="L678"/>
      <c r="M678"/>
      <c r="N678"/>
      <c r="O678"/>
      <c r="P678" s="213"/>
      <c r="Q678" s="221" t="e">
        <f>(V677+U676/2)*$Q$12</f>
        <v>#DIV/0!</v>
      </c>
      <c r="R678" s="221"/>
      <c r="S678" s="221" t="e">
        <f>R677+Q678/2</f>
        <v>#DIV/0!</v>
      </c>
      <c r="T678" s="221"/>
      <c r="U678" s="221" t="e">
        <f>-$Q$13*(S678+T677*((V677+U676/2)^2))</f>
        <v>#DIV/0!</v>
      </c>
      <c r="V678" s="221"/>
      <c r="W678" s="221" t="e">
        <f>V677+U678/2</f>
        <v>#DIV/0!</v>
      </c>
      <c r="X678" s="213"/>
    </row>
    <row r="679" spans="12:24" x14ac:dyDescent="0.3">
      <c r="L679"/>
      <c r="M679"/>
      <c r="N679"/>
      <c r="O679"/>
      <c r="P679" s="220">
        <f>P677+$Q$6</f>
        <v>0</v>
      </c>
      <c r="Q679" s="221"/>
      <c r="R679" s="221" t="e">
        <f>IF(R677+Q678&lt;0,(R677+Q678)*0.8,R677+Q678)</f>
        <v>#DIV/0!</v>
      </c>
      <c r="S679" s="221"/>
      <c r="T679" s="221" t="e">
        <f>T677*(X679/X677)^2</f>
        <v>#DIV/0!</v>
      </c>
      <c r="U679" s="221"/>
      <c r="V679" s="221" t="e">
        <f>IF(AND(ABS(V677+U678)&gt;$B$5*0.8,(V677+U678)&lt;0),-$B$5*0.5,IF(AND(ABS(V677+U678)&gt;$B$5*0.8,(V677+U678)&gt;0),$B$5*0.5,V677+U678))</f>
        <v>#DIV/0!</v>
      </c>
      <c r="W679" s="221"/>
      <c r="X679" s="223" t="e">
        <f>$B$7*V679</f>
        <v>#DIV/0!</v>
      </c>
    </row>
    <row r="680" spans="12:24" x14ac:dyDescent="0.3">
      <c r="L680"/>
      <c r="M680"/>
      <c r="N680"/>
      <c r="O680"/>
      <c r="P680" s="213"/>
      <c r="Q680" s="221" t="e">
        <f>(V679+U678/2)*$Q$12</f>
        <v>#DIV/0!</v>
      </c>
      <c r="R680" s="221"/>
      <c r="S680" s="221" t="e">
        <f>R679+Q680/2</f>
        <v>#DIV/0!</v>
      </c>
      <c r="T680" s="221"/>
      <c r="U680" s="221" t="e">
        <f>-$Q$13*(S680+T679*((V679+U678/2)^2))</f>
        <v>#DIV/0!</v>
      </c>
      <c r="V680" s="221"/>
      <c r="W680" s="221" t="e">
        <f>V679+U680/2</f>
        <v>#DIV/0!</v>
      </c>
      <c r="X680" s="213"/>
    </row>
    <row r="681" spans="12:24" x14ac:dyDescent="0.3">
      <c r="L681"/>
      <c r="M681"/>
      <c r="N681"/>
      <c r="O681"/>
      <c r="P681" s="220">
        <f>P679+$Q$6</f>
        <v>0</v>
      </c>
      <c r="Q681" s="221"/>
      <c r="R681" s="221" t="e">
        <f>IF(R679+Q680&lt;0,(R679+Q680)*0.8,R679+Q680)</f>
        <v>#DIV/0!</v>
      </c>
      <c r="S681" s="221"/>
      <c r="T681" s="221" t="e">
        <f>T679*(X681/X679)^2</f>
        <v>#DIV/0!</v>
      </c>
      <c r="U681" s="221"/>
      <c r="V681" s="221" t="e">
        <f>IF(AND(ABS(V679+U680)&gt;$B$5*0.8,(V679+U680)&lt;0),-$B$5*0.5,IF(AND(ABS(V679+U680)&gt;$B$5*0.8,(V679+U680)&gt;0),$B$5*0.5,V679+U680))</f>
        <v>#DIV/0!</v>
      </c>
      <c r="W681" s="221"/>
      <c r="X681" s="223" t="e">
        <f>$B$7*V681</f>
        <v>#DIV/0!</v>
      </c>
    </row>
    <row r="682" spans="12:24" x14ac:dyDescent="0.3">
      <c r="L682"/>
      <c r="M682"/>
      <c r="N682"/>
      <c r="O682"/>
      <c r="P682" s="213"/>
      <c r="Q682" s="221" t="e">
        <f>(V681+U680/2)*$Q$12</f>
        <v>#DIV/0!</v>
      </c>
      <c r="R682" s="221"/>
      <c r="S682" s="221" t="e">
        <f>R681+Q682/2</f>
        <v>#DIV/0!</v>
      </c>
      <c r="T682" s="221"/>
      <c r="U682" s="221" t="e">
        <f>-$Q$13*(S682+T681*((V681+U680/2)^2))</f>
        <v>#DIV/0!</v>
      </c>
      <c r="V682" s="221"/>
      <c r="W682" s="221" t="e">
        <f>V681+U682/2</f>
        <v>#DIV/0!</v>
      </c>
      <c r="X682" s="213"/>
    </row>
    <row r="683" spans="12:24" x14ac:dyDescent="0.3">
      <c r="L683"/>
      <c r="M683"/>
      <c r="N683"/>
      <c r="O683"/>
      <c r="P683" s="220">
        <f>P681+$Q$6</f>
        <v>0</v>
      </c>
      <c r="Q683" s="221"/>
      <c r="R683" s="221" t="e">
        <f>IF(R681+Q682&lt;0,(R681+Q682)*0.8,R681+Q682)</f>
        <v>#DIV/0!</v>
      </c>
      <c r="S683" s="221"/>
      <c r="T683" s="221" t="e">
        <f>T681*(X683/X681)^2</f>
        <v>#DIV/0!</v>
      </c>
      <c r="U683" s="221"/>
      <c r="V683" s="221" t="e">
        <f>IF(AND(ABS(V681+U682)&gt;$B$5*0.8,(V681+U682)&lt;0),-$B$5*0.5,IF(AND(ABS(V681+U682)&gt;$B$5*0.8,(V681+U682)&gt;0),$B$5*0.5,V681+U682))</f>
        <v>#DIV/0!</v>
      </c>
      <c r="W683" s="221"/>
      <c r="X683" s="223" t="e">
        <f>$B$7*V683</f>
        <v>#DIV/0!</v>
      </c>
    </row>
    <row r="684" spans="12:24" x14ac:dyDescent="0.3">
      <c r="L684"/>
      <c r="M684"/>
      <c r="N684"/>
      <c r="O684"/>
      <c r="P684" s="213"/>
      <c r="Q684" s="221" t="e">
        <f>(V683+U682/2)*$Q$12</f>
        <v>#DIV/0!</v>
      </c>
      <c r="R684" s="221"/>
      <c r="S684" s="221" t="e">
        <f>R683+Q684/2</f>
        <v>#DIV/0!</v>
      </c>
      <c r="T684" s="221"/>
      <c r="U684" s="221" t="e">
        <f>-$Q$13*(S684+T683*((V683+U682/2)^2))</f>
        <v>#DIV/0!</v>
      </c>
      <c r="V684" s="221"/>
      <c r="W684" s="221" t="e">
        <f>V683+U684/2</f>
        <v>#DIV/0!</v>
      </c>
      <c r="X684" s="213"/>
    </row>
    <row r="685" spans="12:24" x14ac:dyDescent="0.3">
      <c r="L685"/>
      <c r="M685"/>
      <c r="N685"/>
      <c r="O685"/>
      <c r="P685" s="220">
        <f>P683+$Q$6</f>
        <v>0</v>
      </c>
      <c r="Q685" s="221"/>
      <c r="R685" s="221" t="e">
        <f>IF(R683+Q684&lt;0,(R683+Q684)*0.8,R683+Q684)</f>
        <v>#DIV/0!</v>
      </c>
      <c r="S685" s="221"/>
      <c r="T685" s="221" t="e">
        <f>T683*(X685/X683)^2</f>
        <v>#DIV/0!</v>
      </c>
      <c r="U685" s="221"/>
      <c r="V685" s="221" t="e">
        <f>IF(AND(ABS(V683+U684)&gt;$B$5*0.8,(V683+U684)&lt;0),-$B$5*0.5,IF(AND(ABS(V683+U684)&gt;$B$5*0.8,(V683+U684)&gt;0),$B$5*0.5,V683+U684))</f>
        <v>#DIV/0!</v>
      </c>
      <c r="W685" s="221"/>
      <c r="X685" s="223" t="e">
        <f>$B$7*V685</f>
        <v>#DIV/0!</v>
      </c>
    </row>
    <row r="686" spans="12:24" x14ac:dyDescent="0.3">
      <c r="L686"/>
      <c r="M686"/>
      <c r="N686"/>
      <c r="O686"/>
      <c r="P686" s="213"/>
      <c r="Q686" s="221" t="e">
        <f>(V685+U684/2)*$Q$12</f>
        <v>#DIV/0!</v>
      </c>
      <c r="R686" s="221"/>
      <c r="S686" s="221" t="e">
        <f>R685+Q686/2</f>
        <v>#DIV/0!</v>
      </c>
      <c r="T686" s="221"/>
      <c r="U686" s="221" t="e">
        <f>-$Q$13*(S686+T685*((V685+U684/2)^2))</f>
        <v>#DIV/0!</v>
      </c>
      <c r="V686" s="221"/>
      <c r="W686" s="221" t="e">
        <f>V685+U686/2</f>
        <v>#DIV/0!</v>
      </c>
      <c r="X686" s="213"/>
    </row>
    <row r="687" spans="12:24" x14ac:dyDescent="0.3">
      <c r="L687"/>
      <c r="M687"/>
      <c r="N687"/>
      <c r="O687"/>
      <c r="P687" s="220">
        <f>P685+$Q$6</f>
        <v>0</v>
      </c>
      <c r="Q687" s="221"/>
      <c r="R687" s="221" t="e">
        <f>IF(R685+Q686&lt;0,(R685+Q686)*0.8,R685+Q686)</f>
        <v>#DIV/0!</v>
      </c>
      <c r="S687" s="221"/>
      <c r="T687" s="221" t="e">
        <f>T685*(X687/X685)^2</f>
        <v>#DIV/0!</v>
      </c>
      <c r="U687" s="221"/>
      <c r="V687" s="221" t="e">
        <f>IF(AND(ABS(V685+U686)&gt;$B$5*0.8,(V685+U686)&lt;0),-$B$5*0.5,IF(AND(ABS(V685+U686)&gt;$B$5*0.8,(V685+U686)&gt;0),$B$5*0.5,V685+U686))</f>
        <v>#DIV/0!</v>
      </c>
      <c r="W687" s="221"/>
      <c r="X687" s="223" t="e">
        <f>$B$7*V687</f>
        <v>#DIV/0!</v>
      </c>
    </row>
    <row r="688" spans="12:24" x14ac:dyDescent="0.3">
      <c r="L688"/>
      <c r="M688"/>
      <c r="N688"/>
      <c r="O688"/>
      <c r="P688" s="213"/>
      <c r="Q688" s="221" t="e">
        <f>(V687+U686/2)*$Q$12</f>
        <v>#DIV/0!</v>
      </c>
      <c r="R688" s="221"/>
      <c r="S688" s="221" t="e">
        <f>R687+Q688/2</f>
        <v>#DIV/0!</v>
      </c>
      <c r="T688" s="221"/>
      <c r="U688" s="221" t="e">
        <f>-$Q$13*(S688+T687*((V687+U686/2)^2))</f>
        <v>#DIV/0!</v>
      </c>
      <c r="V688" s="221"/>
      <c r="W688" s="221" t="e">
        <f>V687+U688/2</f>
        <v>#DIV/0!</v>
      </c>
      <c r="X688" s="213"/>
    </row>
    <row r="689" spans="12:24" x14ac:dyDescent="0.3">
      <c r="L689"/>
      <c r="M689"/>
      <c r="N689"/>
      <c r="O689"/>
      <c r="P689" s="220">
        <f>P687+$Q$6</f>
        <v>0</v>
      </c>
      <c r="Q689" s="221"/>
      <c r="R689" s="221" t="e">
        <f>IF(R687+Q688&lt;0,(R687+Q688)*0.8,R687+Q688)</f>
        <v>#DIV/0!</v>
      </c>
      <c r="S689" s="221"/>
      <c r="T689" s="221" t="e">
        <f>T687*(X689/X687)^2</f>
        <v>#DIV/0!</v>
      </c>
      <c r="U689" s="221"/>
      <c r="V689" s="221" t="e">
        <f>IF(AND(ABS(V687+U688)&gt;$B$5*0.8,(V687+U688)&lt;0),-$B$5*0.5,IF(AND(ABS(V687+U688)&gt;$B$5*0.8,(V687+U688)&gt;0),$B$5*0.5,V687+U688))</f>
        <v>#DIV/0!</v>
      </c>
      <c r="W689" s="221"/>
      <c r="X689" s="223" t="e">
        <f>$B$7*V689</f>
        <v>#DIV/0!</v>
      </c>
    </row>
    <row r="690" spans="12:24" x14ac:dyDescent="0.3">
      <c r="L690"/>
      <c r="M690"/>
      <c r="N690"/>
      <c r="O690"/>
      <c r="P690" s="213"/>
      <c r="Q690" s="221" t="e">
        <f>(V689+U688/2)*$Q$12</f>
        <v>#DIV/0!</v>
      </c>
      <c r="R690" s="221"/>
      <c r="S690" s="221" t="e">
        <f>R689+Q690/2</f>
        <v>#DIV/0!</v>
      </c>
      <c r="T690" s="221"/>
      <c r="U690" s="221" t="e">
        <f>-$Q$13*(S690+T689*((V689+U688/2)^2))</f>
        <v>#DIV/0!</v>
      </c>
      <c r="V690" s="221"/>
      <c r="W690" s="221" t="e">
        <f>V689+U690/2</f>
        <v>#DIV/0!</v>
      </c>
      <c r="X690" s="213"/>
    </row>
    <row r="691" spans="12:24" x14ac:dyDescent="0.3">
      <c r="L691"/>
      <c r="M691"/>
      <c r="N691"/>
      <c r="O691"/>
      <c r="P691" s="220">
        <f>P689+$Q$6</f>
        <v>0</v>
      </c>
      <c r="Q691" s="221"/>
      <c r="R691" s="221" t="e">
        <f>IF(R689+Q690&lt;0,(R689+Q690)*0.8,R689+Q690)</f>
        <v>#DIV/0!</v>
      </c>
      <c r="S691" s="221"/>
      <c r="T691" s="221" t="e">
        <f>T689*(X691/X689)^2</f>
        <v>#DIV/0!</v>
      </c>
      <c r="U691" s="221"/>
      <c r="V691" s="221" t="e">
        <f>IF(AND(ABS(V689+U690)&gt;$B$5*0.8,(V689+U690)&lt;0),-$B$5*0.5,IF(AND(ABS(V689+U690)&gt;$B$5*0.8,(V689+U690)&gt;0),$B$5*0.5,V689+U690))</f>
        <v>#DIV/0!</v>
      </c>
      <c r="W691" s="221"/>
      <c r="X691" s="223" t="e">
        <f>$B$7*V691</f>
        <v>#DIV/0!</v>
      </c>
    </row>
    <row r="692" spans="12:24" x14ac:dyDescent="0.3">
      <c r="L692"/>
      <c r="M692"/>
      <c r="N692"/>
      <c r="O692"/>
      <c r="P692" s="213"/>
      <c r="Q692" s="221" t="e">
        <f>(V691+U690/2)*$Q$12</f>
        <v>#DIV/0!</v>
      </c>
      <c r="R692" s="221"/>
      <c r="S692" s="221" t="e">
        <f>R691+Q692/2</f>
        <v>#DIV/0!</v>
      </c>
      <c r="T692" s="221"/>
      <c r="U692" s="221" t="e">
        <f>-$Q$13*(S692+T691*((V691+U690/2)^2))</f>
        <v>#DIV/0!</v>
      </c>
      <c r="V692" s="221"/>
      <c r="W692" s="221" t="e">
        <f>V691+U692/2</f>
        <v>#DIV/0!</v>
      </c>
      <c r="X692" s="213"/>
    </row>
    <row r="693" spans="12:24" x14ac:dyDescent="0.3">
      <c r="L693"/>
      <c r="M693"/>
      <c r="N693"/>
      <c r="O693"/>
    </row>
    <row r="694" spans="12:24" x14ac:dyDescent="0.3">
      <c r="M694"/>
      <c r="N694"/>
      <c r="O694"/>
    </row>
    <row r="695" spans="12:24" x14ac:dyDescent="0.3">
      <c r="M695"/>
      <c r="N695"/>
      <c r="O695"/>
    </row>
    <row r="696" spans="12:24" x14ac:dyDescent="0.3">
      <c r="M696"/>
      <c r="N696"/>
      <c r="O696"/>
    </row>
    <row r="697" spans="12:24" x14ac:dyDescent="0.3">
      <c r="M697"/>
      <c r="N697"/>
      <c r="O697"/>
    </row>
    <row r="698" spans="12:24" x14ac:dyDescent="0.3">
      <c r="M698"/>
      <c r="N698"/>
      <c r="O698"/>
    </row>
    <row r="699" spans="12:24" x14ac:dyDescent="0.3">
      <c r="M699"/>
      <c r="N699"/>
      <c r="O699"/>
    </row>
    <row r="700" spans="12:24" x14ac:dyDescent="0.3">
      <c r="M700"/>
      <c r="N700"/>
      <c r="O700"/>
    </row>
    <row r="701" spans="12:24" x14ac:dyDescent="0.3">
      <c r="M701"/>
      <c r="N701"/>
      <c r="O701"/>
    </row>
    <row r="702" spans="12:24" x14ac:dyDescent="0.3">
      <c r="M702"/>
      <c r="N702"/>
      <c r="O702"/>
    </row>
    <row r="703" spans="12:24" x14ac:dyDescent="0.3">
      <c r="M703"/>
      <c r="N703"/>
      <c r="O703"/>
    </row>
    <row r="704" spans="12:24" x14ac:dyDescent="0.3">
      <c r="M704"/>
      <c r="N704"/>
      <c r="O704"/>
    </row>
    <row r="705" spans="15:15" x14ac:dyDescent="0.3">
      <c r="O705"/>
    </row>
    <row r="706" spans="15:15" x14ac:dyDescent="0.3">
      <c r="O706"/>
    </row>
    <row r="707" spans="15:15" x14ac:dyDescent="0.3">
      <c r="O707"/>
    </row>
    <row r="708" spans="15:15" x14ac:dyDescent="0.3">
      <c r="O708"/>
    </row>
    <row r="709" spans="15:15" x14ac:dyDescent="0.3">
      <c r="O709"/>
    </row>
    <row r="710" spans="15:15" x14ac:dyDescent="0.3">
      <c r="O710"/>
    </row>
    <row r="711" spans="15:15" x14ac:dyDescent="0.3">
      <c r="O711"/>
    </row>
    <row r="712" spans="15:15" x14ac:dyDescent="0.3">
      <c r="O712"/>
    </row>
    <row r="713" spans="15:15" x14ac:dyDescent="0.3">
      <c r="O713"/>
    </row>
    <row r="714" spans="15:15" x14ac:dyDescent="0.3">
      <c r="O714"/>
    </row>
    <row r="715" spans="15:15" x14ac:dyDescent="0.3">
      <c r="O715"/>
    </row>
    <row r="716" spans="15:15" x14ac:dyDescent="0.3">
      <c r="O716"/>
    </row>
    <row r="717" spans="15:15" x14ac:dyDescent="0.3">
      <c r="O717"/>
    </row>
    <row r="718" spans="15:15" x14ac:dyDescent="0.3">
      <c r="O718"/>
    </row>
    <row r="719" spans="15:15" x14ac:dyDescent="0.3">
      <c r="O719"/>
    </row>
    <row r="720" spans="15:15" x14ac:dyDescent="0.3">
      <c r="O720"/>
    </row>
    <row r="721" spans="15:15" x14ac:dyDescent="0.3">
      <c r="O7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5601" r:id="rId4">
          <objectPr defaultSize="0" autoLine="0" autoPict="0" r:id="rId5">
            <anchor moveWithCells="1">
              <from>
                <xdr:col>3</xdr:col>
                <xdr:colOff>76200</xdr:colOff>
                <xdr:row>19</xdr:row>
                <xdr:rowOff>53340</xdr:rowOff>
              </from>
              <to>
                <xdr:col>7</xdr:col>
                <xdr:colOff>350520</xdr:colOff>
                <xdr:row>21</xdr:row>
                <xdr:rowOff>53340</xdr:rowOff>
              </to>
            </anchor>
          </objectPr>
        </oleObject>
      </mc:Choice>
      <mc:Fallback>
        <oleObject progId="Equation.2" shapeId="25601" r:id="rId4"/>
      </mc:Fallback>
    </mc:AlternateContent>
    <mc:AlternateContent xmlns:mc="http://schemas.openxmlformats.org/markup-compatibility/2006">
      <mc:Choice Requires="x14">
        <oleObject progId="Equation.2" shapeId="25602" r:id="rId6">
          <objectPr defaultSize="0" autoLine="0" autoPict="0" r:id="rId7">
            <anchor moveWithCells="1">
              <from>
                <xdr:col>3</xdr:col>
                <xdr:colOff>60960</xdr:colOff>
                <xdr:row>21</xdr:row>
                <xdr:rowOff>38100</xdr:rowOff>
              </from>
              <to>
                <xdr:col>5</xdr:col>
                <xdr:colOff>396240</xdr:colOff>
                <xdr:row>23</xdr:row>
                <xdr:rowOff>0</xdr:rowOff>
              </to>
            </anchor>
          </objectPr>
        </oleObject>
      </mc:Choice>
      <mc:Fallback>
        <oleObject progId="Equation.2" shapeId="25602" r:id="rId6"/>
      </mc:Fallback>
    </mc:AlternateContent>
    <mc:AlternateContent xmlns:mc="http://schemas.openxmlformats.org/markup-compatibility/2006">
      <mc:Choice Requires="x14">
        <oleObject progId="Equation.2" shapeId="25603" r:id="rId8">
          <objectPr defaultSize="0" autoLine="0" autoPict="0" r:id="rId9">
            <anchor moveWithCells="1">
              <from>
                <xdr:col>3</xdr:col>
                <xdr:colOff>152400</xdr:colOff>
                <xdr:row>22</xdr:row>
                <xdr:rowOff>190500</xdr:rowOff>
              </from>
              <to>
                <xdr:col>7</xdr:col>
                <xdr:colOff>30480</xdr:colOff>
                <xdr:row>24</xdr:row>
                <xdr:rowOff>99060</xdr:rowOff>
              </to>
            </anchor>
          </objectPr>
        </oleObject>
      </mc:Choice>
      <mc:Fallback>
        <oleObject progId="Equation.2" shapeId="25603" r:id="rId8"/>
      </mc:Fallback>
    </mc:AlternateContent>
    <mc:AlternateContent xmlns:mc="http://schemas.openxmlformats.org/markup-compatibility/2006">
      <mc:Choice Requires="x14">
        <oleObject progId="Equation.2" shapeId="25604" r:id="rId10">
          <objectPr defaultSize="0" autoLine="0" autoPict="0" r:id="rId11">
            <anchor moveWithCells="1">
              <from>
                <xdr:col>3</xdr:col>
                <xdr:colOff>167640</xdr:colOff>
                <xdr:row>24</xdr:row>
                <xdr:rowOff>68580</xdr:rowOff>
              </from>
              <to>
                <xdr:col>6</xdr:col>
                <xdr:colOff>807720</xdr:colOff>
                <xdr:row>25</xdr:row>
                <xdr:rowOff>68580</xdr:rowOff>
              </to>
            </anchor>
          </objectPr>
        </oleObject>
      </mc:Choice>
      <mc:Fallback>
        <oleObject progId="Equation.2" shapeId="25604" r:id="rId1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9C5A-E6A8-4EDA-8E2F-BD8103E6CA5F}">
  <dimension ref="A1:AE554"/>
  <sheetViews>
    <sheetView zoomScaleNormal="100" workbookViewId="0">
      <selection activeCell="D185" sqref="D185"/>
    </sheetView>
  </sheetViews>
  <sheetFormatPr defaultColWidth="11.44140625" defaultRowHeight="13.2" x14ac:dyDescent="0.3"/>
  <cols>
    <col min="1" max="1" width="12.6640625" style="284" customWidth="1"/>
    <col min="2" max="2" width="13.33203125" style="284" customWidth="1"/>
    <col min="3" max="4" width="11.88671875" style="284" customWidth="1"/>
    <col min="5" max="5" width="12.88671875" style="284" customWidth="1"/>
    <col min="6" max="6" width="12.44140625" style="284" customWidth="1"/>
    <col min="7" max="7" width="13.33203125" style="284" customWidth="1"/>
    <col min="8" max="8" width="13" style="284" customWidth="1"/>
    <col min="9" max="9" width="12.88671875" style="284" customWidth="1"/>
    <col min="10" max="10" width="15.6640625" style="284" customWidth="1"/>
    <col min="11" max="11" width="11.6640625" style="284" customWidth="1"/>
    <col min="12" max="13" width="6.6640625" style="290" customWidth="1"/>
    <col min="14" max="15" width="11.44140625" style="290"/>
    <col min="16" max="16" width="8.6640625" style="290" bestFit="1" customWidth="1"/>
    <col min="17" max="17" width="2.5546875" style="290" bestFit="1" customWidth="1"/>
    <col min="18" max="18" width="6.6640625" style="290" customWidth="1"/>
    <col min="19" max="19" width="15.33203125" style="290" bestFit="1" customWidth="1"/>
    <col min="20" max="20" width="8.6640625" style="290" bestFit="1" customWidth="1"/>
    <col min="21" max="21" width="2.5546875" style="290" bestFit="1" customWidth="1"/>
    <col min="22" max="22" width="6.6640625" style="290" customWidth="1"/>
    <col min="23" max="23" width="11.44140625" style="290"/>
    <col min="24" max="24" width="8.6640625" style="290" bestFit="1" customWidth="1"/>
    <col min="25" max="25" width="1.5546875" style="290" bestFit="1" customWidth="1"/>
    <col min="26" max="31" width="6.6640625" style="290" customWidth="1"/>
    <col min="32" max="256" width="11.44140625" style="290"/>
    <col min="257" max="257" width="12.6640625" style="290" customWidth="1"/>
    <col min="258" max="258" width="13.33203125" style="290" customWidth="1"/>
    <col min="259" max="260" width="11.88671875" style="290" customWidth="1"/>
    <col min="261" max="261" width="12.88671875" style="290" customWidth="1"/>
    <col min="262" max="262" width="12.44140625" style="290" customWidth="1"/>
    <col min="263" max="263" width="11.88671875" style="290" customWidth="1"/>
    <col min="264" max="264" width="13" style="290" customWidth="1"/>
    <col min="265" max="265" width="12.88671875" style="290" customWidth="1"/>
    <col min="266" max="266" width="15.6640625" style="290" customWidth="1"/>
    <col min="267" max="267" width="11.6640625" style="290" customWidth="1"/>
    <col min="268" max="512" width="11.44140625" style="290"/>
    <col min="513" max="513" width="12.6640625" style="290" customWidth="1"/>
    <col min="514" max="514" width="13.33203125" style="290" customWidth="1"/>
    <col min="515" max="516" width="11.88671875" style="290" customWidth="1"/>
    <col min="517" max="517" width="12.88671875" style="290" customWidth="1"/>
    <col min="518" max="518" width="12.44140625" style="290" customWidth="1"/>
    <col min="519" max="519" width="11.88671875" style="290" customWidth="1"/>
    <col min="520" max="520" width="13" style="290" customWidth="1"/>
    <col min="521" max="521" width="12.88671875" style="290" customWidth="1"/>
    <col min="522" max="522" width="15.6640625" style="290" customWidth="1"/>
    <col min="523" max="523" width="11.6640625" style="290" customWidth="1"/>
    <col min="524" max="768" width="11.44140625" style="290"/>
    <col min="769" max="769" width="12.6640625" style="290" customWidth="1"/>
    <col min="770" max="770" width="13.33203125" style="290" customWidth="1"/>
    <col min="771" max="772" width="11.88671875" style="290" customWidth="1"/>
    <col min="773" max="773" width="12.88671875" style="290" customWidth="1"/>
    <col min="774" max="774" width="12.44140625" style="290" customWidth="1"/>
    <col min="775" max="775" width="11.88671875" style="290" customWidth="1"/>
    <col min="776" max="776" width="13" style="290" customWidth="1"/>
    <col min="777" max="777" width="12.88671875" style="290" customWidth="1"/>
    <col min="778" max="778" width="15.6640625" style="290" customWidth="1"/>
    <col min="779" max="779" width="11.6640625" style="290" customWidth="1"/>
    <col min="780" max="1024" width="11.44140625" style="290"/>
    <col min="1025" max="1025" width="12.6640625" style="290" customWidth="1"/>
    <col min="1026" max="1026" width="13.33203125" style="290" customWidth="1"/>
    <col min="1027" max="1028" width="11.88671875" style="290" customWidth="1"/>
    <col min="1029" max="1029" width="12.88671875" style="290" customWidth="1"/>
    <col min="1030" max="1030" width="12.44140625" style="290" customWidth="1"/>
    <col min="1031" max="1031" width="11.88671875" style="290" customWidth="1"/>
    <col min="1032" max="1032" width="13" style="290" customWidth="1"/>
    <col min="1033" max="1033" width="12.88671875" style="290" customWidth="1"/>
    <col min="1034" max="1034" width="15.6640625" style="290" customWidth="1"/>
    <col min="1035" max="1035" width="11.6640625" style="290" customWidth="1"/>
    <col min="1036" max="1280" width="11.44140625" style="290"/>
    <col min="1281" max="1281" width="12.6640625" style="290" customWidth="1"/>
    <col min="1282" max="1282" width="13.33203125" style="290" customWidth="1"/>
    <col min="1283" max="1284" width="11.88671875" style="290" customWidth="1"/>
    <col min="1285" max="1285" width="12.88671875" style="290" customWidth="1"/>
    <col min="1286" max="1286" width="12.44140625" style="290" customWidth="1"/>
    <col min="1287" max="1287" width="11.88671875" style="290" customWidth="1"/>
    <col min="1288" max="1288" width="13" style="290" customWidth="1"/>
    <col min="1289" max="1289" width="12.88671875" style="290" customWidth="1"/>
    <col min="1290" max="1290" width="15.6640625" style="290" customWidth="1"/>
    <col min="1291" max="1291" width="11.6640625" style="290" customWidth="1"/>
    <col min="1292" max="1536" width="11.44140625" style="290"/>
    <col min="1537" max="1537" width="12.6640625" style="290" customWidth="1"/>
    <col min="1538" max="1538" width="13.33203125" style="290" customWidth="1"/>
    <col min="1539" max="1540" width="11.88671875" style="290" customWidth="1"/>
    <col min="1541" max="1541" width="12.88671875" style="290" customWidth="1"/>
    <col min="1542" max="1542" width="12.44140625" style="290" customWidth="1"/>
    <col min="1543" max="1543" width="11.88671875" style="290" customWidth="1"/>
    <col min="1544" max="1544" width="13" style="290" customWidth="1"/>
    <col min="1545" max="1545" width="12.88671875" style="290" customWidth="1"/>
    <col min="1546" max="1546" width="15.6640625" style="290" customWidth="1"/>
    <col min="1547" max="1547" width="11.6640625" style="290" customWidth="1"/>
    <col min="1548" max="1792" width="11.44140625" style="290"/>
    <col min="1793" max="1793" width="12.6640625" style="290" customWidth="1"/>
    <col min="1794" max="1794" width="13.33203125" style="290" customWidth="1"/>
    <col min="1795" max="1796" width="11.88671875" style="290" customWidth="1"/>
    <col min="1797" max="1797" width="12.88671875" style="290" customWidth="1"/>
    <col min="1798" max="1798" width="12.44140625" style="290" customWidth="1"/>
    <col min="1799" max="1799" width="11.88671875" style="290" customWidth="1"/>
    <col min="1800" max="1800" width="13" style="290" customWidth="1"/>
    <col min="1801" max="1801" width="12.88671875" style="290" customWidth="1"/>
    <col min="1802" max="1802" width="15.6640625" style="290" customWidth="1"/>
    <col min="1803" max="1803" width="11.6640625" style="290" customWidth="1"/>
    <col min="1804" max="2048" width="11.44140625" style="290"/>
    <col min="2049" max="2049" width="12.6640625" style="290" customWidth="1"/>
    <col min="2050" max="2050" width="13.33203125" style="290" customWidth="1"/>
    <col min="2051" max="2052" width="11.88671875" style="290" customWidth="1"/>
    <col min="2053" max="2053" width="12.88671875" style="290" customWidth="1"/>
    <col min="2054" max="2054" width="12.44140625" style="290" customWidth="1"/>
    <col min="2055" max="2055" width="11.88671875" style="290" customWidth="1"/>
    <col min="2056" max="2056" width="13" style="290" customWidth="1"/>
    <col min="2057" max="2057" width="12.88671875" style="290" customWidth="1"/>
    <col min="2058" max="2058" width="15.6640625" style="290" customWidth="1"/>
    <col min="2059" max="2059" width="11.6640625" style="290" customWidth="1"/>
    <col min="2060" max="2304" width="11.44140625" style="290"/>
    <col min="2305" max="2305" width="12.6640625" style="290" customWidth="1"/>
    <col min="2306" max="2306" width="13.33203125" style="290" customWidth="1"/>
    <col min="2307" max="2308" width="11.88671875" style="290" customWidth="1"/>
    <col min="2309" max="2309" width="12.88671875" style="290" customWidth="1"/>
    <col min="2310" max="2310" width="12.44140625" style="290" customWidth="1"/>
    <col min="2311" max="2311" width="11.88671875" style="290" customWidth="1"/>
    <col min="2312" max="2312" width="13" style="290" customWidth="1"/>
    <col min="2313" max="2313" width="12.88671875" style="290" customWidth="1"/>
    <col min="2314" max="2314" width="15.6640625" style="290" customWidth="1"/>
    <col min="2315" max="2315" width="11.6640625" style="290" customWidth="1"/>
    <col min="2316" max="2560" width="11.44140625" style="290"/>
    <col min="2561" max="2561" width="12.6640625" style="290" customWidth="1"/>
    <col min="2562" max="2562" width="13.33203125" style="290" customWidth="1"/>
    <col min="2563" max="2564" width="11.88671875" style="290" customWidth="1"/>
    <col min="2565" max="2565" width="12.88671875" style="290" customWidth="1"/>
    <col min="2566" max="2566" width="12.44140625" style="290" customWidth="1"/>
    <col min="2567" max="2567" width="11.88671875" style="290" customWidth="1"/>
    <col min="2568" max="2568" width="13" style="290" customWidth="1"/>
    <col min="2569" max="2569" width="12.88671875" style="290" customWidth="1"/>
    <col min="2570" max="2570" width="15.6640625" style="290" customWidth="1"/>
    <col min="2571" max="2571" width="11.6640625" style="290" customWidth="1"/>
    <col min="2572" max="2816" width="11.44140625" style="290"/>
    <col min="2817" max="2817" width="12.6640625" style="290" customWidth="1"/>
    <col min="2818" max="2818" width="13.33203125" style="290" customWidth="1"/>
    <col min="2819" max="2820" width="11.88671875" style="290" customWidth="1"/>
    <col min="2821" max="2821" width="12.88671875" style="290" customWidth="1"/>
    <col min="2822" max="2822" width="12.44140625" style="290" customWidth="1"/>
    <col min="2823" max="2823" width="11.88671875" style="290" customWidth="1"/>
    <col min="2824" max="2824" width="13" style="290" customWidth="1"/>
    <col min="2825" max="2825" width="12.88671875" style="290" customWidth="1"/>
    <col min="2826" max="2826" width="15.6640625" style="290" customWidth="1"/>
    <col min="2827" max="2827" width="11.6640625" style="290" customWidth="1"/>
    <col min="2828" max="3072" width="11.44140625" style="290"/>
    <col min="3073" max="3073" width="12.6640625" style="290" customWidth="1"/>
    <col min="3074" max="3074" width="13.33203125" style="290" customWidth="1"/>
    <col min="3075" max="3076" width="11.88671875" style="290" customWidth="1"/>
    <col min="3077" max="3077" width="12.88671875" style="290" customWidth="1"/>
    <col min="3078" max="3078" width="12.44140625" style="290" customWidth="1"/>
    <col min="3079" max="3079" width="11.88671875" style="290" customWidth="1"/>
    <col min="3080" max="3080" width="13" style="290" customWidth="1"/>
    <col min="3081" max="3081" width="12.88671875" style="290" customWidth="1"/>
    <col min="3082" max="3082" width="15.6640625" style="290" customWidth="1"/>
    <col min="3083" max="3083" width="11.6640625" style="290" customWidth="1"/>
    <col min="3084" max="3328" width="11.44140625" style="290"/>
    <col min="3329" max="3329" width="12.6640625" style="290" customWidth="1"/>
    <col min="3330" max="3330" width="13.33203125" style="290" customWidth="1"/>
    <col min="3331" max="3332" width="11.88671875" style="290" customWidth="1"/>
    <col min="3333" max="3333" width="12.88671875" style="290" customWidth="1"/>
    <col min="3334" max="3334" width="12.44140625" style="290" customWidth="1"/>
    <col min="3335" max="3335" width="11.88671875" style="290" customWidth="1"/>
    <col min="3336" max="3336" width="13" style="290" customWidth="1"/>
    <col min="3337" max="3337" width="12.88671875" style="290" customWidth="1"/>
    <col min="3338" max="3338" width="15.6640625" style="290" customWidth="1"/>
    <col min="3339" max="3339" width="11.6640625" style="290" customWidth="1"/>
    <col min="3340" max="3584" width="11.44140625" style="290"/>
    <col min="3585" max="3585" width="12.6640625" style="290" customWidth="1"/>
    <col min="3586" max="3586" width="13.33203125" style="290" customWidth="1"/>
    <col min="3587" max="3588" width="11.88671875" style="290" customWidth="1"/>
    <col min="3589" max="3589" width="12.88671875" style="290" customWidth="1"/>
    <col min="3590" max="3590" width="12.44140625" style="290" customWidth="1"/>
    <col min="3591" max="3591" width="11.88671875" style="290" customWidth="1"/>
    <col min="3592" max="3592" width="13" style="290" customWidth="1"/>
    <col min="3593" max="3593" width="12.88671875" style="290" customWidth="1"/>
    <col min="3594" max="3594" width="15.6640625" style="290" customWidth="1"/>
    <col min="3595" max="3595" width="11.6640625" style="290" customWidth="1"/>
    <col min="3596" max="3840" width="11.44140625" style="290"/>
    <col min="3841" max="3841" width="12.6640625" style="290" customWidth="1"/>
    <col min="3842" max="3842" width="13.33203125" style="290" customWidth="1"/>
    <col min="3843" max="3844" width="11.88671875" style="290" customWidth="1"/>
    <col min="3845" max="3845" width="12.88671875" style="290" customWidth="1"/>
    <col min="3846" max="3846" width="12.44140625" style="290" customWidth="1"/>
    <col min="3847" max="3847" width="11.88671875" style="290" customWidth="1"/>
    <col min="3848" max="3848" width="13" style="290" customWidth="1"/>
    <col min="3849" max="3849" width="12.88671875" style="290" customWidth="1"/>
    <col min="3850" max="3850" width="15.6640625" style="290" customWidth="1"/>
    <col min="3851" max="3851" width="11.6640625" style="290" customWidth="1"/>
    <col min="3852" max="4096" width="11.44140625" style="290"/>
    <col min="4097" max="4097" width="12.6640625" style="290" customWidth="1"/>
    <col min="4098" max="4098" width="13.33203125" style="290" customWidth="1"/>
    <col min="4099" max="4100" width="11.88671875" style="290" customWidth="1"/>
    <col min="4101" max="4101" width="12.88671875" style="290" customWidth="1"/>
    <col min="4102" max="4102" width="12.44140625" style="290" customWidth="1"/>
    <col min="4103" max="4103" width="11.88671875" style="290" customWidth="1"/>
    <col min="4104" max="4104" width="13" style="290" customWidth="1"/>
    <col min="4105" max="4105" width="12.88671875" style="290" customWidth="1"/>
    <col min="4106" max="4106" width="15.6640625" style="290" customWidth="1"/>
    <col min="4107" max="4107" width="11.6640625" style="290" customWidth="1"/>
    <col min="4108" max="4352" width="11.44140625" style="290"/>
    <col min="4353" max="4353" width="12.6640625" style="290" customWidth="1"/>
    <col min="4354" max="4354" width="13.33203125" style="290" customWidth="1"/>
    <col min="4355" max="4356" width="11.88671875" style="290" customWidth="1"/>
    <col min="4357" max="4357" width="12.88671875" style="290" customWidth="1"/>
    <col min="4358" max="4358" width="12.44140625" style="290" customWidth="1"/>
    <col min="4359" max="4359" width="11.88671875" style="290" customWidth="1"/>
    <col min="4360" max="4360" width="13" style="290" customWidth="1"/>
    <col min="4361" max="4361" width="12.88671875" style="290" customWidth="1"/>
    <col min="4362" max="4362" width="15.6640625" style="290" customWidth="1"/>
    <col min="4363" max="4363" width="11.6640625" style="290" customWidth="1"/>
    <col min="4364" max="4608" width="11.44140625" style="290"/>
    <col min="4609" max="4609" width="12.6640625" style="290" customWidth="1"/>
    <col min="4610" max="4610" width="13.33203125" style="290" customWidth="1"/>
    <col min="4611" max="4612" width="11.88671875" style="290" customWidth="1"/>
    <col min="4613" max="4613" width="12.88671875" style="290" customWidth="1"/>
    <col min="4614" max="4614" width="12.44140625" style="290" customWidth="1"/>
    <col min="4615" max="4615" width="11.88671875" style="290" customWidth="1"/>
    <col min="4616" max="4616" width="13" style="290" customWidth="1"/>
    <col min="4617" max="4617" width="12.88671875" style="290" customWidth="1"/>
    <col min="4618" max="4618" width="15.6640625" style="290" customWidth="1"/>
    <col min="4619" max="4619" width="11.6640625" style="290" customWidth="1"/>
    <col min="4620" max="4864" width="11.44140625" style="290"/>
    <col min="4865" max="4865" width="12.6640625" style="290" customWidth="1"/>
    <col min="4866" max="4866" width="13.33203125" style="290" customWidth="1"/>
    <col min="4867" max="4868" width="11.88671875" style="290" customWidth="1"/>
    <col min="4869" max="4869" width="12.88671875" style="290" customWidth="1"/>
    <col min="4870" max="4870" width="12.44140625" style="290" customWidth="1"/>
    <col min="4871" max="4871" width="11.88671875" style="290" customWidth="1"/>
    <col min="4872" max="4872" width="13" style="290" customWidth="1"/>
    <col min="4873" max="4873" width="12.88671875" style="290" customWidth="1"/>
    <col min="4874" max="4874" width="15.6640625" style="290" customWidth="1"/>
    <col min="4875" max="4875" width="11.6640625" style="290" customWidth="1"/>
    <col min="4876" max="5120" width="11.44140625" style="290"/>
    <col min="5121" max="5121" width="12.6640625" style="290" customWidth="1"/>
    <col min="5122" max="5122" width="13.33203125" style="290" customWidth="1"/>
    <col min="5123" max="5124" width="11.88671875" style="290" customWidth="1"/>
    <col min="5125" max="5125" width="12.88671875" style="290" customWidth="1"/>
    <col min="5126" max="5126" width="12.44140625" style="290" customWidth="1"/>
    <col min="5127" max="5127" width="11.88671875" style="290" customWidth="1"/>
    <col min="5128" max="5128" width="13" style="290" customWidth="1"/>
    <col min="5129" max="5129" width="12.88671875" style="290" customWidth="1"/>
    <col min="5130" max="5130" width="15.6640625" style="290" customWidth="1"/>
    <col min="5131" max="5131" width="11.6640625" style="290" customWidth="1"/>
    <col min="5132" max="5376" width="11.44140625" style="290"/>
    <col min="5377" max="5377" width="12.6640625" style="290" customWidth="1"/>
    <col min="5378" max="5378" width="13.33203125" style="290" customWidth="1"/>
    <col min="5379" max="5380" width="11.88671875" style="290" customWidth="1"/>
    <col min="5381" max="5381" width="12.88671875" style="290" customWidth="1"/>
    <col min="5382" max="5382" width="12.44140625" style="290" customWidth="1"/>
    <col min="5383" max="5383" width="11.88671875" style="290" customWidth="1"/>
    <col min="5384" max="5384" width="13" style="290" customWidth="1"/>
    <col min="5385" max="5385" width="12.88671875" style="290" customWidth="1"/>
    <col min="5386" max="5386" width="15.6640625" style="290" customWidth="1"/>
    <col min="5387" max="5387" width="11.6640625" style="290" customWidth="1"/>
    <col min="5388" max="5632" width="11.44140625" style="290"/>
    <col min="5633" max="5633" width="12.6640625" style="290" customWidth="1"/>
    <col min="5634" max="5634" width="13.33203125" style="290" customWidth="1"/>
    <col min="5635" max="5636" width="11.88671875" style="290" customWidth="1"/>
    <col min="5637" max="5637" width="12.88671875" style="290" customWidth="1"/>
    <col min="5638" max="5638" width="12.44140625" style="290" customWidth="1"/>
    <col min="5639" max="5639" width="11.88671875" style="290" customWidth="1"/>
    <col min="5640" max="5640" width="13" style="290" customWidth="1"/>
    <col min="5641" max="5641" width="12.88671875" style="290" customWidth="1"/>
    <col min="5642" max="5642" width="15.6640625" style="290" customWidth="1"/>
    <col min="5643" max="5643" width="11.6640625" style="290" customWidth="1"/>
    <col min="5644" max="5888" width="11.44140625" style="290"/>
    <col min="5889" max="5889" width="12.6640625" style="290" customWidth="1"/>
    <col min="5890" max="5890" width="13.33203125" style="290" customWidth="1"/>
    <col min="5891" max="5892" width="11.88671875" style="290" customWidth="1"/>
    <col min="5893" max="5893" width="12.88671875" style="290" customWidth="1"/>
    <col min="5894" max="5894" width="12.44140625" style="290" customWidth="1"/>
    <col min="5895" max="5895" width="11.88671875" style="290" customWidth="1"/>
    <col min="5896" max="5896" width="13" style="290" customWidth="1"/>
    <col min="5897" max="5897" width="12.88671875" style="290" customWidth="1"/>
    <col min="5898" max="5898" width="15.6640625" style="290" customWidth="1"/>
    <col min="5899" max="5899" width="11.6640625" style="290" customWidth="1"/>
    <col min="5900" max="6144" width="11.44140625" style="290"/>
    <col min="6145" max="6145" width="12.6640625" style="290" customWidth="1"/>
    <col min="6146" max="6146" width="13.33203125" style="290" customWidth="1"/>
    <col min="6147" max="6148" width="11.88671875" style="290" customWidth="1"/>
    <col min="6149" max="6149" width="12.88671875" style="290" customWidth="1"/>
    <col min="6150" max="6150" width="12.44140625" style="290" customWidth="1"/>
    <col min="6151" max="6151" width="11.88671875" style="290" customWidth="1"/>
    <col min="6152" max="6152" width="13" style="290" customWidth="1"/>
    <col min="6153" max="6153" width="12.88671875" style="290" customWidth="1"/>
    <col min="6154" max="6154" width="15.6640625" style="290" customWidth="1"/>
    <col min="6155" max="6155" width="11.6640625" style="290" customWidth="1"/>
    <col min="6156" max="6400" width="11.44140625" style="290"/>
    <col min="6401" max="6401" width="12.6640625" style="290" customWidth="1"/>
    <col min="6402" max="6402" width="13.33203125" style="290" customWidth="1"/>
    <col min="6403" max="6404" width="11.88671875" style="290" customWidth="1"/>
    <col min="6405" max="6405" width="12.88671875" style="290" customWidth="1"/>
    <col min="6406" max="6406" width="12.44140625" style="290" customWidth="1"/>
    <col min="6407" max="6407" width="11.88671875" style="290" customWidth="1"/>
    <col min="6408" max="6408" width="13" style="290" customWidth="1"/>
    <col min="6409" max="6409" width="12.88671875" style="290" customWidth="1"/>
    <col min="6410" max="6410" width="15.6640625" style="290" customWidth="1"/>
    <col min="6411" max="6411" width="11.6640625" style="290" customWidth="1"/>
    <col min="6412" max="6656" width="11.44140625" style="290"/>
    <col min="6657" max="6657" width="12.6640625" style="290" customWidth="1"/>
    <col min="6658" max="6658" width="13.33203125" style="290" customWidth="1"/>
    <col min="6659" max="6660" width="11.88671875" style="290" customWidth="1"/>
    <col min="6661" max="6661" width="12.88671875" style="290" customWidth="1"/>
    <col min="6662" max="6662" width="12.44140625" style="290" customWidth="1"/>
    <col min="6663" max="6663" width="11.88671875" style="290" customWidth="1"/>
    <col min="6664" max="6664" width="13" style="290" customWidth="1"/>
    <col min="6665" max="6665" width="12.88671875" style="290" customWidth="1"/>
    <col min="6666" max="6666" width="15.6640625" style="290" customWidth="1"/>
    <col min="6667" max="6667" width="11.6640625" style="290" customWidth="1"/>
    <col min="6668" max="6912" width="11.44140625" style="290"/>
    <col min="6913" max="6913" width="12.6640625" style="290" customWidth="1"/>
    <col min="6914" max="6914" width="13.33203125" style="290" customWidth="1"/>
    <col min="6915" max="6916" width="11.88671875" style="290" customWidth="1"/>
    <col min="6917" max="6917" width="12.88671875" style="290" customWidth="1"/>
    <col min="6918" max="6918" width="12.44140625" style="290" customWidth="1"/>
    <col min="6919" max="6919" width="11.88671875" style="290" customWidth="1"/>
    <col min="6920" max="6920" width="13" style="290" customWidth="1"/>
    <col min="6921" max="6921" width="12.88671875" style="290" customWidth="1"/>
    <col min="6922" max="6922" width="15.6640625" style="290" customWidth="1"/>
    <col min="6923" max="6923" width="11.6640625" style="290" customWidth="1"/>
    <col min="6924" max="7168" width="11.44140625" style="290"/>
    <col min="7169" max="7169" width="12.6640625" style="290" customWidth="1"/>
    <col min="7170" max="7170" width="13.33203125" style="290" customWidth="1"/>
    <col min="7171" max="7172" width="11.88671875" style="290" customWidth="1"/>
    <col min="7173" max="7173" width="12.88671875" style="290" customWidth="1"/>
    <col min="7174" max="7174" width="12.44140625" style="290" customWidth="1"/>
    <col min="7175" max="7175" width="11.88671875" style="290" customWidth="1"/>
    <col min="7176" max="7176" width="13" style="290" customWidth="1"/>
    <col min="7177" max="7177" width="12.88671875" style="290" customWidth="1"/>
    <col min="7178" max="7178" width="15.6640625" style="290" customWidth="1"/>
    <col min="7179" max="7179" width="11.6640625" style="290" customWidth="1"/>
    <col min="7180" max="7424" width="11.44140625" style="290"/>
    <col min="7425" max="7425" width="12.6640625" style="290" customWidth="1"/>
    <col min="7426" max="7426" width="13.33203125" style="290" customWidth="1"/>
    <col min="7427" max="7428" width="11.88671875" style="290" customWidth="1"/>
    <col min="7429" max="7429" width="12.88671875" style="290" customWidth="1"/>
    <col min="7430" max="7430" width="12.44140625" style="290" customWidth="1"/>
    <col min="7431" max="7431" width="11.88671875" style="290" customWidth="1"/>
    <col min="7432" max="7432" width="13" style="290" customWidth="1"/>
    <col min="7433" max="7433" width="12.88671875" style="290" customWidth="1"/>
    <col min="7434" max="7434" width="15.6640625" style="290" customWidth="1"/>
    <col min="7435" max="7435" width="11.6640625" style="290" customWidth="1"/>
    <col min="7436" max="7680" width="11.44140625" style="290"/>
    <col min="7681" max="7681" width="12.6640625" style="290" customWidth="1"/>
    <col min="7682" max="7682" width="13.33203125" style="290" customWidth="1"/>
    <col min="7683" max="7684" width="11.88671875" style="290" customWidth="1"/>
    <col min="7685" max="7685" width="12.88671875" style="290" customWidth="1"/>
    <col min="7686" max="7686" width="12.44140625" style="290" customWidth="1"/>
    <col min="7687" max="7687" width="11.88671875" style="290" customWidth="1"/>
    <col min="7688" max="7688" width="13" style="290" customWidth="1"/>
    <col min="7689" max="7689" width="12.88671875" style="290" customWidth="1"/>
    <col min="7690" max="7690" width="15.6640625" style="290" customWidth="1"/>
    <col min="7691" max="7691" width="11.6640625" style="290" customWidth="1"/>
    <col min="7692" max="7936" width="11.44140625" style="290"/>
    <col min="7937" max="7937" width="12.6640625" style="290" customWidth="1"/>
    <col min="7938" max="7938" width="13.33203125" style="290" customWidth="1"/>
    <col min="7939" max="7940" width="11.88671875" style="290" customWidth="1"/>
    <col min="7941" max="7941" width="12.88671875" style="290" customWidth="1"/>
    <col min="7942" max="7942" width="12.44140625" style="290" customWidth="1"/>
    <col min="7943" max="7943" width="11.88671875" style="290" customWidth="1"/>
    <col min="7944" max="7944" width="13" style="290" customWidth="1"/>
    <col min="7945" max="7945" width="12.88671875" style="290" customWidth="1"/>
    <col min="7946" max="7946" width="15.6640625" style="290" customWidth="1"/>
    <col min="7947" max="7947" width="11.6640625" style="290" customWidth="1"/>
    <col min="7948" max="8192" width="11.44140625" style="290"/>
    <col min="8193" max="8193" width="12.6640625" style="290" customWidth="1"/>
    <col min="8194" max="8194" width="13.33203125" style="290" customWidth="1"/>
    <col min="8195" max="8196" width="11.88671875" style="290" customWidth="1"/>
    <col min="8197" max="8197" width="12.88671875" style="290" customWidth="1"/>
    <col min="8198" max="8198" width="12.44140625" style="290" customWidth="1"/>
    <col min="8199" max="8199" width="11.88671875" style="290" customWidth="1"/>
    <col min="8200" max="8200" width="13" style="290" customWidth="1"/>
    <col min="8201" max="8201" width="12.88671875" style="290" customWidth="1"/>
    <col min="8202" max="8202" width="15.6640625" style="290" customWidth="1"/>
    <col min="8203" max="8203" width="11.6640625" style="290" customWidth="1"/>
    <col min="8204" max="8448" width="11.44140625" style="290"/>
    <col min="8449" max="8449" width="12.6640625" style="290" customWidth="1"/>
    <col min="8450" max="8450" width="13.33203125" style="290" customWidth="1"/>
    <col min="8451" max="8452" width="11.88671875" style="290" customWidth="1"/>
    <col min="8453" max="8453" width="12.88671875" style="290" customWidth="1"/>
    <col min="8454" max="8454" width="12.44140625" style="290" customWidth="1"/>
    <col min="8455" max="8455" width="11.88671875" style="290" customWidth="1"/>
    <col min="8456" max="8456" width="13" style="290" customWidth="1"/>
    <col min="8457" max="8457" width="12.88671875" style="290" customWidth="1"/>
    <col min="8458" max="8458" width="15.6640625" style="290" customWidth="1"/>
    <col min="8459" max="8459" width="11.6640625" style="290" customWidth="1"/>
    <col min="8460" max="8704" width="11.44140625" style="290"/>
    <col min="8705" max="8705" width="12.6640625" style="290" customWidth="1"/>
    <col min="8706" max="8706" width="13.33203125" style="290" customWidth="1"/>
    <col min="8707" max="8708" width="11.88671875" style="290" customWidth="1"/>
    <col min="8709" max="8709" width="12.88671875" style="290" customWidth="1"/>
    <col min="8710" max="8710" width="12.44140625" style="290" customWidth="1"/>
    <col min="8711" max="8711" width="11.88671875" style="290" customWidth="1"/>
    <col min="8712" max="8712" width="13" style="290" customWidth="1"/>
    <col min="8713" max="8713" width="12.88671875" style="290" customWidth="1"/>
    <col min="8714" max="8714" width="15.6640625" style="290" customWidth="1"/>
    <col min="8715" max="8715" width="11.6640625" style="290" customWidth="1"/>
    <col min="8716" max="8960" width="11.44140625" style="290"/>
    <col min="8961" max="8961" width="12.6640625" style="290" customWidth="1"/>
    <col min="8962" max="8962" width="13.33203125" style="290" customWidth="1"/>
    <col min="8963" max="8964" width="11.88671875" style="290" customWidth="1"/>
    <col min="8965" max="8965" width="12.88671875" style="290" customWidth="1"/>
    <col min="8966" max="8966" width="12.44140625" style="290" customWidth="1"/>
    <col min="8967" max="8967" width="11.88671875" style="290" customWidth="1"/>
    <col min="8968" max="8968" width="13" style="290" customWidth="1"/>
    <col min="8969" max="8969" width="12.88671875" style="290" customWidth="1"/>
    <col min="8970" max="8970" width="15.6640625" style="290" customWidth="1"/>
    <col min="8971" max="8971" width="11.6640625" style="290" customWidth="1"/>
    <col min="8972" max="9216" width="11.44140625" style="290"/>
    <col min="9217" max="9217" width="12.6640625" style="290" customWidth="1"/>
    <col min="9218" max="9218" width="13.33203125" style="290" customWidth="1"/>
    <col min="9219" max="9220" width="11.88671875" style="290" customWidth="1"/>
    <col min="9221" max="9221" width="12.88671875" style="290" customWidth="1"/>
    <col min="9222" max="9222" width="12.44140625" style="290" customWidth="1"/>
    <col min="9223" max="9223" width="11.88671875" style="290" customWidth="1"/>
    <col min="9224" max="9224" width="13" style="290" customWidth="1"/>
    <col min="9225" max="9225" width="12.88671875" style="290" customWidth="1"/>
    <col min="9226" max="9226" width="15.6640625" style="290" customWidth="1"/>
    <col min="9227" max="9227" width="11.6640625" style="290" customWidth="1"/>
    <col min="9228" max="9472" width="11.44140625" style="290"/>
    <col min="9473" max="9473" width="12.6640625" style="290" customWidth="1"/>
    <col min="9474" max="9474" width="13.33203125" style="290" customWidth="1"/>
    <col min="9475" max="9476" width="11.88671875" style="290" customWidth="1"/>
    <col min="9477" max="9477" width="12.88671875" style="290" customWidth="1"/>
    <col min="9478" max="9478" width="12.44140625" style="290" customWidth="1"/>
    <col min="9479" max="9479" width="11.88671875" style="290" customWidth="1"/>
    <col min="9480" max="9480" width="13" style="290" customWidth="1"/>
    <col min="9481" max="9481" width="12.88671875" style="290" customWidth="1"/>
    <col min="9482" max="9482" width="15.6640625" style="290" customWidth="1"/>
    <col min="9483" max="9483" width="11.6640625" style="290" customWidth="1"/>
    <col min="9484" max="9728" width="11.44140625" style="290"/>
    <col min="9729" max="9729" width="12.6640625" style="290" customWidth="1"/>
    <col min="9730" max="9730" width="13.33203125" style="290" customWidth="1"/>
    <col min="9731" max="9732" width="11.88671875" style="290" customWidth="1"/>
    <col min="9733" max="9733" width="12.88671875" style="290" customWidth="1"/>
    <col min="9734" max="9734" width="12.44140625" style="290" customWidth="1"/>
    <col min="9735" max="9735" width="11.88671875" style="290" customWidth="1"/>
    <col min="9736" max="9736" width="13" style="290" customWidth="1"/>
    <col min="9737" max="9737" width="12.88671875" style="290" customWidth="1"/>
    <col min="9738" max="9738" width="15.6640625" style="290" customWidth="1"/>
    <col min="9739" max="9739" width="11.6640625" style="290" customWidth="1"/>
    <col min="9740" max="9984" width="11.44140625" style="290"/>
    <col min="9985" max="9985" width="12.6640625" style="290" customWidth="1"/>
    <col min="9986" max="9986" width="13.33203125" style="290" customWidth="1"/>
    <col min="9987" max="9988" width="11.88671875" style="290" customWidth="1"/>
    <col min="9989" max="9989" width="12.88671875" style="290" customWidth="1"/>
    <col min="9990" max="9990" width="12.44140625" style="290" customWidth="1"/>
    <col min="9991" max="9991" width="11.88671875" style="290" customWidth="1"/>
    <col min="9992" max="9992" width="13" style="290" customWidth="1"/>
    <col min="9993" max="9993" width="12.88671875" style="290" customWidth="1"/>
    <col min="9994" max="9994" width="15.6640625" style="290" customWidth="1"/>
    <col min="9995" max="9995" width="11.6640625" style="290" customWidth="1"/>
    <col min="9996" max="10240" width="11.44140625" style="290"/>
    <col min="10241" max="10241" width="12.6640625" style="290" customWidth="1"/>
    <col min="10242" max="10242" width="13.33203125" style="290" customWidth="1"/>
    <col min="10243" max="10244" width="11.88671875" style="290" customWidth="1"/>
    <col min="10245" max="10245" width="12.88671875" style="290" customWidth="1"/>
    <col min="10246" max="10246" width="12.44140625" style="290" customWidth="1"/>
    <col min="10247" max="10247" width="11.88671875" style="290" customWidth="1"/>
    <col min="10248" max="10248" width="13" style="290" customWidth="1"/>
    <col min="10249" max="10249" width="12.88671875" style="290" customWidth="1"/>
    <col min="10250" max="10250" width="15.6640625" style="290" customWidth="1"/>
    <col min="10251" max="10251" width="11.6640625" style="290" customWidth="1"/>
    <col min="10252" max="10496" width="11.44140625" style="290"/>
    <col min="10497" max="10497" width="12.6640625" style="290" customWidth="1"/>
    <col min="10498" max="10498" width="13.33203125" style="290" customWidth="1"/>
    <col min="10499" max="10500" width="11.88671875" style="290" customWidth="1"/>
    <col min="10501" max="10501" width="12.88671875" style="290" customWidth="1"/>
    <col min="10502" max="10502" width="12.44140625" style="290" customWidth="1"/>
    <col min="10503" max="10503" width="11.88671875" style="290" customWidth="1"/>
    <col min="10504" max="10504" width="13" style="290" customWidth="1"/>
    <col min="10505" max="10505" width="12.88671875" style="290" customWidth="1"/>
    <col min="10506" max="10506" width="15.6640625" style="290" customWidth="1"/>
    <col min="10507" max="10507" width="11.6640625" style="290" customWidth="1"/>
    <col min="10508" max="10752" width="11.44140625" style="290"/>
    <col min="10753" max="10753" width="12.6640625" style="290" customWidth="1"/>
    <col min="10754" max="10754" width="13.33203125" style="290" customWidth="1"/>
    <col min="10755" max="10756" width="11.88671875" style="290" customWidth="1"/>
    <col min="10757" max="10757" width="12.88671875" style="290" customWidth="1"/>
    <col min="10758" max="10758" width="12.44140625" style="290" customWidth="1"/>
    <col min="10759" max="10759" width="11.88671875" style="290" customWidth="1"/>
    <col min="10760" max="10760" width="13" style="290" customWidth="1"/>
    <col min="10761" max="10761" width="12.88671875" style="290" customWidth="1"/>
    <col min="10762" max="10762" width="15.6640625" style="290" customWidth="1"/>
    <col min="10763" max="10763" width="11.6640625" style="290" customWidth="1"/>
    <col min="10764" max="11008" width="11.44140625" style="290"/>
    <col min="11009" max="11009" width="12.6640625" style="290" customWidth="1"/>
    <col min="11010" max="11010" width="13.33203125" style="290" customWidth="1"/>
    <col min="11011" max="11012" width="11.88671875" style="290" customWidth="1"/>
    <col min="11013" max="11013" width="12.88671875" style="290" customWidth="1"/>
    <col min="11014" max="11014" width="12.44140625" style="290" customWidth="1"/>
    <col min="11015" max="11015" width="11.88671875" style="290" customWidth="1"/>
    <col min="11016" max="11016" width="13" style="290" customWidth="1"/>
    <col min="11017" max="11017" width="12.88671875" style="290" customWidth="1"/>
    <col min="11018" max="11018" width="15.6640625" style="290" customWidth="1"/>
    <col min="11019" max="11019" width="11.6640625" style="290" customWidth="1"/>
    <col min="11020" max="11264" width="11.44140625" style="290"/>
    <col min="11265" max="11265" width="12.6640625" style="290" customWidth="1"/>
    <col min="11266" max="11266" width="13.33203125" style="290" customWidth="1"/>
    <col min="11267" max="11268" width="11.88671875" style="290" customWidth="1"/>
    <col min="11269" max="11269" width="12.88671875" style="290" customWidth="1"/>
    <col min="11270" max="11270" width="12.44140625" style="290" customWidth="1"/>
    <col min="11271" max="11271" width="11.88671875" style="290" customWidth="1"/>
    <col min="11272" max="11272" width="13" style="290" customWidth="1"/>
    <col min="11273" max="11273" width="12.88671875" style="290" customWidth="1"/>
    <col min="11274" max="11274" width="15.6640625" style="290" customWidth="1"/>
    <col min="11275" max="11275" width="11.6640625" style="290" customWidth="1"/>
    <col min="11276" max="11520" width="11.44140625" style="290"/>
    <col min="11521" max="11521" width="12.6640625" style="290" customWidth="1"/>
    <col min="11522" max="11522" width="13.33203125" style="290" customWidth="1"/>
    <col min="11523" max="11524" width="11.88671875" style="290" customWidth="1"/>
    <col min="11525" max="11525" width="12.88671875" style="290" customWidth="1"/>
    <col min="11526" max="11526" width="12.44140625" style="290" customWidth="1"/>
    <col min="11527" max="11527" width="11.88671875" style="290" customWidth="1"/>
    <col min="11528" max="11528" width="13" style="290" customWidth="1"/>
    <col min="11529" max="11529" width="12.88671875" style="290" customWidth="1"/>
    <col min="11530" max="11530" width="15.6640625" style="290" customWidth="1"/>
    <col min="11531" max="11531" width="11.6640625" style="290" customWidth="1"/>
    <col min="11532" max="11776" width="11.44140625" style="290"/>
    <col min="11777" max="11777" width="12.6640625" style="290" customWidth="1"/>
    <col min="11778" max="11778" width="13.33203125" style="290" customWidth="1"/>
    <col min="11779" max="11780" width="11.88671875" style="290" customWidth="1"/>
    <col min="11781" max="11781" width="12.88671875" style="290" customWidth="1"/>
    <col min="11782" max="11782" width="12.44140625" style="290" customWidth="1"/>
    <col min="11783" max="11783" width="11.88671875" style="290" customWidth="1"/>
    <col min="11784" max="11784" width="13" style="290" customWidth="1"/>
    <col min="11785" max="11785" width="12.88671875" style="290" customWidth="1"/>
    <col min="11786" max="11786" width="15.6640625" style="290" customWidth="1"/>
    <col min="11787" max="11787" width="11.6640625" style="290" customWidth="1"/>
    <col min="11788" max="12032" width="11.44140625" style="290"/>
    <col min="12033" max="12033" width="12.6640625" style="290" customWidth="1"/>
    <col min="12034" max="12034" width="13.33203125" style="290" customWidth="1"/>
    <col min="12035" max="12036" width="11.88671875" style="290" customWidth="1"/>
    <col min="12037" max="12037" width="12.88671875" style="290" customWidth="1"/>
    <col min="12038" max="12038" width="12.44140625" style="290" customWidth="1"/>
    <col min="12039" max="12039" width="11.88671875" style="290" customWidth="1"/>
    <col min="12040" max="12040" width="13" style="290" customWidth="1"/>
    <col min="12041" max="12041" width="12.88671875" style="290" customWidth="1"/>
    <col min="12042" max="12042" width="15.6640625" style="290" customWidth="1"/>
    <col min="12043" max="12043" width="11.6640625" style="290" customWidth="1"/>
    <col min="12044" max="12288" width="11.44140625" style="290"/>
    <col min="12289" max="12289" width="12.6640625" style="290" customWidth="1"/>
    <col min="12290" max="12290" width="13.33203125" style="290" customWidth="1"/>
    <col min="12291" max="12292" width="11.88671875" style="290" customWidth="1"/>
    <col min="12293" max="12293" width="12.88671875" style="290" customWidth="1"/>
    <col min="12294" max="12294" width="12.44140625" style="290" customWidth="1"/>
    <col min="12295" max="12295" width="11.88671875" style="290" customWidth="1"/>
    <col min="12296" max="12296" width="13" style="290" customWidth="1"/>
    <col min="12297" max="12297" width="12.88671875" style="290" customWidth="1"/>
    <col min="12298" max="12298" width="15.6640625" style="290" customWidth="1"/>
    <col min="12299" max="12299" width="11.6640625" style="290" customWidth="1"/>
    <col min="12300" max="12544" width="11.44140625" style="290"/>
    <col min="12545" max="12545" width="12.6640625" style="290" customWidth="1"/>
    <col min="12546" max="12546" width="13.33203125" style="290" customWidth="1"/>
    <col min="12547" max="12548" width="11.88671875" style="290" customWidth="1"/>
    <col min="12549" max="12549" width="12.88671875" style="290" customWidth="1"/>
    <col min="12550" max="12550" width="12.44140625" style="290" customWidth="1"/>
    <col min="12551" max="12551" width="11.88671875" style="290" customWidth="1"/>
    <col min="12552" max="12552" width="13" style="290" customWidth="1"/>
    <col min="12553" max="12553" width="12.88671875" style="290" customWidth="1"/>
    <col min="12554" max="12554" width="15.6640625" style="290" customWidth="1"/>
    <col min="12555" max="12555" width="11.6640625" style="290" customWidth="1"/>
    <col min="12556" max="12800" width="11.44140625" style="290"/>
    <col min="12801" max="12801" width="12.6640625" style="290" customWidth="1"/>
    <col min="12802" max="12802" width="13.33203125" style="290" customWidth="1"/>
    <col min="12803" max="12804" width="11.88671875" style="290" customWidth="1"/>
    <col min="12805" max="12805" width="12.88671875" style="290" customWidth="1"/>
    <col min="12806" max="12806" width="12.44140625" style="290" customWidth="1"/>
    <col min="12807" max="12807" width="11.88671875" style="290" customWidth="1"/>
    <col min="12808" max="12808" width="13" style="290" customWidth="1"/>
    <col min="12809" max="12809" width="12.88671875" style="290" customWidth="1"/>
    <col min="12810" max="12810" width="15.6640625" style="290" customWidth="1"/>
    <col min="12811" max="12811" width="11.6640625" style="290" customWidth="1"/>
    <col min="12812" max="13056" width="11.44140625" style="290"/>
    <col min="13057" max="13057" width="12.6640625" style="290" customWidth="1"/>
    <col min="13058" max="13058" width="13.33203125" style="290" customWidth="1"/>
    <col min="13059" max="13060" width="11.88671875" style="290" customWidth="1"/>
    <col min="13061" max="13061" width="12.88671875" style="290" customWidth="1"/>
    <col min="13062" max="13062" width="12.44140625" style="290" customWidth="1"/>
    <col min="13063" max="13063" width="11.88671875" style="290" customWidth="1"/>
    <col min="13064" max="13064" width="13" style="290" customWidth="1"/>
    <col min="13065" max="13065" width="12.88671875" style="290" customWidth="1"/>
    <col min="13066" max="13066" width="15.6640625" style="290" customWidth="1"/>
    <col min="13067" max="13067" width="11.6640625" style="290" customWidth="1"/>
    <col min="13068" max="13312" width="11.44140625" style="290"/>
    <col min="13313" max="13313" width="12.6640625" style="290" customWidth="1"/>
    <col min="13314" max="13314" width="13.33203125" style="290" customWidth="1"/>
    <col min="13315" max="13316" width="11.88671875" style="290" customWidth="1"/>
    <col min="13317" max="13317" width="12.88671875" style="290" customWidth="1"/>
    <col min="13318" max="13318" width="12.44140625" style="290" customWidth="1"/>
    <col min="13319" max="13319" width="11.88671875" style="290" customWidth="1"/>
    <col min="13320" max="13320" width="13" style="290" customWidth="1"/>
    <col min="13321" max="13321" width="12.88671875" style="290" customWidth="1"/>
    <col min="13322" max="13322" width="15.6640625" style="290" customWidth="1"/>
    <col min="13323" max="13323" width="11.6640625" style="290" customWidth="1"/>
    <col min="13324" max="13568" width="11.44140625" style="290"/>
    <col min="13569" max="13569" width="12.6640625" style="290" customWidth="1"/>
    <col min="13570" max="13570" width="13.33203125" style="290" customWidth="1"/>
    <col min="13571" max="13572" width="11.88671875" style="290" customWidth="1"/>
    <col min="13573" max="13573" width="12.88671875" style="290" customWidth="1"/>
    <col min="13574" max="13574" width="12.44140625" style="290" customWidth="1"/>
    <col min="13575" max="13575" width="11.88671875" style="290" customWidth="1"/>
    <col min="13576" max="13576" width="13" style="290" customWidth="1"/>
    <col min="13577" max="13577" width="12.88671875" style="290" customWidth="1"/>
    <col min="13578" max="13578" width="15.6640625" style="290" customWidth="1"/>
    <col min="13579" max="13579" width="11.6640625" style="290" customWidth="1"/>
    <col min="13580" max="13824" width="11.44140625" style="290"/>
    <col min="13825" max="13825" width="12.6640625" style="290" customWidth="1"/>
    <col min="13826" max="13826" width="13.33203125" style="290" customWidth="1"/>
    <col min="13827" max="13828" width="11.88671875" style="290" customWidth="1"/>
    <col min="13829" max="13829" width="12.88671875" style="290" customWidth="1"/>
    <col min="13830" max="13830" width="12.44140625" style="290" customWidth="1"/>
    <col min="13831" max="13831" width="11.88671875" style="290" customWidth="1"/>
    <col min="13832" max="13832" width="13" style="290" customWidth="1"/>
    <col min="13833" max="13833" width="12.88671875" style="290" customWidth="1"/>
    <col min="13834" max="13834" width="15.6640625" style="290" customWidth="1"/>
    <col min="13835" max="13835" width="11.6640625" style="290" customWidth="1"/>
    <col min="13836" max="14080" width="11.44140625" style="290"/>
    <col min="14081" max="14081" width="12.6640625" style="290" customWidth="1"/>
    <col min="14082" max="14082" width="13.33203125" style="290" customWidth="1"/>
    <col min="14083" max="14084" width="11.88671875" style="290" customWidth="1"/>
    <col min="14085" max="14085" width="12.88671875" style="290" customWidth="1"/>
    <col min="14086" max="14086" width="12.44140625" style="290" customWidth="1"/>
    <col min="14087" max="14087" width="11.88671875" style="290" customWidth="1"/>
    <col min="14088" max="14088" width="13" style="290" customWidth="1"/>
    <col min="14089" max="14089" width="12.88671875" style="290" customWidth="1"/>
    <col min="14090" max="14090" width="15.6640625" style="290" customWidth="1"/>
    <col min="14091" max="14091" width="11.6640625" style="290" customWidth="1"/>
    <col min="14092" max="14336" width="11.44140625" style="290"/>
    <col min="14337" max="14337" width="12.6640625" style="290" customWidth="1"/>
    <col min="14338" max="14338" width="13.33203125" style="290" customWidth="1"/>
    <col min="14339" max="14340" width="11.88671875" style="290" customWidth="1"/>
    <col min="14341" max="14341" width="12.88671875" style="290" customWidth="1"/>
    <col min="14342" max="14342" width="12.44140625" style="290" customWidth="1"/>
    <col min="14343" max="14343" width="11.88671875" style="290" customWidth="1"/>
    <col min="14344" max="14344" width="13" style="290" customWidth="1"/>
    <col min="14345" max="14345" width="12.88671875" style="290" customWidth="1"/>
    <col min="14346" max="14346" width="15.6640625" style="290" customWidth="1"/>
    <col min="14347" max="14347" width="11.6640625" style="290" customWidth="1"/>
    <col min="14348" max="14592" width="11.44140625" style="290"/>
    <col min="14593" max="14593" width="12.6640625" style="290" customWidth="1"/>
    <col min="14594" max="14594" width="13.33203125" style="290" customWidth="1"/>
    <col min="14595" max="14596" width="11.88671875" style="290" customWidth="1"/>
    <col min="14597" max="14597" width="12.88671875" style="290" customWidth="1"/>
    <col min="14598" max="14598" width="12.44140625" style="290" customWidth="1"/>
    <col min="14599" max="14599" width="11.88671875" style="290" customWidth="1"/>
    <col min="14600" max="14600" width="13" style="290" customWidth="1"/>
    <col min="14601" max="14601" width="12.88671875" style="290" customWidth="1"/>
    <col min="14602" max="14602" width="15.6640625" style="290" customWidth="1"/>
    <col min="14603" max="14603" width="11.6640625" style="290" customWidth="1"/>
    <col min="14604" max="14848" width="11.44140625" style="290"/>
    <col min="14849" max="14849" width="12.6640625" style="290" customWidth="1"/>
    <col min="14850" max="14850" width="13.33203125" style="290" customWidth="1"/>
    <col min="14851" max="14852" width="11.88671875" style="290" customWidth="1"/>
    <col min="14853" max="14853" width="12.88671875" style="290" customWidth="1"/>
    <col min="14854" max="14854" width="12.44140625" style="290" customWidth="1"/>
    <col min="14855" max="14855" width="11.88671875" style="290" customWidth="1"/>
    <col min="14856" max="14856" width="13" style="290" customWidth="1"/>
    <col min="14857" max="14857" width="12.88671875" style="290" customWidth="1"/>
    <col min="14858" max="14858" width="15.6640625" style="290" customWidth="1"/>
    <col min="14859" max="14859" width="11.6640625" style="290" customWidth="1"/>
    <col min="14860" max="15104" width="11.44140625" style="290"/>
    <col min="15105" max="15105" width="12.6640625" style="290" customWidth="1"/>
    <col min="15106" max="15106" width="13.33203125" style="290" customWidth="1"/>
    <col min="15107" max="15108" width="11.88671875" style="290" customWidth="1"/>
    <col min="15109" max="15109" width="12.88671875" style="290" customWidth="1"/>
    <col min="15110" max="15110" width="12.44140625" style="290" customWidth="1"/>
    <col min="15111" max="15111" width="11.88671875" style="290" customWidth="1"/>
    <col min="15112" max="15112" width="13" style="290" customWidth="1"/>
    <col min="15113" max="15113" width="12.88671875" style="290" customWidth="1"/>
    <col min="15114" max="15114" width="15.6640625" style="290" customWidth="1"/>
    <col min="15115" max="15115" width="11.6640625" style="290" customWidth="1"/>
    <col min="15116" max="15360" width="11.44140625" style="290"/>
    <col min="15361" max="15361" width="12.6640625" style="290" customWidth="1"/>
    <col min="15362" max="15362" width="13.33203125" style="290" customWidth="1"/>
    <col min="15363" max="15364" width="11.88671875" style="290" customWidth="1"/>
    <col min="15365" max="15365" width="12.88671875" style="290" customWidth="1"/>
    <col min="15366" max="15366" width="12.44140625" style="290" customWidth="1"/>
    <col min="15367" max="15367" width="11.88671875" style="290" customWidth="1"/>
    <col min="15368" max="15368" width="13" style="290" customWidth="1"/>
    <col min="15369" max="15369" width="12.88671875" style="290" customWidth="1"/>
    <col min="15370" max="15370" width="15.6640625" style="290" customWidth="1"/>
    <col min="15371" max="15371" width="11.6640625" style="290" customWidth="1"/>
    <col min="15372" max="15616" width="11.44140625" style="290"/>
    <col min="15617" max="15617" width="12.6640625" style="290" customWidth="1"/>
    <col min="15618" max="15618" width="13.33203125" style="290" customWidth="1"/>
    <col min="15619" max="15620" width="11.88671875" style="290" customWidth="1"/>
    <col min="15621" max="15621" width="12.88671875" style="290" customWidth="1"/>
    <col min="15622" max="15622" width="12.44140625" style="290" customWidth="1"/>
    <col min="15623" max="15623" width="11.88671875" style="290" customWidth="1"/>
    <col min="15624" max="15624" width="13" style="290" customWidth="1"/>
    <col min="15625" max="15625" width="12.88671875" style="290" customWidth="1"/>
    <col min="15626" max="15626" width="15.6640625" style="290" customWidth="1"/>
    <col min="15627" max="15627" width="11.6640625" style="290" customWidth="1"/>
    <col min="15628" max="15872" width="11.44140625" style="290"/>
    <col min="15873" max="15873" width="12.6640625" style="290" customWidth="1"/>
    <col min="15874" max="15874" width="13.33203125" style="290" customWidth="1"/>
    <col min="15875" max="15876" width="11.88671875" style="290" customWidth="1"/>
    <col min="15877" max="15877" width="12.88671875" style="290" customWidth="1"/>
    <col min="15878" max="15878" width="12.44140625" style="290" customWidth="1"/>
    <col min="15879" max="15879" width="11.88671875" style="290" customWidth="1"/>
    <col min="15880" max="15880" width="13" style="290" customWidth="1"/>
    <col min="15881" max="15881" width="12.88671875" style="290" customWidth="1"/>
    <col min="15882" max="15882" width="15.6640625" style="290" customWidth="1"/>
    <col min="15883" max="15883" width="11.6640625" style="290" customWidth="1"/>
    <col min="15884" max="16128" width="11.44140625" style="290"/>
    <col min="16129" max="16129" width="12.6640625" style="290" customWidth="1"/>
    <col min="16130" max="16130" width="13.33203125" style="290" customWidth="1"/>
    <col min="16131" max="16132" width="11.88671875" style="290" customWidth="1"/>
    <col min="16133" max="16133" width="12.88671875" style="290" customWidth="1"/>
    <col min="16134" max="16134" width="12.44140625" style="290" customWidth="1"/>
    <col min="16135" max="16135" width="11.88671875" style="290" customWidth="1"/>
    <col min="16136" max="16136" width="13" style="290" customWidth="1"/>
    <col min="16137" max="16137" width="12.88671875" style="290" customWidth="1"/>
    <col min="16138" max="16138" width="15.6640625" style="290" customWidth="1"/>
    <col min="16139" max="16139" width="11.6640625" style="290" customWidth="1"/>
    <col min="16140" max="16384" width="11.44140625" style="290"/>
  </cols>
  <sheetData>
    <row r="1" spans="1:12" s="267" customFormat="1" ht="15" customHeight="1" x14ac:dyDescent="0.25">
      <c r="A1" s="261"/>
      <c r="B1" s="262"/>
      <c r="C1" s="263" t="s">
        <v>815</v>
      </c>
      <c r="D1" s="264"/>
      <c r="E1" s="512" t="s">
        <v>816</v>
      </c>
      <c r="F1" s="513"/>
      <c r="G1" s="513"/>
      <c r="H1" s="514"/>
      <c r="I1" s="265"/>
      <c r="J1" s="262"/>
      <c r="K1" s="266"/>
    </row>
    <row r="2" spans="1:12" s="267" customFormat="1" ht="32.25" customHeight="1" x14ac:dyDescent="0.25">
      <c r="A2" s="268"/>
      <c r="B2" s="269"/>
      <c r="C2" s="270"/>
      <c r="D2" s="271"/>
      <c r="E2" s="515"/>
      <c r="F2" s="516"/>
      <c r="G2" s="516"/>
      <c r="H2" s="517"/>
      <c r="I2" s="272"/>
      <c r="J2" s="273"/>
      <c r="K2" s="274"/>
    </row>
    <row r="3" spans="1:12" s="267" customFormat="1" ht="15" customHeight="1" x14ac:dyDescent="0.25">
      <c r="A3" s="518" t="s">
        <v>817</v>
      </c>
      <c r="B3" s="519"/>
      <c r="C3" s="519"/>
      <c r="D3" s="520"/>
      <c r="E3" s="275" t="s">
        <v>818</v>
      </c>
      <c r="F3" s="276" t="s">
        <v>819</v>
      </c>
      <c r="G3" s="468"/>
      <c r="H3" s="277"/>
      <c r="I3" s="278" t="s">
        <v>820</v>
      </c>
      <c r="J3" s="521">
        <v>2007</v>
      </c>
      <c r="K3" s="522"/>
    </row>
    <row r="4" spans="1:12" s="267" customFormat="1" x14ac:dyDescent="0.25">
      <c r="A4" s="279"/>
      <c r="B4" s="280"/>
      <c r="C4" s="280"/>
      <c r="D4" s="280"/>
      <c r="E4" s="280"/>
      <c r="F4" s="280"/>
      <c r="G4" s="284"/>
      <c r="H4" s="283"/>
      <c r="I4" s="281"/>
      <c r="J4" s="282"/>
      <c r="K4" s="282"/>
    </row>
    <row r="5" spans="1:12" s="267" customFormat="1" x14ac:dyDescent="0.25">
      <c r="A5" s="283"/>
      <c r="B5" s="284"/>
      <c r="C5" s="284"/>
      <c r="D5" s="284"/>
      <c r="E5" s="284"/>
      <c r="F5" s="284"/>
      <c r="G5" s="284"/>
      <c r="H5" s="283"/>
      <c r="I5" s="285"/>
      <c r="J5" s="286"/>
      <c r="K5" s="286"/>
    </row>
    <row r="6" spans="1:12" s="267" customFormat="1" x14ac:dyDescent="0.25">
      <c r="A6" s="283"/>
      <c r="B6" s="284"/>
      <c r="C6" s="284"/>
      <c r="D6" s="284"/>
      <c r="E6" s="284"/>
      <c r="F6" s="284"/>
      <c r="G6" s="284"/>
      <c r="H6" s="283"/>
      <c r="I6" s="285"/>
      <c r="J6" s="286"/>
      <c r="K6" s="286"/>
    </row>
    <row r="7" spans="1:12" s="289" customFormat="1" ht="15" customHeight="1" x14ac:dyDescent="0.25">
      <c r="A7" s="287"/>
      <c r="B7" s="288"/>
      <c r="C7" s="288"/>
      <c r="D7" s="288"/>
      <c r="E7" s="288"/>
      <c r="F7" s="288"/>
      <c r="G7" s="284"/>
      <c r="H7" s="283"/>
      <c r="I7" s="287"/>
      <c r="J7" s="287"/>
      <c r="K7" s="287"/>
    </row>
    <row r="8" spans="1:12" ht="15" customHeight="1" x14ac:dyDescent="0.3">
      <c r="H8" s="283"/>
    </row>
    <row r="9" spans="1:12" ht="15" customHeight="1" x14ac:dyDescent="0.3">
      <c r="A9" s="291" t="s">
        <v>821</v>
      </c>
    </row>
    <row r="10" spans="1:12" ht="15" customHeight="1" x14ac:dyDescent="0.3">
      <c r="B10" s="284" t="s">
        <v>822</v>
      </c>
    </row>
    <row r="11" spans="1:12" ht="15" customHeight="1" x14ac:dyDescent="0.3">
      <c r="A11" s="467"/>
      <c r="B11" s="284" t="s">
        <v>823</v>
      </c>
      <c r="C11" s="292">
        <f>iohsrp2!B4</f>
        <v>1200</v>
      </c>
      <c r="D11" s="284" t="s">
        <v>2</v>
      </c>
      <c r="E11" s="284" t="s">
        <v>824</v>
      </c>
      <c r="L11" s="5" t="s">
        <v>123</v>
      </c>
    </row>
    <row r="12" spans="1:12" ht="15" customHeight="1" x14ac:dyDescent="0.35">
      <c r="B12" s="293" t="s">
        <v>825</v>
      </c>
      <c r="C12" s="294">
        <v>0</v>
      </c>
      <c r="D12" s="284" t="s">
        <v>826</v>
      </c>
      <c r="E12" s="284" t="s">
        <v>827</v>
      </c>
      <c r="L12" s="5" t="s">
        <v>828</v>
      </c>
    </row>
    <row r="13" spans="1:12" ht="15" customHeight="1" x14ac:dyDescent="0.3">
      <c r="A13" s="467"/>
      <c r="B13" s="284" t="s">
        <v>829</v>
      </c>
      <c r="C13" s="292">
        <f>iohsrp2!B26</f>
        <v>2120</v>
      </c>
      <c r="E13" s="284" t="s">
        <v>830</v>
      </c>
      <c r="L13" s="5" t="s">
        <v>123</v>
      </c>
    </row>
    <row r="14" spans="1:12" ht="15" customHeight="1" x14ac:dyDescent="0.3">
      <c r="A14" s="467"/>
      <c r="B14" s="284" t="s">
        <v>831</v>
      </c>
      <c r="C14" s="292">
        <f>(iohsrp2!B26+iohsrp2!B27)/2</f>
        <v>2100</v>
      </c>
      <c r="E14" s="284" t="s">
        <v>832</v>
      </c>
      <c r="L14" s="5" t="s">
        <v>1167</v>
      </c>
    </row>
    <row r="15" spans="1:12" ht="15" customHeight="1" x14ac:dyDescent="0.3">
      <c r="A15" s="467"/>
      <c r="B15" s="284" t="s">
        <v>833</v>
      </c>
      <c r="C15" s="292">
        <f>(iohsrp2!B37+iohsrp2!B38)/2</f>
        <v>600</v>
      </c>
      <c r="E15" s="284" t="s">
        <v>834</v>
      </c>
      <c r="L15" s="5" t="s">
        <v>1168</v>
      </c>
    </row>
    <row r="16" spans="1:12" ht="15" customHeight="1" x14ac:dyDescent="0.3">
      <c r="A16" s="467"/>
      <c r="B16" s="284" t="s">
        <v>835</v>
      </c>
      <c r="C16" s="296">
        <f>iohsrp2!B5*100</f>
        <v>5</v>
      </c>
      <c r="D16" s="284" t="s">
        <v>836</v>
      </c>
      <c r="E16" s="284" t="s">
        <v>837</v>
      </c>
      <c r="L16" s="5" t="s">
        <v>123</v>
      </c>
    </row>
    <row r="17" spans="1:12" ht="15" customHeight="1" x14ac:dyDescent="0.3">
      <c r="B17" s="284" t="s">
        <v>838</v>
      </c>
      <c r="C17" s="292">
        <v>0.9</v>
      </c>
      <c r="E17" s="297" t="s">
        <v>839</v>
      </c>
      <c r="L17" s="5" t="s">
        <v>828</v>
      </c>
    </row>
    <row r="18" spans="1:12" ht="15" customHeight="1" x14ac:dyDescent="0.3">
      <c r="A18" s="290"/>
      <c r="B18" s="298" t="s">
        <v>840</v>
      </c>
      <c r="C18" s="296">
        <v>0.89</v>
      </c>
      <c r="E18" s="284" t="s">
        <v>841</v>
      </c>
      <c r="G18" s="290"/>
      <c r="L18" s="5" t="s">
        <v>842</v>
      </c>
    </row>
    <row r="19" spans="1:12" ht="15" customHeight="1" x14ac:dyDescent="0.3">
      <c r="A19" s="290"/>
      <c r="B19" s="298" t="s">
        <v>843</v>
      </c>
      <c r="C19" s="296">
        <v>0.95</v>
      </c>
      <c r="E19" s="284" t="s">
        <v>844</v>
      </c>
      <c r="F19" s="290"/>
      <c r="L19" s="5" t="s">
        <v>842</v>
      </c>
    </row>
    <row r="20" spans="1:12" ht="15" customHeight="1" x14ac:dyDescent="0.3">
      <c r="A20" s="467"/>
      <c r="B20" s="299" t="s">
        <v>845</v>
      </c>
      <c r="C20" s="300">
        <f>iohsrp2!B19</f>
        <v>50</v>
      </c>
      <c r="D20" s="284" t="s">
        <v>846</v>
      </c>
      <c r="E20" s="284" t="s">
        <v>847</v>
      </c>
      <c r="L20" s="5" t="s">
        <v>123</v>
      </c>
    </row>
    <row r="21" spans="1:12" ht="15" customHeight="1" x14ac:dyDescent="0.3">
      <c r="B21" s="299" t="s">
        <v>848</v>
      </c>
      <c r="C21" s="301">
        <f>IF(hsrp2pwh!G147=1,6,0)</f>
        <v>6</v>
      </c>
      <c r="D21" s="284" t="s">
        <v>1</v>
      </c>
      <c r="E21" s="299" t="s">
        <v>849</v>
      </c>
      <c r="L21" s="5" t="s">
        <v>850</v>
      </c>
    </row>
    <row r="22" spans="1:12" ht="15" customHeight="1" x14ac:dyDescent="0.3">
      <c r="B22" s="299" t="s">
        <v>851</v>
      </c>
      <c r="C22" s="301">
        <f>IF(hsrp2pwh!G147=1,2*(2+(D197+D199)/8),0)</f>
        <v>6.5550760872689118</v>
      </c>
      <c r="D22" s="284" t="s">
        <v>1</v>
      </c>
      <c r="E22" s="299" t="s">
        <v>852</v>
      </c>
      <c r="L22" s="5"/>
    </row>
    <row r="23" spans="1:12" ht="15" customHeight="1" x14ac:dyDescent="0.3">
      <c r="B23" s="284" t="s">
        <v>853</v>
      </c>
      <c r="L23" s="5"/>
    </row>
    <row r="24" spans="1:12" ht="15" customHeight="1" x14ac:dyDescent="0.25">
      <c r="B24" s="284" t="s">
        <v>854</v>
      </c>
      <c r="C24" s="296"/>
      <c r="D24" s="284" t="s">
        <v>1</v>
      </c>
      <c r="E24" s="284" t="s">
        <v>855</v>
      </c>
      <c r="L24" s="295"/>
    </row>
    <row r="25" spans="1:12" ht="15" customHeight="1" x14ac:dyDescent="0.25">
      <c r="B25" s="284" t="s">
        <v>856</v>
      </c>
      <c r="C25" s="300"/>
      <c r="D25" s="284" t="s">
        <v>37</v>
      </c>
      <c r="E25" s="302" t="s">
        <v>857</v>
      </c>
      <c r="L25" s="295"/>
    </row>
    <row r="26" spans="1:12" ht="15" customHeight="1" x14ac:dyDescent="0.3">
      <c r="B26" s="284" t="s">
        <v>858</v>
      </c>
      <c r="C26" s="300"/>
      <c r="D26" s="284" t="s">
        <v>37</v>
      </c>
      <c r="E26" s="302" t="s">
        <v>859</v>
      </c>
    </row>
    <row r="27" spans="1:12" ht="15" customHeight="1" x14ac:dyDescent="0.35">
      <c r="B27" s="303" t="s">
        <v>860</v>
      </c>
      <c r="C27" s="300"/>
      <c r="D27" s="284" t="s">
        <v>38</v>
      </c>
      <c r="E27" s="302" t="s">
        <v>861</v>
      </c>
    </row>
    <row r="28" spans="1:12" ht="15" customHeight="1" x14ac:dyDescent="0.25">
      <c r="B28" s="290"/>
      <c r="C28" s="290"/>
      <c r="D28" s="75"/>
      <c r="E28" s="290"/>
    </row>
    <row r="29" spans="1:12" ht="15" customHeight="1" x14ac:dyDescent="0.3">
      <c r="B29" s="290" t="s">
        <v>862</v>
      </c>
      <c r="C29" s="304">
        <f>J542</f>
        <v>2072424.6277490878</v>
      </c>
      <c r="E29" s="284" t="s">
        <v>863</v>
      </c>
    </row>
    <row r="30" spans="1:12" ht="15" customHeight="1" x14ac:dyDescent="0.3">
      <c r="A30" s="467"/>
      <c r="B30" s="284" t="s">
        <v>864</v>
      </c>
      <c r="C30" s="300">
        <v>2</v>
      </c>
      <c r="E30" s="295" t="s">
        <v>865</v>
      </c>
      <c r="L30" s="5" t="s">
        <v>828</v>
      </c>
    </row>
    <row r="31" spans="1:12" ht="15" customHeight="1" x14ac:dyDescent="0.3">
      <c r="A31" s="467"/>
      <c r="B31" s="284" t="s">
        <v>866</v>
      </c>
      <c r="C31" s="296">
        <f>iohsrp2!B37</f>
        <v>620</v>
      </c>
      <c r="E31" s="284" t="s">
        <v>867</v>
      </c>
      <c r="L31" s="5" t="s">
        <v>1166</v>
      </c>
    </row>
    <row r="32" spans="1:12" ht="15" customHeight="1" x14ac:dyDescent="0.3">
      <c r="B32" s="284" t="s">
        <v>868</v>
      </c>
    </row>
    <row r="33" spans="1:19" ht="15" customHeight="1" x14ac:dyDescent="0.3">
      <c r="B33" s="284" t="s">
        <v>869</v>
      </c>
      <c r="C33" s="296"/>
      <c r="E33" s="284" t="s">
        <v>870</v>
      </c>
    </row>
    <row r="34" spans="1:19" ht="15" customHeight="1" x14ac:dyDescent="0.3">
      <c r="B34" s="284" t="s">
        <v>871</v>
      </c>
      <c r="C34" s="296"/>
      <c r="D34" s="284" t="s">
        <v>1</v>
      </c>
      <c r="E34" s="284" t="s">
        <v>872</v>
      </c>
    </row>
    <row r="35" spans="1:19" ht="15" customHeight="1" x14ac:dyDescent="0.3">
      <c r="B35" s="284" t="s">
        <v>873</v>
      </c>
      <c r="C35" s="300"/>
      <c r="D35" s="284" t="s">
        <v>37</v>
      </c>
      <c r="E35" s="284" t="s">
        <v>874</v>
      </c>
    </row>
    <row r="36" spans="1:19" ht="15" customHeight="1" x14ac:dyDescent="0.3"/>
    <row r="37" spans="1:19" ht="15" customHeight="1" x14ac:dyDescent="0.25">
      <c r="B37" s="305" t="s">
        <v>875</v>
      </c>
      <c r="C37" s="306"/>
      <c r="D37" s="306"/>
      <c r="E37" s="306"/>
    </row>
    <row r="38" spans="1:19" ht="15" customHeight="1" x14ac:dyDescent="0.25">
      <c r="B38" s="293" t="str">
        <f>IF(C12&lt;E90,"Potencia da unidade geradora maior que a maxima recomendada. Foi aumentado o número de unidades",IF(G100&lt;H91,"Potencia da unidade geradora menor que a minima recomendada. Foi diminuido o número de unidades"," "))</f>
        <v>Potencia da unidade geradora maior que a maxima recomendada. Foi aumentado o número de unidades</v>
      </c>
      <c r="C38" s="306"/>
      <c r="D38" s="306"/>
      <c r="E38" s="306"/>
    </row>
    <row r="39" spans="1:19" ht="15" customHeight="1" x14ac:dyDescent="0.25">
      <c r="B39" s="293"/>
      <c r="C39" s="306"/>
      <c r="D39" s="306"/>
      <c r="E39" s="306"/>
    </row>
    <row r="40" spans="1:19" ht="15" customHeight="1" x14ac:dyDescent="0.3">
      <c r="A40" s="291" t="s">
        <v>876</v>
      </c>
    </row>
    <row r="41" spans="1:19" ht="15" customHeight="1" x14ac:dyDescent="0.3"/>
    <row r="42" spans="1:19" ht="15" customHeight="1" x14ac:dyDescent="0.3">
      <c r="A42" s="307" t="s">
        <v>877</v>
      </c>
      <c r="B42" s="284" t="s">
        <v>878</v>
      </c>
      <c r="D42" s="308"/>
      <c r="F42" s="309"/>
      <c r="G42" s="309"/>
      <c r="H42" s="309"/>
      <c r="I42" s="309"/>
      <c r="J42" s="527" t="s">
        <v>443</v>
      </c>
      <c r="K42" s="528"/>
      <c r="L42" s="528"/>
      <c r="M42" s="529"/>
    </row>
    <row r="43" spans="1:19" ht="15" customHeight="1" x14ac:dyDescent="0.3">
      <c r="A43" s="307"/>
      <c r="D43" s="308"/>
      <c r="F43" s="309"/>
      <c r="G43" s="309"/>
      <c r="H43" s="309"/>
      <c r="I43" s="309"/>
      <c r="J43" s="170"/>
      <c r="K43" s="290"/>
    </row>
    <row r="44" spans="1:19" ht="15" customHeight="1" x14ac:dyDescent="0.35">
      <c r="A44" s="467"/>
      <c r="B44" s="284" t="s">
        <v>879</v>
      </c>
      <c r="D44" s="291">
        <f>$C$13-iohsrp2!B38</f>
        <v>1540</v>
      </c>
      <c r="E44" s="291" t="s">
        <v>1</v>
      </c>
      <c r="F44" s="5" t="s">
        <v>1169</v>
      </c>
      <c r="G44" s="309"/>
      <c r="H44" s="299"/>
      <c r="I44" s="291"/>
      <c r="J44" s="523" t="s">
        <v>724</v>
      </c>
      <c r="K44" s="524"/>
      <c r="L44" s="524"/>
      <c r="M44" s="525"/>
      <c r="N44" s="185">
        <f>AVERAGE(N45:N46)</f>
        <v>1575</v>
      </c>
      <c r="R44" s="526" t="s">
        <v>773</v>
      </c>
      <c r="S44" s="184" t="s">
        <v>668</v>
      </c>
    </row>
    <row r="45" spans="1:19" ht="15" customHeight="1" x14ac:dyDescent="0.35">
      <c r="A45" s="307"/>
      <c r="D45" s="299"/>
      <c r="E45" s="291"/>
      <c r="F45" s="291"/>
      <c r="G45" s="309"/>
      <c r="H45" s="299"/>
      <c r="I45" s="291"/>
      <c r="J45" s="523" t="s">
        <v>725</v>
      </c>
      <c r="K45" s="524"/>
      <c r="L45" s="524"/>
      <c r="M45" s="525"/>
      <c r="N45" s="185">
        <f>(iohsrp2!B27-iohsrp2!B37)*(1+iohsrp2!B6)</f>
        <v>1533</v>
      </c>
      <c r="R45" s="526"/>
      <c r="S45" s="260" t="s">
        <v>774</v>
      </c>
    </row>
    <row r="46" spans="1:19" ht="15" customHeight="1" x14ac:dyDescent="0.35">
      <c r="A46" s="307" t="s">
        <v>880</v>
      </c>
      <c r="B46" s="284" t="s">
        <v>881</v>
      </c>
      <c r="D46" s="308"/>
      <c r="F46" s="309"/>
      <c r="G46" s="309"/>
      <c r="H46" s="299"/>
      <c r="I46" s="291"/>
      <c r="J46" s="523" t="s">
        <v>726</v>
      </c>
      <c r="K46" s="524"/>
      <c r="L46" s="524"/>
      <c r="M46" s="525"/>
      <c r="N46" s="185">
        <f>(iohsrp2!B26-iohsrp2!B38)*(1+iohsrp2!B6)</f>
        <v>1617</v>
      </c>
      <c r="R46" s="184">
        <v>0</v>
      </c>
      <c r="S46" s="184">
        <v>0.85</v>
      </c>
    </row>
    <row r="47" spans="1:19" ht="15" customHeight="1" x14ac:dyDescent="0.3">
      <c r="A47" s="307"/>
      <c r="D47" s="308"/>
      <c r="F47" s="309"/>
      <c r="G47" s="309"/>
      <c r="H47" s="299"/>
      <c r="I47" s="291"/>
      <c r="J47" s="478" t="s">
        <v>1180</v>
      </c>
      <c r="K47" s="479"/>
      <c r="L47" s="479"/>
      <c r="M47" s="480"/>
      <c r="N47" s="185">
        <f>LOOKUP(D61,R46:S49)</f>
        <v>0.9</v>
      </c>
      <c r="R47" s="184">
        <v>50</v>
      </c>
      <c r="S47" s="184">
        <v>0.86</v>
      </c>
    </row>
    <row r="48" spans="1:19" ht="15" customHeight="1" x14ac:dyDescent="0.3">
      <c r="A48" s="307"/>
      <c r="B48" s="284" t="s">
        <v>882</v>
      </c>
      <c r="D48" s="291">
        <f>$C$14-$C$15</f>
        <v>1500</v>
      </c>
      <c r="E48" s="291" t="s">
        <v>1</v>
      </c>
      <c r="F48" s="306"/>
      <c r="G48" s="309"/>
      <c r="H48" s="299"/>
      <c r="I48" s="291"/>
      <c r="J48" s="478" t="s">
        <v>1181</v>
      </c>
      <c r="K48" s="479"/>
      <c r="L48" s="479"/>
      <c r="M48" s="480"/>
      <c r="N48" s="185">
        <v>0.98</v>
      </c>
      <c r="R48" s="184">
        <v>100</v>
      </c>
      <c r="S48" s="184">
        <v>0.88</v>
      </c>
    </row>
    <row r="49" spans="1:19" ht="15" customHeight="1" x14ac:dyDescent="0.3">
      <c r="A49" s="307"/>
      <c r="D49" s="299"/>
      <c r="E49" s="291"/>
      <c r="F49" s="291"/>
      <c r="G49" s="309"/>
      <c r="H49" s="299"/>
      <c r="I49" s="290"/>
      <c r="J49" s="290"/>
      <c r="K49" s="290"/>
      <c r="R49" s="184">
        <v>300</v>
      </c>
      <c r="S49" s="185">
        <v>0.9</v>
      </c>
    </row>
    <row r="50" spans="1:19" ht="15" customHeight="1" x14ac:dyDescent="0.3">
      <c r="A50" s="307" t="s">
        <v>883</v>
      </c>
      <c r="B50" s="299" t="s">
        <v>884</v>
      </c>
      <c r="C50" s="307"/>
      <c r="E50" s="283"/>
      <c r="F50" s="309"/>
      <c r="G50" s="309"/>
      <c r="H50" s="309"/>
      <c r="I50" s="309"/>
      <c r="J50" s="481" t="s">
        <v>444</v>
      </c>
      <c r="K50" s="482"/>
      <c r="L50" s="482"/>
      <c r="M50" s="483"/>
    </row>
    <row r="51" spans="1:19" ht="15" customHeight="1" x14ac:dyDescent="0.3">
      <c r="A51" s="307"/>
      <c r="B51" s="299"/>
      <c r="C51" s="307"/>
      <c r="E51" s="283"/>
      <c r="F51" s="309"/>
      <c r="G51" s="309"/>
      <c r="H51" s="309"/>
      <c r="I51" s="309"/>
      <c r="J51" s="309"/>
      <c r="K51" s="309"/>
      <c r="L51" s="309"/>
      <c r="M51" s="309"/>
    </row>
    <row r="52" spans="1:19" ht="15" customHeight="1" x14ac:dyDescent="0.35">
      <c r="A52" s="307"/>
      <c r="B52" s="283"/>
      <c r="C52" s="290"/>
      <c r="D52" s="310">
        <f>ROUND($C$16*$D$44/100,2)</f>
        <v>77</v>
      </c>
      <c r="E52" s="291" t="s">
        <v>1</v>
      </c>
      <c r="F52" s="290"/>
      <c r="G52" s="290"/>
      <c r="H52" s="309"/>
      <c r="I52" s="311"/>
      <c r="J52" s="523" t="s">
        <v>727</v>
      </c>
      <c r="K52" s="524"/>
      <c r="L52" s="524"/>
      <c r="M52" s="525"/>
      <c r="N52" s="186">
        <f>iohsrp2!B4*iohsrp2!B7/iohsrp2!B8/G100*1000</f>
        <v>106666.66666666667</v>
      </c>
    </row>
    <row r="53" spans="1:19" ht="15" customHeight="1" x14ac:dyDescent="0.35">
      <c r="A53" s="307"/>
      <c r="B53" s="283"/>
      <c r="C53" s="307"/>
      <c r="E53" s="310"/>
      <c r="F53" s="291"/>
      <c r="G53" s="290"/>
      <c r="H53" s="309"/>
      <c r="I53" s="311"/>
      <c r="J53" s="523" t="s">
        <v>736</v>
      </c>
      <c r="K53" s="524"/>
      <c r="L53" s="524"/>
      <c r="M53" s="525"/>
      <c r="N53" s="186">
        <f>(N52)/(9.81*N44*N47*N48)</f>
        <v>7.8272746497358794</v>
      </c>
    </row>
    <row r="54" spans="1:19" ht="15" customHeight="1" x14ac:dyDescent="0.35">
      <c r="A54" s="307"/>
      <c r="B54" s="283"/>
      <c r="C54" s="307"/>
      <c r="E54" s="310"/>
      <c r="F54" s="291"/>
      <c r="G54" s="290"/>
      <c r="H54" s="309"/>
      <c r="I54" s="311"/>
      <c r="J54" s="523" t="s">
        <v>728</v>
      </c>
      <c r="K54" s="524"/>
      <c r="L54" s="524"/>
      <c r="M54" s="525"/>
      <c r="N54" s="484">
        <f>N52/(iohsrp2!B4*1000/hsrp2pwh!G100)</f>
        <v>0.88888888888888895</v>
      </c>
    </row>
    <row r="55" spans="1:19" ht="15" customHeight="1" x14ac:dyDescent="0.3">
      <c r="A55" s="312" t="s">
        <v>885</v>
      </c>
      <c r="B55" s="284" t="s">
        <v>886</v>
      </c>
      <c r="E55" s="309"/>
      <c r="F55" s="309"/>
      <c r="G55" s="309"/>
      <c r="H55" s="309"/>
      <c r="I55" s="309"/>
    </row>
    <row r="56" spans="1:19" ht="15" customHeight="1" x14ac:dyDescent="0.3">
      <c r="A56" s="312"/>
      <c r="E56" s="309"/>
      <c r="F56" s="309"/>
      <c r="G56" s="309"/>
      <c r="H56" s="309"/>
      <c r="I56" s="309"/>
    </row>
    <row r="57" spans="1:19" ht="15" customHeight="1" x14ac:dyDescent="0.3">
      <c r="A57" s="312"/>
      <c r="B57" s="284" t="s">
        <v>887</v>
      </c>
      <c r="D57" s="291">
        <f>$D$44-$D$52</f>
        <v>1463</v>
      </c>
      <c r="E57" s="291" t="s">
        <v>1</v>
      </c>
      <c r="F57" s="290"/>
      <c r="G57" s="290"/>
      <c r="H57" s="309"/>
      <c r="I57" s="283"/>
    </row>
    <row r="58" spans="1:19" ht="15" customHeight="1" x14ac:dyDescent="0.3">
      <c r="A58" s="312"/>
      <c r="D58" s="291"/>
      <c r="E58" s="291"/>
      <c r="F58" s="290"/>
      <c r="G58" s="290"/>
      <c r="H58" s="309"/>
      <c r="I58" s="283"/>
    </row>
    <row r="59" spans="1:19" ht="15" customHeight="1" x14ac:dyDescent="0.3">
      <c r="A59" s="312" t="s">
        <v>888</v>
      </c>
      <c r="B59" s="284" t="s">
        <v>889</v>
      </c>
      <c r="E59" s="309"/>
      <c r="F59" s="309"/>
      <c r="G59" s="309"/>
      <c r="H59" s="309"/>
      <c r="I59" s="309"/>
    </row>
    <row r="60" spans="1:19" ht="15" customHeight="1" x14ac:dyDescent="0.3">
      <c r="A60" s="312"/>
      <c r="E60" s="309"/>
      <c r="F60" s="309"/>
      <c r="G60" s="309"/>
      <c r="H60" s="309"/>
      <c r="I60" s="309"/>
      <c r="J60" s="309"/>
      <c r="K60" s="309"/>
    </row>
    <row r="61" spans="1:19" ht="15" customHeight="1" x14ac:dyDescent="0.3">
      <c r="A61" s="307"/>
      <c r="B61" s="284" t="s">
        <v>890</v>
      </c>
      <c r="D61" s="291">
        <f>$D$48-$D$52</f>
        <v>1423</v>
      </c>
      <c r="E61" s="291" t="s">
        <v>1</v>
      </c>
      <c r="F61" s="290"/>
      <c r="G61" s="290"/>
      <c r="H61" s="309"/>
      <c r="J61" s="291"/>
    </row>
    <row r="62" spans="1:19" ht="15" customHeight="1" x14ac:dyDescent="0.3">
      <c r="A62" s="307"/>
      <c r="D62" s="291"/>
      <c r="E62" s="291"/>
      <c r="F62" s="290"/>
      <c r="G62" s="290"/>
      <c r="H62" s="309"/>
      <c r="J62" s="291"/>
    </row>
    <row r="63" spans="1:19" ht="15" customHeight="1" x14ac:dyDescent="0.3">
      <c r="A63" s="307"/>
      <c r="D63" s="291"/>
      <c r="E63" s="291"/>
      <c r="F63" s="290"/>
      <c r="G63" s="290"/>
      <c r="H63" s="309"/>
      <c r="J63" s="291"/>
    </row>
    <row r="64" spans="1:19" ht="15" customHeight="1" x14ac:dyDescent="0.3">
      <c r="A64" s="291" t="s">
        <v>891</v>
      </c>
      <c r="D64" s="291"/>
      <c r="E64" s="291"/>
      <c r="F64" s="290"/>
      <c r="G64" s="290"/>
      <c r="H64" s="309"/>
      <c r="J64" s="291"/>
    </row>
    <row r="65" spans="1:10" ht="15" customHeight="1" x14ac:dyDescent="0.3">
      <c r="A65" s="307"/>
      <c r="D65" s="291"/>
      <c r="E65" s="291"/>
      <c r="F65" s="290"/>
      <c r="G65" s="290"/>
      <c r="H65" s="309"/>
      <c r="J65" s="291"/>
    </row>
    <row r="66" spans="1:10" ht="15" customHeight="1" x14ac:dyDescent="0.3">
      <c r="A66" s="307" t="s">
        <v>877</v>
      </c>
      <c r="B66" s="284" t="s">
        <v>892</v>
      </c>
      <c r="F66" s="309"/>
    </row>
    <row r="67" spans="1:10" ht="15" customHeight="1" x14ac:dyDescent="0.3">
      <c r="A67" s="307"/>
    </row>
    <row r="68" spans="1:10" ht="15" customHeight="1" x14ac:dyDescent="0.3">
      <c r="A68" s="307"/>
      <c r="B68" s="309"/>
      <c r="D68" s="313">
        <f>1000*$C$11/$C$19</f>
        <v>1263157.8947368423</v>
      </c>
      <c r="E68" s="291" t="s">
        <v>893</v>
      </c>
      <c r="G68" s="290"/>
      <c r="H68" s="309"/>
      <c r="I68" s="309"/>
    </row>
    <row r="69" spans="1:10" ht="15" customHeight="1" x14ac:dyDescent="0.25">
      <c r="A69" s="306"/>
      <c r="D69" s="283"/>
      <c r="F69" s="283"/>
    </row>
    <row r="70" spans="1:10" ht="15" customHeight="1" x14ac:dyDescent="0.3">
      <c r="A70" s="312" t="s">
        <v>880</v>
      </c>
      <c r="B70" s="284" t="s">
        <v>894</v>
      </c>
    </row>
    <row r="71" spans="1:10" ht="15" customHeight="1" x14ac:dyDescent="0.25">
      <c r="A71" s="306"/>
    </row>
    <row r="72" spans="1:10" ht="15" customHeight="1" x14ac:dyDescent="0.3">
      <c r="A72" s="312"/>
      <c r="B72" s="309"/>
      <c r="D72" s="290"/>
      <c r="E72" s="283"/>
      <c r="F72" s="290"/>
    </row>
    <row r="73" spans="1:10" ht="15" customHeight="1" x14ac:dyDescent="0.25">
      <c r="A73" s="306"/>
    </row>
    <row r="74" spans="1:10" ht="15" customHeight="1" x14ac:dyDescent="0.3">
      <c r="B74" s="284" t="s">
        <v>895</v>
      </c>
    </row>
    <row r="75" spans="1:10" ht="15" customHeight="1" x14ac:dyDescent="0.3"/>
    <row r="76" spans="1:10" ht="15" customHeight="1" x14ac:dyDescent="0.3"/>
    <row r="77" spans="1:10" ht="15" customHeight="1" x14ac:dyDescent="0.3"/>
    <row r="78" spans="1:10" ht="15" customHeight="1" x14ac:dyDescent="0.3"/>
    <row r="79" spans="1:10" ht="15" customHeight="1" x14ac:dyDescent="0.3">
      <c r="H79" s="291"/>
    </row>
    <row r="80" spans="1:10" ht="15" customHeight="1" x14ac:dyDescent="0.3">
      <c r="H80" s="291"/>
    </row>
    <row r="81" spans="1:10" ht="15" customHeight="1" x14ac:dyDescent="0.3"/>
    <row r="82" spans="1:10" ht="15" customHeight="1" x14ac:dyDescent="0.3"/>
    <row r="83" spans="1:10" ht="15" customHeight="1" x14ac:dyDescent="0.3"/>
    <row r="84" spans="1:10" ht="15" customHeight="1" x14ac:dyDescent="0.3">
      <c r="B84" s="290"/>
      <c r="D84" s="307" t="s">
        <v>896</v>
      </c>
      <c r="E84" s="284">
        <f>D57</f>
        <v>1463</v>
      </c>
      <c r="F84" s="284" t="s">
        <v>897</v>
      </c>
      <c r="G84" s="307" t="s">
        <v>898</v>
      </c>
      <c r="H84" s="314">
        <f>IF(C11&lt;10,C11/2,IF(AND(E84&gt;=150,E84&lt;200),0.000000000000046*E84^6.4526,IF(AND(E84&gt;=200,E84&lt;380),0.00002*E84^2.691,IF(AND(E84&gt;=380,E84&lt;750),0.5397*E84^0.978,IF(AND(E84&gt;=750,E84&lt;=950),350,IF(AND(E84&gt;=950,E84&lt;=1500),3331000000*E84^-2.3436,"Fora da faixa de variacao! ERRO!"))))))</f>
        <v>127.20612699265104</v>
      </c>
      <c r="I84" s="291" t="s">
        <v>2</v>
      </c>
      <c r="J84" s="315" t="s">
        <v>899</v>
      </c>
    </row>
    <row r="85" spans="1:10" ht="15" customHeight="1" x14ac:dyDescent="0.25">
      <c r="B85" s="293" t="str">
        <f>"     A vazao maxima tubinada por essa unidade (Q1) resulta em  "&amp;ROUND((1000000*H141*H84)/(E140*D57),1)&amp;" m3/s e deve ser menor que  48,0 m3/s."</f>
        <v xml:space="preserve">     A vazao maxima tubinada por essa unidade (Q1) resulta em  10 m3/s e deve ser menor que  48,0 m3/s.</v>
      </c>
      <c r="D85" s="307"/>
      <c r="E85" s="290"/>
      <c r="F85" s="290"/>
      <c r="G85" s="307"/>
      <c r="H85" s="291"/>
      <c r="I85" s="291"/>
    </row>
    <row r="86" spans="1:10" ht="15" customHeight="1" x14ac:dyDescent="0.3">
      <c r="B86" s="290"/>
      <c r="D86" s="307"/>
      <c r="F86" s="290"/>
      <c r="G86" s="307"/>
      <c r="H86" s="291"/>
      <c r="I86" s="291"/>
    </row>
    <row r="87" spans="1:10" ht="15" customHeight="1" x14ac:dyDescent="0.25">
      <c r="B87" s="293" t="s">
        <v>900</v>
      </c>
      <c r="D87" s="290"/>
      <c r="E87" s="290"/>
      <c r="F87" s="290"/>
      <c r="G87" s="290"/>
      <c r="I87" s="316">
        <f>INT($D$68/($H$84*1000)+0.999)</f>
        <v>10</v>
      </c>
    </row>
    <row r="88" spans="1:10" ht="15" customHeight="1" x14ac:dyDescent="0.25">
      <c r="B88" s="293"/>
      <c r="D88" s="290"/>
      <c r="E88" s="284" t="s">
        <v>901</v>
      </c>
      <c r="F88" s="316"/>
      <c r="G88" s="290"/>
      <c r="I88" s="316">
        <f>IF((1000000*H141*H84)/(E140*D57)&gt;48,I87+1,I87)</f>
        <v>10</v>
      </c>
    </row>
    <row r="89" spans="1:10" ht="15" customHeight="1" x14ac:dyDescent="0.25">
      <c r="B89" s="295" t="s">
        <v>902</v>
      </c>
    </row>
    <row r="90" spans="1:10" ht="15" customHeight="1" x14ac:dyDescent="0.3">
      <c r="B90" s="290"/>
      <c r="C90" s="284" t="s">
        <v>903</v>
      </c>
      <c r="D90" s="307" t="s">
        <v>904</v>
      </c>
      <c r="E90" s="317">
        <f>MAX(I87,I88,2)</f>
        <v>10</v>
      </c>
      <c r="F90" s="284" t="s">
        <v>826</v>
      </c>
      <c r="G90" s="284" t="s">
        <v>905</v>
      </c>
      <c r="H90" s="309"/>
      <c r="I90" s="309"/>
      <c r="J90" s="309"/>
    </row>
    <row r="91" spans="1:10" ht="15" customHeight="1" x14ac:dyDescent="0.25">
      <c r="B91" s="293" t="str">
        <f>IF(C12&lt;E90,"Como a condição acima não foi verificada, o novo valor inicial de Ng =","      Como a condição acima foi verificada, manteve-se o valor inicial de Ng =")</f>
        <v>Como a condição acima não foi verificada, o novo valor inicial de Ng =</v>
      </c>
      <c r="C91" s="299"/>
      <c r="D91" s="299"/>
      <c r="E91" s="299"/>
      <c r="F91" s="299"/>
      <c r="G91" s="299"/>
      <c r="H91" s="318">
        <f>MAX(C12,I87,I88,2)</f>
        <v>10</v>
      </c>
      <c r="I91" s="291" t="s">
        <v>826</v>
      </c>
      <c r="J91" s="309"/>
    </row>
    <row r="92" spans="1:10" ht="15" customHeight="1" x14ac:dyDescent="0.3"/>
    <row r="93" spans="1:10" ht="15" customHeight="1" x14ac:dyDescent="0.3">
      <c r="A93" s="312" t="s">
        <v>883</v>
      </c>
      <c r="B93" s="284" t="s">
        <v>906</v>
      </c>
    </row>
    <row r="94" spans="1:10" ht="15" customHeight="1" x14ac:dyDescent="0.3"/>
    <row r="95" spans="1:10" ht="15" customHeight="1" x14ac:dyDescent="0.3">
      <c r="C95" s="319"/>
    </row>
    <row r="96" spans="1:10" ht="15" customHeight="1" x14ac:dyDescent="0.3"/>
    <row r="97" spans="1:9" ht="15" customHeight="1" x14ac:dyDescent="0.3">
      <c r="B97" s="284" t="s">
        <v>907</v>
      </c>
    </row>
    <row r="98" spans="1:9" ht="15" customHeight="1" x14ac:dyDescent="0.3"/>
    <row r="99" spans="1:9" ht="15" customHeight="1" x14ac:dyDescent="0.3">
      <c r="B99" s="307" t="s">
        <v>908</v>
      </c>
      <c r="C99" s="320">
        <v>1</v>
      </c>
      <c r="D99" s="284" t="s">
        <v>2</v>
      </c>
      <c r="E99" s="321" t="s">
        <v>909</v>
      </c>
    </row>
    <row r="100" spans="1:9" ht="15" customHeight="1" x14ac:dyDescent="0.25">
      <c r="B100" s="295" t="str">
        <f>IF((C11/H91)&lt;C19*C99,"Como a condição acima não foi verificada, o novo    Ng =","Como a condição acima foi verificada, manteve-se        Ng =")</f>
        <v>Como a condição acima foi verificada, manteve-se        Ng =</v>
      </c>
      <c r="G100" s="322">
        <f>IF((C11/H91)&lt;C19*C99,INT(C11/C99),H91)</f>
        <v>10</v>
      </c>
      <c r="H100" s="323" t="s">
        <v>826</v>
      </c>
    </row>
    <row r="101" spans="1:9" ht="15" customHeight="1" x14ac:dyDescent="0.3">
      <c r="I101" s="291"/>
    </row>
    <row r="102" spans="1:9" ht="15" customHeight="1" x14ac:dyDescent="0.25">
      <c r="B102" s="299" t="s">
        <v>910</v>
      </c>
      <c r="D102" s="290"/>
      <c r="E102" s="306"/>
      <c r="F102" s="307" t="s">
        <v>911</v>
      </c>
      <c r="G102" s="324">
        <f>IF((C11/G100)&lt;C19*C99,C99,C11/G100)</f>
        <v>120</v>
      </c>
      <c r="H102" s="325" t="str">
        <f>IF((C11/G100)&lt;C19*C99,"MW       (Adotou-se o valor limite)","MW")</f>
        <v>MW</v>
      </c>
    </row>
    <row r="103" spans="1:9" ht="15" customHeight="1" x14ac:dyDescent="0.3"/>
    <row r="104" spans="1:9" ht="15" customHeight="1" x14ac:dyDescent="0.3">
      <c r="A104" s="312" t="s">
        <v>885</v>
      </c>
      <c r="B104" s="284" t="s">
        <v>912</v>
      </c>
    </row>
    <row r="105" spans="1:9" ht="15" customHeight="1" x14ac:dyDescent="0.3">
      <c r="F105" s="284" t="s">
        <v>913</v>
      </c>
      <c r="G105" s="326" t="s">
        <v>914</v>
      </c>
      <c r="H105" s="327" t="s">
        <v>915</v>
      </c>
    </row>
    <row r="106" spans="1:9" ht="15" customHeight="1" x14ac:dyDescent="0.3">
      <c r="D106" s="291">
        <f>$H$109*INT($G$102/$H$109+0.5)</f>
        <v>120</v>
      </c>
      <c r="E106" s="291" t="s">
        <v>2</v>
      </c>
      <c r="G106" s="283">
        <v>0.1</v>
      </c>
    </row>
    <row r="107" spans="1:9" ht="15" customHeight="1" x14ac:dyDescent="0.3">
      <c r="G107" s="283">
        <v>0.5</v>
      </c>
    </row>
    <row r="108" spans="1:9" ht="15" customHeight="1" x14ac:dyDescent="0.3">
      <c r="G108" s="326">
        <v>1</v>
      </c>
      <c r="H108" s="327"/>
    </row>
    <row r="109" spans="1:9" ht="15" customHeight="1" x14ac:dyDescent="0.25">
      <c r="F109" s="306"/>
      <c r="G109" s="307" t="s">
        <v>916</v>
      </c>
      <c r="H109" s="299">
        <f>IF(G102&lt;=10,0.1,IF(AND(G102&gt;10,G102&lt;=80),0.5,IF(G102&gt;80,1)))</f>
        <v>1</v>
      </c>
    </row>
    <row r="110" spans="1:9" ht="15" customHeight="1" x14ac:dyDescent="0.3">
      <c r="A110" s="312" t="s">
        <v>888</v>
      </c>
      <c r="B110" s="284" t="s">
        <v>917</v>
      </c>
    </row>
    <row r="111" spans="1:9" ht="15" customHeight="1" x14ac:dyDescent="0.3">
      <c r="C111" s="328">
        <f>$D$106*$G100</f>
        <v>1200</v>
      </c>
      <c r="D111" s="291" t="s">
        <v>2</v>
      </c>
    </row>
    <row r="112" spans="1:9" ht="15" customHeight="1" x14ac:dyDescent="0.3"/>
    <row r="113" spans="1:9" ht="15" customHeight="1" x14ac:dyDescent="0.3"/>
    <row r="114" spans="1:9" ht="15" customHeight="1" x14ac:dyDescent="0.3">
      <c r="A114" s="312" t="s">
        <v>918</v>
      </c>
      <c r="B114" s="284" t="s">
        <v>919</v>
      </c>
    </row>
    <row r="115" spans="1:9" ht="15" customHeight="1" x14ac:dyDescent="0.3"/>
    <row r="116" spans="1:9" ht="15" customHeight="1" x14ac:dyDescent="0.3">
      <c r="B116" s="309"/>
      <c r="D116" s="318">
        <f>1000*$D$106/($C$19*$H$128)</f>
        <v>25263.157894736843</v>
      </c>
      <c r="E116" s="291" t="s">
        <v>893</v>
      </c>
      <c r="F116" s="290"/>
      <c r="G116" s="290"/>
    </row>
    <row r="117" spans="1:9" ht="15" customHeight="1" x14ac:dyDescent="0.3">
      <c r="B117" s="309"/>
      <c r="D117" s="318"/>
      <c r="E117" s="291"/>
      <c r="F117" s="290"/>
      <c r="G117" s="290"/>
    </row>
    <row r="118" spans="1:9" ht="15" customHeight="1" x14ac:dyDescent="0.3">
      <c r="B118" s="309"/>
      <c r="C118" s="284" t="s">
        <v>920</v>
      </c>
      <c r="D118" s="318"/>
      <c r="E118" s="291"/>
      <c r="F118" s="290"/>
      <c r="G118" s="290"/>
    </row>
    <row r="119" spans="1:9" ht="15" customHeight="1" x14ac:dyDescent="0.3">
      <c r="B119" s="309" t="s">
        <v>921</v>
      </c>
      <c r="D119" s="318"/>
      <c r="E119" s="291"/>
      <c r="F119" s="290"/>
      <c r="G119" s="290"/>
    </row>
    <row r="120" spans="1:9" ht="15" customHeight="1" x14ac:dyDescent="0.3">
      <c r="A120" s="329"/>
      <c r="B120" s="330" t="s">
        <v>922</v>
      </c>
      <c r="C120" s="326" t="s">
        <v>923</v>
      </c>
      <c r="D120" s="331" t="s">
        <v>924</v>
      </c>
      <c r="E120" s="332"/>
      <c r="F120" s="290"/>
      <c r="G120" s="290"/>
    </row>
    <row r="121" spans="1:9" ht="15" customHeight="1" x14ac:dyDescent="0.3">
      <c r="A121" s="329"/>
      <c r="B121" s="309">
        <v>1</v>
      </c>
      <c r="C121" s="283" t="s">
        <v>923</v>
      </c>
      <c r="D121" s="284" t="s">
        <v>925</v>
      </c>
      <c r="E121" s="291"/>
      <c r="F121" s="290"/>
      <c r="G121" s="290"/>
    </row>
    <row r="122" spans="1:9" ht="15" customHeight="1" x14ac:dyDescent="0.3">
      <c r="A122" s="329"/>
      <c r="B122" s="309">
        <v>2</v>
      </c>
      <c r="C122" s="283" t="s">
        <v>923</v>
      </c>
      <c r="D122" s="317" t="s">
        <v>926</v>
      </c>
      <c r="E122" s="291"/>
      <c r="F122" s="290"/>
      <c r="G122" s="290"/>
    </row>
    <row r="123" spans="1:9" ht="15" customHeight="1" x14ac:dyDescent="0.3">
      <c r="A123" s="329"/>
      <c r="B123" s="309">
        <v>3</v>
      </c>
      <c r="C123" s="283" t="s">
        <v>923</v>
      </c>
      <c r="D123" s="317" t="s">
        <v>927</v>
      </c>
      <c r="E123" s="291"/>
      <c r="F123" s="290"/>
      <c r="G123" s="290"/>
    </row>
    <row r="124" spans="1:9" ht="15" customHeight="1" x14ac:dyDescent="0.3">
      <c r="A124" s="329"/>
      <c r="B124" s="309">
        <v>4</v>
      </c>
      <c r="C124" s="283" t="s">
        <v>923</v>
      </c>
      <c r="D124" s="317" t="s">
        <v>928</v>
      </c>
      <c r="E124" s="291"/>
      <c r="F124" s="290"/>
      <c r="G124" s="290"/>
    </row>
    <row r="125" spans="1:9" ht="15" customHeight="1" x14ac:dyDescent="0.3">
      <c r="A125" s="329"/>
      <c r="B125" s="309">
        <v>5</v>
      </c>
      <c r="C125" s="283" t="s">
        <v>923</v>
      </c>
      <c r="D125" s="317" t="s">
        <v>929</v>
      </c>
      <c r="E125" s="291"/>
      <c r="F125" s="290"/>
      <c r="G125" s="290"/>
    </row>
    <row r="126" spans="1:9" ht="15" customHeight="1" x14ac:dyDescent="0.3">
      <c r="A126" s="329"/>
      <c r="B126" s="333">
        <v>6</v>
      </c>
      <c r="C126" s="326" t="s">
        <v>923</v>
      </c>
      <c r="D126" s="331" t="s">
        <v>930</v>
      </c>
      <c r="E126" s="332"/>
      <c r="F126" s="290"/>
      <c r="G126" s="290"/>
    </row>
    <row r="127" spans="1:9" ht="15" customHeight="1" x14ac:dyDescent="0.3">
      <c r="B127" s="309"/>
      <c r="D127" s="317"/>
      <c r="E127" s="291"/>
      <c r="F127" s="290"/>
      <c r="G127" s="290"/>
    </row>
    <row r="128" spans="1:9" ht="15" customHeight="1" x14ac:dyDescent="0.3">
      <c r="A128" s="329"/>
      <c r="B128" s="290"/>
      <c r="D128" s="307" t="s">
        <v>931</v>
      </c>
      <c r="E128" s="284">
        <f>D138</f>
        <v>9.8890438036443769</v>
      </c>
      <c r="F128" s="284" t="s">
        <v>932</v>
      </c>
      <c r="G128" s="307" t="s">
        <v>933</v>
      </c>
      <c r="H128" s="334">
        <f>IF(AND(E128&gt;=0,E128&lt;2),1,IF(AND(E128&gt;=2,E128&lt;4.7),2,IF(AND(E128&gt;=4.7,E128&lt;6.7),3,IF(AND(E128&gt;=6.7,E128&lt;9.3),4,IF(AND(E128&gt;=9.3,E128&lt;13.3),5,IF(E128&gt;=13.3,6,"Fora da faixa de variacao! ERRO!"))))))</f>
        <v>5</v>
      </c>
      <c r="I128" s="291"/>
    </row>
    <row r="129" spans="1:9" ht="15" customHeight="1" x14ac:dyDescent="0.3"/>
    <row r="130" spans="1:9" ht="15" customHeight="1" x14ac:dyDescent="0.3">
      <c r="A130" s="291" t="s">
        <v>934</v>
      </c>
    </row>
    <row r="131" spans="1:9" ht="15" customHeight="1" x14ac:dyDescent="0.3"/>
    <row r="132" spans="1:9" ht="15" customHeight="1" x14ac:dyDescent="0.3">
      <c r="A132" s="307" t="s">
        <v>877</v>
      </c>
      <c r="B132" s="284" t="s">
        <v>935</v>
      </c>
    </row>
    <row r="133" spans="1:9" ht="15" customHeight="1" x14ac:dyDescent="0.3">
      <c r="D133" s="291"/>
      <c r="E133" s="311"/>
    </row>
    <row r="134" spans="1:9" ht="15" customHeight="1" x14ac:dyDescent="0.25">
      <c r="D134" s="291"/>
      <c r="E134" s="284">
        <f>0.01036*(2560-$D$57)*$H$128^0.5</f>
        <v>25.412733678846909</v>
      </c>
      <c r="F134" s="306"/>
    </row>
    <row r="135" spans="1:9" ht="15" customHeight="1" x14ac:dyDescent="0.3">
      <c r="B135" s="309"/>
      <c r="E135" s="290"/>
      <c r="F135" s="283"/>
    </row>
    <row r="136" spans="1:9" ht="15" customHeight="1" x14ac:dyDescent="0.3">
      <c r="A136" s="307" t="s">
        <v>880</v>
      </c>
      <c r="B136" s="299" t="s">
        <v>936</v>
      </c>
    </row>
    <row r="137" spans="1:9" ht="15" customHeight="1" x14ac:dyDescent="0.3"/>
    <row r="138" spans="1:9" ht="15" customHeight="1" x14ac:dyDescent="0.3">
      <c r="D138" s="291">
        <f>(1000000*$D$106)/($E$140*$D$57)</f>
        <v>9.8890438036443769</v>
      </c>
      <c r="E138" s="291" t="s">
        <v>937</v>
      </c>
    </row>
    <row r="139" spans="1:9" ht="15" customHeight="1" x14ac:dyDescent="0.3"/>
    <row r="140" spans="1:9" ht="15" customHeight="1" x14ac:dyDescent="0.3">
      <c r="B140" s="307" t="s">
        <v>921</v>
      </c>
      <c r="E140" s="335">
        <f>1000*9.81*H140*H141</f>
        <v>8294.3549999999996</v>
      </c>
      <c r="G140" s="336" t="s">
        <v>938</v>
      </c>
      <c r="H140" s="283">
        <f>C18</f>
        <v>0.89</v>
      </c>
      <c r="I140" s="321" t="s">
        <v>939</v>
      </c>
    </row>
    <row r="141" spans="1:9" ht="15" customHeight="1" x14ac:dyDescent="0.3">
      <c r="G141" s="336" t="s">
        <v>940</v>
      </c>
      <c r="H141" s="283">
        <f>C19</f>
        <v>0.95</v>
      </c>
      <c r="I141" s="321" t="s">
        <v>939</v>
      </c>
    </row>
    <row r="142" spans="1:9" ht="15" customHeight="1" x14ac:dyDescent="0.3">
      <c r="B142" s="284" t="s">
        <v>941</v>
      </c>
      <c r="E142" s="327" t="s">
        <v>942</v>
      </c>
      <c r="F142" s="337" t="s">
        <v>924</v>
      </c>
      <c r="G142" s="332"/>
    </row>
    <row r="143" spans="1:9" ht="16.2" customHeight="1" x14ac:dyDescent="0.3">
      <c r="A143" s="329"/>
      <c r="E143" s="284" t="s">
        <v>943</v>
      </c>
      <c r="F143" s="338" t="s">
        <v>944</v>
      </c>
    </row>
    <row r="144" spans="1:9" ht="16.2" customHeight="1" x14ac:dyDescent="0.3">
      <c r="A144" s="329"/>
      <c r="E144" s="284" t="s">
        <v>945</v>
      </c>
      <c r="F144" s="338" t="s">
        <v>946</v>
      </c>
    </row>
    <row r="145" spans="1:9" ht="15" customHeight="1" x14ac:dyDescent="0.3"/>
    <row r="146" spans="1:9" ht="15" customHeight="1" x14ac:dyDescent="0.3">
      <c r="C146" s="307" t="s">
        <v>947</v>
      </c>
      <c r="D146" s="284">
        <f>D138</f>
        <v>9.8890438036443769</v>
      </c>
      <c r="E146" s="284" t="s">
        <v>948</v>
      </c>
      <c r="F146" s="291" t="str">
        <f>IF(D146&lt;4.7,"O eixo da turbina esta na posicao HORIZONTAL.", "O eixo da turbina esta na posicao VERTICAL.")</f>
        <v>O eixo da turbina esta na posicao VERTICAL.</v>
      </c>
    </row>
    <row r="147" spans="1:9" ht="15" customHeight="1" x14ac:dyDescent="0.3">
      <c r="F147" s="339" t="s">
        <v>949</v>
      </c>
      <c r="G147" s="340">
        <f>IF(D146&lt;4.7,2,1)</f>
        <v>1</v>
      </c>
    </row>
    <row r="148" spans="1:9" ht="15" customHeight="1" x14ac:dyDescent="0.3">
      <c r="A148" s="307" t="s">
        <v>883</v>
      </c>
      <c r="B148" s="284" t="s">
        <v>950</v>
      </c>
    </row>
    <row r="149" spans="1:9" ht="15" customHeight="1" x14ac:dyDescent="0.25">
      <c r="D149" s="306"/>
      <c r="E149" s="306"/>
    </row>
    <row r="150" spans="1:9" ht="15" customHeight="1" x14ac:dyDescent="0.25">
      <c r="C150" s="306"/>
      <c r="D150" s="310">
        <f>(D152*$D$57^1.25)/D116^0.5</f>
        <v>646.96080789387588</v>
      </c>
      <c r="E150" s="311" t="s">
        <v>951</v>
      </c>
    </row>
    <row r="151" spans="1:9" ht="15" customHeight="1" x14ac:dyDescent="0.3"/>
    <row r="152" spans="1:9" ht="15" customHeight="1" x14ac:dyDescent="0.3">
      <c r="B152" s="312" t="s">
        <v>921</v>
      </c>
      <c r="D152" s="284">
        <f>E134/H128^0.5</f>
        <v>11.36492</v>
      </c>
      <c r="E152" s="284" t="s">
        <v>951</v>
      </c>
    </row>
    <row r="153" spans="1:9" ht="15" customHeight="1" x14ac:dyDescent="0.3"/>
    <row r="154" spans="1:9" ht="15" customHeight="1" x14ac:dyDescent="0.3"/>
    <row r="155" spans="1:9" ht="15" customHeight="1" x14ac:dyDescent="0.3">
      <c r="A155" s="307" t="s">
        <v>883</v>
      </c>
      <c r="B155" s="284" t="s">
        <v>952</v>
      </c>
      <c r="G155" s="309"/>
      <c r="H155" s="309"/>
      <c r="I155" s="309"/>
    </row>
    <row r="156" spans="1:9" ht="15" customHeight="1" x14ac:dyDescent="0.3">
      <c r="A156" s="307"/>
      <c r="G156" s="309"/>
      <c r="H156" s="309"/>
      <c r="I156" s="309"/>
    </row>
    <row r="157" spans="1:9" ht="15" customHeight="1" x14ac:dyDescent="0.3">
      <c r="A157" s="307"/>
      <c r="G157" s="309"/>
      <c r="H157" s="309"/>
      <c r="I157" s="309"/>
    </row>
    <row r="158" spans="1:9" ht="15" customHeight="1" x14ac:dyDescent="0.3">
      <c r="A158" s="307"/>
      <c r="G158" s="309"/>
      <c r="H158" s="309"/>
      <c r="I158" s="309"/>
    </row>
    <row r="159" spans="1:9" ht="15" customHeight="1" x14ac:dyDescent="0.3">
      <c r="A159" s="307"/>
      <c r="G159" s="309"/>
      <c r="H159" s="309"/>
      <c r="I159" s="309"/>
    </row>
    <row r="160" spans="1:9" ht="15" customHeight="1" x14ac:dyDescent="0.3">
      <c r="A160" s="307"/>
      <c r="G160" s="309"/>
      <c r="H160" s="309"/>
      <c r="I160" s="309"/>
    </row>
    <row r="161" spans="1:9" ht="15" customHeight="1" x14ac:dyDescent="0.3">
      <c r="A161" s="307"/>
      <c r="B161" s="290"/>
      <c r="D161" s="307" t="s">
        <v>953</v>
      </c>
      <c r="E161" s="284">
        <f>$C$20</f>
        <v>50</v>
      </c>
      <c r="F161" s="299" t="s">
        <v>954</v>
      </c>
      <c r="G161" s="309"/>
      <c r="H161" s="309"/>
      <c r="I161" s="309"/>
    </row>
    <row r="162" spans="1:9" ht="15" customHeight="1" x14ac:dyDescent="0.3">
      <c r="A162" s="307"/>
      <c r="D162" s="307" t="s">
        <v>955</v>
      </c>
      <c r="E162" s="284">
        <f>$D$150</f>
        <v>646.96080789387588</v>
      </c>
      <c r="F162" s="284" t="s">
        <v>956</v>
      </c>
      <c r="G162" s="309"/>
      <c r="H162" s="309"/>
      <c r="I162" s="309"/>
    </row>
    <row r="163" spans="1:9" ht="15" customHeight="1" x14ac:dyDescent="0.3">
      <c r="A163" s="307"/>
      <c r="B163" s="307" t="s">
        <v>957</v>
      </c>
      <c r="C163" s="334">
        <f>IF(D150&gt;=1.2*E161,2*INT(120*E161/D150*(1/2)+0.5),IF(D150&lt;1.2*E161,4*INT(120*E161/D150*(1/4)+0.5)))</f>
        <v>10</v>
      </c>
      <c r="D163" s="334" t="s">
        <v>826</v>
      </c>
      <c r="G163" s="309"/>
      <c r="H163" s="309"/>
      <c r="I163" s="309"/>
    </row>
    <row r="164" spans="1:9" ht="15" customHeight="1" x14ac:dyDescent="0.3">
      <c r="A164" s="307"/>
      <c r="B164" s="307"/>
      <c r="C164" s="334"/>
      <c r="D164" s="334"/>
      <c r="G164" s="309"/>
      <c r="H164" s="309"/>
      <c r="I164" s="309"/>
    </row>
    <row r="165" spans="1:9" ht="15" customHeight="1" x14ac:dyDescent="0.3">
      <c r="A165" s="307" t="s">
        <v>885</v>
      </c>
      <c r="B165" s="284" t="s">
        <v>958</v>
      </c>
    </row>
    <row r="166" spans="1:9" ht="15" customHeight="1" x14ac:dyDescent="0.3">
      <c r="B166" s="309"/>
      <c r="D166" s="290"/>
      <c r="E166" s="290"/>
    </row>
    <row r="167" spans="1:9" ht="15" customHeight="1" x14ac:dyDescent="0.3">
      <c r="C167" s="328">
        <f>120*$C$20/$C$163</f>
        <v>600</v>
      </c>
      <c r="D167" s="291" t="s">
        <v>951</v>
      </c>
      <c r="E167" s="290"/>
    </row>
    <row r="168" spans="1:9" ht="15" customHeight="1" x14ac:dyDescent="0.3">
      <c r="D168" s="290"/>
      <c r="E168" s="290"/>
    </row>
    <row r="169" spans="1:9" ht="15" customHeight="1" x14ac:dyDescent="0.3">
      <c r="D169" s="290"/>
      <c r="E169" s="290"/>
    </row>
    <row r="170" spans="1:9" ht="15" customHeight="1" x14ac:dyDescent="0.25">
      <c r="A170" s="341" t="s">
        <v>888</v>
      </c>
      <c r="B170" s="284" t="s">
        <v>959</v>
      </c>
    </row>
    <row r="171" spans="1:9" ht="15" customHeight="1" x14ac:dyDescent="0.3">
      <c r="B171" s="309"/>
      <c r="D171" s="290"/>
      <c r="E171" s="290"/>
      <c r="F171" s="290"/>
    </row>
    <row r="172" spans="1:9" ht="15" customHeight="1" x14ac:dyDescent="0.25">
      <c r="B172" s="309"/>
      <c r="C172" s="291">
        <f>$E$174/$H$128^0.5</f>
        <v>4.7136209863918959</v>
      </c>
      <c r="D172" s="306"/>
      <c r="E172" s="306"/>
      <c r="F172" s="290"/>
      <c r="G172" s="290"/>
    </row>
    <row r="173" spans="1:9" ht="15" customHeight="1" x14ac:dyDescent="0.25">
      <c r="B173" s="309"/>
      <c r="D173" s="306"/>
      <c r="E173" s="291"/>
      <c r="F173" s="290"/>
      <c r="G173" s="290"/>
    </row>
    <row r="174" spans="1:9" ht="15" customHeight="1" x14ac:dyDescent="0.3">
      <c r="B174" s="312" t="s">
        <v>921</v>
      </c>
      <c r="C174" s="309"/>
      <c r="E174" s="291">
        <f>C167*D57^(-1.25)*D116^0.5</f>
        <v>10.539976945741891</v>
      </c>
      <c r="F174" s="290"/>
      <c r="G174" s="290"/>
    </row>
    <row r="175" spans="1:9" ht="15" customHeight="1" x14ac:dyDescent="0.25">
      <c r="A175" s="306"/>
      <c r="B175" s="306"/>
      <c r="C175" s="306"/>
      <c r="D175" s="306"/>
      <c r="E175" s="306"/>
    </row>
    <row r="176" spans="1:9" ht="15" customHeight="1" x14ac:dyDescent="0.3">
      <c r="A176" s="307" t="s">
        <v>918</v>
      </c>
      <c r="B176" s="284" t="s">
        <v>960</v>
      </c>
    </row>
    <row r="177" spans="1:9" ht="15" customHeight="1" x14ac:dyDescent="0.3">
      <c r="B177" s="309"/>
      <c r="C177" s="309"/>
      <c r="D177" s="339">
        <f>0.5445-0.0039*$C$172</f>
        <v>0.52611687815307162</v>
      </c>
      <c r="E177" s="283"/>
      <c r="F177" s="290"/>
      <c r="G177" s="309"/>
    </row>
    <row r="178" spans="1:9" ht="15" customHeight="1" x14ac:dyDescent="0.3">
      <c r="B178" s="283"/>
      <c r="F178" s="309"/>
      <c r="G178" s="309"/>
    </row>
    <row r="179" spans="1:9" ht="15" customHeight="1" x14ac:dyDescent="0.3">
      <c r="A179" s="307" t="s">
        <v>961</v>
      </c>
      <c r="B179" s="284" t="s">
        <v>962</v>
      </c>
    </row>
    <row r="180" spans="1:9" ht="15" customHeight="1" x14ac:dyDescent="0.3">
      <c r="E180" s="309"/>
      <c r="F180" s="309"/>
      <c r="G180" s="309"/>
    </row>
    <row r="181" spans="1:9" ht="15" customHeight="1" x14ac:dyDescent="0.25">
      <c r="D181" s="290"/>
      <c r="E181" s="306"/>
      <c r="F181" s="291">
        <f>0.01*INT(84.5*$D$177*($D$57^0.5/$C$167)*(1/0.01)+0.5)</f>
        <v>2.83</v>
      </c>
      <c r="G181" s="291" t="s">
        <v>1</v>
      </c>
      <c r="H181" s="309"/>
    </row>
    <row r="182" spans="1:9" ht="15" customHeight="1" x14ac:dyDescent="0.3">
      <c r="E182" s="309"/>
      <c r="F182" s="309"/>
      <c r="G182" s="309"/>
      <c r="H182" s="309"/>
    </row>
    <row r="183" spans="1:9" ht="15" customHeight="1" x14ac:dyDescent="0.3">
      <c r="A183" s="307" t="s">
        <v>963</v>
      </c>
      <c r="B183" s="284" t="s">
        <v>964</v>
      </c>
      <c r="E183" s="309"/>
      <c r="F183" s="309"/>
      <c r="G183" s="309"/>
      <c r="H183" s="309"/>
    </row>
    <row r="184" spans="1:9" ht="15" customHeight="1" x14ac:dyDescent="0.3">
      <c r="E184" s="309"/>
      <c r="F184" s="309"/>
      <c r="G184" s="309"/>
      <c r="H184" s="309"/>
    </row>
    <row r="185" spans="1:9" ht="15" customHeight="1" x14ac:dyDescent="0.3">
      <c r="D185" s="291">
        <f>iohsrp2!B37+1</f>
        <v>621</v>
      </c>
      <c r="E185" s="351" t="s">
        <v>1201</v>
      </c>
      <c r="F185" s="309"/>
      <c r="G185" s="309"/>
      <c r="H185" s="309"/>
    </row>
    <row r="186" spans="1:9" ht="15" customHeight="1" x14ac:dyDescent="0.3">
      <c r="E186" s="309"/>
      <c r="F186" s="309"/>
      <c r="G186" s="309"/>
      <c r="H186" s="309"/>
    </row>
    <row r="187" spans="1:9" ht="15" customHeight="1" x14ac:dyDescent="0.3">
      <c r="A187" s="307" t="s">
        <v>965</v>
      </c>
      <c r="B187" s="284" t="s">
        <v>966</v>
      </c>
    </row>
    <row r="188" spans="1:9" ht="15" customHeight="1" x14ac:dyDescent="0.3">
      <c r="B188" s="309"/>
      <c r="C188" s="309"/>
      <c r="D188" s="309"/>
      <c r="E188" s="309"/>
      <c r="F188" s="309"/>
    </row>
    <row r="189" spans="1:9" ht="15" customHeight="1" x14ac:dyDescent="0.3">
      <c r="B189" s="309"/>
      <c r="C189" s="309"/>
      <c r="D189" s="309"/>
      <c r="E189" s="291">
        <f>(1.028+0.0137*$C$172)*$F$181</f>
        <v>3.0919917992634005</v>
      </c>
      <c r="F189" s="291" t="s">
        <v>1</v>
      </c>
      <c r="G189" s="309"/>
      <c r="H189" s="309"/>
      <c r="I189" s="309"/>
    </row>
    <row r="190" spans="1:9" ht="15" customHeight="1" x14ac:dyDescent="0.25">
      <c r="B190" s="309"/>
      <c r="C190" s="309"/>
      <c r="D190" s="309"/>
      <c r="E190" s="306"/>
      <c r="F190" s="306"/>
      <c r="G190" s="309"/>
      <c r="H190" s="309"/>
      <c r="I190" s="309"/>
    </row>
    <row r="191" spans="1:9" ht="15" customHeight="1" x14ac:dyDescent="0.3">
      <c r="B191" s="283"/>
      <c r="D191" s="291">
        <f>0.78+2.06*$E$189</f>
        <v>7.1495031064826051</v>
      </c>
      <c r="E191" s="291" t="s">
        <v>1</v>
      </c>
      <c r="G191" s="309"/>
      <c r="H191" s="309"/>
      <c r="I191" s="309"/>
    </row>
    <row r="192" spans="1:9" ht="15" customHeight="1" x14ac:dyDescent="0.3">
      <c r="B192" s="283"/>
      <c r="D192" s="291"/>
      <c r="E192" s="291"/>
      <c r="G192" s="309"/>
      <c r="H192" s="309"/>
      <c r="I192" s="309"/>
    </row>
    <row r="193" spans="2:10" ht="15" customHeight="1" x14ac:dyDescent="0.3">
      <c r="B193" s="283"/>
      <c r="D193" s="291">
        <f>0.595+0.694*$D$191</f>
        <v>5.5567551558989274</v>
      </c>
      <c r="E193" s="291" t="s">
        <v>1</v>
      </c>
      <c r="G193" s="309"/>
      <c r="H193" s="309"/>
      <c r="I193" s="309"/>
    </row>
    <row r="194" spans="2:10" ht="15" customHeight="1" x14ac:dyDescent="0.3">
      <c r="B194" s="283"/>
      <c r="G194" s="309"/>
      <c r="H194" s="309"/>
      <c r="I194" s="309"/>
    </row>
    <row r="195" spans="2:10" ht="15" customHeight="1" x14ac:dyDescent="0.25">
      <c r="B195" s="283"/>
      <c r="D195" s="291">
        <f>0.362+0.68*$D$191</f>
        <v>5.2236621124081717</v>
      </c>
      <c r="E195" s="291" t="s">
        <v>1</v>
      </c>
      <c r="F195" s="306"/>
      <c r="G195" s="309"/>
      <c r="H195" s="309"/>
      <c r="I195" s="309"/>
    </row>
    <row r="196" spans="2:10" ht="15" customHeight="1" x14ac:dyDescent="0.25">
      <c r="B196" s="283"/>
      <c r="F196" s="306"/>
      <c r="G196" s="309"/>
      <c r="H196" s="309"/>
      <c r="I196" s="309"/>
    </row>
    <row r="197" spans="2:10" ht="15" customHeight="1" x14ac:dyDescent="0.25">
      <c r="B197" s="283"/>
      <c r="D197" s="291">
        <f>-0.219+0.7*$D$191</f>
        <v>4.7856521745378231</v>
      </c>
      <c r="E197" s="291" t="s">
        <v>1</v>
      </c>
      <c r="F197" s="306"/>
      <c r="G197" s="309"/>
      <c r="H197" s="309"/>
      <c r="I197" s="309"/>
    </row>
    <row r="198" spans="2:10" ht="15" customHeight="1" x14ac:dyDescent="0.25">
      <c r="B198" s="283"/>
      <c r="D198" s="291"/>
      <c r="E198" s="291"/>
      <c r="F198" s="306"/>
      <c r="G198" s="309"/>
      <c r="H198" s="309"/>
      <c r="I198" s="309"/>
    </row>
    <row r="199" spans="2:10" ht="15" customHeight="1" x14ac:dyDescent="0.25">
      <c r="B199" s="283"/>
      <c r="D199" s="291">
        <f>0.43+0.7*$D$191</f>
        <v>5.4346521745378231</v>
      </c>
      <c r="E199" s="291" t="s">
        <v>1</v>
      </c>
      <c r="F199" s="306"/>
      <c r="G199" s="309"/>
      <c r="H199" s="309"/>
      <c r="I199" s="309"/>
    </row>
    <row r="200" spans="2:10" ht="15" customHeight="1" x14ac:dyDescent="0.25">
      <c r="B200" s="283"/>
      <c r="D200" s="291"/>
      <c r="E200" s="291"/>
      <c r="F200" s="306"/>
      <c r="G200" s="309"/>
      <c r="H200" s="309"/>
      <c r="I200" s="309"/>
    </row>
    <row r="201" spans="2:10" ht="15" customHeight="1" x14ac:dyDescent="0.25">
      <c r="B201" s="283"/>
      <c r="D201" s="291">
        <f>1.09+0.71*$D$191</f>
        <v>6.1661472056026492</v>
      </c>
      <c r="E201" s="291" t="s">
        <v>1</v>
      </c>
      <c r="F201" s="306"/>
      <c r="G201" s="309"/>
      <c r="H201" s="309"/>
      <c r="I201" s="309"/>
    </row>
    <row r="202" spans="2:10" ht="15" customHeight="1" x14ac:dyDescent="0.25">
      <c r="B202" s="283"/>
      <c r="F202" s="306"/>
      <c r="G202" s="309"/>
      <c r="H202" s="309"/>
      <c r="I202" s="309"/>
    </row>
    <row r="203" spans="2:10" ht="15" customHeight="1" x14ac:dyDescent="0.3">
      <c r="B203" s="283"/>
      <c r="D203" s="291">
        <f>0.196+0.376*$D$191</f>
        <v>2.8842131680374599</v>
      </c>
      <c r="E203" s="291" t="s">
        <v>1</v>
      </c>
      <c r="G203" s="309"/>
      <c r="H203" s="309"/>
      <c r="I203" s="309"/>
    </row>
    <row r="204" spans="2:10" ht="15" customHeight="1" x14ac:dyDescent="0.3">
      <c r="B204" s="283"/>
      <c r="G204" s="309"/>
      <c r="H204" s="309"/>
      <c r="I204" s="309"/>
    </row>
    <row r="205" spans="2:10" ht="15" customHeight="1" x14ac:dyDescent="0.3">
      <c r="B205" s="283"/>
      <c r="D205" s="291">
        <f>0.62+0.513*$D$191</f>
        <v>4.287695093625576</v>
      </c>
      <c r="E205" s="291" t="s">
        <v>1</v>
      </c>
      <c r="G205" s="309"/>
      <c r="H205" s="309"/>
      <c r="I205" s="309"/>
    </row>
    <row r="206" spans="2:10" ht="15" customHeight="1" x14ac:dyDescent="0.3">
      <c r="B206" s="283"/>
      <c r="G206" s="309"/>
      <c r="H206" s="309"/>
      <c r="I206" s="309"/>
    </row>
    <row r="207" spans="2:10" ht="15" customHeight="1" x14ac:dyDescent="0.3">
      <c r="B207" s="283"/>
      <c r="D207" s="291">
        <f>1.28+0.37*$D$191</f>
        <v>3.9253161493985642</v>
      </c>
      <c r="E207" s="291" t="s">
        <v>1</v>
      </c>
      <c r="G207" s="309"/>
      <c r="H207" s="309"/>
    </row>
    <row r="208" spans="2:10" ht="15" customHeight="1" x14ac:dyDescent="0.3">
      <c r="D208" s="310"/>
      <c r="E208" s="342"/>
      <c r="F208" s="283"/>
      <c r="G208" s="309"/>
      <c r="H208" s="343" t="s">
        <v>967</v>
      </c>
      <c r="I208" s="291"/>
      <c r="J208" s="291"/>
    </row>
    <row r="209" spans="1:10" ht="15" customHeight="1" x14ac:dyDescent="0.3">
      <c r="A209" s="307" t="s">
        <v>968</v>
      </c>
      <c r="B209" s="284" t="s">
        <v>446</v>
      </c>
      <c r="D209" s="310"/>
      <c r="E209" s="342"/>
      <c r="F209" s="283"/>
      <c r="G209" s="309"/>
    </row>
    <row r="210" spans="1:10" ht="15" customHeight="1" x14ac:dyDescent="0.3">
      <c r="D210" s="310"/>
      <c r="E210" s="342"/>
      <c r="F210" s="283"/>
      <c r="G210" s="309"/>
      <c r="H210" s="343" t="s">
        <v>969</v>
      </c>
      <c r="I210" s="343" t="s">
        <v>970</v>
      </c>
      <c r="J210" s="291"/>
    </row>
    <row r="211" spans="1:10" ht="15" customHeight="1" x14ac:dyDescent="0.3">
      <c r="B211" s="344" t="s">
        <v>971</v>
      </c>
      <c r="D211" s="310"/>
      <c r="E211" s="342"/>
      <c r="F211" s="283"/>
      <c r="G211" s="309"/>
      <c r="H211" s="309"/>
      <c r="I211" s="291"/>
      <c r="J211" s="291"/>
    </row>
    <row r="212" spans="1:10" ht="15" customHeight="1" x14ac:dyDescent="0.3">
      <c r="E212" s="290"/>
      <c r="F212" s="290"/>
      <c r="G212" s="309"/>
      <c r="H212" s="343" t="s">
        <v>972</v>
      </c>
      <c r="J212" s="291"/>
    </row>
    <row r="213" spans="1:10" ht="15" customHeight="1" x14ac:dyDescent="0.3">
      <c r="D213" s="345">
        <f>IF(hsrp2pwh!G147=1,D193+D195+C21,2+D203+2*D201)</f>
        <v>16.780417268307097</v>
      </c>
      <c r="E213" s="342" t="s">
        <v>1</v>
      </c>
      <c r="F213" s="283"/>
      <c r="G213" s="346"/>
      <c r="J213" s="291"/>
    </row>
    <row r="214" spans="1:10" ht="15" customHeight="1" x14ac:dyDescent="0.3">
      <c r="C214" s="347" t="s">
        <v>973</v>
      </c>
      <c r="D214" s="310"/>
      <c r="E214" s="290"/>
      <c r="F214" s="290"/>
      <c r="G214" s="346"/>
      <c r="H214" s="348" t="s">
        <v>974</v>
      </c>
      <c r="I214" s="349"/>
      <c r="J214" s="291"/>
    </row>
    <row r="215" spans="1:10" ht="15" customHeight="1" x14ac:dyDescent="0.3">
      <c r="B215" s="344" t="s">
        <v>975</v>
      </c>
      <c r="D215" s="310"/>
      <c r="E215" s="342"/>
      <c r="F215" s="283"/>
      <c r="G215" s="346"/>
      <c r="H215" s="350">
        <f>D213*D226*(1.5+D201+D203+2)</f>
        <v>4375.3010187997497</v>
      </c>
      <c r="I215" s="350">
        <f>D213*D226*2+((D191+((D193+2+D191)/8)+6)*(D207+2)*D205)</f>
        <v>1078.0180162119414</v>
      </c>
      <c r="J215" s="349" t="s">
        <v>37</v>
      </c>
    </row>
    <row r="216" spans="1:10" ht="15" customHeight="1" x14ac:dyDescent="0.3">
      <c r="D216" s="310">
        <f>G100*D213+2</f>
        <v>169.80417268307099</v>
      </c>
      <c r="E216" s="342" t="s">
        <v>1</v>
      </c>
      <c r="F216" s="283"/>
      <c r="G216" s="346"/>
      <c r="H216" s="349"/>
      <c r="I216" s="351"/>
      <c r="J216" s="291"/>
    </row>
    <row r="217" spans="1:10" ht="15" customHeight="1" x14ac:dyDescent="0.3">
      <c r="D217" s="310"/>
      <c r="E217" s="342"/>
      <c r="F217" s="283"/>
      <c r="G217" s="346"/>
      <c r="H217" s="348" t="s">
        <v>976</v>
      </c>
      <c r="I217" s="349"/>
      <c r="J217" s="291"/>
    </row>
    <row r="218" spans="1:10" ht="15" customHeight="1" x14ac:dyDescent="0.3">
      <c r="B218" s="344" t="s">
        <v>977</v>
      </c>
      <c r="D218" s="310"/>
      <c r="E218" s="342"/>
      <c r="F218" s="283"/>
      <c r="G218" s="309"/>
      <c r="H218" s="350">
        <f>((PI()*D191^2/4*(D201+D203))+(D207*D205*(D197+2+(D199+D197)/8+4-D191/2))+((D213-(D207+3))*(D203+D201+2)*4)+(PI()*(1.2*E189)^2/4)*1.5)*1.1</f>
        <v>1053.83178872497</v>
      </c>
      <c r="I218" s="350">
        <f>(D207*D191*1)+((D191+2)*D207*1)+((D191+((D193+2+D191)/8)+5)*D205*D207)</f>
        <v>299.4009967089039</v>
      </c>
      <c r="J218" s="349" t="s">
        <v>37</v>
      </c>
    </row>
    <row r="219" spans="1:10" ht="15" customHeight="1" x14ac:dyDescent="0.3">
      <c r="D219" s="310"/>
      <c r="E219" s="342"/>
      <c r="F219" s="283"/>
      <c r="G219" s="309"/>
      <c r="I219" s="351"/>
      <c r="J219" s="291"/>
    </row>
    <row r="220" spans="1:10" ht="15" customHeight="1" x14ac:dyDescent="0.3">
      <c r="D220" s="310"/>
      <c r="E220" s="342"/>
      <c r="F220" s="283"/>
      <c r="G220" s="309"/>
      <c r="H220" s="343" t="s">
        <v>978</v>
      </c>
      <c r="I220" s="309"/>
      <c r="J220" s="291"/>
    </row>
    <row r="221" spans="1:10" ht="15" customHeight="1" x14ac:dyDescent="0.3">
      <c r="D221" s="310"/>
      <c r="E221" s="342"/>
      <c r="F221" s="283"/>
      <c r="G221" s="309"/>
      <c r="H221" s="350">
        <f>2*D222*(D226-4)</f>
        <v>1266.7404760040579</v>
      </c>
      <c r="I221" s="350">
        <f>2*D222*(D226-2)</f>
        <v>1417.7642314188217</v>
      </c>
      <c r="J221" s="349" t="s">
        <v>37</v>
      </c>
    </row>
    <row r="222" spans="1:10" ht="15" customHeight="1" x14ac:dyDescent="0.3">
      <c r="B222" s="307" t="s">
        <v>979</v>
      </c>
      <c r="C222" s="308" t="s">
        <v>980</v>
      </c>
      <c r="D222" s="310">
        <f>IF(G100&gt;3,2.25*D213,1.5*D213)</f>
        <v>37.755938853690971</v>
      </c>
      <c r="E222" s="342" t="s">
        <v>1</v>
      </c>
      <c r="F222" s="283"/>
      <c r="G222" s="309"/>
      <c r="H222" s="309"/>
      <c r="I222" s="291"/>
      <c r="J222" s="291"/>
    </row>
    <row r="223" spans="1:10" ht="15" customHeight="1" x14ac:dyDescent="0.25">
      <c r="B223" s="306"/>
      <c r="D223" s="310"/>
      <c r="E223" s="342"/>
      <c r="F223" s="283"/>
      <c r="G223" s="352"/>
      <c r="H223" s="309"/>
      <c r="I223" s="353"/>
      <c r="J223" s="291"/>
    </row>
    <row r="224" spans="1:10" ht="15" customHeight="1" x14ac:dyDescent="0.25">
      <c r="B224" s="344" t="s">
        <v>981</v>
      </c>
      <c r="D224" s="310"/>
      <c r="E224" s="342"/>
      <c r="F224" s="283"/>
      <c r="G224" s="309"/>
      <c r="H224" s="306"/>
      <c r="I224" s="306"/>
      <c r="J224" s="306"/>
    </row>
    <row r="225" spans="1:14" ht="15" customHeight="1" x14ac:dyDescent="0.3">
      <c r="B225" s="344"/>
      <c r="D225" s="310"/>
      <c r="E225" s="342"/>
      <c r="F225" s="283"/>
      <c r="G225" s="309"/>
      <c r="H225" s="309"/>
      <c r="I225" s="291"/>
      <c r="J225" s="291"/>
    </row>
    <row r="226" spans="1:14" ht="15" customHeight="1" x14ac:dyDescent="0.3">
      <c r="D226" s="354">
        <f>IF(hsrp2pwh!G147=1,D197+D199+C22+4,D193+D191+2*((D193+2+D191)/8)+7)</f>
        <v>20.775380436344559</v>
      </c>
      <c r="E226" s="342" t="s">
        <v>1</v>
      </c>
      <c r="F226" s="283"/>
      <c r="G226" s="346"/>
      <c r="H226" s="309"/>
      <c r="I226" s="291"/>
      <c r="J226" s="291"/>
    </row>
    <row r="227" spans="1:14" ht="15" customHeight="1" x14ac:dyDescent="0.3">
      <c r="C227" s="347" t="s">
        <v>982</v>
      </c>
      <c r="D227" s="310"/>
      <c r="E227" s="342"/>
      <c r="F227" s="283"/>
      <c r="G227" s="309"/>
      <c r="H227" s="309"/>
      <c r="I227" s="291"/>
      <c r="J227" s="291"/>
    </row>
    <row r="228" spans="1:14" ht="15" customHeight="1" x14ac:dyDescent="0.25">
      <c r="B228" s="306"/>
      <c r="C228" s="355"/>
      <c r="D228" s="306"/>
      <c r="E228" s="306"/>
      <c r="F228" s="306"/>
      <c r="G228" s="306"/>
      <c r="H228" s="306"/>
      <c r="I228" s="306"/>
      <c r="J228" s="290"/>
    </row>
    <row r="229" spans="1:14" ht="15" customHeight="1" x14ac:dyDescent="0.3">
      <c r="D229" s="310"/>
      <c r="E229" s="342"/>
      <c r="F229" s="283"/>
      <c r="G229" s="309"/>
      <c r="H229" s="309"/>
      <c r="I229" s="291"/>
      <c r="J229" s="291"/>
    </row>
    <row r="230" spans="1:14" ht="15" customHeight="1" x14ac:dyDescent="0.3">
      <c r="A230" s="291" t="s">
        <v>983</v>
      </c>
      <c r="E230" s="309"/>
      <c r="F230" s="283"/>
      <c r="G230" s="291"/>
      <c r="H230" s="291"/>
      <c r="I230" s="309"/>
    </row>
    <row r="231" spans="1:14" ht="15" customHeight="1" x14ac:dyDescent="0.3">
      <c r="E231" s="309"/>
      <c r="F231" s="283"/>
      <c r="G231" s="291"/>
      <c r="H231" s="291"/>
      <c r="I231" s="309"/>
    </row>
    <row r="232" spans="1:14" ht="15" customHeight="1" x14ac:dyDescent="0.3">
      <c r="A232" s="307" t="s">
        <v>877</v>
      </c>
      <c r="B232" s="284" t="s">
        <v>984</v>
      </c>
      <c r="E232" s="309"/>
      <c r="F232" s="283"/>
      <c r="G232" s="291"/>
      <c r="H232" s="291"/>
      <c r="I232" s="309"/>
    </row>
    <row r="233" spans="1:14" ht="15" customHeight="1" x14ac:dyDescent="0.3">
      <c r="B233" s="344" t="s">
        <v>985</v>
      </c>
      <c r="E233" s="309"/>
      <c r="G233" s="291"/>
      <c r="H233" s="291"/>
      <c r="I233" s="309"/>
    </row>
    <row r="234" spans="1:14" ht="15" customHeight="1" x14ac:dyDescent="0.3">
      <c r="B234" s="344"/>
      <c r="E234" s="309"/>
      <c r="G234" s="291"/>
      <c r="H234" s="291"/>
      <c r="I234" s="309"/>
    </row>
    <row r="235" spans="1:14" ht="15" customHeight="1" x14ac:dyDescent="0.3">
      <c r="B235" s="284" t="s">
        <v>986</v>
      </c>
      <c r="E235" s="309"/>
      <c r="F235" s="356"/>
      <c r="G235" s="291"/>
      <c r="H235" s="291"/>
      <c r="I235" s="309"/>
    </row>
    <row r="236" spans="1:14" ht="15" customHeight="1" x14ac:dyDescent="0.3">
      <c r="E236" s="312"/>
      <c r="F236" s="313">
        <f>IF(C30=1,(D216+D222+2*D213+2*0.6*E239)*D226*C34,IF(C30=2,0,"ERRO! Opcao invalida!"))</f>
        <v>0</v>
      </c>
      <c r="G236" s="291" t="s">
        <v>37</v>
      </c>
      <c r="I236" s="357"/>
      <c r="J236" s="290"/>
      <c r="N236" s="358"/>
    </row>
    <row r="237" spans="1:14" ht="15" customHeight="1" x14ac:dyDescent="0.3">
      <c r="E237" s="309"/>
      <c r="F237" s="283"/>
      <c r="G237" s="291"/>
      <c r="H237" s="291"/>
      <c r="I237" s="309"/>
    </row>
    <row r="238" spans="1:14" ht="15" customHeight="1" x14ac:dyDescent="0.3">
      <c r="B238" s="307" t="s">
        <v>921</v>
      </c>
      <c r="E238" s="309"/>
      <c r="F238" s="283"/>
      <c r="G238" s="291"/>
      <c r="H238" s="291"/>
      <c r="I238" s="309"/>
    </row>
    <row r="239" spans="1:14" ht="15" customHeight="1" x14ac:dyDescent="0.3">
      <c r="E239" s="335">
        <f>C33-C34-(C31+1.5)</f>
        <v>-621.5</v>
      </c>
      <c r="F239" s="283"/>
      <c r="G239" s="291"/>
      <c r="H239" s="291"/>
      <c r="I239" s="309"/>
    </row>
    <row r="240" spans="1:14" ht="15" customHeight="1" x14ac:dyDescent="0.3">
      <c r="E240" s="309"/>
      <c r="F240" s="283"/>
      <c r="G240" s="291"/>
      <c r="H240" s="291"/>
      <c r="I240" s="309"/>
    </row>
    <row r="241" spans="2:9" ht="15" customHeight="1" x14ac:dyDescent="0.3">
      <c r="B241" s="284" t="s">
        <v>987</v>
      </c>
      <c r="E241" s="312" t="s">
        <v>988</v>
      </c>
      <c r="F241" s="359">
        <v>0</v>
      </c>
      <c r="G241" s="284" t="s">
        <v>37</v>
      </c>
      <c r="H241" s="291"/>
      <c r="I241" s="309"/>
    </row>
    <row r="242" spans="2:9" ht="15" customHeight="1" x14ac:dyDescent="0.3">
      <c r="E242" s="309"/>
      <c r="F242" s="283"/>
      <c r="G242" s="291"/>
      <c r="H242" s="291"/>
      <c r="I242" s="309"/>
    </row>
    <row r="243" spans="2:9" ht="15" customHeight="1" x14ac:dyDescent="0.3">
      <c r="B243" s="344" t="s">
        <v>989</v>
      </c>
      <c r="E243" s="309"/>
      <c r="F243" s="283"/>
      <c r="G243" s="291"/>
      <c r="H243" s="291"/>
      <c r="I243" s="309"/>
    </row>
    <row r="244" spans="2:9" ht="15" customHeight="1" x14ac:dyDescent="0.3">
      <c r="E244" s="309"/>
      <c r="F244" s="283"/>
      <c r="G244" s="360"/>
      <c r="H244" s="291"/>
      <c r="I244" s="309"/>
    </row>
    <row r="245" spans="2:9" ht="15" customHeight="1" x14ac:dyDescent="0.3">
      <c r="D245" s="313">
        <f>IF(C30=1,G247+C35,IF(C30=2,0,"ERRO! Opcao invalida!"))</f>
        <v>0</v>
      </c>
      <c r="E245" s="291" t="s">
        <v>37</v>
      </c>
    </row>
    <row r="246" spans="2:9" ht="15" customHeight="1" x14ac:dyDescent="0.3">
      <c r="E246" s="309"/>
      <c r="F246" s="283"/>
      <c r="G246" s="291"/>
      <c r="H246" s="291"/>
      <c r="I246" s="309"/>
    </row>
    <row r="247" spans="2:9" ht="15" customHeight="1" x14ac:dyDescent="0.3">
      <c r="B247" s="307" t="s">
        <v>913</v>
      </c>
      <c r="E247" s="309"/>
      <c r="F247" s="283"/>
      <c r="G247" s="356">
        <f>(D216+D222+2*D213+0.6*E239)*D226*E239</f>
        <v>1701517.8268659492</v>
      </c>
      <c r="H247" s="284" t="s">
        <v>37</v>
      </c>
      <c r="I247" s="309"/>
    </row>
    <row r="248" spans="2:9" ht="15" customHeight="1" x14ac:dyDescent="0.3">
      <c r="E248" s="309"/>
      <c r="F248" s="283"/>
      <c r="G248" s="291"/>
      <c r="H248" s="291"/>
      <c r="I248" s="309"/>
    </row>
    <row r="249" spans="2:9" ht="15" customHeight="1" x14ac:dyDescent="0.3">
      <c r="B249" s="344" t="s">
        <v>990</v>
      </c>
      <c r="E249" s="309"/>
      <c r="F249" s="283"/>
      <c r="G249" s="291"/>
      <c r="H249" s="291"/>
      <c r="I249" s="309"/>
    </row>
    <row r="250" spans="2:9" ht="15" customHeight="1" x14ac:dyDescent="0.25">
      <c r="B250" s="306"/>
      <c r="E250" s="309"/>
      <c r="F250" s="283"/>
      <c r="G250" s="356"/>
      <c r="I250" s="309"/>
    </row>
    <row r="251" spans="2:9" ht="15" customHeight="1" x14ac:dyDescent="0.3">
      <c r="E251" s="309"/>
      <c r="F251" s="313">
        <f>IF(C30=2,D216*D226*2*D226+D222*D226*D226,IF(C30=1,0,"ERRO! Opcao invalida!"))*L291</f>
        <v>305536.19084073772</v>
      </c>
      <c r="G251" s="291" t="s">
        <v>37</v>
      </c>
      <c r="H251" s="291" t="str">
        <f>IF(C30=2,"",IF(C30=1,"===&gt; A casa de força nao e subterranea.","ERRO! Opcao invalida!"))</f>
        <v/>
      </c>
      <c r="I251" s="309"/>
    </row>
    <row r="252" spans="2:9" ht="15" customHeight="1" x14ac:dyDescent="0.3">
      <c r="E252" s="309"/>
      <c r="F252" s="313"/>
      <c r="G252" s="291"/>
      <c r="H252" s="291"/>
      <c r="I252" s="309"/>
    </row>
    <row r="253" spans="2:9" ht="15" customHeight="1" x14ac:dyDescent="0.25">
      <c r="B253" s="295" t="s">
        <v>991</v>
      </c>
      <c r="C253" s="295"/>
      <c r="D253" s="295"/>
      <c r="E253" s="295"/>
      <c r="F253" s="313"/>
      <c r="G253" s="291"/>
      <c r="H253" s="291"/>
      <c r="I253" s="309"/>
    </row>
    <row r="254" spans="2:9" ht="15" customHeight="1" x14ac:dyDescent="0.25">
      <c r="B254" s="295"/>
      <c r="C254" s="295"/>
      <c r="D254" s="295"/>
      <c r="E254" s="295"/>
      <c r="F254" s="313"/>
      <c r="G254" s="291"/>
      <c r="H254" s="291"/>
      <c r="I254" s="309"/>
    </row>
    <row r="255" spans="2:9" ht="15" customHeight="1" x14ac:dyDescent="0.25">
      <c r="B255" s="295"/>
      <c r="C255" s="295">
        <f>IF(C30=2,$D$226^2,0)</f>
        <v>431.61643227484825</v>
      </c>
      <c r="D255" s="295" t="s">
        <v>38</v>
      </c>
      <c r="E255" s="295"/>
      <c r="F255" s="313"/>
      <c r="G255" s="291"/>
      <c r="H255" s="291"/>
      <c r="I255" s="309"/>
    </row>
    <row r="256" spans="2:9" ht="15" customHeight="1" x14ac:dyDescent="0.25">
      <c r="B256" s="295"/>
      <c r="C256" s="295"/>
      <c r="D256" s="295"/>
      <c r="E256" s="295"/>
      <c r="F256" s="313"/>
      <c r="G256" s="291"/>
      <c r="H256" s="291"/>
      <c r="I256" s="309"/>
    </row>
    <row r="257" spans="1:9" ht="15" customHeight="1" x14ac:dyDescent="0.25">
      <c r="B257" s="267" t="s">
        <v>992</v>
      </c>
      <c r="C257" s="361"/>
      <c r="D257" s="362"/>
      <c r="E257" s="306"/>
      <c r="F257" s="356"/>
      <c r="H257" s="291"/>
      <c r="I257" s="309"/>
    </row>
    <row r="258" spans="1:9" ht="15" customHeight="1" x14ac:dyDescent="0.25">
      <c r="B258" s="267"/>
      <c r="C258" s="361"/>
      <c r="D258" s="362"/>
      <c r="E258" s="306"/>
      <c r="F258" s="283"/>
      <c r="G258" s="291"/>
      <c r="H258" s="291"/>
      <c r="I258" s="309"/>
    </row>
    <row r="259" spans="1:9" ht="15" customHeight="1" x14ac:dyDescent="0.25">
      <c r="B259" s="267"/>
      <c r="C259" s="361"/>
      <c r="D259" s="305" t="str">
        <f>IF(C255=0,0,IF(AND(C255&gt;=4,C255&lt;=300),474.08*C255^(-0.3987),"                                          Area de escavacao fora da validade do grafico B33."))</f>
        <v xml:space="preserve">                                          Area de escavacao fora da validade do grafico B33.</v>
      </c>
      <c r="E259" s="75"/>
      <c r="F259" s="283"/>
      <c r="G259" s="291"/>
      <c r="H259" s="291"/>
      <c r="I259" s="309"/>
    </row>
    <row r="260" spans="1:9" ht="15" customHeight="1" x14ac:dyDescent="0.25">
      <c r="B260" s="295"/>
      <c r="C260" s="295"/>
      <c r="D260" s="295"/>
      <c r="E260" s="295"/>
      <c r="F260" s="283"/>
      <c r="G260" s="291"/>
      <c r="H260" s="291"/>
      <c r="I260" s="309"/>
    </row>
    <row r="261" spans="1:9" ht="15" customHeight="1" x14ac:dyDescent="0.3">
      <c r="A261" s="307" t="s">
        <v>880</v>
      </c>
      <c r="B261" s="284" t="s">
        <v>993</v>
      </c>
      <c r="E261" s="309"/>
      <c r="F261" s="283"/>
      <c r="G261" s="291"/>
      <c r="H261" s="291"/>
      <c r="I261" s="309"/>
    </row>
    <row r="262" spans="1:9" ht="15" customHeight="1" x14ac:dyDescent="0.3">
      <c r="E262" s="309"/>
      <c r="F262" s="283"/>
      <c r="G262" s="291"/>
      <c r="H262" s="291"/>
      <c r="I262" s="309"/>
    </row>
    <row r="263" spans="1:9" ht="15" customHeight="1" x14ac:dyDescent="0.3">
      <c r="B263" s="344" t="s">
        <v>994</v>
      </c>
      <c r="E263" s="309"/>
      <c r="F263" s="283"/>
      <c r="G263" s="291"/>
      <c r="H263" s="291"/>
      <c r="I263" s="309"/>
    </row>
    <row r="264" spans="1:9" ht="15" customHeight="1" x14ac:dyDescent="0.3">
      <c r="E264" s="309"/>
      <c r="F264" s="283"/>
      <c r="G264" s="291"/>
      <c r="H264" s="291"/>
      <c r="I264" s="309"/>
    </row>
    <row r="265" spans="1:9" ht="15" customHeight="1" x14ac:dyDescent="0.3">
      <c r="D265" s="313">
        <f>(D216+D222)*D226</f>
        <v>4312.140280586339</v>
      </c>
      <c r="E265" s="291" t="s">
        <v>38</v>
      </c>
      <c r="G265" s="346"/>
      <c r="H265" s="291"/>
      <c r="I265" s="309"/>
    </row>
    <row r="266" spans="1:9" ht="15" customHeight="1" x14ac:dyDescent="0.3">
      <c r="E266" s="309"/>
      <c r="F266" s="283"/>
      <c r="G266" s="291"/>
      <c r="H266" s="291"/>
      <c r="I266" s="309"/>
    </row>
    <row r="267" spans="1:9" ht="15" customHeight="1" x14ac:dyDescent="0.3">
      <c r="B267" s="344" t="s">
        <v>995</v>
      </c>
      <c r="E267" s="309"/>
      <c r="F267" s="283"/>
      <c r="G267" s="291"/>
      <c r="H267" s="291"/>
      <c r="I267" s="309"/>
    </row>
    <row r="268" spans="1:9" ht="15" customHeight="1" x14ac:dyDescent="0.3">
      <c r="E268" s="309"/>
      <c r="F268" s="283"/>
      <c r="G268" s="291"/>
      <c r="H268" s="291"/>
      <c r="I268" s="309"/>
    </row>
    <row r="269" spans="1:9" ht="15" customHeight="1" x14ac:dyDescent="0.25">
      <c r="B269" s="284" t="s">
        <v>996</v>
      </c>
      <c r="D269" s="306"/>
      <c r="E269" s="307" t="s">
        <v>854</v>
      </c>
      <c r="F269" s="313">
        <f>C24</f>
        <v>0</v>
      </c>
      <c r="G269" s="291" t="s">
        <v>1</v>
      </c>
      <c r="H269" s="291"/>
      <c r="I269" s="309"/>
    </row>
    <row r="270" spans="1:9" ht="15" customHeight="1" x14ac:dyDescent="0.3">
      <c r="E270" s="309"/>
      <c r="F270" s="283"/>
      <c r="G270" s="291"/>
      <c r="H270" s="291"/>
      <c r="I270" s="309"/>
    </row>
    <row r="271" spans="1:9" ht="15" customHeight="1" x14ac:dyDescent="0.3">
      <c r="B271" s="284" t="s">
        <v>997</v>
      </c>
      <c r="E271" s="309"/>
      <c r="F271" s="283"/>
      <c r="G271" s="291"/>
      <c r="H271" s="291"/>
      <c r="I271" s="309"/>
    </row>
    <row r="272" spans="1:9" ht="15" customHeight="1" x14ac:dyDescent="0.3">
      <c r="E272" s="309"/>
      <c r="F272" s="283"/>
      <c r="G272" s="291"/>
      <c r="H272" s="291"/>
      <c r="I272" s="309"/>
    </row>
    <row r="273" spans="1:13" ht="15" customHeight="1" x14ac:dyDescent="0.35">
      <c r="B273" s="363" t="s">
        <v>998</v>
      </c>
      <c r="C273" s="364">
        <v>39.700000000000003</v>
      </c>
      <c r="D273" s="364" t="s">
        <v>999</v>
      </c>
      <c r="E273" s="295" t="s">
        <v>1000</v>
      </c>
      <c r="F273" s="295"/>
      <c r="G273" s="305"/>
      <c r="H273" s="291"/>
      <c r="I273" s="309"/>
    </row>
    <row r="274" spans="1:13" ht="15" customHeight="1" x14ac:dyDescent="0.35">
      <c r="B274" s="363" t="s">
        <v>1001</v>
      </c>
      <c r="C274" s="364">
        <v>168</v>
      </c>
      <c r="D274" s="364" t="s">
        <v>1002</v>
      </c>
      <c r="E274" s="295" t="s">
        <v>1003</v>
      </c>
      <c r="F274" s="295"/>
      <c r="G274" s="305"/>
      <c r="H274" s="291"/>
      <c r="I274" s="309"/>
    </row>
    <row r="275" spans="1:13" ht="15" customHeight="1" x14ac:dyDescent="0.35">
      <c r="B275" s="363" t="s">
        <v>1004</v>
      </c>
      <c r="C275" s="364">
        <v>72</v>
      </c>
      <c r="D275" s="364" t="s">
        <v>1002</v>
      </c>
      <c r="E275" s="295" t="s">
        <v>1005</v>
      </c>
      <c r="F275" s="295"/>
      <c r="G275" s="305"/>
      <c r="H275" s="291"/>
      <c r="I275" s="309"/>
    </row>
    <row r="276" spans="1:13" ht="15" customHeight="1" x14ac:dyDescent="0.25">
      <c r="B276" s="295"/>
      <c r="C276" s="295"/>
      <c r="D276" s="295"/>
      <c r="E276" s="295"/>
      <c r="F276" s="295"/>
      <c r="G276" s="305"/>
      <c r="H276" s="291"/>
      <c r="I276" s="309"/>
    </row>
    <row r="277" spans="1:13" ht="15" customHeight="1" x14ac:dyDescent="0.25">
      <c r="B277" s="295"/>
      <c r="C277" s="295"/>
      <c r="D277" s="295"/>
      <c r="E277" s="365">
        <f>C273*D265+C274*F269+C275*F269</f>
        <v>171191.96913927767</v>
      </c>
      <c r="F277" s="305" t="s">
        <v>41</v>
      </c>
      <c r="G277" s="306"/>
      <c r="H277" s="291"/>
      <c r="I277" s="309"/>
    </row>
    <row r="278" spans="1:13" ht="15" customHeight="1" x14ac:dyDescent="0.25">
      <c r="B278" s="295"/>
      <c r="C278" s="295"/>
      <c r="D278" s="295"/>
      <c r="E278" s="295"/>
      <c r="F278" s="295"/>
      <c r="G278" s="305"/>
      <c r="H278" s="291"/>
      <c r="I278" s="309"/>
    </row>
    <row r="279" spans="1:13" ht="15" customHeight="1" x14ac:dyDescent="0.25">
      <c r="B279" s="295"/>
      <c r="C279" s="295"/>
      <c r="D279" s="295"/>
      <c r="E279" s="295"/>
      <c r="F279" s="295"/>
      <c r="G279" s="305"/>
      <c r="H279" s="291"/>
      <c r="I279" s="309"/>
    </row>
    <row r="280" spans="1:13" ht="15" customHeight="1" x14ac:dyDescent="0.3">
      <c r="A280" s="307" t="s">
        <v>883</v>
      </c>
      <c r="B280" s="284" t="s">
        <v>1006</v>
      </c>
      <c r="E280" s="309"/>
      <c r="F280" s="283"/>
      <c r="G280" s="291"/>
      <c r="H280" s="291"/>
      <c r="I280" s="309"/>
    </row>
    <row r="281" spans="1:13" ht="15" customHeight="1" x14ac:dyDescent="0.3">
      <c r="E281" s="309"/>
      <c r="F281" s="283"/>
      <c r="G281" s="291"/>
      <c r="H281" s="291"/>
      <c r="I281" s="309"/>
    </row>
    <row r="282" spans="1:13" ht="15" customHeight="1" x14ac:dyDescent="0.3">
      <c r="B282" s="284" t="s">
        <v>1007</v>
      </c>
      <c r="E282"/>
      <c r="G282" s="309"/>
    </row>
    <row r="283" spans="1:13" ht="15" customHeight="1" x14ac:dyDescent="0.3">
      <c r="B283"/>
      <c r="E283"/>
      <c r="F283" s="279" t="s">
        <v>1008</v>
      </c>
      <c r="G283" s="279" t="s">
        <v>1009</v>
      </c>
    </row>
    <row r="284" spans="1:13" ht="15" customHeight="1" x14ac:dyDescent="0.3">
      <c r="B284"/>
      <c r="C284" s="327"/>
      <c r="D284" s="327"/>
      <c r="E284" s="366"/>
      <c r="F284" s="326" t="s">
        <v>1010</v>
      </c>
      <c r="G284" s="326" t="s">
        <v>1010</v>
      </c>
    </row>
    <row r="285" spans="1:13" ht="15" customHeight="1" x14ac:dyDescent="0.3">
      <c r="B285"/>
      <c r="C285" s="284" t="s">
        <v>1011</v>
      </c>
      <c r="E285"/>
      <c r="F285" s="367">
        <v>270</v>
      </c>
      <c r="G285" s="367">
        <v>50</v>
      </c>
    </row>
    <row r="286" spans="1:13" ht="15" customHeight="1" x14ac:dyDescent="0.3">
      <c r="B286"/>
      <c r="C286" s="284" t="s">
        <v>1012</v>
      </c>
      <c r="E286"/>
      <c r="F286" s="368">
        <v>200</v>
      </c>
      <c r="G286" s="368"/>
      <c r="L286" t="s">
        <v>1196</v>
      </c>
      <c r="M286"/>
    </row>
    <row r="287" spans="1:13" ht="15" customHeight="1" x14ac:dyDescent="0.3">
      <c r="B287"/>
      <c r="C287" s="333" t="s">
        <v>1013</v>
      </c>
      <c r="D287" s="327"/>
      <c r="E287" s="366"/>
      <c r="F287" s="369">
        <v>300</v>
      </c>
      <c r="G287" s="369">
        <v>100</v>
      </c>
      <c r="L287" s="208">
        <v>1.4</v>
      </c>
      <c r="M287" s="208">
        <v>1000</v>
      </c>
    </row>
    <row r="288" spans="1:13" ht="15" customHeight="1" x14ac:dyDescent="0.3">
      <c r="D288" s="317"/>
      <c r="F288" s="309"/>
      <c r="L288" s="208">
        <v>2.2999999999999998</v>
      </c>
      <c r="M288" s="208">
        <v>1800</v>
      </c>
    </row>
    <row r="289" spans="1:15" ht="15" customHeight="1" x14ac:dyDescent="0.3">
      <c r="B289" s="284" t="s">
        <v>1014</v>
      </c>
    </row>
    <row r="290" spans="1:15" ht="15" customHeight="1" x14ac:dyDescent="0.3">
      <c r="B290"/>
      <c r="E290"/>
      <c r="F290" s="279" t="s">
        <v>1008</v>
      </c>
      <c r="G290" s="279" t="s">
        <v>1009</v>
      </c>
      <c r="H290" s="370" t="s">
        <v>1015</v>
      </c>
      <c r="I290" s="370"/>
      <c r="J290" s="370"/>
      <c r="L290" t="s">
        <v>1195</v>
      </c>
    </row>
    <row r="291" spans="1:15" ht="15" customHeight="1" x14ac:dyDescent="0.3">
      <c r="B291"/>
      <c r="E291"/>
      <c r="F291" s="283"/>
      <c r="G291" s="283"/>
      <c r="H291" s="371" t="s">
        <v>1016</v>
      </c>
      <c r="I291" s="372" t="s">
        <v>1017</v>
      </c>
      <c r="J291" s="372" t="s">
        <v>1018</v>
      </c>
      <c r="L291" s="490">
        <f>IF(D61&lt;100,1.4,0.001125*D61+0.275)</f>
        <v>1.8758749999999997</v>
      </c>
    </row>
    <row r="292" spans="1:15" ht="15" customHeight="1" x14ac:dyDescent="0.3">
      <c r="B292"/>
      <c r="C292" s="327"/>
      <c r="D292" s="327"/>
      <c r="E292" s="327"/>
      <c r="F292" s="326" t="s">
        <v>40</v>
      </c>
      <c r="G292" s="326" t="s">
        <v>40</v>
      </c>
      <c r="H292" s="373" t="s">
        <v>37</v>
      </c>
      <c r="I292" s="373" t="s">
        <v>1019</v>
      </c>
      <c r="J292" s="373" t="s">
        <v>41</v>
      </c>
    </row>
    <row r="293" spans="1:15" ht="15" customHeight="1" x14ac:dyDescent="0.3">
      <c r="B293"/>
      <c r="C293" s="284" t="s">
        <v>1011</v>
      </c>
      <c r="F293" s="374">
        <f>H293*F285/1000</f>
        <v>9309.986849723</v>
      </c>
      <c r="G293" s="374">
        <f>H293*G285/1000</f>
        <v>1724.0716388375927</v>
      </c>
      <c r="H293" s="375">
        <f>IF(hsrp2pwh!G147=1,G100*(H215-H218)+H221,G100*(I215-I218)+I221)</f>
        <v>34481.432776751855</v>
      </c>
      <c r="I293" s="376">
        <v>214</v>
      </c>
      <c r="J293" s="372">
        <f>H293*I293</f>
        <v>7379026.6142248968</v>
      </c>
      <c r="L293" s="187" t="s">
        <v>1020</v>
      </c>
    </row>
    <row r="294" spans="1:15" ht="15" customHeight="1" x14ac:dyDescent="0.3">
      <c r="B294"/>
      <c r="C294" s="284" t="s">
        <v>1012</v>
      </c>
      <c r="F294" s="374">
        <f>H294*F286/1000</f>
        <v>0</v>
      </c>
      <c r="G294" s="374">
        <f>H294*G286/1000</f>
        <v>0</v>
      </c>
      <c r="H294" s="375">
        <f>C26</f>
        <v>0</v>
      </c>
      <c r="I294" s="376">
        <v>113</v>
      </c>
      <c r="J294" s="372">
        <f>H294*I294</f>
        <v>0</v>
      </c>
      <c r="L294" s="377"/>
    </row>
    <row r="295" spans="1:15" ht="15" customHeight="1" x14ac:dyDescent="0.3">
      <c r="B295"/>
      <c r="C295" s="309" t="s">
        <v>1013</v>
      </c>
      <c r="F295" s="374">
        <f>H295*F287/1000</f>
        <v>2068.8859666051117</v>
      </c>
      <c r="G295" s="374">
        <f>H295*G287/1000</f>
        <v>689.62865553503718</v>
      </c>
      <c r="H295" s="375">
        <f>0.2*H293</f>
        <v>6896.2865553503716</v>
      </c>
      <c r="I295" s="378">
        <v>214</v>
      </c>
      <c r="J295" s="379">
        <f>H295*I295</f>
        <v>1475805.3228449796</v>
      </c>
      <c r="L295" s="187" t="s">
        <v>1021</v>
      </c>
    </row>
    <row r="296" spans="1:15" ht="15" customHeight="1" x14ac:dyDescent="0.3">
      <c r="B296"/>
      <c r="C296" s="380" t="s">
        <v>1022</v>
      </c>
      <c r="D296" s="381"/>
      <c r="E296" s="381"/>
      <c r="F296" s="382">
        <f>SUM(F293:F295)</f>
        <v>11378.872816328112</v>
      </c>
      <c r="G296" s="382">
        <f>SUM(G293:G295)</f>
        <v>2413.7002943726297</v>
      </c>
      <c r="H296" s="382">
        <f>SUM(H293:H295)*L291</f>
        <v>77619.429252107249</v>
      </c>
      <c r="I296" s="382" t="s">
        <v>923</v>
      </c>
      <c r="J296" s="382">
        <f>SUM(J293:J295)</f>
        <v>8854831.9370698761</v>
      </c>
      <c r="L296" s="187" t="s">
        <v>1023</v>
      </c>
    </row>
    <row r="297" spans="1:15" ht="15" customHeight="1" x14ac:dyDescent="0.3">
      <c r="B297" s="377"/>
      <c r="D297" s="317"/>
      <c r="E297" s="317"/>
      <c r="F297" s="317"/>
    </row>
    <row r="298" spans="1:15" ht="15" customHeight="1" x14ac:dyDescent="0.3">
      <c r="B298"/>
      <c r="C298" s="341" t="s">
        <v>1024</v>
      </c>
      <c r="D298" s="361">
        <f>J296/H296</f>
        <v>114.08009595522091</v>
      </c>
      <c r="E298" s="383" t="s">
        <v>1019</v>
      </c>
      <c r="F298" s="383" t="s">
        <v>1025</v>
      </c>
      <c r="L298" t="s">
        <v>1194</v>
      </c>
      <c r="O298" s="489">
        <f>IF(OR(C30=1),0,0.1*((D216+D222)*3*D226+2*D226*D226))*L291</f>
        <v>2588.6425396321856</v>
      </c>
    </row>
    <row r="299" spans="1:15" ht="15" customHeight="1" x14ac:dyDescent="0.25">
      <c r="B299" s="295"/>
      <c r="E299" s="309"/>
      <c r="F299" s="283"/>
      <c r="G299" s="291"/>
      <c r="H299" s="291"/>
      <c r="I299" s="309"/>
    </row>
    <row r="300" spans="1:15" ht="15" customHeight="1" x14ac:dyDescent="0.25">
      <c r="A300" s="363" t="s">
        <v>885</v>
      </c>
      <c r="B300" s="295" t="s">
        <v>1026</v>
      </c>
      <c r="C300" s="295"/>
      <c r="D300" s="295"/>
      <c r="E300" s="295"/>
      <c r="F300" s="295"/>
      <c r="G300" s="295"/>
      <c r="H300" s="295"/>
      <c r="I300" s="295"/>
      <c r="J300" s="295"/>
      <c r="K300" s="295"/>
    </row>
    <row r="301" spans="1:15" ht="15" customHeight="1" x14ac:dyDescent="0.25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</row>
    <row r="302" spans="1:15" ht="15" customHeight="1" x14ac:dyDescent="0.25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</row>
    <row r="303" spans="1:15" ht="15" customHeight="1" x14ac:dyDescent="0.25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</row>
    <row r="304" spans="1:15" ht="15" customHeight="1" x14ac:dyDescent="0.25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</row>
    <row r="305" spans="1:11" ht="15" customHeight="1" x14ac:dyDescent="0.25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</row>
    <row r="306" spans="1:11" ht="15" customHeight="1" x14ac:dyDescent="0.25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</row>
    <row r="307" spans="1:11" ht="15" customHeight="1" x14ac:dyDescent="0.25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</row>
    <row r="308" spans="1:11" ht="15" customHeight="1" x14ac:dyDescent="0.25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</row>
    <row r="309" spans="1:11" ht="15" customHeight="1" x14ac:dyDescent="0.25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</row>
    <row r="310" spans="1:11" ht="15" customHeight="1" x14ac:dyDescent="0.25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</row>
    <row r="311" spans="1:11" ht="15" customHeight="1" x14ac:dyDescent="0.25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</row>
    <row r="312" spans="1:11" ht="15" customHeight="1" x14ac:dyDescent="0.25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</row>
    <row r="313" spans="1:11" ht="15" customHeight="1" x14ac:dyDescent="0.25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</row>
    <row r="314" spans="1:11" ht="15" customHeight="1" x14ac:dyDescent="0.25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</row>
    <row r="315" spans="1:11" ht="15" customHeight="1" x14ac:dyDescent="0.25">
      <c r="A315" s="295"/>
      <c r="B315" s="295" t="s">
        <v>1027</v>
      </c>
      <c r="C315" s="295"/>
      <c r="D315" s="295"/>
      <c r="E315" s="295"/>
      <c r="F315" s="295"/>
      <c r="G315" s="295"/>
      <c r="H315" s="295"/>
      <c r="I315" s="295"/>
      <c r="J315" s="295"/>
      <c r="K315" s="295"/>
    </row>
    <row r="316" spans="1:11" ht="15" customHeight="1" x14ac:dyDescent="0.25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</row>
    <row r="317" spans="1:11" ht="15" customHeight="1" x14ac:dyDescent="0.25">
      <c r="A317" s="295"/>
      <c r="B317" s="295"/>
      <c r="C317" s="295"/>
      <c r="D317" s="295"/>
      <c r="E317" s="365">
        <f>IF(AND(C111&gt;=30,C111&lt;=1450),1565*C111+772973,1565*30+772973)</f>
        <v>2650973</v>
      </c>
      <c r="F317" s="305" t="s">
        <v>41</v>
      </c>
      <c r="G317" s="295"/>
      <c r="H317" s="295"/>
      <c r="I317" s="384" t="s">
        <v>1028</v>
      </c>
      <c r="J317" s="295"/>
      <c r="K317" s="295"/>
    </row>
    <row r="318" spans="1:11" ht="15" customHeight="1" x14ac:dyDescent="0.25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</row>
    <row r="319" spans="1:11" ht="15" customHeight="1" x14ac:dyDescent="0.25">
      <c r="A319" s="363" t="s">
        <v>888</v>
      </c>
      <c r="B319" s="295" t="s">
        <v>1029</v>
      </c>
      <c r="C319" s="295"/>
      <c r="D319" s="295"/>
      <c r="E319" s="295"/>
      <c r="F319" s="295"/>
      <c r="G319" s="295"/>
      <c r="H319" s="295"/>
      <c r="I319" s="295"/>
      <c r="J319" s="295"/>
      <c r="K319" s="295"/>
    </row>
    <row r="320" spans="1:11" ht="15" customHeight="1" x14ac:dyDescent="0.25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</row>
    <row r="321" spans="1:11" ht="15" customHeight="1" x14ac:dyDescent="0.25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</row>
    <row r="322" spans="1:11" ht="15" customHeight="1" x14ac:dyDescent="0.25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</row>
    <row r="323" spans="1:11" ht="15" customHeight="1" x14ac:dyDescent="0.25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</row>
    <row r="324" spans="1:11" ht="15" customHeight="1" x14ac:dyDescent="0.25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</row>
    <row r="325" spans="1:11" ht="15" customHeight="1" x14ac:dyDescent="0.25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</row>
    <row r="326" spans="1:11" ht="15" customHeight="1" x14ac:dyDescent="0.25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</row>
    <row r="327" spans="1:11" ht="15" customHeight="1" x14ac:dyDescent="0.25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</row>
    <row r="328" spans="1:11" ht="15" customHeight="1" x14ac:dyDescent="0.25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</row>
    <row r="329" spans="1:11" ht="15" customHeight="1" x14ac:dyDescent="0.25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</row>
    <row r="330" spans="1:11" ht="15" customHeight="1" x14ac:dyDescent="0.25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</row>
    <row r="331" spans="1:11" ht="15" customHeight="1" x14ac:dyDescent="0.25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</row>
    <row r="332" spans="1:11" ht="15" customHeight="1" x14ac:dyDescent="0.25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</row>
    <row r="333" spans="1:11" ht="15" customHeight="1" x14ac:dyDescent="0.25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</row>
    <row r="334" spans="1:11" ht="15" customHeight="1" x14ac:dyDescent="0.25">
      <c r="A334" s="295"/>
      <c r="B334" s="295" t="s">
        <v>1030</v>
      </c>
      <c r="C334" s="295"/>
      <c r="D334" s="295"/>
      <c r="E334" s="295"/>
      <c r="F334" s="295"/>
      <c r="G334" s="295"/>
      <c r="H334" s="295"/>
      <c r="I334" s="295"/>
      <c r="J334" s="295"/>
      <c r="K334" s="295"/>
    </row>
    <row r="335" spans="1:11" ht="15" customHeight="1" x14ac:dyDescent="0.25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</row>
    <row r="336" spans="1:11" ht="15" customHeight="1" x14ac:dyDescent="0.25">
      <c r="A336" s="295"/>
      <c r="B336" s="295"/>
      <c r="C336" s="295"/>
      <c r="D336" s="365">
        <f>IF(AND(C111&gt;=30,C111&lt;=1450),6190*C111^(1+15.34/C111),6190*30^(1+15.34/30))</f>
        <v>8132687.6976291174</v>
      </c>
      <c r="E336" s="305" t="s">
        <v>41</v>
      </c>
      <c r="F336" s="306"/>
      <c r="G336" s="295"/>
      <c r="H336" s="295"/>
      <c r="I336" s="384" t="s">
        <v>1028</v>
      </c>
      <c r="J336" s="295"/>
      <c r="K336" s="295"/>
    </row>
    <row r="337" spans="1:31" ht="15" customHeight="1" x14ac:dyDescent="0.25">
      <c r="A337" s="295"/>
      <c r="B337" s="295"/>
      <c r="C337" s="295"/>
      <c r="D337" s="295"/>
      <c r="E337" s="305"/>
      <c r="F337" s="305"/>
      <c r="G337" s="295"/>
      <c r="H337" s="295"/>
      <c r="I337" s="295"/>
      <c r="J337" s="295"/>
      <c r="K337" s="295"/>
    </row>
    <row r="338" spans="1:31" ht="15" customHeight="1" x14ac:dyDescent="0.25">
      <c r="A338" s="295"/>
      <c r="B338" s="295"/>
      <c r="C338" s="295"/>
      <c r="D338" s="295"/>
      <c r="E338" s="305"/>
      <c r="F338" s="305"/>
      <c r="G338" s="295"/>
      <c r="H338" s="295"/>
      <c r="I338" s="295"/>
      <c r="J338" s="295"/>
      <c r="K338" s="295"/>
    </row>
    <row r="339" spans="1:31" ht="15" customHeight="1" x14ac:dyDescent="0.25">
      <c r="A339" s="363" t="s">
        <v>918</v>
      </c>
      <c r="B339" s="295" t="s">
        <v>1031</v>
      </c>
      <c r="C339" s="295"/>
      <c r="D339" s="295"/>
      <c r="E339" s="305"/>
      <c r="F339" s="305"/>
      <c r="G339" s="295"/>
      <c r="H339" s="295"/>
      <c r="I339" s="295"/>
      <c r="J339" s="295"/>
      <c r="K339" s="295"/>
      <c r="N339" s="310" t="s">
        <v>1032</v>
      </c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  <c r="AA339" s="335"/>
      <c r="AB339" s="335"/>
      <c r="AC339" s="335"/>
      <c r="AD339" s="335"/>
      <c r="AE339" s="335"/>
    </row>
    <row r="340" spans="1:31" ht="15" customHeight="1" x14ac:dyDescent="0.25">
      <c r="A340" s="363"/>
      <c r="B340" s="295"/>
      <c r="C340" s="295"/>
      <c r="D340" s="295"/>
      <c r="E340" s="305"/>
      <c r="F340" s="305"/>
      <c r="G340" s="295"/>
      <c r="H340" s="295"/>
      <c r="I340" s="295"/>
      <c r="J340" s="295"/>
      <c r="K340" s="29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  <c r="AA340" s="335"/>
      <c r="AB340" s="335"/>
      <c r="AC340" s="335"/>
      <c r="AD340" s="335"/>
      <c r="AE340" s="335"/>
    </row>
    <row r="341" spans="1:31" ht="15" customHeight="1" x14ac:dyDescent="0.25">
      <c r="A341" s="295"/>
      <c r="B341" s="385" t="s">
        <v>1033</v>
      </c>
      <c r="C341" s="295"/>
      <c r="D341" s="295"/>
      <c r="E341" s="305"/>
      <c r="F341" s="305"/>
      <c r="G341" s="295"/>
      <c r="H341" s="295"/>
      <c r="I341" s="295"/>
      <c r="J341" s="295"/>
      <c r="K341" s="29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  <c r="AA341" s="335"/>
      <c r="AB341" s="335"/>
      <c r="AC341" s="335"/>
      <c r="AD341" s="335"/>
      <c r="AE341" s="335"/>
    </row>
    <row r="342" spans="1:31" ht="15" customHeight="1" x14ac:dyDescent="0.25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N342" s="310" t="s">
        <v>1034</v>
      </c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  <c r="AA342" s="335"/>
      <c r="AB342" s="335"/>
      <c r="AC342" s="335"/>
      <c r="AD342" s="335"/>
      <c r="AE342" s="335"/>
    </row>
    <row r="343" spans="1:31" ht="15" customHeight="1" x14ac:dyDescent="0.35">
      <c r="A343" s="295"/>
      <c r="B343" s="295" t="s">
        <v>1035</v>
      </c>
      <c r="C343" s="306"/>
      <c r="D343" s="306"/>
      <c r="E343" s="295" t="s">
        <v>862</v>
      </c>
      <c r="F343" s="365">
        <f>C29</f>
        <v>2072424.6277490878</v>
      </c>
      <c r="G343" s="305" t="s">
        <v>1036</v>
      </c>
      <c r="H343" s="295"/>
      <c r="I343" s="295"/>
      <c r="J343" s="295"/>
      <c r="K343" s="295"/>
      <c r="N343" s="335" t="s">
        <v>65</v>
      </c>
      <c r="O343" s="335">
        <f>C11</f>
        <v>1200</v>
      </c>
      <c r="P343" s="335" t="s">
        <v>2</v>
      </c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  <c r="AA343" s="335"/>
      <c r="AB343" s="335"/>
      <c r="AC343" s="335"/>
      <c r="AD343" s="335"/>
      <c r="AE343" s="335"/>
    </row>
    <row r="344" spans="1:31" ht="27" customHeight="1" x14ac:dyDescent="0.25">
      <c r="A344" s="386"/>
      <c r="B344" s="503" t="s">
        <v>1037</v>
      </c>
      <c r="C344" s="503"/>
      <c r="D344" s="503"/>
      <c r="E344" s="503"/>
      <c r="F344" s="295"/>
      <c r="G344" s="305" t="s">
        <v>1036</v>
      </c>
      <c r="H344" s="295"/>
      <c r="I344" s="295"/>
      <c r="J344" s="295"/>
      <c r="K344" s="295"/>
      <c r="N344" s="335" t="s">
        <v>1038</v>
      </c>
      <c r="O344" s="335">
        <f>C167</f>
        <v>600</v>
      </c>
      <c r="P344" s="335" t="s">
        <v>951</v>
      </c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  <c r="AA344" s="335"/>
      <c r="AB344" s="335"/>
      <c r="AC344" s="335"/>
      <c r="AD344" s="335"/>
      <c r="AE344" s="335"/>
    </row>
    <row r="345" spans="1:31" ht="21" customHeight="1" x14ac:dyDescent="0.25">
      <c r="A345" s="295"/>
      <c r="B345" s="295" t="s">
        <v>1039</v>
      </c>
      <c r="C345" s="295"/>
      <c r="D345" s="295"/>
      <c r="E345" s="295"/>
      <c r="F345" s="295">
        <f>(F343+F344)*L381</f>
        <v>4571147.0014261631</v>
      </c>
      <c r="G345" s="305" t="s">
        <v>1036</v>
      </c>
      <c r="H345" s="295"/>
      <c r="I345" s="295"/>
      <c r="J345" s="295"/>
      <c r="K345" s="29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  <c r="AA345" s="335"/>
      <c r="AB345" s="335"/>
      <c r="AC345" s="335"/>
      <c r="AD345" s="335"/>
      <c r="AE345" s="335"/>
    </row>
    <row r="346" spans="1:31" ht="15" customHeight="1" x14ac:dyDescent="0.25">
      <c r="A346" s="295"/>
      <c r="B346" s="295"/>
      <c r="C346" s="295"/>
      <c r="D346" s="306"/>
      <c r="E346" s="306"/>
      <c r="F346" s="295"/>
      <c r="G346" s="295"/>
      <c r="H346" s="295"/>
      <c r="I346" s="295"/>
      <c r="J346" s="295"/>
      <c r="K346" s="295"/>
      <c r="N346" s="310" t="s">
        <v>385</v>
      </c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  <c r="AA346" s="335"/>
      <c r="AB346" s="335"/>
      <c r="AC346" s="335"/>
      <c r="AD346" s="335"/>
      <c r="AE346" s="335"/>
    </row>
    <row r="347" spans="1:31" ht="15" customHeight="1" x14ac:dyDescent="0.25">
      <c r="A347" s="295"/>
      <c r="B347" s="385" t="s">
        <v>1040</v>
      </c>
      <c r="C347" s="295"/>
      <c r="D347" s="295"/>
      <c r="E347" s="295"/>
      <c r="F347" s="295"/>
      <c r="G347" s="295"/>
      <c r="H347" s="295"/>
      <c r="I347" s="295"/>
      <c r="J347" s="295"/>
      <c r="K347" s="295"/>
      <c r="N347" s="335" t="s">
        <v>1041</v>
      </c>
      <c r="O347" s="387">
        <f>0.6*O348</f>
        <v>571.41658137006982</v>
      </c>
      <c r="P347" s="335" t="s">
        <v>40</v>
      </c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  <c r="AA347" s="335"/>
      <c r="AB347" s="335"/>
      <c r="AC347" s="335"/>
      <c r="AD347" s="335"/>
      <c r="AE347" s="335"/>
    </row>
    <row r="348" spans="1:31" ht="15" customHeight="1" x14ac:dyDescent="0.25">
      <c r="A348" s="295"/>
      <c r="B348" s="295" t="s">
        <v>1042</v>
      </c>
      <c r="C348" s="295"/>
      <c r="D348" s="295"/>
      <c r="E348" s="295"/>
      <c r="F348" s="295"/>
      <c r="G348" s="295"/>
      <c r="H348" s="295"/>
      <c r="I348" s="295"/>
      <c r="J348" s="295"/>
      <c r="K348" s="295"/>
      <c r="N348" s="335" t="s">
        <v>396</v>
      </c>
      <c r="O348" s="387">
        <f>((O343*1000/O344)^0.72)*4</f>
        <v>952.36096895011644</v>
      </c>
      <c r="P348" s="335" t="s">
        <v>40</v>
      </c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  <c r="AA348" s="335"/>
      <c r="AB348" s="335"/>
      <c r="AC348" s="335"/>
      <c r="AD348" s="335"/>
      <c r="AE348" s="335"/>
    </row>
    <row r="349" spans="1:31" ht="15" customHeight="1" x14ac:dyDescent="0.25">
      <c r="A349" s="295"/>
      <c r="B349" s="385"/>
      <c r="C349" s="295"/>
      <c r="D349" s="295"/>
      <c r="E349" s="295"/>
      <c r="F349" s="295"/>
      <c r="G349" s="295"/>
      <c r="H349" s="295"/>
      <c r="I349" s="295"/>
      <c r="J349" s="295"/>
      <c r="K349" s="29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  <c r="AA349" s="335"/>
      <c r="AB349" s="335"/>
      <c r="AC349" s="335"/>
      <c r="AD349" s="335"/>
      <c r="AE349" s="335"/>
    </row>
    <row r="350" spans="1:31" ht="15" customHeight="1" x14ac:dyDescent="0.25">
      <c r="A350" s="295"/>
      <c r="B350" s="295"/>
      <c r="C350" s="295"/>
      <c r="D350" s="295"/>
      <c r="E350" s="295"/>
      <c r="F350" s="295"/>
      <c r="G350" s="295"/>
      <c r="H350" s="295"/>
      <c r="I350" s="295"/>
      <c r="J350" s="295"/>
      <c r="K350" s="29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  <c r="AA350" s="335"/>
      <c r="AB350" s="335"/>
      <c r="AC350" s="335"/>
      <c r="AD350" s="335"/>
      <c r="AE350" s="335"/>
    </row>
    <row r="351" spans="1:31" ht="15" customHeight="1" x14ac:dyDescent="0.25">
      <c r="A351" s="295"/>
      <c r="B351" s="295"/>
      <c r="C351" s="295"/>
      <c r="D351" s="295"/>
      <c r="E351" s="295"/>
      <c r="F351" s="295"/>
      <c r="G351" s="295"/>
      <c r="H351" s="295"/>
      <c r="I351" s="295"/>
      <c r="J351" s="295"/>
      <c r="K351" s="29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  <c r="AA351" s="335"/>
      <c r="AB351" s="335"/>
      <c r="AC351" s="335"/>
      <c r="AD351" s="335"/>
      <c r="AE351" s="335"/>
    </row>
    <row r="352" spans="1:31" ht="15" customHeight="1" x14ac:dyDescent="0.25">
      <c r="A352" s="295"/>
      <c r="B352" s="295"/>
      <c r="C352" s="295"/>
      <c r="D352" s="295"/>
      <c r="E352" s="295"/>
      <c r="F352" s="295"/>
      <c r="G352" s="295"/>
      <c r="H352" s="295"/>
      <c r="I352" s="295"/>
      <c r="J352" s="295"/>
      <c r="K352" s="295"/>
      <c r="N352" s="310" t="s">
        <v>1034</v>
      </c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  <c r="AA352" s="335"/>
      <c r="AB352" s="335"/>
      <c r="AC352" s="335"/>
      <c r="AD352" s="335"/>
      <c r="AE352" s="335"/>
    </row>
    <row r="353" spans="1:31" ht="15" customHeight="1" x14ac:dyDescent="0.25">
      <c r="A353" s="295"/>
      <c r="B353" s="295"/>
      <c r="C353" s="295"/>
      <c r="D353" s="295"/>
      <c r="E353" s="295"/>
      <c r="F353" s="295"/>
      <c r="G353" s="295"/>
      <c r="H353" s="295"/>
      <c r="I353" s="295"/>
      <c r="J353" s="295"/>
      <c r="K353" s="295"/>
      <c r="N353" s="335" t="s">
        <v>65</v>
      </c>
      <c r="O353" s="335">
        <f>D372</f>
        <v>133.33333333333334</v>
      </c>
      <c r="P353" s="335" t="s">
        <v>1043</v>
      </c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  <c r="AA353" s="335"/>
      <c r="AB353" s="335"/>
      <c r="AC353" s="335"/>
      <c r="AD353" s="335"/>
      <c r="AE353" s="335"/>
    </row>
    <row r="354" spans="1:31" ht="15" customHeight="1" x14ac:dyDescent="0.25">
      <c r="A354" s="295"/>
      <c r="B354" s="295"/>
      <c r="C354" s="295"/>
      <c r="D354" s="295"/>
      <c r="E354" s="295"/>
      <c r="F354" s="295"/>
      <c r="G354" s="295"/>
      <c r="H354" s="295"/>
      <c r="I354" s="295"/>
      <c r="J354" s="295"/>
      <c r="K354" s="295"/>
      <c r="N354" s="335" t="s">
        <v>1038</v>
      </c>
      <c r="O354" s="335">
        <f>O344</f>
        <v>600</v>
      </c>
      <c r="P354" s="335" t="s">
        <v>951</v>
      </c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  <c r="AA354" s="335"/>
      <c r="AB354" s="335"/>
      <c r="AC354" s="335"/>
      <c r="AD354" s="335"/>
      <c r="AE354" s="335"/>
    </row>
    <row r="355" spans="1:31" ht="15" customHeight="1" x14ac:dyDescent="0.25">
      <c r="A355" s="295"/>
      <c r="B355" s="295"/>
      <c r="C355" s="295"/>
      <c r="D355" s="295"/>
      <c r="E355" s="295"/>
      <c r="F355" s="295"/>
      <c r="G355" s="295"/>
      <c r="H355" s="295"/>
      <c r="I355" s="295"/>
      <c r="J355" s="295"/>
      <c r="K355" s="29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  <c r="AA355" s="335"/>
      <c r="AB355" s="335"/>
      <c r="AC355" s="335"/>
      <c r="AD355" s="335"/>
      <c r="AE355" s="335"/>
    </row>
    <row r="356" spans="1:31" ht="15" customHeight="1" x14ac:dyDescent="0.25">
      <c r="A356" s="295"/>
      <c r="B356" s="295"/>
      <c r="C356" s="295"/>
      <c r="D356" s="295"/>
      <c r="E356" s="295"/>
      <c r="F356" s="295"/>
      <c r="G356" s="295"/>
      <c r="H356" s="295"/>
      <c r="I356" s="295"/>
      <c r="J356" s="295"/>
      <c r="K356" s="295"/>
      <c r="N356" s="310" t="s">
        <v>385</v>
      </c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  <c r="AA356" s="335"/>
      <c r="AB356" s="335"/>
      <c r="AC356" s="335"/>
      <c r="AD356" s="335"/>
      <c r="AE356" s="335"/>
    </row>
    <row r="357" spans="1:31" ht="15" customHeight="1" x14ac:dyDescent="0.25">
      <c r="A357" s="295"/>
      <c r="B357" s="295"/>
      <c r="C357" s="295"/>
      <c r="D357" s="295"/>
      <c r="E357" s="295"/>
      <c r="F357" s="295"/>
      <c r="G357" s="295"/>
      <c r="H357" s="295"/>
      <c r="I357" s="295"/>
      <c r="J357" s="295"/>
      <c r="K357" s="295"/>
      <c r="N357" s="335" t="s">
        <v>1041</v>
      </c>
      <c r="O357" s="387">
        <f>50*(O353/(O354^0.5))^0.74</f>
        <v>175.18975560941038</v>
      </c>
      <c r="P357" s="335" t="s">
        <v>40</v>
      </c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  <c r="AA357" s="335"/>
      <c r="AB357" s="335"/>
      <c r="AC357" s="335"/>
      <c r="AD357" s="335"/>
      <c r="AE357" s="335"/>
    </row>
    <row r="358" spans="1:31" ht="15" customHeight="1" x14ac:dyDescent="0.25">
      <c r="A358" s="295"/>
      <c r="B358" s="295"/>
      <c r="C358" s="295"/>
      <c r="D358" s="295"/>
      <c r="E358" s="295"/>
      <c r="F358" s="295"/>
      <c r="G358" s="295"/>
      <c r="H358" s="295"/>
      <c r="I358" s="295"/>
      <c r="J358" s="295"/>
      <c r="K358" s="295"/>
      <c r="N358" s="335" t="s">
        <v>1044</v>
      </c>
      <c r="O358" s="387">
        <f>0.65*O357</f>
        <v>113.87334114611676</v>
      </c>
      <c r="P358" s="335" t="s">
        <v>40</v>
      </c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  <c r="AA358" s="335"/>
      <c r="AB358" s="335"/>
      <c r="AC358" s="335"/>
      <c r="AD358" s="335"/>
      <c r="AE358" s="335"/>
    </row>
    <row r="359" spans="1:31" ht="15" customHeight="1" x14ac:dyDescent="0.25">
      <c r="A359" s="295"/>
      <c r="B359" s="295"/>
      <c r="C359" s="295"/>
      <c r="D359" s="295"/>
      <c r="E359" s="295"/>
      <c r="F359" s="295"/>
      <c r="G359" s="295"/>
      <c r="H359" s="295"/>
      <c r="I359" s="295"/>
      <c r="J359" s="295"/>
      <c r="K359" s="295"/>
      <c r="N359" s="335" t="s">
        <v>1045</v>
      </c>
      <c r="O359" s="387">
        <f>2.15*O357</f>
        <v>376.65797456023233</v>
      </c>
      <c r="P359" s="335" t="s">
        <v>40</v>
      </c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  <c r="AA359" s="335"/>
      <c r="AB359" s="335"/>
      <c r="AC359" s="335"/>
      <c r="AD359" s="335"/>
      <c r="AE359" s="335"/>
    </row>
    <row r="360" spans="1:31" ht="15" customHeight="1" x14ac:dyDescent="0.25">
      <c r="A360" s="295"/>
      <c r="B360" s="295"/>
      <c r="C360" s="295"/>
      <c r="D360" s="295"/>
      <c r="E360" s="295"/>
      <c r="F360" s="295"/>
      <c r="G360" s="295"/>
      <c r="H360" s="295"/>
      <c r="I360" s="295"/>
      <c r="J360" s="295"/>
      <c r="K360" s="29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  <c r="AA360" s="335"/>
      <c r="AB360" s="335"/>
      <c r="AC360" s="335"/>
      <c r="AD360" s="335"/>
      <c r="AE360" s="335"/>
    </row>
    <row r="361" spans="1:31" ht="15" customHeight="1" x14ac:dyDescent="0.25">
      <c r="A361" s="295"/>
      <c r="B361" s="295"/>
      <c r="C361" s="295"/>
      <c r="D361" s="295"/>
      <c r="E361" s="295"/>
      <c r="F361" s="295"/>
      <c r="G361" s="295"/>
      <c r="H361" s="295"/>
      <c r="I361" s="295"/>
      <c r="J361" s="295"/>
      <c r="K361" s="29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  <c r="AA361" s="335"/>
      <c r="AB361" s="335"/>
      <c r="AC361" s="335"/>
      <c r="AD361" s="335"/>
      <c r="AE361" s="335"/>
    </row>
    <row r="362" spans="1:31" ht="15" customHeight="1" x14ac:dyDescent="0.25">
      <c r="A362" s="295"/>
      <c r="B362" s="295"/>
      <c r="C362" s="295"/>
      <c r="D362" s="295"/>
      <c r="E362" s="295"/>
      <c r="F362" s="295"/>
      <c r="G362" s="295"/>
      <c r="H362" s="295"/>
      <c r="I362" s="295"/>
      <c r="J362" s="295"/>
      <c r="K362" s="29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  <c r="AA362" s="335"/>
      <c r="AB362" s="335"/>
      <c r="AC362" s="335"/>
      <c r="AD362" s="335"/>
      <c r="AE362" s="335"/>
    </row>
    <row r="363" spans="1:31" ht="15" customHeight="1" x14ac:dyDescent="0.25">
      <c r="A363" s="295"/>
      <c r="B363" s="295" t="s">
        <v>1046</v>
      </c>
      <c r="C363" s="295"/>
      <c r="D363" s="295"/>
      <c r="E363" s="295"/>
      <c r="F363" s="295"/>
      <c r="G363" s="295"/>
      <c r="H363" s="295"/>
      <c r="I363" s="295"/>
      <c r="J363" s="295"/>
      <c r="K363" s="29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  <c r="AA363" s="335"/>
      <c r="AB363" s="335"/>
      <c r="AC363" s="335"/>
      <c r="AD363" s="335"/>
      <c r="AE363" s="335"/>
    </row>
    <row r="364" spans="1:31" ht="15" customHeight="1" x14ac:dyDescent="0.25">
      <c r="A364" s="295"/>
      <c r="C364" s="295"/>
      <c r="D364" s="295"/>
      <c r="E364" s="295"/>
      <c r="F364" s="295"/>
      <c r="G364" s="295"/>
      <c r="H364" s="295"/>
      <c r="I364" s="384" t="s">
        <v>1047</v>
      </c>
      <c r="J364" s="295"/>
      <c r="K364" s="295"/>
      <c r="L364" s="295"/>
      <c r="M364" s="388" t="s">
        <v>1048</v>
      </c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  <c r="AA364" s="335"/>
      <c r="AB364" s="335"/>
      <c r="AC364" s="335"/>
      <c r="AD364" s="335"/>
      <c r="AE364" s="335"/>
    </row>
    <row r="365" spans="1:31" ht="15" customHeight="1" x14ac:dyDescent="0.25">
      <c r="A365" s="295"/>
      <c r="B365" s="295" t="s">
        <v>1049</v>
      </c>
      <c r="C365" s="295"/>
      <c r="D365" s="295"/>
      <c r="E365" s="295"/>
      <c r="F365" s="295"/>
      <c r="G365" s="305">
        <f>IF(AND(D369&gt;=0,D369&lt;=3),1000*(32000*(D369)^0.58), "Relacao MVA/rpm fora da validade do grafico B16.")</f>
        <v>13374782.255266668</v>
      </c>
      <c r="H365" s="305" t="s">
        <v>41</v>
      </c>
      <c r="I365" s="384" t="s">
        <v>1050</v>
      </c>
      <c r="J365" s="295"/>
      <c r="K365" s="389"/>
      <c r="L365" s="390">
        <v>0</v>
      </c>
      <c r="M365" s="391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  <c r="AA365" s="335"/>
      <c r="AB365" s="335"/>
      <c r="AC365" s="335"/>
      <c r="AD365" s="335"/>
      <c r="AE365" s="335"/>
    </row>
    <row r="366" spans="1:31" ht="15" customHeight="1" x14ac:dyDescent="0.25">
      <c r="A366" s="295"/>
      <c r="B366" s="295"/>
      <c r="C366" s="295"/>
      <c r="D366" s="295"/>
      <c r="E366" s="295"/>
      <c r="F366" s="295"/>
      <c r="G366" s="295"/>
      <c r="H366" s="295"/>
      <c r="I366" s="384" t="s">
        <v>1051</v>
      </c>
      <c r="J366" s="384"/>
      <c r="K366" s="392"/>
      <c r="L366" s="393">
        <v>3</v>
      </c>
      <c r="M366" s="29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  <c r="AA366" s="335"/>
      <c r="AB366" s="335"/>
      <c r="AC366" s="335"/>
      <c r="AD366" s="335"/>
      <c r="AE366" s="335"/>
    </row>
    <row r="367" spans="1:31" ht="15" customHeight="1" x14ac:dyDescent="0.25">
      <c r="A367" s="295"/>
      <c r="B367" s="363" t="s">
        <v>921</v>
      </c>
      <c r="C367" s="295"/>
      <c r="D367" s="306"/>
      <c r="E367" s="295"/>
      <c r="F367" s="295"/>
      <c r="G367" s="295"/>
      <c r="H367" s="295"/>
      <c r="I367" s="295"/>
      <c r="J367" s="295"/>
      <c r="K367" s="29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  <c r="AA367" s="335"/>
      <c r="AB367" s="335"/>
      <c r="AC367" s="335"/>
      <c r="AD367" s="335"/>
      <c r="AE367" s="335"/>
    </row>
    <row r="368" spans="1:31" ht="15" customHeight="1" x14ac:dyDescent="0.25">
      <c r="A368" s="295"/>
      <c r="B368" s="295"/>
      <c r="C368" s="306"/>
      <c r="D368" s="295"/>
      <c r="E368" s="295"/>
      <c r="F368" s="295"/>
      <c r="G368" s="295"/>
      <c r="H368" s="295"/>
      <c r="I368" s="295"/>
      <c r="J368" s="295"/>
      <c r="K368" s="29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  <c r="AA368" s="335"/>
      <c r="AB368" s="335"/>
      <c r="AC368" s="335"/>
      <c r="AD368" s="335"/>
      <c r="AE368" s="335"/>
    </row>
    <row r="369" spans="1:31" ht="15" customHeight="1" x14ac:dyDescent="0.25">
      <c r="A369" s="295"/>
      <c r="B369" s="295"/>
      <c r="C369" s="293"/>
      <c r="D369" s="394">
        <f>$D$372/$C$167</f>
        <v>0.22222222222222224</v>
      </c>
      <c r="E369" s="295" t="s">
        <v>1052</v>
      </c>
      <c r="F369" s="295"/>
      <c r="G369" s="295"/>
      <c r="H369" s="295"/>
      <c r="I369" s="295"/>
      <c r="J369" s="295"/>
      <c r="K369" s="29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  <c r="AA369" s="335"/>
      <c r="AB369" s="335"/>
      <c r="AC369" s="335"/>
      <c r="AD369" s="335"/>
      <c r="AE369" s="335"/>
    </row>
    <row r="370" spans="1:31" x14ac:dyDescent="0.25">
      <c r="A370" s="295"/>
      <c r="B370" s="295"/>
      <c r="C370" s="293"/>
      <c r="D370" s="295"/>
      <c r="E370" s="295"/>
      <c r="F370" s="295"/>
      <c r="G370" s="295"/>
      <c r="H370" s="295"/>
      <c r="I370" s="295"/>
      <c r="J370" s="295"/>
      <c r="K370" s="29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  <c r="AA370" s="335"/>
      <c r="AB370" s="335"/>
      <c r="AC370" s="335"/>
      <c r="AD370" s="335"/>
      <c r="AE370" s="335"/>
    </row>
    <row r="371" spans="1:31" ht="15" customHeight="1" x14ac:dyDescent="0.25">
      <c r="A371" s="295"/>
      <c r="B371" s="295"/>
      <c r="C371" s="295"/>
      <c r="D371" s="295"/>
      <c r="E371" s="295"/>
      <c r="F371" s="295"/>
      <c r="G371" s="295"/>
      <c r="H371" s="295"/>
      <c r="I371" s="295"/>
      <c r="J371" s="295"/>
      <c r="K371" s="29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  <c r="AA371" s="335"/>
      <c r="AB371" s="335"/>
      <c r="AC371" s="335"/>
      <c r="AD371" s="335"/>
      <c r="AE371" s="335"/>
    </row>
    <row r="372" spans="1:31" ht="15" customHeight="1" x14ac:dyDescent="0.25">
      <c r="A372" s="295"/>
      <c r="B372" s="295"/>
      <c r="C372" s="295"/>
      <c r="D372" s="295">
        <f>$D$106/$C$17</f>
        <v>133.33333333333334</v>
      </c>
      <c r="E372" s="295" t="s">
        <v>1043</v>
      </c>
      <c r="F372" s="295"/>
      <c r="G372" s="295"/>
      <c r="H372" s="295"/>
      <c r="I372" s="295"/>
      <c r="J372" s="295"/>
      <c r="K372" s="29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  <c r="AA372" s="335"/>
      <c r="AB372" s="335"/>
      <c r="AC372" s="335"/>
      <c r="AD372" s="335"/>
      <c r="AE372" s="335"/>
    </row>
    <row r="373" spans="1:31" ht="15" customHeight="1" x14ac:dyDescent="0.25">
      <c r="A373" s="295"/>
      <c r="B373" s="295"/>
      <c r="C373" s="306"/>
      <c r="D373" s="306"/>
      <c r="E373" s="306"/>
      <c r="F373" s="295"/>
      <c r="G373" s="295"/>
      <c r="H373" s="295"/>
      <c r="I373" s="295"/>
      <c r="J373" s="295"/>
      <c r="K373" s="29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  <c r="AA373" s="335"/>
      <c r="AB373" s="335"/>
      <c r="AC373" s="335"/>
      <c r="AD373" s="335"/>
      <c r="AE373" s="335"/>
    </row>
    <row r="374" spans="1:31" ht="30.75" customHeight="1" x14ac:dyDescent="0.25">
      <c r="A374" s="386"/>
      <c r="B374" s="503" t="s">
        <v>1037</v>
      </c>
      <c r="C374" s="503"/>
      <c r="D374" s="503"/>
      <c r="E374" s="503"/>
      <c r="F374" s="365"/>
      <c r="G374" s="305" t="s">
        <v>1036</v>
      </c>
      <c r="H374" s="295"/>
      <c r="I374" s="295"/>
      <c r="J374" s="295"/>
      <c r="K374" s="29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  <c r="AA374" s="335"/>
      <c r="AB374" s="335"/>
      <c r="AC374" s="335"/>
      <c r="AD374" s="335"/>
      <c r="AE374" s="335"/>
    </row>
    <row r="375" spans="1:31" ht="21" customHeight="1" x14ac:dyDescent="0.25">
      <c r="A375" s="295"/>
      <c r="B375" s="295" t="s">
        <v>1053</v>
      </c>
      <c r="C375" s="295"/>
      <c r="D375" s="295"/>
      <c r="E375" s="295"/>
      <c r="F375" s="365">
        <f>(G365+F374)*L381</f>
        <v>29500757.220441692</v>
      </c>
      <c r="G375" s="305" t="s">
        <v>1036</v>
      </c>
      <c r="H375" s="295"/>
      <c r="I375" s="295"/>
      <c r="J375" s="295"/>
      <c r="K375" s="29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  <c r="AA375" s="335"/>
      <c r="AB375" s="335"/>
      <c r="AC375" s="335"/>
      <c r="AD375" s="335"/>
      <c r="AE375" s="335"/>
    </row>
    <row r="376" spans="1:31" ht="15" customHeight="1" x14ac:dyDescent="0.3">
      <c r="A376" s="295"/>
      <c r="B376" s="295"/>
      <c r="C376" s="306"/>
      <c r="D376" s="306"/>
      <c r="E376" s="306"/>
      <c r="F376" s="295"/>
      <c r="G376" s="295"/>
      <c r="H376" s="295"/>
      <c r="I376" s="295"/>
      <c r="J376" s="295"/>
      <c r="K376" s="295"/>
      <c r="L376" t="s">
        <v>1196</v>
      </c>
      <c r="M376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  <c r="AA376" s="335"/>
      <c r="AB376" s="335"/>
      <c r="AC376" s="335"/>
      <c r="AD376" s="335"/>
      <c r="AE376" s="335"/>
    </row>
    <row r="377" spans="1:31" ht="15" customHeight="1" x14ac:dyDescent="0.3">
      <c r="A377" s="295"/>
      <c r="B377" s="295"/>
      <c r="C377" s="295"/>
      <c r="D377" s="295"/>
      <c r="E377" s="295"/>
      <c r="F377" s="295"/>
      <c r="G377" s="295"/>
      <c r="H377" s="295"/>
      <c r="I377" s="295"/>
      <c r="J377" s="295"/>
      <c r="K377" s="295"/>
      <c r="L377" s="208">
        <v>1.8</v>
      </c>
      <c r="M377" s="208">
        <v>1000</v>
      </c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  <c r="AA377" s="335"/>
      <c r="AB377" s="335"/>
      <c r="AC377" s="335"/>
      <c r="AD377" s="335"/>
      <c r="AE377" s="335"/>
    </row>
    <row r="378" spans="1:31" ht="15" customHeight="1" x14ac:dyDescent="0.3">
      <c r="A378" s="295"/>
      <c r="B378" s="295" t="s">
        <v>1054</v>
      </c>
      <c r="C378" s="295"/>
      <c r="D378" s="295"/>
      <c r="E378" s="295"/>
      <c r="F378" s="295"/>
      <c r="G378" s="295"/>
      <c r="H378" s="295"/>
      <c r="I378" s="295"/>
      <c r="J378" s="295"/>
      <c r="K378" s="295"/>
      <c r="L378" s="208">
        <v>2.5</v>
      </c>
      <c r="M378" s="208">
        <v>1800</v>
      </c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  <c r="AA378" s="335"/>
      <c r="AB378" s="335"/>
      <c r="AC378" s="335"/>
      <c r="AD378" s="335"/>
      <c r="AE378" s="335"/>
    </row>
    <row r="379" spans="1:31" ht="15" customHeight="1" x14ac:dyDescent="0.25">
      <c r="A379" s="295"/>
      <c r="B379" s="295"/>
      <c r="C379" s="295"/>
      <c r="D379" s="295"/>
      <c r="E379" s="295"/>
      <c r="F379" s="295"/>
      <c r="G379" s="295"/>
      <c r="H379" s="295"/>
      <c r="I379" s="295"/>
      <c r="J379" s="295"/>
      <c r="K379" s="29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  <c r="AA379" s="335"/>
      <c r="AB379" s="335"/>
      <c r="AC379" s="335"/>
      <c r="AD379" s="335"/>
      <c r="AE379" s="335"/>
    </row>
    <row r="380" spans="1:31" ht="15" customHeight="1" x14ac:dyDescent="0.3">
      <c r="A380" s="295"/>
      <c r="B380" s="295"/>
      <c r="C380" s="295"/>
      <c r="D380" s="295"/>
      <c r="E380" s="295"/>
      <c r="F380" s="295"/>
      <c r="G380" s="295"/>
      <c r="H380" s="295"/>
      <c r="I380" s="295"/>
      <c r="J380" s="295"/>
      <c r="K380" s="295"/>
      <c r="L380" t="s">
        <v>1195</v>
      </c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  <c r="AA380" s="335"/>
      <c r="AB380" s="335"/>
      <c r="AC380" s="335"/>
      <c r="AD380" s="335"/>
      <c r="AE380" s="335"/>
    </row>
    <row r="381" spans="1:31" ht="15" customHeight="1" x14ac:dyDescent="0.25">
      <c r="A381" s="295"/>
      <c r="B381" s="295"/>
      <c r="C381" s="295"/>
      <c r="D381" s="295"/>
      <c r="E381" s="295"/>
      <c r="F381" s="295"/>
      <c r="G381" s="295"/>
      <c r="H381" s="295"/>
      <c r="I381" s="295"/>
      <c r="J381" s="295"/>
      <c r="K381" s="295"/>
      <c r="L381" s="490">
        <f>IF(D61&lt;100,1.4,0.0009*D61+0.925)</f>
        <v>2.2057000000000002</v>
      </c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  <c r="AA381" s="335"/>
      <c r="AB381" s="335"/>
      <c r="AC381" s="335"/>
      <c r="AD381" s="335"/>
      <c r="AE381" s="335"/>
    </row>
    <row r="382" spans="1:31" ht="15" customHeight="1" x14ac:dyDescent="0.25">
      <c r="A382" s="295"/>
      <c r="B382" s="295"/>
      <c r="C382" s="295"/>
      <c r="D382" s="295"/>
      <c r="E382" s="295"/>
      <c r="F382" s="295"/>
      <c r="G382" s="295"/>
      <c r="H382" s="295"/>
      <c r="I382" s="295"/>
      <c r="J382" s="295"/>
      <c r="K382" s="29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  <c r="AA382" s="335"/>
      <c r="AB382" s="335"/>
      <c r="AC382" s="335"/>
      <c r="AD382" s="335"/>
      <c r="AE382" s="335"/>
    </row>
    <row r="383" spans="1:31" ht="15" customHeight="1" x14ac:dyDescent="0.25">
      <c r="A383" s="295"/>
      <c r="B383" s="295"/>
      <c r="C383" s="295"/>
      <c r="D383" s="295"/>
      <c r="E383" s="295"/>
      <c r="F383" s="295"/>
      <c r="G383" s="295"/>
      <c r="H383" s="295"/>
      <c r="I383" s="295"/>
      <c r="J383" s="295"/>
      <c r="K383" s="29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  <c r="AA383" s="335"/>
      <c r="AB383" s="335"/>
      <c r="AC383" s="335"/>
      <c r="AD383" s="335"/>
      <c r="AE383" s="335"/>
    </row>
    <row r="384" spans="1:31" ht="15" customHeight="1" x14ac:dyDescent="0.25">
      <c r="A384" s="295"/>
      <c r="B384" s="295"/>
      <c r="C384" s="295"/>
      <c r="D384" s="295"/>
      <c r="E384" s="295"/>
      <c r="F384" s="295"/>
      <c r="G384" s="295"/>
      <c r="H384" s="295"/>
      <c r="I384" s="295"/>
      <c r="J384" s="295"/>
      <c r="K384" s="29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  <c r="AA384" s="335"/>
      <c r="AB384" s="335"/>
      <c r="AC384" s="335"/>
      <c r="AD384" s="335"/>
      <c r="AE384" s="335"/>
    </row>
    <row r="385" spans="1:31" ht="15" customHeight="1" x14ac:dyDescent="0.25">
      <c r="A385" s="295"/>
      <c r="B385" s="295"/>
      <c r="C385" s="295"/>
      <c r="D385" s="295"/>
      <c r="E385" s="295"/>
      <c r="F385" s="295"/>
      <c r="G385" s="295"/>
      <c r="H385" s="295"/>
      <c r="I385" s="295"/>
      <c r="J385" s="295"/>
      <c r="K385" s="29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  <c r="AA385" s="335"/>
      <c r="AB385" s="335"/>
      <c r="AC385" s="335"/>
      <c r="AD385" s="335"/>
      <c r="AE385" s="335"/>
    </row>
    <row r="386" spans="1:31" ht="15" customHeight="1" x14ac:dyDescent="0.25">
      <c r="A386" s="295"/>
      <c r="B386" s="295"/>
      <c r="C386" s="295"/>
      <c r="D386" s="295"/>
      <c r="E386" s="295"/>
      <c r="F386" s="295"/>
      <c r="G386" s="295"/>
      <c r="H386" s="295"/>
      <c r="I386" s="295"/>
      <c r="J386" s="295"/>
      <c r="K386" s="29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  <c r="AA386" s="335"/>
      <c r="AB386" s="335"/>
      <c r="AC386" s="335"/>
      <c r="AD386" s="335"/>
      <c r="AE386" s="335"/>
    </row>
    <row r="387" spans="1:31" ht="15" customHeight="1" x14ac:dyDescent="0.25">
      <c r="A387" s="295"/>
      <c r="B387" s="295"/>
      <c r="C387" s="295"/>
      <c r="D387" s="295"/>
      <c r="E387" s="295"/>
      <c r="F387" s="295"/>
      <c r="G387" s="295"/>
      <c r="H387" s="295"/>
      <c r="I387" s="295"/>
      <c r="J387" s="295"/>
      <c r="K387" s="29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  <c r="AA387" s="335"/>
      <c r="AB387" s="335"/>
      <c r="AC387" s="335"/>
      <c r="AD387" s="335"/>
      <c r="AE387" s="335"/>
    </row>
    <row r="388" spans="1:31" ht="15" customHeight="1" x14ac:dyDescent="0.25">
      <c r="A388" s="295"/>
      <c r="B388" s="295"/>
      <c r="C388" s="295"/>
      <c r="D388" s="295"/>
      <c r="E388" s="295"/>
      <c r="F388" s="295"/>
      <c r="G388" s="295"/>
      <c r="H388" s="295"/>
      <c r="I388" s="295"/>
      <c r="J388" s="295"/>
      <c r="K388" s="29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  <c r="AA388" s="335"/>
      <c r="AB388" s="335"/>
      <c r="AC388" s="335"/>
      <c r="AD388" s="335"/>
      <c r="AE388" s="335"/>
    </row>
    <row r="389" spans="1:31" ht="15" customHeight="1" x14ac:dyDescent="0.25">
      <c r="A389" s="295"/>
      <c r="B389" s="295"/>
      <c r="C389" s="295"/>
      <c r="D389" s="295"/>
      <c r="E389" s="295"/>
      <c r="F389" s="295"/>
      <c r="G389" s="295"/>
      <c r="H389" s="295"/>
      <c r="I389" s="295"/>
      <c r="J389" s="295"/>
      <c r="K389" s="29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  <c r="AA389" s="335"/>
      <c r="AB389" s="335"/>
      <c r="AC389" s="335"/>
      <c r="AD389" s="335"/>
      <c r="AE389" s="335"/>
    </row>
    <row r="390" spans="1:31" ht="15" customHeight="1" x14ac:dyDescent="0.25">
      <c r="A390" s="295"/>
      <c r="B390" s="295"/>
      <c r="C390" s="295"/>
      <c r="D390" s="295"/>
      <c r="E390" s="295"/>
      <c r="F390" s="295"/>
      <c r="G390" s="295"/>
      <c r="H390" s="295"/>
      <c r="I390" s="295"/>
      <c r="J390" s="295"/>
      <c r="K390" s="29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  <c r="AA390" s="335"/>
      <c r="AB390" s="335"/>
      <c r="AC390" s="335"/>
      <c r="AD390" s="335"/>
      <c r="AE390" s="335"/>
    </row>
    <row r="391" spans="1:31" ht="15" customHeight="1" x14ac:dyDescent="0.25">
      <c r="A391" s="295"/>
      <c r="B391" s="295"/>
      <c r="C391" s="295"/>
      <c r="D391" s="295"/>
      <c r="E391" s="295"/>
      <c r="F391" s="295"/>
      <c r="G391" s="295"/>
      <c r="H391" s="295"/>
      <c r="I391" s="295"/>
      <c r="J391" s="295"/>
      <c r="K391" s="29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  <c r="AA391" s="335"/>
      <c r="AB391" s="335"/>
      <c r="AC391" s="335"/>
      <c r="AD391" s="335"/>
      <c r="AE391" s="335"/>
    </row>
    <row r="392" spans="1:31" ht="15" customHeight="1" x14ac:dyDescent="0.25">
      <c r="A392" s="295"/>
      <c r="B392" s="295"/>
      <c r="C392" s="295"/>
      <c r="D392" s="295"/>
      <c r="E392" s="295"/>
      <c r="F392" s="295"/>
      <c r="G392" s="295"/>
      <c r="H392" s="295"/>
      <c r="I392" s="295"/>
      <c r="J392" s="295"/>
      <c r="K392" s="29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  <c r="AA392" s="335"/>
      <c r="AB392" s="335"/>
      <c r="AC392" s="335"/>
      <c r="AD392" s="335"/>
      <c r="AE392" s="335"/>
    </row>
    <row r="393" spans="1:31" ht="15" customHeight="1" x14ac:dyDescent="0.25">
      <c r="A393" s="295"/>
      <c r="B393" s="295" t="s">
        <v>1055</v>
      </c>
      <c r="C393" s="295"/>
      <c r="D393" s="295"/>
      <c r="E393" s="295"/>
      <c r="F393" s="295"/>
      <c r="G393" s="295"/>
      <c r="H393" s="295"/>
      <c r="I393" s="295"/>
      <c r="J393" s="295"/>
      <c r="K393" s="29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  <c r="AA393" s="335"/>
      <c r="AB393" s="335"/>
      <c r="AC393" s="335"/>
      <c r="AD393" s="335"/>
      <c r="AE393" s="335"/>
    </row>
    <row r="394" spans="1:31" ht="15" customHeight="1" x14ac:dyDescent="0.25">
      <c r="A394" s="295"/>
      <c r="B394" s="295"/>
      <c r="C394" s="295"/>
      <c r="D394" s="295"/>
      <c r="E394" s="295"/>
      <c r="F394" s="295"/>
      <c r="G394" s="295"/>
      <c r="H394" s="295"/>
      <c r="I394" s="295"/>
      <c r="J394" s="295"/>
      <c r="K394" s="29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  <c r="AA394" s="335"/>
      <c r="AB394" s="335"/>
      <c r="AC394" s="335"/>
      <c r="AD394" s="335"/>
      <c r="AE394" s="335"/>
    </row>
    <row r="395" spans="1:31" ht="15" customHeight="1" x14ac:dyDescent="0.25">
      <c r="A395" s="295"/>
      <c r="B395" s="295"/>
      <c r="C395" s="295"/>
      <c r="D395" s="395" t="str">
        <f>IF(AND(D369&gt;=0.0003,D369&lt;=0.067),1000*29580*D369^0.6323,"ERRO.          Relacao MVA/rpm fora da faixa de validade do grafico B14.")</f>
        <v>ERRO.          Relacao MVA/rpm fora da faixa de validade do grafico B14.</v>
      </c>
      <c r="E395" s="295" t="s">
        <v>41</v>
      </c>
      <c r="F395" s="306" t="s">
        <v>1056</v>
      </c>
      <c r="G395" s="306"/>
      <c r="H395" s="295"/>
      <c r="I395" s="384" t="s">
        <v>1057</v>
      </c>
      <c r="J395" s="295"/>
      <c r="K395" s="295"/>
      <c r="L395" s="390">
        <f>0.06/0.9</f>
        <v>6.6666666666666666E-2</v>
      </c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  <c r="AA395" s="335"/>
      <c r="AB395" s="335"/>
      <c r="AC395" s="335"/>
      <c r="AD395" s="335"/>
      <c r="AE395" s="335"/>
    </row>
    <row r="396" spans="1:31" ht="15" customHeight="1" x14ac:dyDescent="0.25">
      <c r="A396" s="295"/>
      <c r="B396" s="295"/>
      <c r="C396" s="295"/>
      <c r="D396" s="305"/>
      <c r="E396" s="305"/>
      <c r="F396" s="295"/>
      <c r="G396" s="295"/>
      <c r="H396" s="295"/>
      <c r="I396" s="384" t="s">
        <v>1058</v>
      </c>
      <c r="J396" s="295"/>
      <c r="K396" s="295"/>
      <c r="L396" s="396">
        <v>2.9999999999999997E-4</v>
      </c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  <c r="AA396" s="335"/>
      <c r="AB396" s="335"/>
      <c r="AC396" s="335"/>
      <c r="AD396" s="335"/>
      <c r="AE396" s="335"/>
    </row>
    <row r="397" spans="1:31" ht="15" customHeight="1" x14ac:dyDescent="0.25">
      <c r="A397" s="295"/>
      <c r="B397" s="293"/>
      <c r="C397" s="293"/>
      <c r="D397" s="363" t="s">
        <v>1059</v>
      </c>
      <c r="E397" s="295" t="str">
        <f>IF(G147=2,"Horizontal, ",IF(G147=1,"Vertical, "))</f>
        <v xml:space="preserve">Vertical, </v>
      </c>
      <c r="F397" s="295" t="s">
        <v>1060</v>
      </c>
      <c r="G397" s="295"/>
      <c r="H397" s="295"/>
      <c r="I397" s="295"/>
      <c r="J397" s="295"/>
      <c r="K397" s="29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  <c r="AA397" s="335"/>
      <c r="AB397" s="335"/>
      <c r="AC397" s="335"/>
      <c r="AD397" s="335"/>
      <c r="AE397" s="335"/>
    </row>
    <row r="398" spans="1:31" ht="15" customHeight="1" x14ac:dyDescent="0.25">
      <c r="A398" s="295"/>
      <c r="B398" s="295"/>
      <c r="C398" s="295"/>
      <c r="D398" s="295"/>
      <c r="E398" s="295"/>
      <c r="F398" s="295"/>
      <c r="G398" s="295"/>
      <c r="H398" s="295"/>
      <c r="I398" s="295"/>
      <c r="J398" s="295"/>
      <c r="K398" s="29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  <c r="AA398" s="335"/>
      <c r="AB398" s="335"/>
      <c r="AC398" s="335"/>
      <c r="AD398" s="335"/>
      <c r="AE398" s="335"/>
    </row>
    <row r="399" spans="1:31" ht="15" customHeight="1" x14ac:dyDescent="0.25">
      <c r="A399" s="295"/>
      <c r="B399" s="295"/>
      <c r="C399" s="290"/>
      <c r="D399" s="290"/>
      <c r="E399" s="295" t="s">
        <v>44</v>
      </c>
      <c r="F399" s="365">
        <f>IF(G147=1,G365,IF(G147=2,D395))</f>
        <v>13374782.255266668</v>
      </c>
      <c r="G399" s="305" t="s">
        <v>1036</v>
      </c>
      <c r="H399" s="295"/>
      <c r="I399" s="295"/>
      <c r="J399" s="295"/>
      <c r="K399" s="29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  <c r="AA399" s="335"/>
      <c r="AB399" s="335"/>
      <c r="AC399" s="335"/>
      <c r="AD399" s="335"/>
      <c r="AE399" s="335"/>
    </row>
    <row r="400" spans="1:31" ht="30" customHeight="1" x14ac:dyDescent="0.25">
      <c r="A400" s="386"/>
      <c r="B400" s="503" t="s">
        <v>1037</v>
      </c>
      <c r="C400" s="503"/>
      <c r="D400" s="503"/>
      <c r="E400" s="503"/>
      <c r="F400" s="295"/>
      <c r="G400" s="305" t="s">
        <v>1036</v>
      </c>
      <c r="H400" s="295"/>
      <c r="I400" s="295"/>
      <c r="J400" s="295"/>
      <c r="K400" s="29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  <c r="AA400" s="335"/>
      <c r="AB400" s="335"/>
      <c r="AC400" s="335"/>
      <c r="AD400" s="335"/>
      <c r="AE400" s="335"/>
    </row>
    <row r="401" spans="1:31" ht="19.5" customHeight="1" x14ac:dyDescent="0.25">
      <c r="A401" s="295"/>
      <c r="B401" s="295" t="s">
        <v>1053</v>
      </c>
      <c r="C401" s="295"/>
      <c r="D401" s="295"/>
      <c r="E401" s="295"/>
      <c r="F401" s="267">
        <f>(F399+F400)*L381</f>
        <v>29500757.220441692</v>
      </c>
      <c r="G401" s="305" t="s">
        <v>1036</v>
      </c>
      <c r="H401" s="295"/>
      <c r="I401" s="295"/>
      <c r="J401" s="295"/>
      <c r="K401" s="29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  <c r="AA401" s="335"/>
      <c r="AB401" s="335"/>
      <c r="AC401" s="335"/>
      <c r="AD401" s="335"/>
      <c r="AE401" s="335"/>
    </row>
    <row r="402" spans="1:31" ht="15" customHeight="1" x14ac:dyDescent="0.25">
      <c r="A402" s="295"/>
      <c r="B402" s="295"/>
      <c r="C402" s="295"/>
      <c r="D402" s="365"/>
      <c r="E402" s="305"/>
      <c r="F402" s="295"/>
      <c r="G402" s="295"/>
      <c r="H402" s="295"/>
      <c r="I402" s="295"/>
      <c r="J402" s="295"/>
      <c r="K402" s="295"/>
      <c r="N402" s="335"/>
      <c r="O402" s="335"/>
      <c r="P402" s="335"/>
      <c r="Q402" s="397"/>
      <c r="R402" s="335"/>
      <c r="S402" s="335"/>
      <c r="T402" s="335"/>
      <c r="U402" s="335"/>
      <c r="V402" s="335"/>
      <c r="W402" s="335"/>
      <c r="X402" s="335"/>
      <c r="Y402" s="335"/>
      <c r="Z402" s="335"/>
      <c r="AA402" s="335"/>
      <c r="AB402" s="335"/>
      <c r="AC402" s="335"/>
      <c r="AD402" s="335"/>
      <c r="AE402" s="335"/>
    </row>
    <row r="403" spans="1:31" ht="15" customHeight="1" x14ac:dyDescent="0.25">
      <c r="A403" s="295"/>
      <c r="B403" s="295"/>
      <c r="C403" s="295"/>
      <c r="D403" s="295"/>
      <c r="E403" s="295"/>
      <c r="F403" s="295"/>
      <c r="G403" s="295"/>
      <c r="H403" s="295"/>
      <c r="I403" s="295"/>
      <c r="J403" s="295"/>
      <c r="K403" s="29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  <c r="AA403" s="335"/>
      <c r="AB403" s="335"/>
      <c r="AC403" s="335"/>
      <c r="AD403" s="335"/>
      <c r="AE403" s="335"/>
    </row>
    <row r="404" spans="1:31" ht="15" customHeight="1" x14ac:dyDescent="0.25">
      <c r="A404" s="363"/>
      <c r="B404" s="385" t="s">
        <v>1061</v>
      </c>
      <c r="C404" s="295"/>
      <c r="D404" s="295"/>
      <c r="E404" s="295"/>
      <c r="F404" s="295"/>
      <c r="G404" s="295"/>
      <c r="H404" s="295"/>
      <c r="I404" s="295"/>
      <c r="J404" s="295"/>
      <c r="K404" s="29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  <c r="AA404" s="335"/>
      <c r="AB404" s="335"/>
      <c r="AC404" s="335"/>
      <c r="AD404" s="335"/>
      <c r="AE404" s="335"/>
    </row>
    <row r="405" spans="1:31" ht="15" customHeight="1" x14ac:dyDescent="0.25">
      <c r="A405" s="363"/>
      <c r="B405" s="385"/>
      <c r="C405" s="295"/>
      <c r="D405" s="295"/>
      <c r="E405" s="295"/>
      <c r="F405" s="295"/>
      <c r="G405" s="295"/>
      <c r="H405" s="295"/>
      <c r="I405" s="295"/>
      <c r="J405" s="295"/>
      <c r="K405" s="295"/>
      <c r="AC405" s="335"/>
      <c r="AD405" s="335"/>
      <c r="AE405" s="335"/>
    </row>
    <row r="406" spans="1:31" ht="15" customHeight="1" x14ac:dyDescent="0.25">
      <c r="A406" s="363"/>
      <c r="B406" s="293" t="s">
        <v>1062</v>
      </c>
      <c r="C406" s="295"/>
      <c r="D406" s="306"/>
      <c r="E406" s="295"/>
      <c r="F406" s="295"/>
      <c r="G406" s="295"/>
      <c r="H406" s="295"/>
      <c r="I406" s="295"/>
      <c r="J406" s="295"/>
      <c r="K406" s="295"/>
      <c r="AC406" s="335"/>
      <c r="AD406" s="335"/>
      <c r="AE406" s="335"/>
    </row>
    <row r="407" spans="1:31" ht="15" customHeight="1" x14ac:dyDescent="0.25">
      <c r="A407" s="295"/>
      <c r="B407" s="295"/>
      <c r="C407" s="295"/>
      <c r="D407" s="295"/>
      <c r="E407" s="295"/>
      <c r="F407" s="295"/>
      <c r="G407" s="295"/>
      <c r="H407" s="295"/>
      <c r="I407" s="295"/>
      <c r="J407" s="295"/>
      <c r="K407" s="295"/>
      <c r="AC407" s="335"/>
      <c r="AD407" s="335"/>
      <c r="AE407" s="335"/>
    </row>
    <row r="408" spans="1:31" ht="15" customHeight="1" x14ac:dyDescent="0.25">
      <c r="A408" s="295"/>
      <c r="B408" s="295"/>
      <c r="C408" s="295"/>
      <c r="D408" s="295"/>
      <c r="E408" s="295"/>
      <c r="F408" s="295"/>
      <c r="G408" s="295"/>
      <c r="H408" s="295"/>
      <c r="I408" s="295"/>
      <c r="J408" s="295"/>
      <c r="K408" s="295"/>
      <c r="AC408" s="335"/>
      <c r="AD408" s="335"/>
      <c r="AE408" s="335"/>
    </row>
    <row r="409" spans="1:31" ht="15" customHeight="1" x14ac:dyDescent="0.25">
      <c r="A409" s="363"/>
      <c r="B409" s="385" t="s">
        <v>1063</v>
      </c>
      <c r="C409" s="295"/>
      <c r="D409" s="295"/>
      <c r="E409" s="295"/>
      <c r="F409" s="295"/>
      <c r="G409" s="295"/>
      <c r="H409" s="295"/>
      <c r="I409" s="295"/>
      <c r="J409" s="295"/>
      <c r="K409" s="295"/>
      <c r="AC409" s="335"/>
      <c r="AD409" s="335"/>
      <c r="AE409" s="335"/>
    </row>
    <row r="410" spans="1:31" ht="15" customHeight="1" x14ac:dyDescent="0.25">
      <c r="A410" s="295"/>
      <c r="B410" s="295"/>
      <c r="C410" s="295"/>
      <c r="D410" s="295"/>
      <c r="E410" s="295"/>
      <c r="F410" s="295"/>
      <c r="G410" s="295"/>
      <c r="H410" s="295"/>
      <c r="I410" s="295"/>
      <c r="J410" s="295"/>
      <c r="K410" s="295"/>
      <c r="AC410" s="335"/>
      <c r="AD410" s="335"/>
      <c r="AE410" s="335"/>
    </row>
    <row r="411" spans="1:31" ht="15" customHeight="1" x14ac:dyDescent="0.25">
      <c r="A411" s="295"/>
      <c r="B411" s="295" t="s">
        <v>1064</v>
      </c>
      <c r="C411" s="295"/>
      <c r="D411" s="295"/>
      <c r="E411" s="295"/>
      <c r="F411" s="295"/>
      <c r="G411" s="295"/>
      <c r="H411" s="295"/>
      <c r="I411" s="295"/>
      <c r="J411" s="295"/>
      <c r="K411" s="295"/>
      <c r="AC411" s="335"/>
      <c r="AD411" s="335"/>
      <c r="AE411" s="335"/>
    </row>
    <row r="412" spans="1:31" ht="15" customHeight="1" x14ac:dyDescent="0.25">
      <c r="A412" s="295"/>
      <c r="B412" s="295" t="s">
        <v>1065</v>
      </c>
      <c r="C412" s="295"/>
      <c r="D412" s="295"/>
      <c r="E412" s="295"/>
      <c r="F412" s="295"/>
      <c r="G412" s="295"/>
      <c r="H412" s="295"/>
      <c r="I412" s="295"/>
      <c r="J412" s="295"/>
      <c r="K412" s="295"/>
      <c r="N412" s="311" t="s">
        <v>1034</v>
      </c>
      <c r="O412" s="309"/>
      <c r="P412" s="309"/>
      <c r="Q412" s="309"/>
      <c r="R412" s="309"/>
      <c r="S412" s="309"/>
      <c r="T412" s="309"/>
      <c r="U412" s="309"/>
      <c r="V412" s="309"/>
      <c r="W412" s="311" t="s">
        <v>385</v>
      </c>
      <c r="X412" s="309"/>
      <c r="Y412" s="309"/>
      <c r="Z412" s="309"/>
      <c r="AA412" s="311" t="s">
        <v>389</v>
      </c>
      <c r="AB412" s="311" t="s">
        <v>385</v>
      </c>
      <c r="AC412" s="335"/>
      <c r="AD412" s="335"/>
      <c r="AE412" s="335"/>
    </row>
    <row r="413" spans="1:31" ht="15" customHeight="1" x14ac:dyDescent="0.25">
      <c r="A413" s="295"/>
      <c r="B413" s="295"/>
      <c r="C413" s="295"/>
      <c r="D413" s="295"/>
      <c r="E413" s="295"/>
      <c r="F413" s="295"/>
      <c r="G413" s="295"/>
      <c r="H413" s="295"/>
      <c r="I413" s="295"/>
      <c r="J413" s="295"/>
      <c r="K413" s="295"/>
      <c r="N413" s="309" t="s">
        <v>1066</v>
      </c>
      <c r="O413" s="309"/>
      <c r="P413" s="398">
        <f>1.05*O357</f>
        <v>183.94924338988091</v>
      </c>
      <c r="Q413" s="309" t="s">
        <v>40</v>
      </c>
      <c r="R413" s="309"/>
      <c r="S413" s="309"/>
      <c r="T413" s="309"/>
      <c r="U413" s="309"/>
      <c r="V413" s="309"/>
      <c r="W413" s="309" t="s">
        <v>1067</v>
      </c>
      <c r="X413" s="387">
        <f>(VLOOKUP(P414+5,AA414:AB420,2)-VLOOKUP(P414,AA414:AB420,2))*(P414-(VLOOKUP(P414,AA414:AB420,1)))/5+VLOOKUP(P414,AA414:AB420,2)</f>
        <v>133.03059505602837</v>
      </c>
      <c r="Y413" s="309" t="s">
        <v>40</v>
      </c>
      <c r="Z413" s="309"/>
      <c r="AA413" s="399" t="s">
        <v>390</v>
      </c>
      <c r="AB413" s="399" t="s">
        <v>42</v>
      </c>
      <c r="AC413" s="335"/>
      <c r="AD413" s="335"/>
      <c r="AE413" s="335"/>
    </row>
    <row r="414" spans="1:31" ht="15" customHeight="1" x14ac:dyDescent="0.25">
      <c r="A414" s="295"/>
      <c r="B414" s="295"/>
      <c r="C414" s="295"/>
      <c r="D414" s="295"/>
      <c r="E414" s="295"/>
      <c r="F414" s="295"/>
      <c r="G414" s="295"/>
      <c r="H414" s="295"/>
      <c r="I414" s="295"/>
      <c r="J414" s="295"/>
      <c r="K414" s="295"/>
      <c r="N414" s="309" t="s">
        <v>1068</v>
      </c>
      <c r="O414" s="309"/>
      <c r="P414" s="400">
        <f>D226-2*(0.5+0.02*D226)</f>
        <v>18.944365218890777</v>
      </c>
      <c r="Q414" s="309" t="s">
        <v>1</v>
      </c>
      <c r="R414" s="309"/>
      <c r="S414" s="309"/>
      <c r="T414" s="309"/>
      <c r="U414" s="309"/>
      <c r="V414" s="309"/>
      <c r="W414" s="309"/>
      <c r="X414" s="309"/>
      <c r="Y414" s="309"/>
      <c r="Z414" s="309"/>
      <c r="AA414" s="214">
        <v>5</v>
      </c>
      <c r="AB414" s="215">
        <f>8.053996037+0.500809115*P413</f>
        <v>100.17745382400587</v>
      </c>
      <c r="AC414" s="335"/>
      <c r="AD414" s="335"/>
      <c r="AE414" s="335"/>
    </row>
    <row r="415" spans="1:31" ht="15" customHeight="1" x14ac:dyDescent="0.25">
      <c r="A415" s="295"/>
      <c r="B415" s="295"/>
      <c r="C415" s="295"/>
      <c r="D415" s="295"/>
      <c r="E415" s="295"/>
      <c r="F415" s="295"/>
      <c r="G415" s="295"/>
      <c r="H415" s="295"/>
      <c r="I415" s="295"/>
      <c r="J415" s="295"/>
      <c r="K415" s="295"/>
      <c r="N415" s="309"/>
      <c r="O415" s="309"/>
      <c r="P415" s="309"/>
      <c r="Q415" s="309"/>
      <c r="R415" s="309"/>
      <c r="S415" s="309"/>
      <c r="T415" s="309"/>
      <c r="U415" s="309"/>
      <c r="V415" s="309"/>
      <c r="W415" s="309"/>
      <c r="X415" s="309"/>
      <c r="Y415" s="309"/>
      <c r="Z415" s="309"/>
      <c r="AA415" s="214">
        <v>10</v>
      </c>
      <c r="AB415" s="215">
        <f>5.60006605+0.569848085*P413</f>
        <v>110.42319013292253</v>
      </c>
      <c r="AC415" s="335"/>
      <c r="AD415" s="335"/>
      <c r="AE415" s="335"/>
    </row>
    <row r="416" spans="1:31" ht="15" customHeight="1" x14ac:dyDescent="0.25">
      <c r="A416" s="295"/>
      <c r="B416" s="295"/>
      <c r="C416" s="295"/>
      <c r="D416" s="295"/>
      <c r="E416" s="295"/>
      <c r="F416" s="295"/>
      <c r="G416" s="295"/>
      <c r="H416" s="295"/>
      <c r="I416" s="295"/>
      <c r="J416" s="295"/>
      <c r="K416" s="295"/>
      <c r="N416" s="309"/>
      <c r="O416" s="309"/>
      <c r="P416" s="309"/>
      <c r="Q416" s="309"/>
      <c r="R416" s="309"/>
      <c r="S416" s="309"/>
      <c r="T416" s="309"/>
      <c r="U416" s="309"/>
      <c r="V416" s="309"/>
      <c r="W416" s="309"/>
      <c r="X416" s="309"/>
      <c r="Y416" s="309"/>
      <c r="Z416" s="309"/>
      <c r="AA416" s="214">
        <v>15</v>
      </c>
      <c r="AB416" s="215">
        <f>7.432298547+0.630713342*P413</f>
        <v>123.4515406038032</v>
      </c>
      <c r="AC416" s="335"/>
      <c r="AD416" s="335"/>
      <c r="AE416" s="335"/>
    </row>
    <row r="417" spans="1:31" ht="15" customHeight="1" x14ac:dyDescent="0.25">
      <c r="A417" s="295"/>
      <c r="B417" s="295"/>
      <c r="C417" s="295"/>
      <c r="D417" s="295"/>
      <c r="E417" s="295"/>
      <c r="F417" s="295"/>
      <c r="G417" s="295"/>
      <c r="H417" s="295"/>
      <c r="I417" s="295"/>
      <c r="J417" s="295"/>
      <c r="K417" s="295"/>
      <c r="N417" s="309"/>
      <c r="O417" s="309"/>
      <c r="P417" s="309"/>
      <c r="Q417" s="309"/>
      <c r="R417" s="309"/>
      <c r="S417" s="309"/>
      <c r="T417" s="309"/>
      <c r="U417" s="309"/>
      <c r="V417" s="309"/>
      <c r="W417" s="309"/>
      <c r="X417" s="309"/>
      <c r="Y417" s="309"/>
      <c r="Z417" s="309"/>
      <c r="AA417" s="214">
        <v>20</v>
      </c>
      <c r="AB417" s="215">
        <f>8.307959049+0.691964188*P413</f>
        <v>135.59424788449331</v>
      </c>
      <c r="AC417" s="335"/>
      <c r="AD417" s="335"/>
      <c r="AE417" s="335"/>
    </row>
    <row r="418" spans="1:31" ht="15" customHeight="1" x14ac:dyDescent="0.25">
      <c r="A418" s="295"/>
      <c r="B418" s="295"/>
      <c r="C418" s="295"/>
      <c r="D418" s="295"/>
      <c r="E418" s="295"/>
      <c r="F418" s="295"/>
      <c r="G418" s="295"/>
      <c r="H418" s="295"/>
      <c r="I418" s="295"/>
      <c r="J418" s="295"/>
      <c r="K418" s="295"/>
      <c r="N418" s="309"/>
      <c r="O418" s="309"/>
      <c r="P418" s="309"/>
      <c r="Q418" s="309"/>
      <c r="R418" s="309"/>
      <c r="S418" s="309"/>
      <c r="T418" s="309"/>
      <c r="U418" s="309"/>
      <c r="V418" s="309"/>
      <c r="W418" s="309"/>
      <c r="X418" s="309"/>
      <c r="Y418" s="309"/>
      <c r="Z418" s="309"/>
      <c r="AA418" s="214">
        <v>25</v>
      </c>
      <c r="AB418" s="215">
        <f>11.40042933+0.74151255*P413</f>
        <v>147.80110186660124</v>
      </c>
      <c r="AC418" s="335"/>
      <c r="AD418" s="335"/>
      <c r="AE418" s="335"/>
    </row>
    <row r="419" spans="1:31" ht="15" customHeight="1" x14ac:dyDescent="0.25">
      <c r="A419" s="295"/>
      <c r="B419" s="295"/>
      <c r="C419" s="295"/>
      <c r="D419" s="295"/>
      <c r="E419" s="295"/>
      <c r="F419" s="295"/>
      <c r="G419" s="295"/>
      <c r="H419" s="295"/>
      <c r="I419" s="295"/>
      <c r="J419" s="295"/>
      <c r="K419" s="295"/>
      <c r="N419" s="309"/>
      <c r="O419" s="309"/>
      <c r="P419" s="309"/>
      <c r="Q419" s="309"/>
      <c r="R419" s="309"/>
      <c r="S419" s="309"/>
      <c r="T419" s="309"/>
      <c r="U419" s="309"/>
      <c r="V419" s="309"/>
      <c r="W419" s="309"/>
      <c r="X419" s="309"/>
      <c r="Y419" s="309"/>
      <c r="Z419" s="309"/>
      <c r="AA419" s="214">
        <v>30</v>
      </c>
      <c r="AB419" s="215">
        <f>15.01585205+0.788540291*P413</f>
        <v>160.06724196188651</v>
      </c>
      <c r="AC419" s="335"/>
      <c r="AD419" s="335"/>
      <c r="AE419" s="335"/>
    </row>
    <row r="420" spans="1:31" ht="15" customHeight="1" x14ac:dyDescent="0.25">
      <c r="A420" s="295"/>
      <c r="B420" s="295"/>
      <c r="C420" s="295"/>
      <c r="D420" s="295"/>
      <c r="E420" s="295"/>
      <c r="F420" s="295"/>
      <c r="G420" s="295"/>
      <c r="H420" s="295"/>
      <c r="I420" s="295"/>
      <c r="J420" s="295"/>
      <c r="K420" s="295"/>
      <c r="N420" s="309"/>
      <c r="O420" s="309"/>
      <c r="P420" s="309"/>
      <c r="Q420" s="309"/>
      <c r="R420" s="309"/>
      <c r="S420" s="309"/>
      <c r="T420" s="309"/>
      <c r="U420" s="309"/>
      <c r="V420" s="309"/>
      <c r="W420" s="309"/>
      <c r="X420" s="309"/>
      <c r="Y420" s="309"/>
      <c r="Z420" s="309"/>
      <c r="AA420" s="214">
        <v>35</v>
      </c>
      <c r="AB420" s="215">
        <f>16.01304491+0.844996697*P413</f>
        <v>171.44954799009844</v>
      </c>
      <c r="AC420" s="335"/>
      <c r="AD420" s="335"/>
      <c r="AE420" s="335"/>
    </row>
    <row r="421" spans="1:31" ht="15" customHeight="1" x14ac:dyDescent="0.25">
      <c r="A421" s="295"/>
      <c r="B421" s="295"/>
      <c r="C421" s="295"/>
      <c r="D421" s="295"/>
      <c r="E421" s="295"/>
      <c r="F421" s="295"/>
      <c r="G421" s="295"/>
      <c r="H421" s="295"/>
      <c r="I421" s="295"/>
      <c r="J421" s="295"/>
      <c r="K421" s="295"/>
      <c r="AC421" s="335"/>
      <c r="AD421" s="335"/>
      <c r="AE421" s="335"/>
    </row>
    <row r="422" spans="1:31" ht="15" customHeight="1" x14ac:dyDescent="0.25">
      <c r="A422" s="295"/>
      <c r="B422" s="295"/>
      <c r="C422" s="295"/>
      <c r="D422" s="295"/>
      <c r="E422" s="295"/>
      <c r="F422" s="295"/>
      <c r="G422" s="295"/>
      <c r="H422" s="295"/>
      <c r="I422" s="295"/>
      <c r="J422" s="295"/>
      <c r="K422" s="295"/>
      <c r="AC422" s="335"/>
      <c r="AD422" s="335"/>
      <c r="AE422" s="335"/>
    </row>
    <row r="423" spans="1:31" ht="15" customHeight="1" x14ac:dyDescent="0.25">
      <c r="A423" s="295"/>
      <c r="B423" s="295"/>
      <c r="C423" s="295"/>
      <c r="D423" s="295"/>
      <c r="E423" s="295"/>
      <c r="F423" s="295"/>
      <c r="G423" s="295"/>
      <c r="H423" s="295"/>
      <c r="I423" s="295"/>
      <c r="J423" s="295"/>
      <c r="K423" s="295"/>
      <c r="AC423" s="335"/>
      <c r="AD423" s="335"/>
      <c r="AE423" s="335"/>
    </row>
    <row r="424" spans="1:31" ht="15" customHeight="1" x14ac:dyDescent="0.25">
      <c r="A424" s="295"/>
      <c r="B424" s="295"/>
      <c r="C424" s="295"/>
      <c r="D424" s="295"/>
      <c r="E424" s="295"/>
      <c r="F424" s="295"/>
      <c r="G424" s="295"/>
      <c r="H424" s="295"/>
      <c r="I424" s="295"/>
      <c r="J424" s="295"/>
      <c r="K424" s="295"/>
      <c r="AC424" s="335"/>
      <c r="AD424" s="335"/>
      <c r="AE424" s="335"/>
    </row>
    <row r="425" spans="1:31" ht="15" customHeight="1" x14ac:dyDescent="0.25">
      <c r="A425" s="295"/>
      <c r="B425" s="295"/>
      <c r="C425" s="295"/>
      <c r="D425" s="295"/>
      <c r="E425" s="295"/>
      <c r="F425" s="295"/>
      <c r="G425" s="295"/>
      <c r="H425" s="295"/>
      <c r="I425" s="295"/>
      <c r="J425" s="295"/>
      <c r="K425" s="29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  <c r="AA425" s="335"/>
      <c r="AB425" s="335"/>
      <c r="AC425" s="335"/>
      <c r="AD425" s="335"/>
      <c r="AE425" s="335"/>
    </row>
    <row r="426" spans="1:31" ht="15" customHeight="1" x14ac:dyDescent="0.25">
      <c r="A426" s="295"/>
      <c r="B426" s="295"/>
      <c r="C426" s="295"/>
      <c r="D426" s="295"/>
      <c r="E426" s="295"/>
      <c r="F426" s="295"/>
      <c r="G426" s="295"/>
      <c r="H426" s="295"/>
      <c r="I426" s="295"/>
      <c r="J426" s="295"/>
      <c r="K426" s="29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  <c r="AA426" s="335"/>
      <c r="AB426" s="335"/>
      <c r="AC426" s="335"/>
      <c r="AD426" s="335"/>
      <c r="AE426" s="335"/>
    </row>
    <row r="427" spans="1:31" ht="15" customHeight="1" x14ac:dyDescent="0.25">
      <c r="A427" s="295"/>
      <c r="B427" s="295"/>
      <c r="C427" s="295"/>
      <c r="D427" s="295"/>
      <c r="E427" s="295"/>
      <c r="F427" s="295"/>
      <c r="G427" s="295"/>
      <c r="H427" s="295"/>
      <c r="I427" s="295"/>
      <c r="J427" s="295"/>
      <c r="K427" s="29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  <c r="AA427" s="335"/>
      <c r="AB427" s="335"/>
      <c r="AC427" s="335"/>
      <c r="AD427" s="335"/>
      <c r="AE427" s="335"/>
    </row>
    <row r="428" spans="1:31" ht="15" customHeight="1" x14ac:dyDescent="0.25">
      <c r="A428" s="295"/>
      <c r="B428" s="295"/>
      <c r="C428" s="295"/>
      <c r="D428" s="295"/>
      <c r="E428" s="295"/>
      <c r="F428" s="295"/>
      <c r="G428" s="295"/>
      <c r="H428" s="295"/>
      <c r="I428" s="295"/>
      <c r="J428" s="295"/>
      <c r="K428" s="29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  <c r="AA428" s="335"/>
      <c r="AB428" s="335"/>
      <c r="AC428" s="335"/>
      <c r="AD428" s="335"/>
      <c r="AE428" s="335"/>
    </row>
    <row r="429" spans="1:31" ht="15" customHeight="1" x14ac:dyDescent="0.25">
      <c r="A429" s="295"/>
      <c r="B429" s="295" t="s">
        <v>1069</v>
      </c>
      <c r="C429" s="295"/>
      <c r="D429" s="295"/>
      <c r="E429" s="295"/>
      <c r="F429" s="295"/>
      <c r="G429" s="295"/>
      <c r="H429" s="295"/>
      <c r="I429" s="295"/>
      <c r="J429" s="295"/>
      <c r="K429" s="29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  <c r="AA429" s="335"/>
      <c r="AB429" s="335"/>
      <c r="AC429" s="335"/>
      <c r="AD429" s="335"/>
      <c r="AE429" s="335"/>
    </row>
    <row r="430" spans="1:31" ht="15" customHeight="1" x14ac:dyDescent="0.25">
      <c r="A430" s="295"/>
      <c r="B430" s="295"/>
      <c r="C430" s="295"/>
      <c r="D430" s="295"/>
      <c r="E430" s="295"/>
      <c r="F430" s="295"/>
      <c r="G430" s="295"/>
      <c r="H430" s="295"/>
      <c r="I430" s="295"/>
      <c r="J430" s="295"/>
      <c r="K430" s="29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  <c r="AA430" s="335"/>
      <c r="AB430" s="335"/>
      <c r="AC430" s="335"/>
      <c r="AD430" s="335"/>
      <c r="AE430" s="335"/>
    </row>
    <row r="431" spans="1:31" ht="15" customHeight="1" x14ac:dyDescent="0.25">
      <c r="A431" s="295"/>
      <c r="B431" s="295" t="s">
        <v>1070</v>
      </c>
      <c r="C431" s="295"/>
      <c r="D431" s="365">
        <f>IF(AND(D455&gt;=0.11,D455&lt;=6700),1000*25.12*D455^0.6961,"Fora da validade da curva! ERRO!")</f>
        <v>1080484.1593989281</v>
      </c>
      <c r="E431" s="305" t="s">
        <v>41</v>
      </c>
      <c r="F431" s="295"/>
      <c r="G431" s="295"/>
      <c r="H431" s="295"/>
      <c r="I431" s="401" t="s">
        <v>1071</v>
      </c>
      <c r="J431" s="290"/>
      <c r="K431" s="290"/>
      <c r="L431" s="402">
        <v>0.1</v>
      </c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  <c r="AA431" s="335"/>
      <c r="AB431" s="335"/>
      <c r="AC431" s="335"/>
      <c r="AD431" s="335"/>
      <c r="AE431" s="335"/>
    </row>
    <row r="432" spans="1:31" ht="15" customHeight="1" x14ac:dyDescent="0.25">
      <c r="A432" s="295"/>
      <c r="B432" s="295"/>
      <c r="C432" s="295"/>
      <c r="D432" s="305"/>
      <c r="E432" s="305"/>
      <c r="F432" s="295"/>
      <c r="G432" s="295"/>
      <c r="H432" s="295"/>
      <c r="I432" s="401" t="s">
        <v>1072</v>
      </c>
      <c r="L432" s="403">
        <f>6000/0.9</f>
        <v>6666.6666666666661</v>
      </c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  <c r="AA432" s="335"/>
      <c r="AB432" s="335"/>
      <c r="AC432" s="335"/>
      <c r="AD432" s="335"/>
      <c r="AE432" s="335"/>
    </row>
    <row r="433" spans="1:31" ht="15" customHeight="1" x14ac:dyDescent="0.25">
      <c r="A433" s="295"/>
      <c r="B433" s="295" t="s">
        <v>1073</v>
      </c>
      <c r="C433" s="295"/>
      <c r="D433" s="295"/>
      <c r="E433" s="295"/>
      <c r="F433" s="295"/>
      <c r="G433" s="295"/>
      <c r="H433" s="295"/>
      <c r="I433" s="295"/>
      <c r="J433" s="295"/>
      <c r="K433" s="29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  <c r="AA433" s="335"/>
      <c r="AB433" s="335"/>
      <c r="AC433" s="335"/>
      <c r="AD433" s="335"/>
      <c r="AE433" s="335"/>
    </row>
    <row r="434" spans="1:31" ht="15" customHeight="1" x14ac:dyDescent="0.25">
      <c r="A434" s="295"/>
      <c r="B434" s="295"/>
      <c r="C434" s="295"/>
      <c r="D434" s="295"/>
      <c r="E434" s="295"/>
      <c r="F434" s="295"/>
      <c r="G434" s="295"/>
      <c r="H434" s="295"/>
      <c r="I434" s="295"/>
      <c r="J434" s="295"/>
      <c r="K434" s="29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  <c r="AA434" s="335"/>
      <c r="AB434" s="335"/>
      <c r="AC434" s="335"/>
      <c r="AD434" s="335"/>
      <c r="AE434" s="335"/>
    </row>
    <row r="435" spans="1:31" ht="15" customHeight="1" x14ac:dyDescent="0.25">
      <c r="A435" s="295"/>
      <c r="B435" s="295"/>
      <c r="C435" s="295"/>
      <c r="D435" s="295"/>
      <c r="E435" s="295"/>
      <c r="F435" s="295"/>
      <c r="G435" s="295"/>
      <c r="H435" s="295"/>
      <c r="I435" s="295"/>
      <c r="J435" s="295"/>
      <c r="K435" s="29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  <c r="AA435" s="335"/>
      <c r="AB435" s="335"/>
      <c r="AC435" s="335"/>
      <c r="AD435" s="335"/>
      <c r="AE435" s="335"/>
    </row>
    <row r="436" spans="1:31" ht="15" customHeight="1" x14ac:dyDescent="0.25">
      <c r="A436" s="295"/>
      <c r="B436" s="295"/>
      <c r="C436" s="295"/>
      <c r="D436" s="295"/>
      <c r="E436" s="295"/>
      <c r="F436" s="295"/>
      <c r="G436" s="295"/>
      <c r="H436" s="295"/>
      <c r="I436" s="295"/>
      <c r="J436" s="295"/>
      <c r="K436" s="29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  <c r="AA436" s="335"/>
      <c r="AB436" s="335"/>
      <c r="AC436" s="335"/>
      <c r="AD436" s="335"/>
      <c r="AE436" s="335"/>
    </row>
    <row r="437" spans="1:31" ht="15" customHeight="1" x14ac:dyDescent="0.25">
      <c r="A437" s="295"/>
      <c r="B437" s="295"/>
      <c r="C437" s="295"/>
      <c r="D437" s="295"/>
      <c r="E437" s="295"/>
      <c r="F437" s="295"/>
      <c r="G437" s="295"/>
      <c r="H437" s="295"/>
      <c r="I437" s="295"/>
      <c r="J437" s="295"/>
      <c r="K437" s="29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  <c r="AA437" s="335"/>
      <c r="AB437" s="335"/>
      <c r="AC437" s="335"/>
      <c r="AD437" s="335"/>
      <c r="AE437" s="335"/>
    </row>
    <row r="438" spans="1:31" ht="15" customHeight="1" x14ac:dyDescent="0.25">
      <c r="A438" s="295"/>
      <c r="B438" s="295"/>
      <c r="C438" s="295"/>
      <c r="D438" s="295"/>
      <c r="E438" s="295"/>
      <c r="F438" s="295"/>
      <c r="G438" s="295"/>
      <c r="H438" s="295"/>
      <c r="I438" s="295"/>
      <c r="J438" s="295"/>
      <c r="K438" s="29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  <c r="AA438" s="335"/>
      <c r="AB438" s="335"/>
      <c r="AC438" s="335"/>
      <c r="AD438" s="335"/>
      <c r="AE438" s="335"/>
    </row>
    <row r="439" spans="1:31" ht="15" customHeight="1" x14ac:dyDescent="0.25">
      <c r="A439" s="295"/>
      <c r="B439" s="295"/>
      <c r="C439" s="295"/>
      <c r="D439" s="295"/>
      <c r="E439" s="295"/>
      <c r="F439" s="295"/>
      <c r="G439" s="295"/>
      <c r="H439" s="295"/>
      <c r="I439" s="295"/>
      <c r="J439" s="295"/>
      <c r="K439" s="29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  <c r="AA439" s="335"/>
      <c r="AB439" s="335"/>
      <c r="AC439" s="335"/>
      <c r="AD439" s="335"/>
      <c r="AE439" s="335"/>
    </row>
    <row r="440" spans="1:31" ht="15" customHeight="1" x14ac:dyDescent="0.25">
      <c r="A440" s="295"/>
      <c r="B440" s="295"/>
      <c r="C440" s="295"/>
      <c r="D440" s="295"/>
      <c r="E440" s="295"/>
      <c r="F440" s="295"/>
      <c r="G440" s="295"/>
      <c r="H440" s="295"/>
      <c r="I440" s="295"/>
      <c r="J440" s="295"/>
      <c r="K440" s="29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  <c r="AA440" s="335"/>
      <c r="AB440" s="335"/>
      <c r="AC440" s="335"/>
      <c r="AD440" s="335"/>
      <c r="AE440" s="335"/>
    </row>
    <row r="441" spans="1:31" ht="15" customHeight="1" x14ac:dyDescent="0.25">
      <c r="A441" s="295"/>
      <c r="B441" s="295"/>
      <c r="C441" s="295"/>
      <c r="D441" s="295"/>
      <c r="E441" s="295"/>
      <c r="F441" s="295"/>
      <c r="G441" s="295"/>
      <c r="H441" s="295"/>
      <c r="I441" s="295"/>
      <c r="J441" s="295"/>
      <c r="K441" s="29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  <c r="AA441" s="335"/>
      <c r="AB441" s="335"/>
      <c r="AC441" s="335"/>
      <c r="AD441" s="335"/>
      <c r="AE441" s="335"/>
    </row>
    <row r="442" spans="1:31" ht="15" customHeight="1" x14ac:dyDescent="0.25">
      <c r="A442" s="295"/>
      <c r="B442" s="295"/>
      <c r="C442" s="295"/>
      <c r="D442" s="295"/>
      <c r="E442" s="295"/>
      <c r="F442" s="295"/>
      <c r="G442" s="295"/>
      <c r="H442" s="295"/>
      <c r="I442" s="295"/>
      <c r="J442" s="295"/>
      <c r="K442" s="29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  <c r="AA442" s="335"/>
      <c r="AB442" s="335"/>
      <c r="AC442" s="335"/>
      <c r="AD442" s="335"/>
      <c r="AE442" s="335"/>
    </row>
    <row r="443" spans="1:31" ht="15" customHeight="1" x14ac:dyDescent="0.25">
      <c r="A443" s="295"/>
      <c r="B443" s="295"/>
      <c r="C443" s="295"/>
      <c r="D443" s="295"/>
      <c r="E443" s="295"/>
      <c r="F443" s="295"/>
      <c r="G443" s="295"/>
      <c r="H443" s="295"/>
      <c r="I443" s="295"/>
      <c r="J443" s="295"/>
      <c r="K443" s="29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  <c r="AA443" s="335"/>
      <c r="AB443" s="335"/>
      <c r="AC443" s="335"/>
      <c r="AD443" s="335"/>
      <c r="AE443" s="335"/>
    </row>
    <row r="444" spans="1:31" ht="15" customHeight="1" x14ac:dyDescent="0.25">
      <c r="A444" s="295"/>
      <c r="B444" s="295"/>
      <c r="C444" s="295"/>
      <c r="D444" s="295"/>
      <c r="E444" s="295"/>
      <c r="F444" s="295"/>
      <c r="G444" s="295"/>
      <c r="H444" s="295"/>
      <c r="I444" s="295"/>
      <c r="J444" s="295"/>
      <c r="K444" s="29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  <c r="AA444" s="335"/>
      <c r="AB444" s="335"/>
      <c r="AC444" s="335"/>
      <c r="AD444" s="335"/>
      <c r="AE444" s="335"/>
    </row>
    <row r="445" spans="1:31" ht="15" customHeight="1" x14ac:dyDescent="0.25">
      <c r="A445" s="295"/>
      <c r="B445" s="295"/>
      <c r="C445" s="295"/>
      <c r="D445" s="295"/>
      <c r="E445" s="295"/>
      <c r="F445" s="295"/>
      <c r="G445" s="295"/>
      <c r="H445" s="295"/>
      <c r="I445" s="295"/>
      <c r="J445" s="295"/>
      <c r="K445" s="29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  <c r="AA445" s="335"/>
      <c r="AB445" s="335"/>
      <c r="AC445" s="335"/>
      <c r="AD445" s="335"/>
      <c r="AE445" s="335"/>
    </row>
    <row r="446" spans="1:31" ht="15" customHeight="1" x14ac:dyDescent="0.25">
      <c r="A446" s="295"/>
      <c r="B446" s="295"/>
      <c r="C446" s="295"/>
      <c r="D446" s="295"/>
      <c r="E446" s="295"/>
      <c r="F446" s="295"/>
      <c r="G446" s="295"/>
      <c r="H446" s="295"/>
      <c r="I446" s="295"/>
      <c r="J446" s="295"/>
      <c r="K446" s="29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  <c r="AA446" s="335"/>
      <c r="AB446" s="335"/>
      <c r="AC446" s="335"/>
      <c r="AD446" s="335"/>
      <c r="AE446" s="335"/>
    </row>
    <row r="447" spans="1:31" ht="15" customHeight="1" x14ac:dyDescent="0.25">
      <c r="A447" s="295"/>
      <c r="B447" s="295"/>
      <c r="C447" s="295"/>
      <c r="D447" s="295"/>
      <c r="E447" s="295"/>
      <c r="F447" s="295"/>
      <c r="G447" s="295"/>
      <c r="H447" s="295"/>
      <c r="I447" s="295"/>
      <c r="J447" s="295"/>
      <c r="K447" s="29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  <c r="AA447" s="335"/>
      <c r="AB447" s="335"/>
      <c r="AC447" s="335"/>
      <c r="AD447" s="335"/>
      <c r="AE447" s="335"/>
    </row>
    <row r="448" spans="1:31" ht="15" customHeight="1" x14ac:dyDescent="0.25">
      <c r="A448" s="295"/>
      <c r="B448" s="295"/>
      <c r="C448" s="295"/>
      <c r="D448" s="295"/>
      <c r="E448" s="295"/>
      <c r="F448" s="295"/>
      <c r="G448" s="295"/>
      <c r="H448" s="295"/>
      <c r="I448" s="295"/>
      <c r="J448" s="295"/>
      <c r="K448" s="29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  <c r="AA448" s="335"/>
      <c r="AB448" s="335"/>
      <c r="AC448" s="335"/>
      <c r="AD448" s="335"/>
      <c r="AE448" s="335"/>
    </row>
    <row r="449" spans="1:31" ht="15" customHeight="1" x14ac:dyDescent="0.25">
      <c r="A449" s="295"/>
      <c r="B449" s="295"/>
      <c r="C449" s="295"/>
      <c r="D449" s="295"/>
      <c r="E449" s="295"/>
      <c r="F449" s="295"/>
      <c r="G449" s="295"/>
      <c r="H449" s="295"/>
      <c r="I449" s="295"/>
      <c r="J449" s="295"/>
      <c r="K449" s="29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  <c r="AA449" s="335"/>
      <c r="AB449" s="335"/>
      <c r="AC449" s="335"/>
      <c r="AD449" s="335"/>
      <c r="AE449" s="335"/>
    </row>
    <row r="450" spans="1:31" ht="15" customHeight="1" x14ac:dyDescent="0.25">
      <c r="A450" s="295"/>
      <c r="B450" s="295" t="s">
        <v>1074</v>
      </c>
      <c r="C450" s="295"/>
      <c r="D450" s="295"/>
      <c r="E450" s="295"/>
      <c r="F450" s="295"/>
      <c r="G450" s="295"/>
      <c r="H450" s="295"/>
      <c r="I450" s="295"/>
      <c r="J450" s="295"/>
      <c r="K450" s="29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  <c r="AA450" s="335"/>
      <c r="AB450" s="335"/>
      <c r="AC450" s="335"/>
      <c r="AD450" s="335"/>
      <c r="AE450" s="335"/>
    </row>
    <row r="451" spans="1:31" ht="15" customHeight="1" x14ac:dyDescent="0.25">
      <c r="A451" s="295"/>
      <c r="B451" s="295"/>
      <c r="C451" s="295"/>
      <c r="D451" s="295"/>
      <c r="E451" s="295"/>
      <c r="F451" s="295"/>
      <c r="G451" s="295"/>
      <c r="H451" s="295"/>
      <c r="I451" s="295"/>
      <c r="J451" s="295"/>
      <c r="K451" s="29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  <c r="AA451" s="335"/>
      <c r="AB451" s="335"/>
      <c r="AC451" s="335"/>
      <c r="AD451" s="335"/>
      <c r="AE451" s="335"/>
    </row>
    <row r="452" spans="1:31" ht="15" customHeight="1" x14ac:dyDescent="0.25">
      <c r="A452" s="295"/>
      <c r="B452" s="295" t="s">
        <v>1075</v>
      </c>
      <c r="C452" s="295"/>
      <c r="D452" s="306"/>
      <c r="E452" s="365" t="str">
        <f>IF(AND(D455&gt;=0.1,D455&lt;=67),1000*(9.4666*D455+9.1722),"ERRO.          Fora da validade da curva! ERRO!")</f>
        <v>ERRO.          Fora da validade da curva! ERRO!</v>
      </c>
      <c r="F452" s="305" t="s">
        <v>41</v>
      </c>
      <c r="G452" s="295"/>
      <c r="H452" s="295"/>
      <c r="I452" s="401" t="s">
        <v>1076</v>
      </c>
      <c r="J452" s="290"/>
      <c r="K452" s="290"/>
      <c r="L452" s="403">
        <v>67</v>
      </c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  <c r="AA452" s="335"/>
      <c r="AB452" s="335"/>
      <c r="AC452" s="335"/>
      <c r="AD452" s="335"/>
      <c r="AE452" s="335"/>
    </row>
    <row r="453" spans="1:31" ht="15" customHeight="1" x14ac:dyDescent="0.25">
      <c r="A453" s="295"/>
      <c r="B453" s="295"/>
      <c r="C453" s="295"/>
      <c r="D453" s="305"/>
      <c r="E453" s="305"/>
      <c r="F453" s="295"/>
      <c r="G453" s="295"/>
      <c r="H453" s="295"/>
      <c r="I453" s="401" t="s">
        <v>1077</v>
      </c>
      <c r="J453" s="290"/>
      <c r="K453" s="290"/>
      <c r="L453" s="404">
        <v>0.1</v>
      </c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  <c r="AA453" s="335"/>
      <c r="AB453" s="335"/>
      <c r="AC453" s="335"/>
      <c r="AD453" s="335"/>
      <c r="AE453" s="335"/>
    </row>
    <row r="454" spans="1:31" ht="15" customHeight="1" x14ac:dyDescent="0.25">
      <c r="A454" s="295"/>
      <c r="B454" s="363" t="s">
        <v>921</v>
      </c>
      <c r="C454" s="295"/>
      <c r="D454" s="295"/>
      <c r="E454" s="295"/>
      <c r="F454" s="295"/>
      <c r="G454" s="295"/>
      <c r="H454" s="295"/>
      <c r="I454" s="295"/>
      <c r="J454" s="295"/>
      <c r="K454" s="29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  <c r="AA454" s="335"/>
      <c r="AB454" s="335"/>
      <c r="AC454" s="335"/>
      <c r="AD454" s="335"/>
      <c r="AE454" s="335"/>
    </row>
    <row r="455" spans="1:31" ht="21.75" customHeight="1" x14ac:dyDescent="0.25">
      <c r="A455" s="295"/>
      <c r="B455" s="295"/>
      <c r="C455" s="306"/>
      <c r="D455" s="295">
        <f>1000*$D$457/$C$167</f>
        <v>222.22222222222223</v>
      </c>
      <c r="E455" s="295" t="s">
        <v>45</v>
      </c>
      <c r="F455" s="306"/>
      <c r="G455" s="295"/>
      <c r="H455" s="295"/>
      <c r="I455" s="295"/>
      <c r="J455" s="295"/>
      <c r="K455" s="29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  <c r="AA455" s="335"/>
      <c r="AB455" s="335"/>
      <c r="AC455" s="335"/>
      <c r="AD455" s="335"/>
      <c r="AE455" s="335"/>
    </row>
    <row r="456" spans="1:31" ht="15" customHeight="1" x14ac:dyDescent="0.25">
      <c r="A456" s="295"/>
      <c r="B456" s="295"/>
      <c r="C456" s="295"/>
      <c r="D456" s="295"/>
      <c r="E456" s="295"/>
      <c r="F456" s="295"/>
      <c r="G456" s="295"/>
      <c r="H456" s="295"/>
      <c r="I456" s="295"/>
      <c r="J456" s="295"/>
      <c r="K456" s="29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  <c r="AA456" s="335"/>
      <c r="AB456" s="335"/>
      <c r="AC456" s="335"/>
      <c r="AD456" s="335"/>
      <c r="AE456" s="335"/>
    </row>
    <row r="457" spans="1:31" ht="15" customHeight="1" x14ac:dyDescent="0.25">
      <c r="A457" s="295"/>
      <c r="B457" s="295"/>
      <c r="C457" s="295"/>
      <c r="D457" s="295">
        <f>$D$106/$C$17</f>
        <v>133.33333333333334</v>
      </c>
      <c r="E457" s="295" t="s">
        <v>1043</v>
      </c>
      <c r="F457" s="295"/>
      <c r="G457" s="295"/>
      <c r="H457" s="295"/>
      <c r="I457" s="295"/>
      <c r="J457" s="295"/>
      <c r="K457" s="295"/>
      <c r="N457" s="405"/>
      <c r="O457" s="405"/>
      <c r="P457" s="405"/>
      <c r="Q457" s="405"/>
      <c r="R457" s="405"/>
      <c r="S457" s="405"/>
      <c r="T457" s="405"/>
      <c r="U457" s="405"/>
      <c r="V457" s="405"/>
      <c r="W457" s="405"/>
      <c r="X457" s="405"/>
      <c r="Y457" s="405"/>
      <c r="Z457" s="405"/>
      <c r="AA457" s="405"/>
      <c r="AB457" s="405"/>
      <c r="AC457" s="335"/>
      <c r="AD457" s="335"/>
      <c r="AE457" s="335"/>
    </row>
    <row r="458" spans="1:31" ht="15" customHeight="1" x14ac:dyDescent="0.25">
      <c r="A458" s="295"/>
      <c r="B458" s="295"/>
      <c r="C458" s="295"/>
      <c r="D458" s="295"/>
      <c r="E458" s="295"/>
      <c r="F458" s="295"/>
      <c r="G458" s="295"/>
      <c r="H458" s="295"/>
      <c r="I458" s="295"/>
      <c r="J458" s="295"/>
      <c r="K458" s="295"/>
      <c r="N458" s="405"/>
      <c r="O458" s="405"/>
      <c r="P458" s="405"/>
      <c r="Q458" s="405"/>
      <c r="R458" s="405"/>
      <c r="S458" s="405"/>
      <c r="T458" s="405"/>
      <c r="U458" s="405"/>
      <c r="V458" s="405"/>
      <c r="W458" s="405"/>
      <c r="X458" s="405"/>
      <c r="Y458" s="405"/>
      <c r="Z458" s="405"/>
      <c r="AA458" s="405"/>
      <c r="AB458" s="405"/>
      <c r="AC458" s="335"/>
      <c r="AD458" s="335"/>
      <c r="AE458" s="335"/>
    </row>
    <row r="459" spans="1:31" ht="15" customHeight="1" x14ac:dyDescent="0.25">
      <c r="A459" s="295"/>
      <c r="B459" s="306"/>
      <c r="C459" s="293"/>
      <c r="D459" s="363" t="s">
        <v>1059</v>
      </c>
      <c r="E459" s="295" t="str">
        <f>IF(G147=2,"Horizontal, ",IF(G147=1,"Vertical, "))</f>
        <v xml:space="preserve">Vertical, </v>
      </c>
      <c r="F459" s="295" t="s">
        <v>1078</v>
      </c>
      <c r="G459" s="295"/>
      <c r="H459" s="295"/>
      <c r="I459" s="295"/>
      <c r="J459" s="295"/>
      <c r="K459" s="295"/>
      <c r="N459" s="405"/>
      <c r="O459" s="405"/>
      <c r="P459" s="405"/>
      <c r="Q459" s="405"/>
      <c r="R459" s="405"/>
      <c r="S459" s="405"/>
      <c r="T459" s="405"/>
      <c r="U459" s="405"/>
      <c r="V459" s="405"/>
      <c r="W459" s="405"/>
      <c r="X459" s="405"/>
      <c r="Y459" s="405"/>
      <c r="Z459" s="405"/>
      <c r="AA459" s="405"/>
      <c r="AB459" s="405"/>
      <c r="AC459" s="335"/>
      <c r="AD459" s="335"/>
      <c r="AE459" s="335"/>
    </row>
    <row r="460" spans="1:31" ht="15" customHeight="1" x14ac:dyDescent="0.25">
      <c r="A460" s="295"/>
      <c r="B460" s="295"/>
      <c r="C460" s="295"/>
      <c r="D460" s="295"/>
      <c r="E460" s="295"/>
      <c r="F460" s="295"/>
      <c r="G460" s="295"/>
      <c r="H460" s="295"/>
      <c r="I460" s="295"/>
      <c r="J460" s="295"/>
      <c r="K460" s="295"/>
      <c r="N460" s="405"/>
      <c r="O460" s="405"/>
      <c r="P460" s="405"/>
      <c r="Q460" s="405"/>
      <c r="R460" s="405"/>
      <c r="S460" s="405"/>
      <c r="T460" s="405"/>
      <c r="U460" s="405"/>
      <c r="V460" s="405"/>
      <c r="W460" s="405"/>
      <c r="X460" s="405"/>
      <c r="Y460" s="405"/>
      <c r="Z460" s="405"/>
      <c r="AA460" s="405"/>
      <c r="AB460" s="405"/>
      <c r="AC460" s="335"/>
      <c r="AD460" s="335"/>
      <c r="AE460" s="335"/>
    </row>
    <row r="461" spans="1:31" ht="15" customHeight="1" x14ac:dyDescent="0.35">
      <c r="A461" s="295"/>
      <c r="B461" s="295"/>
      <c r="C461" s="290"/>
      <c r="D461" s="290"/>
      <c r="E461" s="295" t="s">
        <v>1079</v>
      </c>
      <c r="F461" s="365">
        <f>IF(G147=1,D431,IF(G147=2,E452))</f>
        <v>1080484.1593989281</v>
      </c>
      <c r="G461" s="305" t="s">
        <v>41</v>
      </c>
      <c r="H461" s="295"/>
      <c r="I461" s="295"/>
      <c r="J461" s="295"/>
      <c r="K461" s="29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405"/>
      <c r="AA461" s="405"/>
      <c r="AB461" s="405"/>
      <c r="AC461" s="335"/>
      <c r="AD461" s="335"/>
      <c r="AE461" s="335"/>
    </row>
    <row r="462" spans="1:31" ht="28.5" customHeight="1" x14ac:dyDescent="0.25">
      <c r="A462" s="386"/>
      <c r="B462" s="503" t="s">
        <v>1037</v>
      </c>
      <c r="C462" s="503"/>
      <c r="D462" s="503"/>
      <c r="E462" s="503"/>
      <c r="F462" s="295"/>
      <c r="G462" s="305" t="s">
        <v>41</v>
      </c>
      <c r="H462" s="295"/>
      <c r="I462" s="295"/>
      <c r="J462" s="295"/>
      <c r="K462" s="29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405"/>
      <c r="AA462" s="405"/>
      <c r="AB462" s="405"/>
      <c r="AC462" s="335"/>
      <c r="AD462" s="335"/>
      <c r="AE462" s="335"/>
    </row>
    <row r="463" spans="1:31" ht="25.5" customHeight="1" x14ac:dyDescent="0.25">
      <c r="A463" s="295"/>
      <c r="B463" s="295" t="s">
        <v>1080</v>
      </c>
      <c r="C463" s="295"/>
      <c r="D463" s="295"/>
      <c r="E463" s="295"/>
      <c r="F463" s="267">
        <f>F461+F462</f>
        <v>1080484.1593989281</v>
      </c>
      <c r="G463" s="305" t="s">
        <v>41</v>
      </c>
      <c r="H463" s="295"/>
      <c r="I463" s="295"/>
      <c r="J463" s="295"/>
      <c r="K463" s="295"/>
      <c r="N463" s="405"/>
      <c r="O463" s="405"/>
      <c r="P463" s="405"/>
      <c r="Q463" s="405"/>
      <c r="R463" s="405"/>
      <c r="S463" s="405"/>
      <c r="T463" s="405"/>
      <c r="U463" s="405"/>
      <c r="V463" s="405"/>
      <c r="W463" s="405"/>
      <c r="X463" s="405"/>
      <c r="Y463" s="405"/>
      <c r="Z463" s="405"/>
      <c r="AA463" s="405"/>
      <c r="AB463" s="405"/>
      <c r="AC463" s="335"/>
      <c r="AD463" s="335"/>
      <c r="AE463" s="335"/>
    </row>
    <row r="464" spans="1:31" ht="15" customHeight="1" x14ac:dyDescent="0.25">
      <c r="A464" s="295"/>
      <c r="B464" s="295"/>
      <c r="C464" s="295"/>
      <c r="D464" s="365"/>
      <c r="E464" s="305"/>
      <c r="F464" s="295"/>
      <c r="G464" s="295"/>
      <c r="H464" s="295"/>
      <c r="I464" s="295"/>
      <c r="J464" s="295"/>
      <c r="K464" s="295"/>
      <c r="N464" s="405"/>
      <c r="O464" s="405"/>
      <c r="P464" s="405"/>
      <c r="Q464" s="405"/>
      <c r="R464" s="405"/>
      <c r="S464" s="405"/>
      <c r="T464" s="405"/>
      <c r="U464" s="405"/>
      <c r="V464" s="405"/>
      <c r="W464" s="405"/>
      <c r="X464" s="405"/>
      <c r="Y464" s="405"/>
      <c r="Z464" s="405"/>
      <c r="AA464" s="405"/>
      <c r="AB464" s="405"/>
      <c r="AC464" s="335"/>
      <c r="AD464" s="335"/>
      <c r="AE464" s="335"/>
    </row>
    <row r="465" spans="1:31" ht="15" customHeight="1" x14ac:dyDescent="0.25">
      <c r="A465" s="295"/>
      <c r="B465" s="295"/>
      <c r="C465" s="295"/>
      <c r="D465" s="295"/>
      <c r="E465" s="295"/>
      <c r="F465" s="295"/>
      <c r="G465" s="295"/>
      <c r="H465" s="295"/>
      <c r="I465" s="295"/>
      <c r="J465" s="295"/>
      <c r="K465" s="295"/>
      <c r="N465" s="405"/>
      <c r="O465" s="405"/>
      <c r="P465" s="405"/>
      <c r="Q465" s="405"/>
      <c r="R465" s="405"/>
      <c r="S465" s="405"/>
      <c r="T465" s="405"/>
      <c r="U465" s="405"/>
      <c r="V465" s="405"/>
      <c r="W465" s="405"/>
      <c r="X465" s="405"/>
      <c r="Y465" s="405"/>
      <c r="Z465" s="405"/>
      <c r="AA465" s="405"/>
      <c r="AB465" s="405"/>
      <c r="AC465" s="335"/>
      <c r="AD465" s="335"/>
      <c r="AE465" s="335"/>
    </row>
    <row r="466" spans="1:31" ht="15" customHeight="1" x14ac:dyDescent="0.25">
      <c r="A466" s="295"/>
      <c r="B466" s="385" t="s">
        <v>1081</v>
      </c>
      <c r="C466" s="295"/>
      <c r="D466" s="295"/>
      <c r="E466" s="295"/>
      <c r="F466" s="295"/>
      <c r="G466" s="295"/>
      <c r="H466" s="295"/>
      <c r="I466" s="295"/>
      <c r="J466" s="295"/>
      <c r="K466" s="29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  <c r="AA466" s="335"/>
      <c r="AB466" s="335"/>
      <c r="AC466" s="335"/>
      <c r="AD466" s="335"/>
      <c r="AE466" s="335"/>
    </row>
    <row r="467" spans="1:31" ht="15" customHeight="1" x14ac:dyDescent="0.25">
      <c r="A467" s="295"/>
      <c r="B467" s="385"/>
      <c r="C467" s="295"/>
      <c r="D467" s="295"/>
      <c r="E467" s="295"/>
      <c r="F467" s="295"/>
      <c r="G467" s="295"/>
      <c r="H467" s="295"/>
      <c r="I467" s="295"/>
      <c r="J467" s="295"/>
      <c r="K467" s="29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  <c r="AA467" s="335"/>
      <c r="AB467" s="335"/>
      <c r="AC467" s="335"/>
      <c r="AD467" s="335"/>
      <c r="AE467" s="335"/>
    </row>
    <row r="468" spans="1:31" ht="15" customHeight="1" x14ac:dyDescent="0.25">
      <c r="A468" s="295"/>
      <c r="B468" s="293" t="s">
        <v>1082</v>
      </c>
      <c r="C468" s="295"/>
      <c r="D468" s="295"/>
      <c r="E468" s="295"/>
      <c r="F468" s="295"/>
      <c r="G468" s="295"/>
      <c r="H468" s="295"/>
      <c r="I468" s="295"/>
      <c r="J468" s="295"/>
      <c r="K468" s="29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  <c r="AA468" s="335"/>
      <c r="AB468" s="335"/>
      <c r="AC468" s="335"/>
      <c r="AD468" s="335"/>
      <c r="AE468" s="335"/>
    </row>
    <row r="469" spans="1:31" ht="15" customHeight="1" x14ac:dyDescent="0.25">
      <c r="A469" s="295"/>
      <c r="B469" s="295"/>
      <c r="C469" s="295"/>
      <c r="D469" s="295"/>
      <c r="E469" s="295"/>
      <c r="F469" s="295"/>
      <c r="G469" s="295"/>
      <c r="H469" s="295"/>
      <c r="I469" s="295"/>
      <c r="J469" s="295"/>
      <c r="K469" s="29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  <c r="AA469" s="335"/>
      <c r="AB469" s="335"/>
      <c r="AC469" s="335"/>
      <c r="AD469" s="335"/>
      <c r="AE469" s="335"/>
    </row>
    <row r="470" spans="1:31" ht="15" customHeight="1" x14ac:dyDescent="0.3"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  <c r="AA470" s="335"/>
      <c r="AB470" s="335"/>
      <c r="AC470" s="335"/>
      <c r="AD470" s="335"/>
      <c r="AE470" s="335"/>
    </row>
    <row r="471" spans="1:31" ht="15" customHeight="1" x14ac:dyDescent="0.3">
      <c r="A471" s="291" t="s">
        <v>1083</v>
      </c>
      <c r="G471" s="309"/>
      <c r="H471" s="309"/>
      <c r="I471" s="309"/>
      <c r="J471" s="406"/>
      <c r="K471" s="407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  <c r="AA471" s="335"/>
      <c r="AB471" s="335"/>
      <c r="AC471" s="335"/>
      <c r="AD471" s="335"/>
      <c r="AE471" s="335"/>
    </row>
    <row r="472" spans="1:31" ht="15" customHeight="1" thickBot="1" x14ac:dyDescent="0.35">
      <c r="H472" s="309"/>
      <c r="I472" s="309"/>
      <c r="J472" s="312" t="s">
        <v>43</v>
      </c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  <c r="AA472" s="335"/>
      <c r="AB472" s="335"/>
      <c r="AC472" s="335"/>
      <c r="AD472" s="335"/>
      <c r="AE472" s="335"/>
    </row>
    <row r="473" spans="1:31" ht="28.5" customHeight="1" x14ac:dyDescent="0.3">
      <c r="B473" s="408"/>
      <c r="C473" s="409"/>
      <c r="D473" s="409"/>
      <c r="E473" s="409"/>
      <c r="F473" s="409"/>
      <c r="G473" s="410"/>
      <c r="H473" s="408"/>
      <c r="I473" s="411" t="s">
        <v>1084</v>
      </c>
      <c r="J473" s="412" t="s">
        <v>1085</v>
      </c>
      <c r="K473" s="290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  <c r="AA473" s="335"/>
      <c r="AB473" s="335"/>
      <c r="AC473" s="335"/>
      <c r="AD473" s="335"/>
      <c r="AE473" s="335"/>
    </row>
    <row r="474" spans="1:31" ht="15" customHeight="1" x14ac:dyDescent="0.3">
      <c r="B474" s="413" t="s">
        <v>1086</v>
      </c>
      <c r="C474" s="414" t="s">
        <v>1087</v>
      </c>
      <c r="D474" s="309"/>
      <c r="E474" s="309"/>
      <c r="F474" s="309"/>
      <c r="G474" s="415" t="s">
        <v>1088</v>
      </c>
      <c r="H474" s="416" t="s">
        <v>1089</v>
      </c>
      <c r="I474" s="417" t="s">
        <v>41</v>
      </c>
      <c r="J474" s="418" t="s">
        <v>1090</v>
      </c>
      <c r="K474" s="290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  <c r="AA474" s="335"/>
      <c r="AB474" s="335"/>
      <c r="AC474" s="335"/>
      <c r="AD474" s="335"/>
      <c r="AE474" s="335"/>
    </row>
    <row r="475" spans="1:31" ht="15" customHeight="1" thickBot="1" x14ac:dyDescent="0.35">
      <c r="B475" s="419"/>
      <c r="C475" s="420"/>
      <c r="D475" s="420"/>
      <c r="E475" s="420"/>
      <c r="F475" s="420"/>
      <c r="G475" s="421"/>
      <c r="H475" s="422"/>
      <c r="I475" s="423"/>
      <c r="J475" s="424"/>
      <c r="K475" s="290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  <c r="AA475" s="335"/>
      <c r="AB475" s="335"/>
      <c r="AC475" s="335"/>
      <c r="AD475" s="335"/>
      <c r="AE475" s="335"/>
    </row>
    <row r="476" spans="1:31" s="425" customFormat="1" ht="15" customHeight="1" x14ac:dyDescent="0.3">
      <c r="B476" s="426" t="s">
        <v>1091</v>
      </c>
      <c r="C476" s="427" t="s">
        <v>1092</v>
      </c>
      <c r="D476" s="428"/>
      <c r="E476" s="428"/>
      <c r="F476" s="428"/>
      <c r="G476" s="429"/>
      <c r="H476" s="429"/>
      <c r="I476" s="428"/>
      <c r="J476" s="430">
        <f>J477+J478+J490</f>
        <v>41056.336221204983</v>
      </c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  <c r="AA476" s="335"/>
      <c r="AB476" s="335"/>
      <c r="AC476" s="335"/>
      <c r="AD476" s="335"/>
      <c r="AE476" s="335"/>
    </row>
    <row r="477" spans="1:31" s="425" customFormat="1" ht="15" customHeight="1" x14ac:dyDescent="0.3">
      <c r="B477" s="431" t="s">
        <v>1093</v>
      </c>
      <c r="C477" s="432" t="s">
        <v>1094</v>
      </c>
      <c r="D477" s="428"/>
      <c r="E477" s="428"/>
      <c r="F477" s="428"/>
      <c r="G477" s="429" t="s">
        <v>1095</v>
      </c>
      <c r="H477" s="433"/>
      <c r="I477" s="428"/>
      <c r="J477" s="434">
        <f>E317/1000</f>
        <v>2650.973</v>
      </c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  <c r="AA477" s="335"/>
      <c r="AB477" s="335"/>
      <c r="AC477" s="335"/>
      <c r="AD477" s="335"/>
      <c r="AE477" s="335"/>
    </row>
    <row r="478" spans="1:31" s="425" customFormat="1" ht="15" customHeight="1" x14ac:dyDescent="0.3">
      <c r="B478" s="432" t="s">
        <v>1096</v>
      </c>
      <c r="C478" s="432" t="s">
        <v>1097</v>
      </c>
      <c r="D478" s="432"/>
      <c r="E478" s="432"/>
      <c r="F478" s="432"/>
      <c r="G478" s="435"/>
      <c r="H478" s="436"/>
      <c r="I478" s="437"/>
      <c r="J478" s="434">
        <f>J479+J483+J484+J488</f>
        <v>31562.640517670821</v>
      </c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  <c r="AA478" s="335"/>
      <c r="AB478" s="335"/>
      <c r="AC478" s="335"/>
      <c r="AD478" s="335"/>
      <c r="AE478" s="335"/>
    </row>
    <row r="479" spans="1:31" s="425" customFormat="1" ht="15" customHeight="1" x14ac:dyDescent="0.3">
      <c r="B479" s="428" t="s">
        <v>1098</v>
      </c>
      <c r="C479" s="428" t="s">
        <v>1099</v>
      </c>
      <c r="D479" s="428"/>
      <c r="E479" s="428"/>
      <c r="F479" s="428"/>
      <c r="G479" s="429" t="s">
        <v>1095</v>
      </c>
      <c r="H479" s="436"/>
      <c r="I479" s="437"/>
      <c r="J479" s="434">
        <f>SUM(J480:J482)</f>
        <v>0</v>
      </c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  <c r="AA479" s="335"/>
      <c r="AB479" s="335"/>
      <c r="AC479" s="335"/>
      <c r="AD479" s="335"/>
      <c r="AE479" s="335"/>
    </row>
    <row r="480" spans="1:31" s="425" customFormat="1" ht="15" customHeight="1" x14ac:dyDescent="0.3">
      <c r="B480" s="432" t="s">
        <v>1100</v>
      </c>
      <c r="C480" s="432" t="s">
        <v>1101</v>
      </c>
      <c r="D480" s="432"/>
      <c r="E480" s="432"/>
      <c r="F480" s="432"/>
      <c r="G480" s="435" t="s">
        <v>37</v>
      </c>
      <c r="H480" s="436">
        <f>$F$236</f>
        <v>0</v>
      </c>
      <c r="I480" s="437">
        <v>7.6</v>
      </c>
      <c r="J480" s="434">
        <f>H480*I480/1000</f>
        <v>0</v>
      </c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  <c r="AA480" s="335"/>
      <c r="AB480" s="335"/>
      <c r="AC480" s="335"/>
      <c r="AD480" s="335"/>
      <c r="AE480" s="335"/>
    </row>
    <row r="481" spans="2:31" s="425" customFormat="1" ht="15" customHeight="1" x14ac:dyDescent="0.3">
      <c r="B481" s="428" t="s">
        <v>1102</v>
      </c>
      <c r="C481" s="428" t="s">
        <v>1103</v>
      </c>
      <c r="D481" s="428"/>
      <c r="E481" s="428"/>
      <c r="F481" s="428"/>
      <c r="G481" s="429" t="s">
        <v>37</v>
      </c>
      <c r="H481" s="436">
        <f>D245</f>
        <v>0</v>
      </c>
      <c r="I481" s="437">
        <v>21</v>
      </c>
      <c r="J481" s="434">
        <f>H481*I481/1000</f>
        <v>0</v>
      </c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  <c r="AA481" s="335"/>
      <c r="AB481" s="335"/>
      <c r="AC481" s="335"/>
      <c r="AD481" s="335"/>
      <c r="AE481" s="335"/>
    </row>
    <row r="482" spans="2:31" s="425" customFormat="1" ht="15" customHeight="1" x14ac:dyDescent="0.3">
      <c r="B482" s="432" t="s">
        <v>1104</v>
      </c>
      <c r="C482" s="432" t="s">
        <v>1105</v>
      </c>
      <c r="D482" s="432"/>
      <c r="E482" s="432"/>
      <c r="F482" s="432"/>
      <c r="G482" s="429" t="s">
        <v>37</v>
      </c>
      <c r="H482" s="436">
        <f>$F$251</f>
        <v>305536.19084073772</v>
      </c>
      <c r="I482" s="437">
        <v>0</v>
      </c>
      <c r="J482" s="434">
        <f>H482*I482/1000</f>
        <v>0</v>
      </c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  <c r="AA482" s="335"/>
      <c r="AB482" s="335"/>
      <c r="AC482" s="335"/>
      <c r="AD482" s="335"/>
      <c r="AE482" s="335"/>
    </row>
    <row r="483" spans="2:31" s="425" customFormat="1" ht="15" customHeight="1" x14ac:dyDescent="0.3">
      <c r="B483" s="428" t="s">
        <v>1106</v>
      </c>
      <c r="C483" s="428" t="s">
        <v>1107</v>
      </c>
      <c r="D483" s="428"/>
      <c r="E483" s="428"/>
      <c r="F483" s="428"/>
      <c r="G483" s="429" t="s">
        <v>1095</v>
      </c>
      <c r="H483" s="436"/>
      <c r="I483" s="437"/>
      <c r="J483" s="434">
        <f>E277/1000</f>
        <v>171.19196913927766</v>
      </c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  <c r="AA483" s="335"/>
      <c r="AB483" s="335"/>
      <c r="AC483" s="335"/>
      <c r="AD483" s="335"/>
      <c r="AE483" s="335"/>
    </row>
    <row r="484" spans="2:31" s="425" customFormat="1" ht="15" customHeight="1" x14ac:dyDescent="0.3">
      <c r="B484" s="432" t="s">
        <v>1108</v>
      </c>
      <c r="C484" s="432" t="s">
        <v>1109</v>
      </c>
      <c r="D484" s="432"/>
      <c r="E484" s="432"/>
      <c r="F484" s="432"/>
      <c r="G484" s="435" t="s">
        <v>1095</v>
      </c>
      <c r="H484" s="436"/>
      <c r="I484" s="437"/>
      <c r="J484" s="434">
        <f>SUM(J485:J487)</f>
        <v>23258.760850902429</v>
      </c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  <c r="AA484" s="335"/>
      <c r="AB484" s="335"/>
      <c r="AC484" s="335"/>
      <c r="AD484" s="335"/>
      <c r="AE484" s="335"/>
    </row>
    <row r="485" spans="2:31" s="425" customFormat="1" ht="15" customHeight="1" x14ac:dyDescent="0.3">
      <c r="B485" s="428" t="s">
        <v>1110</v>
      </c>
      <c r="C485" s="428" t="s">
        <v>1111</v>
      </c>
      <c r="D485" s="428"/>
      <c r="E485" s="428"/>
      <c r="F485" s="428"/>
      <c r="G485" s="429" t="s">
        <v>40</v>
      </c>
      <c r="H485" s="436">
        <f>F296</f>
        <v>11378.872816328112</v>
      </c>
      <c r="I485" s="437">
        <v>348</v>
      </c>
      <c r="J485" s="434">
        <f>H485*I485/1000</f>
        <v>3959.847740082183</v>
      </c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  <c r="AA485" s="335"/>
      <c r="AB485" s="335"/>
      <c r="AC485" s="335"/>
      <c r="AD485" s="335"/>
      <c r="AE485" s="335"/>
    </row>
    <row r="486" spans="2:31" s="425" customFormat="1" ht="15" customHeight="1" x14ac:dyDescent="0.3">
      <c r="B486" s="432" t="s">
        <v>1112</v>
      </c>
      <c r="C486" s="432" t="s">
        <v>1113</v>
      </c>
      <c r="D486" s="432"/>
      <c r="E486" s="432"/>
      <c r="F486" s="432"/>
      <c r="G486" s="435" t="s">
        <v>37</v>
      </c>
      <c r="H486" s="436">
        <f>H296</f>
        <v>77619.429252107249</v>
      </c>
      <c r="I486" s="437">
        <f>D298</f>
        <v>114.08009595522091</v>
      </c>
      <c r="J486" s="434">
        <f>H486*I486/1000</f>
        <v>8854.8319370698755</v>
      </c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  <c r="AA486" s="335"/>
      <c r="AB486" s="335"/>
      <c r="AC486" s="335"/>
      <c r="AD486" s="335"/>
      <c r="AE486" s="335"/>
    </row>
    <row r="487" spans="2:31" s="425" customFormat="1" ht="15" customHeight="1" x14ac:dyDescent="0.3">
      <c r="B487" s="432" t="s">
        <v>1114</v>
      </c>
      <c r="C487" s="432" t="s">
        <v>1115</v>
      </c>
      <c r="D487" s="432"/>
      <c r="E487" s="432"/>
      <c r="F487" s="432"/>
      <c r="G487" s="435" t="s">
        <v>40</v>
      </c>
      <c r="H487" s="436">
        <f>G296</f>
        <v>2413.7002943726297</v>
      </c>
      <c r="I487" s="437">
        <v>4327</v>
      </c>
      <c r="J487" s="434">
        <f>H487*I487/1000</f>
        <v>10444.081173750368</v>
      </c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  <c r="AA487" s="335"/>
      <c r="AB487" s="335"/>
      <c r="AC487" s="335"/>
      <c r="AD487" s="335"/>
      <c r="AE487" s="335"/>
    </row>
    <row r="488" spans="2:31" s="425" customFormat="1" ht="15" customHeight="1" x14ac:dyDescent="0.3">
      <c r="B488" s="432" t="s">
        <v>1116</v>
      </c>
      <c r="C488" s="432" t="s">
        <v>1117</v>
      </c>
      <c r="D488" s="432"/>
      <c r="E488" s="432"/>
      <c r="F488" s="432"/>
      <c r="G488" s="435" t="s">
        <v>1095</v>
      </c>
      <c r="H488" s="436"/>
      <c r="I488" s="437"/>
      <c r="J488" s="434">
        <f>D336/1000</f>
        <v>8132.6876976291178</v>
      </c>
      <c r="N488" s="311"/>
      <c r="O488" s="309"/>
      <c r="P488" s="309"/>
      <c r="Q488" s="309"/>
      <c r="R488" s="309"/>
      <c r="S488" s="309"/>
      <c r="T488" s="309"/>
      <c r="U488" s="309"/>
      <c r="V488" s="309"/>
      <c r="W488" s="311"/>
      <c r="X488" s="335"/>
      <c r="Y488" s="309"/>
      <c r="Z488" s="309"/>
      <c r="AA488" s="311"/>
      <c r="AB488" s="309"/>
      <c r="AC488" s="309"/>
      <c r="AD488" s="311"/>
      <c r="AE488" s="311"/>
    </row>
    <row r="489" spans="2:31" s="425" customFormat="1" ht="15" customHeight="1" x14ac:dyDescent="0.3">
      <c r="B489" s="432"/>
      <c r="C489" s="431" t="s">
        <v>1118</v>
      </c>
      <c r="D489" s="432"/>
      <c r="E489" s="432"/>
      <c r="F489" s="432"/>
      <c r="G489" s="435"/>
      <c r="H489" s="436"/>
      <c r="I489" s="437"/>
      <c r="J489" s="434">
        <f>J477+J478</f>
        <v>34213.613517670819</v>
      </c>
      <c r="N489" s="309"/>
      <c r="O489" s="309"/>
      <c r="P489" s="309"/>
      <c r="Q489" s="309"/>
      <c r="R489" s="309"/>
      <c r="S489" s="309"/>
      <c r="T489" s="309"/>
      <c r="U489" s="309"/>
      <c r="V489" s="309"/>
      <c r="W489" s="309"/>
      <c r="X489" s="335"/>
      <c r="Y489" s="309"/>
      <c r="Z489" s="309"/>
      <c r="AA489" s="311"/>
      <c r="AB489" s="311"/>
      <c r="AC489" s="309"/>
      <c r="AD489" s="311"/>
      <c r="AE489" s="311"/>
    </row>
    <row r="490" spans="2:31" s="425" customFormat="1" ht="15" customHeight="1" x14ac:dyDescent="0.3">
      <c r="B490" s="431" t="s">
        <v>1119</v>
      </c>
      <c r="C490" s="438" t="s">
        <v>1120</v>
      </c>
      <c r="D490" s="432"/>
      <c r="E490" s="432"/>
      <c r="F490" s="432"/>
      <c r="G490" s="435" t="s">
        <v>836</v>
      </c>
      <c r="H490" s="439">
        <v>20</v>
      </c>
      <c r="I490" s="437">
        <f>1000*J489</f>
        <v>34213613.517670818</v>
      </c>
      <c r="J490" s="434">
        <f>H490*I490/100000</f>
        <v>6842.722703534163</v>
      </c>
      <c r="N490" s="309"/>
      <c r="O490" s="309"/>
      <c r="P490" s="309"/>
      <c r="Q490" s="309"/>
      <c r="R490" s="309"/>
      <c r="S490" s="309"/>
      <c r="T490" s="309"/>
      <c r="U490" s="309"/>
      <c r="V490" s="309"/>
      <c r="W490" s="309"/>
      <c r="X490" s="335"/>
      <c r="Y490" s="309"/>
      <c r="Z490" s="309"/>
      <c r="AA490" s="399"/>
      <c r="AB490" s="399"/>
      <c r="AC490" s="309"/>
      <c r="AD490" s="399"/>
      <c r="AE490" s="399"/>
    </row>
    <row r="491" spans="2:31" s="425" customFormat="1" ht="15" customHeight="1" thickBot="1" x14ac:dyDescent="0.35">
      <c r="B491" s="432"/>
      <c r="C491" s="432"/>
      <c r="D491" s="432"/>
      <c r="E491" s="432"/>
      <c r="F491" s="432"/>
      <c r="G491" s="435"/>
      <c r="H491" s="436"/>
      <c r="I491" s="437"/>
      <c r="J491" s="434"/>
      <c r="N491" s="309"/>
      <c r="O491" s="309"/>
      <c r="P491" s="309"/>
      <c r="Q491" s="309"/>
      <c r="R491" s="309"/>
      <c r="S491" s="309"/>
      <c r="T491" s="309"/>
      <c r="U491" s="309"/>
      <c r="V491" s="309"/>
      <c r="W491" s="309"/>
      <c r="X491" s="335"/>
      <c r="Y491" s="309"/>
      <c r="Z491" s="309"/>
      <c r="AA491" s="399"/>
      <c r="AB491" s="399"/>
      <c r="AC491" s="309"/>
      <c r="AD491" s="399"/>
      <c r="AE491" s="399"/>
    </row>
    <row r="492" spans="2:31" s="425" customFormat="1" ht="15" customHeight="1" x14ac:dyDescent="0.3">
      <c r="B492" s="427" t="s">
        <v>1121</v>
      </c>
      <c r="C492" s="427" t="s">
        <v>1122</v>
      </c>
      <c r="D492" s="427"/>
      <c r="E492" s="427"/>
      <c r="F492" s="427"/>
      <c r="G492" s="427"/>
      <c r="H492" s="440"/>
      <c r="I492" s="441"/>
      <c r="J492" s="442">
        <f>J498+J499</f>
        <v>374790.94644054637</v>
      </c>
      <c r="N492" s="309"/>
      <c r="O492" s="309"/>
      <c r="P492" s="309"/>
      <c r="Q492" s="309"/>
      <c r="R492" s="309"/>
      <c r="S492" s="309"/>
      <c r="T492" s="309"/>
      <c r="U492" s="309"/>
      <c r="V492" s="309"/>
      <c r="W492" s="309"/>
      <c r="X492" s="335"/>
      <c r="Y492" s="309"/>
      <c r="Z492" s="309"/>
      <c r="AA492" s="399"/>
      <c r="AB492" s="399"/>
      <c r="AC492" s="309"/>
      <c r="AD492" s="399"/>
      <c r="AE492" s="399"/>
    </row>
    <row r="493" spans="2:31" s="425" customFormat="1" ht="15" customHeight="1" x14ac:dyDescent="0.3">
      <c r="B493" s="432" t="s">
        <v>1123</v>
      </c>
      <c r="C493" s="432" t="s">
        <v>1124</v>
      </c>
      <c r="D493" s="432"/>
      <c r="E493" s="432"/>
      <c r="F493" s="432"/>
      <c r="G493" s="435" t="s">
        <v>1125</v>
      </c>
      <c r="H493" s="436"/>
      <c r="I493" s="437"/>
      <c r="J493" s="434">
        <f>H493*I493/1000</f>
        <v>0</v>
      </c>
      <c r="N493" s="309"/>
      <c r="O493" s="309"/>
      <c r="P493" s="309"/>
      <c r="Q493" s="309"/>
      <c r="R493" s="309"/>
      <c r="S493" s="309"/>
      <c r="T493" s="309"/>
      <c r="U493" s="309"/>
      <c r="V493" s="309"/>
      <c r="W493" s="309"/>
      <c r="X493" s="309"/>
      <c r="Y493" s="309"/>
      <c r="Z493" s="309"/>
      <c r="AA493" s="399"/>
      <c r="AB493" s="399"/>
      <c r="AC493" s="309"/>
      <c r="AD493" s="399"/>
      <c r="AE493" s="399"/>
    </row>
    <row r="494" spans="2:31" s="425" customFormat="1" ht="15" customHeight="1" x14ac:dyDescent="0.3">
      <c r="B494" s="428" t="s">
        <v>1126</v>
      </c>
      <c r="C494" s="428" t="s">
        <v>1127</v>
      </c>
      <c r="D494" s="428"/>
      <c r="E494" s="428"/>
      <c r="F494" s="428"/>
      <c r="G494" s="429" t="s">
        <v>1125</v>
      </c>
      <c r="H494" s="436"/>
      <c r="I494" s="437"/>
      <c r="J494" s="434">
        <f>H494*I494/1000</f>
        <v>0</v>
      </c>
      <c r="N494" s="309"/>
      <c r="O494" s="309"/>
      <c r="P494" s="309"/>
      <c r="Q494" s="309"/>
      <c r="R494" s="309"/>
      <c r="S494" s="309"/>
      <c r="T494" s="309"/>
      <c r="U494" s="309"/>
      <c r="V494" s="309"/>
      <c r="W494" s="309"/>
      <c r="X494" s="309"/>
      <c r="Y494" s="309"/>
      <c r="Z494" s="309"/>
      <c r="AA494" s="399"/>
      <c r="AB494" s="399"/>
      <c r="AC494" s="309"/>
      <c r="AD494" s="399"/>
      <c r="AE494" s="399"/>
    </row>
    <row r="495" spans="2:31" s="425" customFormat="1" ht="15" customHeight="1" x14ac:dyDescent="0.3">
      <c r="B495" s="432" t="s">
        <v>1128</v>
      </c>
      <c r="C495" s="432" t="s">
        <v>1129</v>
      </c>
      <c r="D495" s="432"/>
      <c r="E495" s="432"/>
      <c r="F495" s="432"/>
      <c r="G495" s="435" t="s">
        <v>1125</v>
      </c>
      <c r="H495" s="436">
        <f>$G100</f>
        <v>10</v>
      </c>
      <c r="I495" s="443">
        <f>F345</f>
        <v>4571147.0014261631</v>
      </c>
      <c r="J495" s="434">
        <f>H495*I495/1000</f>
        <v>45711.470014261635</v>
      </c>
      <c r="N495" s="309"/>
      <c r="O495" s="309"/>
      <c r="P495" s="309"/>
      <c r="Q495" s="309"/>
      <c r="R495" s="309"/>
      <c r="S495" s="309"/>
      <c r="T495" s="309"/>
      <c r="U495" s="309"/>
      <c r="V495" s="309"/>
      <c r="W495" s="309"/>
      <c r="X495" s="309"/>
      <c r="Y495" s="309"/>
      <c r="Z495" s="309"/>
      <c r="AA495" s="399"/>
      <c r="AB495" s="399"/>
      <c r="AC495" s="309"/>
      <c r="AD495" s="399"/>
      <c r="AE495" s="399"/>
    </row>
    <row r="496" spans="2:31" s="425" customFormat="1" ht="15" customHeight="1" x14ac:dyDescent="0.3">
      <c r="B496" s="428" t="s">
        <v>1130</v>
      </c>
      <c r="C496" s="428" t="s">
        <v>1131</v>
      </c>
      <c r="D496" s="428"/>
      <c r="E496" s="428"/>
      <c r="F496" s="428"/>
      <c r="G496" s="429" t="s">
        <v>1125</v>
      </c>
      <c r="H496" s="436">
        <f>$G100</f>
        <v>10</v>
      </c>
      <c r="I496" s="443">
        <f>F401</f>
        <v>29500757.220441692</v>
      </c>
      <c r="J496" s="434">
        <f>H496*I496/1000</f>
        <v>295007.57220441691</v>
      </c>
      <c r="N496" s="309"/>
      <c r="O496" s="309"/>
      <c r="P496" s="309"/>
      <c r="Q496" s="309"/>
      <c r="R496" s="309"/>
      <c r="S496" s="309"/>
      <c r="T496" s="309"/>
      <c r="U496" s="309"/>
      <c r="V496" s="309"/>
      <c r="W496" s="309"/>
      <c r="X496" s="309"/>
      <c r="Y496" s="309"/>
      <c r="Z496" s="309"/>
      <c r="AA496" s="399"/>
      <c r="AB496" s="399"/>
      <c r="AC496" s="309"/>
      <c r="AD496" s="399"/>
      <c r="AE496" s="399"/>
    </row>
    <row r="497" spans="2:31" s="425" customFormat="1" ht="15" customHeight="1" x14ac:dyDescent="0.3">
      <c r="B497" s="432" t="s">
        <v>1132</v>
      </c>
      <c r="C497" s="432" t="s">
        <v>1133</v>
      </c>
      <c r="D497" s="432"/>
      <c r="E497" s="432"/>
      <c r="F497" s="432"/>
      <c r="G497" s="435" t="s">
        <v>1095</v>
      </c>
      <c r="H497" s="436"/>
      <c r="I497" s="437"/>
      <c r="J497" s="434">
        <f>H497*I497/1000</f>
        <v>0</v>
      </c>
      <c r="N497" s="309"/>
      <c r="O497" s="309"/>
      <c r="P497" s="309"/>
      <c r="Q497" s="309"/>
      <c r="R497" s="309"/>
      <c r="S497" s="309"/>
      <c r="T497" s="309"/>
      <c r="U497" s="309"/>
      <c r="V497" s="309"/>
      <c r="W497" s="309"/>
      <c r="X497" s="309"/>
      <c r="Y497" s="309"/>
      <c r="Z497" s="309"/>
      <c r="AA497" s="399"/>
      <c r="AB497" s="399"/>
      <c r="AC497" s="309"/>
      <c r="AD497" s="399"/>
      <c r="AE497" s="399"/>
    </row>
    <row r="498" spans="2:31" s="425" customFormat="1" ht="15" customHeight="1" x14ac:dyDescent="0.3">
      <c r="B498" s="428"/>
      <c r="C498" s="428" t="s">
        <v>1134</v>
      </c>
      <c r="D498" s="428"/>
      <c r="E498" s="428"/>
      <c r="F498" s="428"/>
      <c r="G498" s="429"/>
      <c r="H498" s="436"/>
      <c r="I498" s="437"/>
      <c r="J498" s="434">
        <f>SUM(J493:J497)</f>
        <v>340719.04221867851</v>
      </c>
      <c r="N498" s="309"/>
      <c r="O498" s="309"/>
      <c r="P498" s="309"/>
      <c r="Q498" s="309"/>
      <c r="R498" s="309"/>
      <c r="S498" s="309"/>
      <c r="T498" s="309"/>
      <c r="U498" s="309"/>
      <c r="V498" s="309"/>
      <c r="W498" s="309"/>
      <c r="X498" s="309"/>
      <c r="Y498" s="309"/>
      <c r="Z498" s="309"/>
      <c r="AA498" s="399"/>
      <c r="AB498" s="399"/>
      <c r="AC498" s="309"/>
      <c r="AD498" s="399"/>
      <c r="AE498" s="399"/>
    </row>
    <row r="499" spans="2:31" s="425" customFormat="1" ht="15" customHeight="1" x14ac:dyDescent="0.3">
      <c r="B499" s="432" t="s">
        <v>1135</v>
      </c>
      <c r="C499" s="444" t="s">
        <v>1136</v>
      </c>
      <c r="D499" s="432"/>
      <c r="E499" s="432"/>
      <c r="F499" s="432"/>
      <c r="G499" s="435" t="s">
        <v>836</v>
      </c>
      <c r="H499" s="439">
        <v>10</v>
      </c>
      <c r="I499" s="443">
        <f>J498*1000</f>
        <v>340719042.21867853</v>
      </c>
      <c r="J499" s="434">
        <f>H499*I499/100000</f>
        <v>34071.904221867851</v>
      </c>
      <c r="N499" s="309"/>
      <c r="O499" s="309"/>
      <c r="P499" s="309"/>
      <c r="Q499" s="309"/>
      <c r="R499" s="309"/>
      <c r="S499" s="309"/>
      <c r="T499" s="309"/>
      <c r="U499" s="309"/>
      <c r="V499" s="309"/>
      <c r="W499" s="309"/>
      <c r="X499" s="309"/>
      <c r="Y499" s="309"/>
      <c r="Z499" s="309"/>
      <c r="AA499" s="399"/>
      <c r="AB499" s="399"/>
      <c r="AC499" s="309"/>
      <c r="AD499" s="399"/>
      <c r="AE499" s="399"/>
    </row>
    <row r="500" spans="2:31" s="425" customFormat="1" ht="15" customHeight="1" thickBot="1" x14ac:dyDescent="0.35">
      <c r="B500" s="428"/>
      <c r="C500" s="428"/>
      <c r="D500" s="428"/>
      <c r="E500" s="428"/>
      <c r="F500" s="428"/>
      <c r="G500" s="428"/>
      <c r="H500" s="436"/>
      <c r="I500" s="437"/>
      <c r="J500" s="434"/>
      <c r="N500" s="311"/>
      <c r="O500" s="445"/>
      <c r="P500" s="309"/>
      <c r="Q500" s="309"/>
      <c r="R500" s="309"/>
      <c r="S500" s="311"/>
      <c r="T500" s="309"/>
      <c r="U500" s="309"/>
      <c r="V500" s="309"/>
      <c r="W500" s="311"/>
      <c r="X500" s="309"/>
      <c r="Y500" s="309"/>
      <c r="Z500" s="309"/>
      <c r="AA500" s="399"/>
      <c r="AB500" s="399"/>
      <c r="AC500" s="309"/>
      <c r="AD500" s="399"/>
      <c r="AE500" s="399"/>
    </row>
    <row r="501" spans="2:31" s="425" customFormat="1" ht="15" customHeight="1" x14ac:dyDescent="0.3">
      <c r="B501" s="427" t="s">
        <v>1137</v>
      </c>
      <c r="C501" s="427" t="s">
        <v>1138</v>
      </c>
      <c r="D501" s="427"/>
      <c r="E501" s="427"/>
      <c r="F501" s="427"/>
      <c r="G501" s="427"/>
      <c r="H501" s="440"/>
      <c r="I501" s="441"/>
      <c r="J501" s="442">
        <f>J503+J504</f>
        <v>80954.844431158024</v>
      </c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  <c r="AA501" s="399"/>
      <c r="AB501" s="399"/>
      <c r="AC501" s="309"/>
      <c r="AD501" s="399"/>
      <c r="AE501" s="399"/>
    </row>
    <row r="502" spans="2:31" s="425" customFormat="1" ht="15" customHeight="1" x14ac:dyDescent="0.3">
      <c r="B502" s="428" t="s">
        <v>1139</v>
      </c>
      <c r="C502" s="428" t="s">
        <v>1140</v>
      </c>
      <c r="D502" s="428"/>
      <c r="E502" s="428"/>
      <c r="F502" s="428"/>
      <c r="G502" s="429" t="s">
        <v>836</v>
      </c>
      <c r="H502" s="439">
        <v>18</v>
      </c>
      <c r="I502" s="437">
        <f>J492*1000</f>
        <v>374790946.44054639</v>
      </c>
      <c r="J502" s="434">
        <f>H502*I502/100000</f>
        <v>67462.370359298351</v>
      </c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  <c r="AA502" s="399"/>
      <c r="AB502" s="399"/>
      <c r="AC502" s="309"/>
      <c r="AD502" s="399"/>
      <c r="AE502" s="399"/>
    </row>
    <row r="503" spans="2:31" s="425" customFormat="1" ht="15" customHeight="1" x14ac:dyDescent="0.3">
      <c r="B503" s="432"/>
      <c r="C503" s="432" t="s">
        <v>1141</v>
      </c>
      <c r="D503" s="432"/>
      <c r="E503" s="432"/>
      <c r="F503" s="432"/>
      <c r="G503" s="435"/>
      <c r="H503" s="436"/>
      <c r="I503" s="437"/>
      <c r="J503" s="434">
        <f>J502</f>
        <v>67462.370359298351</v>
      </c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  <c r="AA503" s="335"/>
      <c r="AB503" s="335"/>
      <c r="AC503" s="335"/>
      <c r="AD503" s="335"/>
      <c r="AE503" s="335"/>
    </row>
    <row r="504" spans="2:31" s="425" customFormat="1" ht="15" customHeight="1" x14ac:dyDescent="0.3">
      <c r="B504" s="432" t="s">
        <v>1142</v>
      </c>
      <c r="C504" s="444" t="s">
        <v>1143</v>
      </c>
      <c r="D504" s="432"/>
      <c r="E504" s="432"/>
      <c r="F504" s="432"/>
      <c r="G504" s="435" t="s">
        <v>836</v>
      </c>
      <c r="H504" s="439">
        <v>20</v>
      </c>
      <c r="I504" s="437">
        <f>J502*1000</f>
        <v>67462370.359298348</v>
      </c>
      <c r="J504" s="434">
        <f>I504*H504/100000</f>
        <v>13492.474071859669</v>
      </c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  <c r="AA504" s="335"/>
      <c r="AB504" s="335"/>
      <c r="AC504" s="335"/>
      <c r="AD504" s="335"/>
      <c r="AE504" s="335"/>
    </row>
    <row r="505" spans="2:31" s="425" customFormat="1" ht="15" customHeight="1" thickBot="1" x14ac:dyDescent="0.35">
      <c r="B505" s="432"/>
      <c r="C505" s="432"/>
      <c r="D505" s="432"/>
      <c r="E505" s="432"/>
      <c r="F505" s="432"/>
      <c r="G505" s="435"/>
      <c r="H505" s="436"/>
      <c r="I505" s="437"/>
      <c r="J505" s="434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  <c r="AA505" s="335"/>
      <c r="AB505" s="335"/>
      <c r="AC505" s="335"/>
      <c r="AD505" s="335"/>
      <c r="AE505" s="335"/>
    </row>
    <row r="506" spans="2:31" s="425" customFormat="1" ht="15" customHeight="1" x14ac:dyDescent="0.3">
      <c r="B506" s="427" t="s">
        <v>1144</v>
      </c>
      <c r="C506" s="427" t="s">
        <v>1145</v>
      </c>
      <c r="D506" s="427"/>
      <c r="E506" s="427"/>
      <c r="F506" s="427"/>
      <c r="G506" s="446"/>
      <c r="H506" s="440"/>
      <c r="I506" s="441"/>
      <c r="J506" s="442">
        <f>J510+J511</f>
        <v>27103.132087706465</v>
      </c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  <c r="AA506" s="335"/>
      <c r="AB506" s="335"/>
      <c r="AC506" s="335"/>
      <c r="AD506" s="335"/>
      <c r="AE506" s="335"/>
    </row>
    <row r="507" spans="2:31" s="425" customFormat="1" ht="15" customHeight="1" x14ac:dyDescent="0.25">
      <c r="B507" s="428" t="s">
        <v>1146</v>
      </c>
      <c r="C507" s="428" t="s">
        <v>1147</v>
      </c>
      <c r="D507" s="428"/>
      <c r="E507" s="428"/>
      <c r="F507" s="428"/>
      <c r="G507" s="429" t="s">
        <v>1125</v>
      </c>
      <c r="H507" s="447">
        <v>1</v>
      </c>
      <c r="I507" s="437">
        <f>F463</f>
        <v>1080484.1593989281</v>
      </c>
      <c r="J507" s="434">
        <f>H507*I507/1000</f>
        <v>1080.4841593989281</v>
      </c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  <c r="AA507" s="335"/>
      <c r="AB507" s="335"/>
      <c r="AC507" s="335"/>
      <c r="AD507" s="335"/>
      <c r="AE507" s="335"/>
    </row>
    <row r="508" spans="2:31" s="425" customFormat="1" ht="15" customHeight="1" x14ac:dyDescent="0.25">
      <c r="B508" s="432" t="s">
        <v>1146</v>
      </c>
      <c r="C508" s="432" t="s">
        <v>1148</v>
      </c>
      <c r="D508" s="432"/>
      <c r="E508" s="432"/>
      <c r="F508" s="432"/>
      <c r="G508" s="435" t="s">
        <v>1125</v>
      </c>
      <c r="H508" s="447"/>
      <c r="I508" s="437"/>
      <c r="J508" s="434">
        <f>H508*I508/1000</f>
        <v>0</v>
      </c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  <c r="AA508" s="335"/>
      <c r="AB508" s="335"/>
      <c r="AC508" s="335"/>
      <c r="AD508" s="335"/>
      <c r="AE508" s="335"/>
    </row>
    <row r="509" spans="2:31" s="425" customFormat="1" ht="15" customHeight="1" x14ac:dyDescent="0.3">
      <c r="B509" s="432" t="s">
        <v>1149</v>
      </c>
      <c r="C509" s="432" t="s">
        <v>1150</v>
      </c>
      <c r="D509" s="432"/>
      <c r="E509" s="432"/>
      <c r="F509" s="432"/>
      <c r="G509" s="435" t="s">
        <v>836</v>
      </c>
      <c r="H509" s="439">
        <v>6</v>
      </c>
      <c r="I509" s="437">
        <f>J492*1000</f>
        <v>374790946.44054639</v>
      </c>
      <c r="J509" s="434">
        <f>H509*I509/100000</f>
        <v>22487.45678643278</v>
      </c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  <c r="AA509" s="335"/>
      <c r="AB509" s="335"/>
      <c r="AC509" s="335"/>
      <c r="AD509" s="335"/>
      <c r="AE509" s="335"/>
    </row>
    <row r="510" spans="2:31" s="425" customFormat="1" ht="15" customHeight="1" x14ac:dyDescent="0.3">
      <c r="B510" s="428"/>
      <c r="C510" s="428" t="s">
        <v>1151</v>
      </c>
      <c r="D510" s="428"/>
      <c r="E510" s="428"/>
      <c r="F510" s="428"/>
      <c r="G510" s="429"/>
      <c r="H510" s="436"/>
      <c r="I510" s="437"/>
      <c r="J510" s="434">
        <f>J509+J507+J508</f>
        <v>23567.94094583171</v>
      </c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  <c r="AA510" s="335"/>
      <c r="AB510" s="335"/>
      <c r="AC510" s="335"/>
      <c r="AD510" s="335"/>
      <c r="AE510" s="335"/>
    </row>
    <row r="511" spans="2:31" s="425" customFormat="1" ht="15" customHeight="1" x14ac:dyDescent="0.3">
      <c r="B511" s="432" t="s">
        <v>1152</v>
      </c>
      <c r="C511" s="444" t="s">
        <v>1153</v>
      </c>
      <c r="D511" s="432"/>
      <c r="E511" s="432"/>
      <c r="F511" s="432"/>
      <c r="G511" s="435" t="s">
        <v>836</v>
      </c>
      <c r="H511" s="439">
        <v>15</v>
      </c>
      <c r="I511" s="437">
        <f>J510*1000</f>
        <v>23567940.945831709</v>
      </c>
      <c r="J511" s="434">
        <f>H511*I511/100000</f>
        <v>3535.1911418747563</v>
      </c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  <c r="AA511" s="335"/>
      <c r="AB511" s="335"/>
      <c r="AC511" s="335"/>
      <c r="AD511" s="335"/>
      <c r="AE511" s="335"/>
    </row>
    <row r="512" spans="2:31" s="425" customFormat="1" ht="15" customHeight="1" thickBot="1" x14ac:dyDescent="0.35">
      <c r="B512" s="448"/>
      <c r="C512" s="448"/>
      <c r="D512" s="448"/>
      <c r="E512" s="448"/>
      <c r="F512" s="448"/>
      <c r="G512" s="449"/>
      <c r="H512" s="450"/>
      <c r="I512" s="448"/>
      <c r="J512" s="451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  <c r="AA512" s="335"/>
      <c r="AB512" s="335"/>
      <c r="AC512" s="335"/>
      <c r="AD512" s="335"/>
      <c r="AE512" s="335"/>
    </row>
    <row r="513" spans="1:31" ht="18" customHeight="1" x14ac:dyDescent="0.25">
      <c r="B513" s="452" t="s">
        <v>1154</v>
      </c>
      <c r="C513" s="452"/>
      <c r="D513" s="452"/>
      <c r="E513" s="452"/>
      <c r="F513" s="452"/>
      <c r="G513" s="452"/>
      <c r="H513" s="61"/>
      <c r="I513" s="452"/>
      <c r="J513" s="453">
        <f>J476+J492+J501+J506</f>
        <v>523905.25918061589</v>
      </c>
      <c r="K513" s="290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  <c r="AA513" s="335"/>
      <c r="AB513" s="335"/>
      <c r="AC513" s="335"/>
      <c r="AD513" s="335"/>
      <c r="AE513" s="335"/>
    </row>
    <row r="514" spans="1:31" ht="7.5" customHeight="1" thickBot="1" x14ac:dyDescent="0.3">
      <c r="B514" s="454"/>
      <c r="C514" s="454"/>
      <c r="D514" s="454"/>
      <c r="E514" s="454"/>
      <c r="F514" s="454"/>
      <c r="G514" s="454"/>
      <c r="H514" s="454"/>
      <c r="I514" s="454"/>
      <c r="J514" s="454"/>
      <c r="K514" s="290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  <c r="AA514" s="335"/>
      <c r="AB514" s="335"/>
      <c r="AC514" s="335"/>
      <c r="AD514" s="335"/>
      <c r="AE514" s="335"/>
    </row>
    <row r="515" spans="1:31" x14ac:dyDescent="0.3"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  <c r="AA515" s="335"/>
      <c r="AB515" s="335"/>
      <c r="AC515" s="335"/>
      <c r="AD515" s="335"/>
      <c r="AE515" s="335"/>
    </row>
    <row r="516" spans="1:31" x14ac:dyDescent="0.3"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</row>
    <row r="517" spans="1:31" x14ac:dyDescent="0.25">
      <c r="A517" s="455" t="s">
        <v>1155</v>
      </c>
      <c r="B517" s="383"/>
      <c r="C517" s="383"/>
      <c r="D517" s="383"/>
      <c r="E517" s="383"/>
      <c r="F517" s="383"/>
      <c r="G517" s="383"/>
      <c r="H517" s="389"/>
      <c r="I517" s="389"/>
      <c r="J517" s="267"/>
    </row>
    <row r="518" spans="1:31" ht="13.8" thickBot="1" x14ac:dyDescent="0.3">
      <c r="A518" s="455"/>
      <c r="B518" s="383"/>
      <c r="C518" s="383"/>
      <c r="D518" s="383"/>
      <c r="E518" s="383"/>
      <c r="F518" s="383"/>
      <c r="G518" s="383"/>
      <c r="H518" s="389"/>
      <c r="I518" s="389"/>
      <c r="J518" s="267"/>
    </row>
    <row r="519" spans="1:31" x14ac:dyDescent="0.3">
      <c r="B519" s="504" t="s">
        <v>1156</v>
      </c>
      <c r="C519" s="506" t="s">
        <v>1157</v>
      </c>
      <c r="D519" s="507"/>
      <c r="E519" s="507"/>
      <c r="F519" s="507"/>
      <c r="G519" s="507"/>
      <c r="H519" s="507"/>
      <c r="I519" s="507"/>
      <c r="J519" s="508"/>
    </row>
    <row r="520" spans="1:31" ht="13.8" thickBot="1" x14ac:dyDescent="0.35">
      <c r="B520" s="505"/>
      <c r="C520" s="509"/>
      <c r="D520" s="510"/>
      <c r="E520" s="510"/>
      <c r="F520" s="510"/>
      <c r="G520" s="510"/>
      <c r="H520" s="510"/>
      <c r="I520" s="510"/>
      <c r="J520" s="511"/>
    </row>
    <row r="521" spans="1:31" x14ac:dyDescent="0.25">
      <c r="A521" s="290"/>
      <c r="B521" s="456" t="str">
        <f>IF(OR(C521="Potência da unidade geradora maior que a máxima recomendada. Foi aumentado o número de unidades",C521="Potência da unidade geradora menor que a mínima recomendada. Foi diminuído o número de unidades"),ROW(B38),"")</f>
        <v/>
      </c>
      <c r="C521" s="457" t="str">
        <f>IF(OR(B38="Potência da unidade geradora maior que a máxima recomendada. Foi aumentado o número de unidades",B38="Potência da unidade geradora menor que a mínima recomendada. Foi diminuído o número de unidades"),B38,"")</f>
        <v/>
      </c>
      <c r="D521" s="458"/>
      <c r="E521" s="458"/>
      <c r="F521" s="458"/>
      <c r="G521" s="458"/>
      <c r="H521" s="458"/>
      <c r="I521" s="459"/>
      <c r="J521" s="459"/>
    </row>
    <row r="522" spans="1:31" x14ac:dyDescent="0.25">
      <c r="A522" s="290"/>
      <c r="B522" s="456" t="str">
        <f>IF(C522="Fora da faixa de variação! ERRO!",ROW(H84),"")</f>
        <v/>
      </c>
      <c r="C522" s="457" t="str">
        <f>IF(H84="Fora da faixa de variação! ERRO!","Fora da faixa de variação! ERRO!","")</f>
        <v/>
      </c>
      <c r="D522" s="458"/>
      <c r="E522" s="458"/>
      <c r="F522" s="458"/>
      <c r="G522" s="458"/>
      <c r="H522" s="458"/>
      <c r="I522" s="460"/>
      <c r="J522" s="460"/>
    </row>
    <row r="523" spans="1:31" x14ac:dyDescent="0.25">
      <c r="A523" s="290"/>
      <c r="B523" s="456" t="str">
        <f>IF(C523="Fora da faixa de variação! ERRO!",ROW(H128),"")</f>
        <v/>
      </c>
      <c r="C523" s="457" t="str">
        <f>IF(H128="Fora da faixa de variação! ERRO!","Fora da faixa de variação! ERRO!","")</f>
        <v/>
      </c>
      <c r="D523" s="458"/>
      <c r="E523" s="458"/>
      <c r="F523" s="458"/>
      <c r="G523" s="458"/>
      <c r="H523" s="458"/>
      <c r="I523" s="460"/>
      <c r="J523" s="460"/>
    </row>
    <row r="524" spans="1:31" x14ac:dyDescent="0.25">
      <c r="A524" s="290"/>
      <c r="B524" s="456" t="str">
        <f>IF(C524="ERRO! Opcao invalida!",ROW(F236),"")</f>
        <v/>
      </c>
      <c r="C524" s="457" t="str">
        <f>IF(F236="ERRO! Opcao invalida!","ERRO! Opcao invalida!","")</f>
        <v/>
      </c>
      <c r="D524" s="458"/>
      <c r="E524" s="458"/>
      <c r="F524" s="458"/>
      <c r="G524" s="458"/>
      <c r="H524" s="458"/>
      <c r="I524" s="460"/>
      <c r="J524" s="460"/>
    </row>
    <row r="525" spans="1:31" x14ac:dyDescent="0.25">
      <c r="A525" s="290"/>
      <c r="B525" s="456" t="str">
        <f>IF(C525="ERRO! Opcao invalida!",ROW(D245),"")</f>
        <v/>
      </c>
      <c r="C525" s="457" t="str">
        <f>IF(D245="ERRO! Opcao invalida!","ERRO! Opcao invalida!","")</f>
        <v/>
      </c>
      <c r="D525" s="458"/>
      <c r="E525" s="458"/>
      <c r="F525" s="458"/>
      <c r="G525" s="458"/>
      <c r="H525" s="458"/>
      <c r="I525" s="460"/>
      <c r="J525" s="460"/>
    </row>
    <row r="526" spans="1:31" x14ac:dyDescent="0.25">
      <c r="A526" s="290"/>
      <c r="B526" s="456" t="str">
        <f>IF(C526="ERRO! Opcao invalida!",ROW(F251),"")</f>
        <v/>
      </c>
      <c r="C526" s="457" t="str">
        <f>IF(F251="ERRO! Opcao invalida!","ERRO! Opcao invalida!","")</f>
        <v/>
      </c>
      <c r="D526" s="458"/>
      <c r="E526" s="458"/>
      <c r="F526" s="458"/>
      <c r="G526" s="458"/>
      <c r="H526" s="458"/>
      <c r="I526" s="460"/>
      <c r="J526" s="460"/>
    </row>
    <row r="527" spans="1:31" x14ac:dyDescent="0.25">
      <c r="A527" s="290"/>
      <c r="B527" s="456" t="str">
        <f>IF(C527="Área de escavação fora da validade do gráfico B33.",ROW(D259),"")</f>
        <v/>
      </c>
      <c r="C527" s="457" t="str">
        <f>IF(D259="                                          Área de escavação fora da validade do gráfico B33.","Área de escavação fora da validade do gráfico B33.","")</f>
        <v/>
      </c>
      <c r="D527" s="458"/>
      <c r="E527" s="458"/>
      <c r="F527" s="458"/>
      <c r="G527" s="458"/>
      <c r="H527" s="458"/>
      <c r="I527" s="460"/>
      <c r="J527" s="460"/>
    </row>
    <row r="528" spans="1:31" x14ac:dyDescent="0.25">
      <c r="A528" s="290"/>
      <c r="B528" s="456" t="str">
        <f>IF(C528="Potencia fora da validade do grafico B19.",ROW(E317),"")</f>
        <v/>
      </c>
      <c r="C528" s="457" t="str">
        <f>IF(E317="Potencia fora da validade do grafico B19.","Potencia fora da validade do grafico B19.","")</f>
        <v/>
      </c>
      <c r="D528" s="458"/>
      <c r="E528" s="458"/>
      <c r="F528" s="458"/>
      <c r="G528" s="458"/>
      <c r="H528" s="458"/>
      <c r="I528" s="460"/>
      <c r="J528" s="460"/>
    </row>
    <row r="529" spans="2:11" s="290" customFormat="1" x14ac:dyDescent="0.25">
      <c r="B529" s="456" t="str">
        <f>IF(C529="Potencia fora da validade do grafico B20.",ROW(D336),"")</f>
        <v/>
      </c>
      <c r="C529" s="457" t="str">
        <f>IF(D336="Potencia fora da validade do grafico B20.","Potencia fora da validade do grafico B20.","")</f>
        <v/>
      </c>
      <c r="D529" s="458"/>
      <c r="E529" s="458"/>
      <c r="F529" s="458"/>
      <c r="G529" s="458"/>
      <c r="H529" s="458"/>
      <c r="I529" s="460"/>
      <c r="J529" s="460"/>
      <c r="K529" s="284"/>
    </row>
    <row r="530" spans="2:11" s="290" customFormat="1" x14ac:dyDescent="0.25">
      <c r="B530" s="456" t="str">
        <f>IF(C530="Relacao MVA/rpm fora da validade do gráfico B16.",ROW(G365),"")</f>
        <v/>
      </c>
      <c r="C530" s="457" t="str">
        <f>IF(G365="Relacao MVA/rpm fora da validade do gráfico B16.","Relacao MVA/rpm fora da validade do gráfico B16.","")</f>
        <v/>
      </c>
      <c r="D530" s="458"/>
      <c r="E530" s="458"/>
      <c r="F530" s="458"/>
      <c r="G530" s="458"/>
      <c r="H530" s="458"/>
      <c r="I530" s="460"/>
      <c r="J530" s="460"/>
      <c r="K530" s="284"/>
    </row>
    <row r="531" spans="2:11" s="290" customFormat="1" x14ac:dyDescent="0.25">
      <c r="B531" s="456" t="str">
        <f>IF(C531="Relacao MVA/rpm fora da faixa de validade do gráfico B14.",ROW(D395),"")</f>
        <v/>
      </c>
      <c r="C531" s="457" t="str">
        <f>IF(D395="ERRO.          Relacao MVA/rpm fora da faixa de validade do gráfico B14.","Relacao MVA/rpm fora da faixa de validade do gráfico B14.","")</f>
        <v/>
      </c>
      <c r="D531" s="458"/>
      <c r="E531" s="458"/>
      <c r="F531" s="458"/>
      <c r="G531" s="458"/>
      <c r="H531" s="458"/>
      <c r="I531" s="460"/>
      <c r="J531" s="460"/>
      <c r="K531" s="284"/>
    </row>
    <row r="532" spans="2:11" s="290" customFormat="1" x14ac:dyDescent="0.25">
      <c r="B532" s="456" t="str">
        <f>IF(C532="Fora da validade da curva! ERRO!",ROW(D431),"")</f>
        <v/>
      </c>
      <c r="C532" s="457" t="str">
        <f>IF(D431="Fora da validade da curva! ERRO!","Fora da validade da curva! ERRO!","")</f>
        <v/>
      </c>
      <c r="D532" s="458"/>
      <c r="E532" s="458"/>
      <c r="F532" s="458"/>
      <c r="G532" s="458"/>
      <c r="H532" s="458"/>
      <c r="I532" s="460"/>
      <c r="J532" s="460"/>
      <c r="K532" s="284"/>
    </row>
    <row r="533" spans="2:11" s="290" customFormat="1" x14ac:dyDescent="0.25">
      <c r="B533" s="456">
        <f>IF(C533="Fora da validade da curva! ERRO!",ROW(E452),"")</f>
        <v>452</v>
      </c>
      <c r="C533" s="457" t="str">
        <f>IF(E452="ERRO.          Fora da validade da curva! ERRO!","Fora da validade da curva! ERRO!","")</f>
        <v>Fora da validade da curva! ERRO!</v>
      </c>
      <c r="D533" s="458"/>
      <c r="E533" s="458"/>
      <c r="F533" s="458"/>
      <c r="G533" s="458"/>
      <c r="H533" s="458"/>
      <c r="I533" s="460"/>
      <c r="J533" s="460"/>
      <c r="K533" s="284"/>
    </row>
    <row r="534" spans="2:11" ht="13.8" thickBot="1" x14ac:dyDescent="0.3">
      <c r="B534" s="461"/>
      <c r="C534" s="462"/>
      <c r="D534" s="463"/>
      <c r="E534" s="463"/>
      <c r="F534" s="463"/>
      <c r="G534" s="463"/>
      <c r="H534" s="463"/>
      <c r="I534" s="463"/>
      <c r="J534" s="463"/>
    </row>
    <row r="535" spans="2:11" x14ac:dyDescent="0.25">
      <c r="B535" s="389"/>
      <c r="C535" s="389"/>
      <c r="D535" s="389"/>
      <c r="E535" s="389"/>
      <c r="F535" s="389"/>
      <c r="G535" s="389"/>
      <c r="H535" s="389"/>
      <c r="I535" s="389"/>
      <c r="J535" s="295"/>
    </row>
    <row r="537" spans="2:11" x14ac:dyDescent="0.3">
      <c r="I537" s="284" t="s">
        <v>1158</v>
      </c>
      <c r="J537" s="284" t="s">
        <v>1159</v>
      </c>
    </row>
    <row r="538" spans="2:11" x14ac:dyDescent="0.3">
      <c r="H538" s="464">
        <v>1</v>
      </c>
      <c r="I538" s="284">
        <f>7*H128*(G102*H128/C167)^0.56</f>
        <v>35</v>
      </c>
      <c r="J538" s="407">
        <f>20000*I538</f>
        <v>700000</v>
      </c>
      <c r="K538" s="407" t="s">
        <v>1160</v>
      </c>
    </row>
    <row r="539" spans="2:11" x14ac:dyDescent="0.3">
      <c r="H539" s="464">
        <v>2</v>
      </c>
      <c r="I539" s="284">
        <f>D138*D57</f>
        <v>14467.671084731723</v>
      </c>
      <c r="J539" s="407">
        <f>8300*I539^0.54</f>
        <v>1464513.4036093554</v>
      </c>
      <c r="K539" s="407" t="s">
        <v>1161</v>
      </c>
    </row>
    <row r="542" spans="2:11" x14ac:dyDescent="0.3">
      <c r="I542" s="307" t="s">
        <v>1162</v>
      </c>
      <c r="J542" s="465">
        <f>MAX(J538*4,J539*4.5)/3.18</f>
        <v>2072424.6277490878</v>
      </c>
    </row>
    <row r="543" spans="2:11" x14ac:dyDescent="0.3">
      <c r="I543" s="307"/>
      <c r="J543" s="465"/>
    </row>
    <row r="550" spans="2:8" ht="15" x14ac:dyDescent="0.3">
      <c r="H550" s="466" t="s">
        <v>1163</v>
      </c>
    </row>
    <row r="551" spans="2:8" x14ac:dyDescent="0.3">
      <c r="H551" s="284" t="s">
        <v>1164</v>
      </c>
    </row>
    <row r="554" spans="2:8" x14ac:dyDescent="0.3">
      <c r="B554" s="284" t="s">
        <v>1165</v>
      </c>
    </row>
  </sheetData>
  <mergeCells count="17">
    <mergeCell ref="R44:R45"/>
    <mergeCell ref="J42:M42"/>
    <mergeCell ref="J44:M44"/>
    <mergeCell ref="J45:M45"/>
    <mergeCell ref="J46:M46"/>
    <mergeCell ref="B462:E462"/>
    <mergeCell ref="B519:B520"/>
    <mergeCell ref="C519:J520"/>
    <mergeCell ref="E1:H2"/>
    <mergeCell ref="A3:D3"/>
    <mergeCell ref="J3:K3"/>
    <mergeCell ref="B344:E344"/>
    <mergeCell ref="B374:E374"/>
    <mergeCell ref="B400:E400"/>
    <mergeCell ref="J52:M52"/>
    <mergeCell ref="J53:M53"/>
    <mergeCell ref="J54:M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8673" r:id="rId4">
          <objectPr defaultSize="0" autoLine="0" autoPict="0" r:id="rId5">
            <anchor moveWithCells="1">
              <from>
                <xdr:col>1</xdr:col>
                <xdr:colOff>38100</xdr:colOff>
                <xdr:row>70</xdr:row>
                <xdr:rowOff>76200</xdr:rowOff>
              </from>
              <to>
                <xdr:col>4</xdr:col>
                <xdr:colOff>563880</xdr:colOff>
                <xdr:row>72</xdr:row>
                <xdr:rowOff>83820</xdr:rowOff>
              </to>
            </anchor>
          </objectPr>
        </oleObject>
      </mc:Choice>
      <mc:Fallback>
        <oleObject progId="Equation.2" shapeId="28673" r:id="rId4"/>
      </mc:Fallback>
    </mc:AlternateContent>
    <mc:AlternateContent xmlns:mc="http://schemas.openxmlformats.org/markup-compatibility/2006">
      <mc:Choice Requires="x14">
        <oleObject progId="Equation.2" shapeId="28674" r:id="rId6">
          <objectPr defaultSize="0" autoLine="0" autoPict="0" r:id="rId7">
            <anchor moveWithCells="1">
              <from>
                <xdr:col>1</xdr:col>
                <xdr:colOff>228600</xdr:colOff>
                <xdr:row>114</xdr:row>
                <xdr:rowOff>114300</xdr:rowOff>
              </from>
              <to>
                <xdr:col>2</xdr:col>
                <xdr:colOff>746760</xdr:colOff>
                <xdr:row>116</xdr:row>
                <xdr:rowOff>99060</xdr:rowOff>
              </to>
            </anchor>
          </objectPr>
        </oleObject>
      </mc:Choice>
      <mc:Fallback>
        <oleObject progId="Equation.2" shapeId="28674" r:id="rId6"/>
      </mc:Fallback>
    </mc:AlternateContent>
    <mc:AlternateContent xmlns:mc="http://schemas.openxmlformats.org/markup-compatibility/2006">
      <mc:Choice Requires="x14">
        <oleObject progId="Equation.2" shapeId="28675" r:id="rId8">
          <objectPr defaultSize="0" autoLine="0" autoPict="0" r:id="rId9">
            <anchor moveWithCells="1">
              <from>
                <xdr:col>0</xdr:col>
                <xdr:colOff>693420</xdr:colOff>
                <xdr:row>176</xdr:row>
                <xdr:rowOff>38100</xdr:rowOff>
              </from>
              <to>
                <xdr:col>3</xdr:col>
                <xdr:colOff>449580</xdr:colOff>
                <xdr:row>177</xdr:row>
                <xdr:rowOff>45720</xdr:rowOff>
              </to>
            </anchor>
          </objectPr>
        </oleObject>
      </mc:Choice>
      <mc:Fallback>
        <oleObject progId="Equation.2" shapeId="28675" r:id="rId8"/>
      </mc:Fallback>
    </mc:AlternateContent>
    <mc:AlternateContent xmlns:mc="http://schemas.openxmlformats.org/markup-compatibility/2006">
      <mc:Choice Requires="x14">
        <oleObject progId="Equation.2" shapeId="28676" r:id="rId10">
          <objectPr defaultSize="0" autoLine="0" autoPict="0" r:id="rId11">
            <anchor moveWithCells="1">
              <from>
                <xdr:col>0</xdr:col>
                <xdr:colOff>800100</xdr:colOff>
                <xdr:row>165</xdr:row>
                <xdr:rowOff>60960</xdr:rowOff>
              </from>
              <to>
                <xdr:col>2</xdr:col>
                <xdr:colOff>403860</xdr:colOff>
                <xdr:row>167</xdr:row>
                <xdr:rowOff>68580</xdr:rowOff>
              </to>
            </anchor>
          </objectPr>
        </oleObject>
      </mc:Choice>
      <mc:Fallback>
        <oleObject progId="Equation.2" shapeId="28676" r:id="rId10"/>
      </mc:Fallback>
    </mc:AlternateContent>
    <mc:AlternateContent xmlns:mc="http://schemas.openxmlformats.org/markup-compatibility/2006">
      <mc:Choice Requires="x14">
        <oleObject progId="Equation.2" shapeId="28677" r:id="rId12">
          <objectPr defaultSize="0" autoLine="0" autoPict="0" r:id="rId13">
            <anchor moveWithCells="1">
              <from>
                <xdr:col>2</xdr:col>
                <xdr:colOff>198120</xdr:colOff>
                <xdr:row>172</xdr:row>
                <xdr:rowOff>182880</xdr:rowOff>
              </from>
              <to>
                <xdr:col>4</xdr:col>
                <xdr:colOff>419100</xdr:colOff>
                <xdr:row>174</xdr:row>
                <xdr:rowOff>38100</xdr:rowOff>
              </to>
            </anchor>
          </objectPr>
        </oleObject>
      </mc:Choice>
      <mc:Fallback>
        <oleObject progId="Equation.2" shapeId="28677" r:id="rId12"/>
      </mc:Fallback>
    </mc:AlternateContent>
    <mc:AlternateContent xmlns:mc="http://schemas.openxmlformats.org/markup-compatibility/2006">
      <mc:Choice Requires="x14">
        <oleObject progId="Equation.2" shapeId="28678" r:id="rId14">
          <objectPr defaultSize="0" autoLine="0" autoPict="0" r:id="rId15">
            <anchor moveWithCells="1">
              <from>
                <xdr:col>0</xdr:col>
                <xdr:colOff>693420</xdr:colOff>
                <xdr:row>179</xdr:row>
                <xdr:rowOff>76200</xdr:rowOff>
              </from>
              <to>
                <xdr:col>5</xdr:col>
                <xdr:colOff>365760</xdr:colOff>
                <xdr:row>181</xdr:row>
                <xdr:rowOff>121920</xdr:rowOff>
              </to>
            </anchor>
          </objectPr>
        </oleObject>
      </mc:Choice>
      <mc:Fallback>
        <oleObject progId="Equation.2" shapeId="28678" r:id="rId14"/>
      </mc:Fallback>
    </mc:AlternateContent>
    <mc:AlternateContent xmlns:mc="http://schemas.openxmlformats.org/markup-compatibility/2006">
      <mc:Choice Requires="x14">
        <oleObject progId="Equation.2" shapeId="28679" r:id="rId16">
          <objectPr defaultSize="0" autoLine="0" autoPict="0" r:id="rId17">
            <anchor moveWithCells="1">
              <from>
                <xdr:col>1</xdr:col>
                <xdr:colOff>114300</xdr:colOff>
                <xdr:row>66</xdr:row>
                <xdr:rowOff>137160</xdr:rowOff>
              </from>
              <to>
                <xdr:col>2</xdr:col>
                <xdr:colOff>464820</xdr:colOff>
                <xdr:row>68</xdr:row>
                <xdr:rowOff>144780</xdr:rowOff>
              </to>
            </anchor>
          </objectPr>
        </oleObject>
      </mc:Choice>
      <mc:Fallback>
        <oleObject progId="Equation.2" shapeId="28679" r:id="rId16"/>
      </mc:Fallback>
    </mc:AlternateContent>
    <mc:AlternateContent xmlns:mc="http://schemas.openxmlformats.org/markup-compatibility/2006">
      <mc:Choice Requires="x14">
        <oleObject progId="Equation.2" shapeId="28680" r:id="rId18">
          <objectPr defaultSize="0" autoLine="0" autoPict="0" r:id="rId19">
            <anchor moveWithCells="1">
              <from>
                <xdr:col>1</xdr:col>
                <xdr:colOff>259080</xdr:colOff>
                <xdr:row>50</xdr:row>
                <xdr:rowOff>106680</xdr:rowOff>
              </from>
              <to>
                <xdr:col>3</xdr:col>
                <xdr:colOff>160020</xdr:colOff>
                <xdr:row>52</xdr:row>
                <xdr:rowOff>76200</xdr:rowOff>
              </to>
            </anchor>
          </objectPr>
        </oleObject>
      </mc:Choice>
      <mc:Fallback>
        <oleObject progId="Equation.2" shapeId="28680" r:id="rId18"/>
      </mc:Fallback>
    </mc:AlternateContent>
    <mc:AlternateContent xmlns:mc="http://schemas.openxmlformats.org/markup-compatibility/2006">
      <mc:Choice Requires="x14">
        <oleObject progId="Equation.2" shapeId="28681" r:id="rId20">
          <objectPr defaultSize="0" autoLine="0" autoPict="0" r:id="rId21">
            <anchor moveWithCells="1">
              <from>
                <xdr:col>1</xdr:col>
                <xdr:colOff>68580</xdr:colOff>
                <xdr:row>93</xdr:row>
                <xdr:rowOff>76200</xdr:rowOff>
              </from>
              <to>
                <xdr:col>3</xdr:col>
                <xdr:colOff>137160</xdr:colOff>
                <xdr:row>95</xdr:row>
                <xdr:rowOff>60960</xdr:rowOff>
              </to>
            </anchor>
          </objectPr>
        </oleObject>
      </mc:Choice>
      <mc:Fallback>
        <oleObject progId="Equation.2" shapeId="28681" r:id="rId20"/>
      </mc:Fallback>
    </mc:AlternateContent>
    <mc:AlternateContent xmlns:mc="http://schemas.openxmlformats.org/markup-compatibility/2006">
      <mc:Choice Requires="x14">
        <oleObject progId="Equation.2" shapeId="28682" r:id="rId22">
          <objectPr defaultSize="0" autoLine="0" autoPict="0" r:id="rId23">
            <anchor moveWithCells="1">
              <from>
                <xdr:col>1</xdr:col>
                <xdr:colOff>228600</xdr:colOff>
                <xdr:row>110</xdr:row>
                <xdr:rowOff>30480</xdr:rowOff>
              </from>
              <to>
                <xdr:col>2</xdr:col>
                <xdr:colOff>388620</xdr:colOff>
                <xdr:row>111</xdr:row>
                <xdr:rowOff>38100</xdr:rowOff>
              </to>
            </anchor>
          </objectPr>
        </oleObject>
      </mc:Choice>
      <mc:Fallback>
        <oleObject progId="Equation.2" shapeId="28682" r:id="rId22"/>
      </mc:Fallback>
    </mc:AlternateContent>
    <mc:AlternateContent xmlns:mc="http://schemas.openxmlformats.org/markup-compatibility/2006">
      <mc:Choice Requires="x14">
        <oleObject progId="Equation.2" shapeId="28683" r:id="rId24">
          <objectPr defaultSize="0" autoLine="0" autoPict="0" r:id="rId25">
            <anchor moveWithCells="1">
              <from>
                <xdr:col>1</xdr:col>
                <xdr:colOff>266700</xdr:colOff>
                <xdr:row>192</xdr:row>
                <xdr:rowOff>22860</xdr:rowOff>
              </from>
              <to>
                <xdr:col>3</xdr:col>
                <xdr:colOff>426720</xdr:colOff>
                <xdr:row>192</xdr:row>
                <xdr:rowOff>182880</xdr:rowOff>
              </to>
            </anchor>
          </objectPr>
        </oleObject>
      </mc:Choice>
      <mc:Fallback>
        <oleObject progId="Equation.2" shapeId="28683" r:id="rId24"/>
      </mc:Fallback>
    </mc:AlternateContent>
    <mc:AlternateContent xmlns:mc="http://schemas.openxmlformats.org/markup-compatibility/2006">
      <mc:Choice Requires="x14">
        <oleObject progId="Equation.2" shapeId="28684" r:id="rId26">
          <objectPr defaultSize="0" autoLine="0" autoPict="0" r:id="rId27">
            <anchor moveWithCells="1">
              <from>
                <xdr:col>1</xdr:col>
                <xdr:colOff>266700</xdr:colOff>
                <xdr:row>194</xdr:row>
                <xdr:rowOff>30480</xdr:rowOff>
              </from>
              <to>
                <xdr:col>3</xdr:col>
                <xdr:colOff>381000</xdr:colOff>
                <xdr:row>195</xdr:row>
                <xdr:rowOff>0</xdr:rowOff>
              </to>
            </anchor>
          </objectPr>
        </oleObject>
      </mc:Choice>
      <mc:Fallback>
        <oleObject progId="Equation.2" shapeId="28684" r:id="rId26"/>
      </mc:Fallback>
    </mc:AlternateContent>
    <mc:AlternateContent xmlns:mc="http://schemas.openxmlformats.org/markup-compatibility/2006">
      <mc:Choice Requires="x14">
        <oleObject progId="Equation.2" shapeId="28685" r:id="rId28">
          <objectPr defaultSize="0" autoLine="0" autoPict="0" r:id="rId29">
            <anchor moveWithCells="1">
              <from>
                <xdr:col>1</xdr:col>
                <xdr:colOff>266700</xdr:colOff>
                <xdr:row>204</xdr:row>
                <xdr:rowOff>30480</xdr:rowOff>
              </from>
              <to>
                <xdr:col>3</xdr:col>
                <xdr:colOff>373380</xdr:colOff>
                <xdr:row>205</xdr:row>
                <xdr:rowOff>0</xdr:rowOff>
              </to>
            </anchor>
          </objectPr>
        </oleObject>
      </mc:Choice>
      <mc:Fallback>
        <oleObject progId="Equation.2" shapeId="28685" r:id="rId28"/>
      </mc:Fallback>
    </mc:AlternateContent>
    <mc:AlternateContent xmlns:mc="http://schemas.openxmlformats.org/markup-compatibility/2006">
      <mc:Choice Requires="x14">
        <oleObject progId="Equation.2" shapeId="28686" r:id="rId30">
          <objectPr defaultSize="0" autoLine="0" autoPict="0" r:id="rId31">
            <anchor moveWithCells="1">
              <from>
                <xdr:col>1</xdr:col>
                <xdr:colOff>259080</xdr:colOff>
                <xdr:row>212</xdr:row>
                <xdr:rowOff>0</xdr:rowOff>
              </from>
              <to>
                <xdr:col>3</xdr:col>
                <xdr:colOff>175260</xdr:colOff>
                <xdr:row>213</xdr:row>
                <xdr:rowOff>0</xdr:rowOff>
              </to>
            </anchor>
          </objectPr>
        </oleObject>
      </mc:Choice>
      <mc:Fallback>
        <oleObject progId="Equation.2" shapeId="28686" r:id="rId30"/>
      </mc:Fallback>
    </mc:AlternateContent>
    <mc:AlternateContent xmlns:mc="http://schemas.openxmlformats.org/markup-compatibility/2006">
      <mc:Choice Requires="x14">
        <oleObject progId="Equation.2" shapeId="28687" r:id="rId32">
          <objectPr defaultSize="0" autoLine="0" autoPict="0" r:id="rId33">
            <anchor moveWithCells="1">
              <from>
                <xdr:col>1</xdr:col>
                <xdr:colOff>266700</xdr:colOff>
                <xdr:row>215</xdr:row>
                <xdr:rowOff>30480</xdr:rowOff>
              </from>
              <to>
                <xdr:col>3</xdr:col>
                <xdr:colOff>335280</xdr:colOff>
                <xdr:row>216</xdr:row>
                <xdr:rowOff>38100</xdr:rowOff>
              </to>
            </anchor>
          </objectPr>
        </oleObject>
      </mc:Choice>
      <mc:Fallback>
        <oleObject progId="Equation.2" shapeId="28687" r:id="rId32"/>
      </mc:Fallback>
    </mc:AlternateContent>
    <mc:AlternateContent xmlns:mc="http://schemas.openxmlformats.org/markup-compatibility/2006">
      <mc:Choice Requires="x14">
        <oleObject progId="Equation.2" shapeId="28688" r:id="rId34">
          <objectPr defaultSize="0" autoLine="0" autoPict="0" r:id="rId35">
            <anchor moveWithCells="1">
              <from>
                <xdr:col>1</xdr:col>
                <xdr:colOff>266700</xdr:colOff>
                <xdr:row>225</xdr:row>
                <xdr:rowOff>7620</xdr:rowOff>
              </from>
              <to>
                <xdr:col>3</xdr:col>
                <xdr:colOff>152400</xdr:colOff>
                <xdr:row>226</xdr:row>
                <xdr:rowOff>7620</xdr:rowOff>
              </to>
            </anchor>
          </objectPr>
        </oleObject>
      </mc:Choice>
      <mc:Fallback>
        <oleObject progId="Equation.2" shapeId="28688" r:id="rId34"/>
      </mc:Fallback>
    </mc:AlternateContent>
    <mc:AlternateContent xmlns:mc="http://schemas.openxmlformats.org/markup-compatibility/2006">
      <mc:Choice Requires="x14">
        <oleObject progId="Equation.2" shapeId="28689" r:id="rId36">
          <objectPr defaultSize="0" autoLine="0" autoPict="0" r:id="rId37">
            <anchor moveWithCells="1">
              <from>
                <xdr:col>1</xdr:col>
                <xdr:colOff>266700</xdr:colOff>
                <xdr:row>218</xdr:row>
                <xdr:rowOff>22860</xdr:rowOff>
              </from>
              <to>
                <xdr:col>4</xdr:col>
                <xdr:colOff>335280</xdr:colOff>
                <xdr:row>220</xdr:row>
                <xdr:rowOff>152400</xdr:rowOff>
              </to>
            </anchor>
          </objectPr>
        </oleObject>
      </mc:Choice>
      <mc:Fallback>
        <oleObject progId="Equation.2" shapeId="28689" r:id="rId36"/>
      </mc:Fallback>
    </mc:AlternateContent>
    <mc:AlternateContent xmlns:mc="http://schemas.openxmlformats.org/markup-compatibility/2006">
      <mc:Choice Requires="x14">
        <oleObject progId="Equation.2" shapeId="28690" r:id="rId38">
          <objectPr defaultSize="0" autoLine="0" autoPict="0" r:id="rId39">
            <anchor moveWithCells="1">
              <from>
                <xdr:col>1</xdr:col>
                <xdr:colOff>30480</xdr:colOff>
                <xdr:row>75</xdr:row>
                <xdr:rowOff>22860</xdr:rowOff>
              </from>
              <to>
                <xdr:col>6</xdr:col>
                <xdr:colOff>251460</xdr:colOff>
                <xdr:row>76</xdr:row>
                <xdr:rowOff>45720</xdr:rowOff>
              </to>
            </anchor>
          </objectPr>
        </oleObject>
      </mc:Choice>
      <mc:Fallback>
        <oleObject progId="Equation.2" shapeId="28690" r:id="rId38"/>
      </mc:Fallback>
    </mc:AlternateContent>
    <mc:AlternateContent xmlns:mc="http://schemas.openxmlformats.org/markup-compatibility/2006">
      <mc:Choice Requires="x14">
        <oleObject progId="Equation.2" shapeId="28691" r:id="rId40">
          <objectPr defaultSize="0" autoLine="0" autoPict="0" r:id="rId41">
            <anchor moveWithCells="1">
              <from>
                <xdr:col>1</xdr:col>
                <xdr:colOff>30480</xdr:colOff>
                <xdr:row>76</xdr:row>
                <xdr:rowOff>137160</xdr:rowOff>
              </from>
              <to>
                <xdr:col>6</xdr:col>
                <xdr:colOff>160020</xdr:colOff>
                <xdr:row>77</xdr:row>
                <xdr:rowOff>152400</xdr:rowOff>
              </to>
            </anchor>
          </objectPr>
        </oleObject>
      </mc:Choice>
      <mc:Fallback>
        <oleObject progId="Equation.2" shapeId="28691" r:id="rId40"/>
      </mc:Fallback>
    </mc:AlternateContent>
    <mc:AlternateContent xmlns:mc="http://schemas.openxmlformats.org/markup-compatibility/2006">
      <mc:Choice Requires="x14">
        <oleObject progId="Equation.2" shapeId="28692" r:id="rId42">
          <objectPr defaultSize="0" autoLine="0" autoPict="0" r:id="rId43">
            <anchor moveWithCells="1">
              <from>
                <xdr:col>1</xdr:col>
                <xdr:colOff>30480</xdr:colOff>
                <xdr:row>78</xdr:row>
                <xdr:rowOff>99060</xdr:rowOff>
              </from>
              <to>
                <xdr:col>5</xdr:col>
                <xdr:colOff>746760</xdr:colOff>
                <xdr:row>79</xdr:row>
                <xdr:rowOff>121920</xdr:rowOff>
              </to>
            </anchor>
          </objectPr>
        </oleObject>
      </mc:Choice>
      <mc:Fallback>
        <oleObject progId="Equation.2" shapeId="28692" r:id="rId42"/>
      </mc:Fallback>
    </mc:AlternateContent>
    <mc:AlternateContent xmlns:mc="http://schemas.openxmlformats.org/markup-compatibility/2006">
      <mc:Choice Requires="x14">
        <oleObject progId="Equation.2" shapeId="28693" r:id="rId44">
          <objectPr defaultSize="0" autoLine="0" autoPict="0" r:id="rId45">
            <anchor moveWithCells="1">
              <from>
                <xdr:col>1</xdr:col>
                <xdr:colOff>38100</xdr:colOff>
                <xdr:row>79</xdr:row>
                <xdr:rowOff>175260</xdr:rowOff>
              </from>
              <to>
                <xdr:col>5</xdr:col>
                <xdr:colOff>99060</xdr:colOff>
                <xdr:row>81</xdr:row>
                <xdr:rowOff>7620</xdr:rowOff>
              </to>
            </anchor>
          </objectPr>
        </oleObject>
      </mc:Choice>
      <mc:Fallback>
        <oleObject progId="Equation.2" shapeId="28693" r:id="rId44"/>
      </mc:Fallback>
    </mc:AlternateContent>
    <mc:AlternateContent xmlns:mc="http://schemas.openxmlformats.org/markup-compatibility/2006">
      <mc:Choice Requires="x14">
        <oleObject progId="Equation.2" shapeId="28694" r:id="rId46">
          <objectPr defaultSize="0" autoLine="0" autoPict="0" r:id="rId47">
            <anchor moveWithCells="1">
              <from>
                <xdr:col>1</xdr:col>
                <xdr:colOff>228600</xdr:colOff>
                <xdr:row>104</xdr:row>
                <xdr:rowOff>114300</xdr:rowOff>
              </from>
              <to>
                <xdr:col>3</xdr:col>
                <xdr:colOff>419100</xdr:colOff>
                <xdr:row>106</xdr:row>
                <xdr:rowOff>144780</xdr:rowOff>
              </to>
            </anchor>
          </objectPr>
        </oleObject>
      </mc:Choice>
      <mc:Fallback>
        <oleObject progId="Equation.2" shapeId="28694" r:id="rId46"/>
      </mc:Fallback>
    </mc:AlternateContent>
    <mc:AlternateContent xmlns:mc="http://schemas.openxmlformats.org/markup-compatibility/2006">
      <mc:Choice Requires="x14">
        <oleObject progId="Equation.2" shapeId="28695" r:id="rId48">
          <objectPr defaultSize="0" autoLine="0" autoPict="0" r:id="rId49">
            <anchor moveWithCells="1">
              <from>
                <xdr:col>6</xdr:col>
                <xdr:colOff>716280</xdr:colOff>
                <xdr:row>105</xdr:row>
                <xdr:rowOff>22860</xdr:rowOff>
              </from>
              <to>
                <xdr:col>8</xdr:col>
                <xdr:colOff>236220</xdr:colOff>
                <xdr:row>107</xdr:row>
                <xdr:rowOff>182880</xdr:rowOff>
              </to>
            </anchor>
          </objectPr>
        </oleObject>
      </mc:Choice>
      <mc:Fallback>
        <oleObject progId="Equation.2" shapeId="28695" r:id="rId48"/>
      </mc:Fallback>
    </mc:AlternateContent>
    <mc:AlternateContent xmlns:mc="http://schemas.openxmlformats.org/markup-compatibility/2006">
      <mc:Choice Requires="x14">
        <oleObject progId="Equation.2" shapeId="28696" r:id="rId50">
          <objectPr defaultSize="0" autoLine="0" autoPict="0" r:id="rId51">
            <anchor moveWithCells="1">
              <from>
                <xdr:col>1</xdr:col>
                <xdr:colOff>213360</xdr:colOff>
                <xdr:row>136</xdr:row>
                <xdr:rowOff>99060</xdr:rowOff>
              </from>
              <to>
                <xdr:col>3</xdr:col>
                <xdr:colOff>160020</xdr:colOff>
                <xdr:row>138</xdr:row>
                <xdr:rowOff>68580</xdr:rowOff>
              </to>
            </anchor>
          </objectPr>
        </oleObject>
      </mc:Choice>
      <mc:Fallback>
        <oleObject progId="Equation.2" shapeId="28696" r:id="rId50"/>
      </mc:Fallback>
    </mc:AlternateContent>
    <mc:AlternateContent xmlns:mc="http://schemas.openxmlformats.org/markup-compatibility/2006">
      <mc:Choice Requires="x14">
        <oleObject progId="Equation.2" shapeId="28697" r:id="rId52">
          <objectPr defaultSize="0" autoLine="0" autoPict="0" r:id="rId53">
            <anchor moveWithCells="1">
              <from>
                <xdr:col>1</xdr:col>
                <xdr:colOff>182880</xdr:colOff>
                <xdr:row>170</xdr:row>
                <xdr:rowOff>121920</xdr:rowOff>
              </from>
              <to>
                <xdr:col>2</xdr:col>
                <xdr:colOff>198120</xdr:colOff>
                <xdr:row>172</xdr:row>
                <xdr:rowOff>99060</xdr:rowOff>
              </to>
            </anchor>
          </objectPr>
        </oleObject>
      </mc:Choice>
      <mc:Fallback>
        <oleObject progId="Equation.2" shapeId="28697" r:id="rId52"/>
      </mc:Fallback>
    </mc:AlternateContent>
    <mc:AlternateContent xmlns:mc="http://schemas.openxmlformats.org/markup-compatibility/2006">
      <mc:Choice Requires="x14">
        <oleObject progId="Equation.2" shapeId="28698" r:id="rId54">
          <objectPr defaultSize="0" autoLine="0" autoPict="0" r:id="rId55">
            <anchor moveWithCells="1">
              <from>
                <xdr:col>1</xdr:col>
                <xdr:colOff>236220</xdr:colOff>
                <xdr:row>155</xdr:row>
                <xdr:rowOff>114300</xdr:rowOff>
              </from>
              <to>
                <xdr:col>9</xdr:col>
                <xdr:colOff>381000</xdr:colOff>
                <xdr:row>157</xdr:row>
                <xdr:rowOff>106680</xdr:rowOff>
              </to>
            </anchor>
          </objectPr>
        </oleObject>
      </mc:Choice>
      <mc:Fallback>
        <oleObject progId="Equation.2" shapeId="28698" r:id="rId54"/>
      </mc:Fallback>
    </mc:AlternateContent>
    <mc:AlternateContent xmlns:mc="http://schemas.openxmlformats.org/markup-compatibility/2006">
      <mc:Choice Requires="x14">
        <oleObject progId="Equation.2" shapeId="28699" r:id="rId56">
          <objectPr defaultSize="0" autoLine="0" autoPict="0" r:id="rId57">
            <anchor moveWithCells="1">
              <from>
                <xdr:col>1</xdr:col>
                <xdr:colOff>236220</xdr:colOff>
                <xdr:row>157</xdr:row>
                <xdr:rowOff>144780</xdr:rowOff>
              </from>
              <to>
                <xdr:col>6</xdr:col>
                <xdr:colOff>114300</xdr:colOff>
                <xdr:row>159</xdr:row>
                <xdr:rowOff>121920</xdr:rowOff>
              </to>
            </anchor>
          </objectPr>
        </oleObject>
      </mc:Choice>
      <mc:Fallback>
        <oleObject progId="Equation.2" shapeId="28699" r:id="rId56"/>
      </mc:Fallback>
    </mc:AlternateContent>
    <mc:AlternateContent xmlns:mc="http://schemas.openxmlformats.org/markup-compatibility/2006">
      <mc:Choice Requires="x14">
        <oleObject progId="Equation.2" shapeId="28700" r:id="rId58">
          <objectPr defaultSize="0" autoLine="0" autoPict="0" r:id="rId59">
            <anchor moveWithCells="1">
              <from>
                <xdr:col>0</xdr:col>
                <xdr:colOff>838200</xdr:colOff>
                <xdr:row>250</xdr:row>
                <xdr:rowOff>38100</xdr:rowOff>
              </from>
              <to>
                <xdr:col>5</xdr:col>
                <xdr:colOff>297180</xdr:colOff>
                <xdr:row>251</xdr:row>
                <xdr:rowOff>38100</xdr:rowOff>
              </to>
            </anchor>
          </objectPr>
        </oleObject>
      </mc:Choice>
      <mc:Fallback>
        <oleObject progId="Equation.2" shapeId="28700" r:id="rId58"/>
      </mc:Fallback>
    </mc:AlternateContent>
    <mc:AlternateContent xmlns:mc="http://schemas.openxmlformats.org/markup-compatibility/2006">
      <mc:Choice Requires="x14">
        <oleObject progId="Equation.2" shapeId="28701" r:id="rId60">
          <objectPr defaultSize="0" autoLine="0" autoPict="0" r:id="rId61">
            <anchor moveWithCells="1">
              <from>
                <xdr:col>0</xdr:col>
                <xdr:colOff>609600</xdr:colOff>
                <xdr:row>276</xdr:row>
                <xdr:rowOff>30480</xdr:rowOff>
              </from>
              <to>
                <xdr:col>4</xdr:col>
                <xdr:colOff>289560</xdr:colOff>
                <xdr:row>277</xdr:row>
                <xdr:rowOff>30480</xdr:rowOff>
              </to>
            </anchor>
          </objectPr>
        </oleObject>
      </mc:Choice>
      <mc:Fallback>
        <oleObject progId="Equation.2" shapeId="28701" r:id="rId60"/>
      </mc:Fallback>
    </mc:AlternateContent>
    <mc:AlternateContent xmlns:mc="http://schemas.openxmlformats.org/markup-compatibility/2006">
      <mc:Choice Requires="x14">
        <oleObject progId="Equation.2" shapeId="28702" r:id="rId62">
          <objectPr defaultSize="0" autoLine="0" autoPict="0" r:id="rId63">
            <anchor moveWithCells="1">
              <from>
                <xdr:col>0</xdr:col>
                <xdr:colOff>190500</xdr:colOff>
                <xdr:row>315</xdr:row>
                <xdr:rowOff>175260</xdr:rowOff>
              </from>
              <to>
                <xdr:col>4</xdr:col>
                <xdr:colOff>7620</xdr:colOff>
                <xdr:row>316</xdr:row>
                <xdr:rowOff>182880</xdr:rowOff>
              </to>
            </anchor>
          </objectPr>
        </oleObject>
      </mc:Choice>
      <mc:Fallback>
        <oleObject progId="Equation.2" shapeId="28702" r:id="rId62"/>
      </mc:Fallback>
    </mc:AlternateContent>
    <mc:AlternateContent xmlns:mc="http://schemas.openxmlformats.org/markup-compatibility/2006">
      <mc:Choice Requires="x14">
        <oleObject progId="Equation.2" shapeId="28703" r:id="rId64">
          <objectPr defaultSize="0" autoLine="0" autoPict="0" r:id="rId65">
            <anchor moveWithCells="1">
              <from>
                <xdr:col>0</xdr:col>
                <xdr:colOff>266700</xdr:colOff>
                <xdr:row>335</xdr:row>
                <xdr:rowOff>38100</xdr:rowOff>
              </from>
              <to>
                <xdr:col>3</xdr:col>
                <xdr:colOff>22860</xdr:colOff>
                <xdr:row>336</xdr:row>
                <xdr:rowOff>30480</xdr:rowOff>
              </to>
            </anchor>
          </objectPr>
        </oleObject>
      </mc:Choice>
      <mc:Fallback>
        <oleObject progId="Equation.2" shapeId="28703" r:id="rId64"/>
      </mc:Fallback>
    </mc:AlternateContent>
    <mc:AlternateContent xmlns:mc="http://schemas.openxmlformats.org/markup-compatibility/2006">
      <mc:Choice Requires="x14">
        <oleObject progId="Equation.2" shapeId="28704" r:id="rId66">
          <objectPr defaultSize="0" autoLine="0" autoPict="0" r:id="rId67">
            <anchor moveWithCells="1">
              <from>
                <xdr:col>2</xdr:col>
                <xdr:colOff>68580</xdr:colOff>
                <xdr:row>370</xdr:row>
                <xdr:rowOff>137160</xdr:rowOff>
              </from>
              <to>
                <xdr:col>3</xdr:col>
                <xdr:colOff>335280</xdr:colOff>
                <xdr:row>372</xdr:row>
                <xdr:rowOff>83820</xdr:rowOff>
              </to>
            </anchor>
          </objectPr>
        </oleObject>
      </mc:Choice>
      <mc:Fallback>
        <oleObject progId="Equation.2" shapeId="28704" r:id="rId66"/>
      </mc:Fallback>
    </mc:AlternateContent>
    <mc:AlternateContent xmlns:mc="http://schemas.openxmlformats.org/markup-compatibility/2006">
      <mc:Choice Requires="x14">
        <oleObject progId="Equation.2" shapeId="28705" r:id="rId68">
          <objectPr defaultSize="0" autoLine="0" autoPict="0" r:id="rId69">
            <anchor moveWithCells="1">
              <from>
                <xdr:col>1</xdr:col>
                <xdr:colOff>106680</xdr:colOff>
                <xdr:row>454</xdr:row>
                <xdr:rowOff>45720</xdr:rowOff>
              </from>
              <to>
                <xdr:col>3</xdr:col>
                <xdr:colOff>327660</xdr:colOff>
                <xdr:row>455</xdr:row>
                <xdr:rowOff>106680</xdr:rowOff>
              </to>
            </anchor>
          </objectPr>
        </oleObject>
      </mc:Choice>
      <mc:Fallback>
        <oleObject progId="Equation.2" shapeId="28705" r:id="rId68"/>
      </mc:Fallback>
    </mc:AlternateContent>
    <mc:AlternateContent xmlns:mc="http://schemas.openxmlformats.org/markup-compatibility/2006">
      <mc:Choice Requires="x14">
        <oleObject progId="Equation.2" shapeId="28706" r:id="rId70">
          <objectPr defaultSize="0" autoLine="0" autoPict="0" r:id="rId71">
            <anchor moveWithCells="1">
              <from>
                <xdr:col>1</xdr:col>
                <xdr:colOff>762000</xdr:colOff>
                <xdr:row>455</xdr:row>
                <xdr:rowOff>137160</xdr:rowOff>
              </from>
              <to>
                <xdr:col>2</xdr:col>
                <xdr:colOff>388620</xdr:colOff>
                <xdr:row>457</xdr:row>
                <xdr:rowOff>114300</xdr:rowOff>
              </to>
            </anchor>
          </objectPr>
        </oleObject>
      </mc:Choice>
      <mc:Fallback>
        <oleObject progId="Equation.2" shapeId="28706" r:id="rId70"/>
      </mc:Fallback>
    </mc:AlternateContent>
    <mc:AlternateContent xmlns:mc="http://schemas.openxmlformats.org/markup-compatibility/2006">
      <mc:Choice Requires="x14">
        <oleObject progId="Equation.2" shapeId="28707" r:id="rId72">
          <objectPr defaultSize="0" autoLine="0" autoPict="0" r:id="rId73">
            <anchor moveWithCells="1">
              <from>
                <xdr:col>6</xdr:col>
                <xdr:colOff>0</xdr:colOff>
                <xdr:row>430</xdr:row>
                <xdr:rowOff>0</xdr:rowOff>
              </from>
              <to>
                <xdr:col>7</xdr:col>
                <xdr:colOff>266700</xdr:colOff>
                <xdr:row>431</xdr:row>
                <xdr:rowOff>22860</xdr:rowOff>
              </to>
            </anchor>
          </objectPr>
        </oleObject>
      </mc:Choice>
      <mc:Fallback>
        <oleObject progId="Equation.2" shapeId="28707" r:id="rId72"/>
      </mc:Fallback>
    </mc:AlternateContent>
    <mc:AlternateContent xmlns:mc="http://schemas.openxmlformats.org/markup-compatibility/2006">
      <mc:Choice Requires="x14">
        <oleObject progId="Equation.2" shapeId="28708" r:id="rId74">
          <objectPr defaultSize="0" autoLine="0" autoPict="0" r:id="rId75">
            <anchor moveWithCells="1">
              <from>
                <xdr:col>1</xdr:col>
                <xdr:colOff>746760</xdr:colOff>
                <xdr:row>368</xdr:row>
                <xdr:rowOff>0</xdr:rowOff>
              </from>
              <to>
                <xdr:col>3</xdr:col>
                <xdr:colOff>365760</xdr:colOff>
                <xdr:row>369</xdr:row>
                <xdr:rowOff>144780</xdr:rowOff>
              </to>
            </anchor>
          </objectPr>
        </oleObject>
      </mc:Choice>
      <mc:Fallback>
        <oleObject progId="Equation.2" shapeId="28708" r:id="rId74"/>
      </mc:Fallback>
    </mc:AlternateContent>
    <mc:AlternateContent xmlns:mc="http://schemas.openxmlformats.org/markup-compatibility/2006">
      <mc:Choice Requires="x14">
        <oleObject progId="Equation.2" shapeId="28709" r:id="rId76">
          <objectPr defaultSize="0" autoLine="0" autoPict="0" r:id="rId77">
            <anchor moveWithCells="1">
              <from>
                <xdr:col>1</xdr:col>
                <xdr:colOff>68580</xdr:colOff>
                <xdr:row>196</xdr:row>
                <xdr:rowOff>30480</xdr:rowOff>
              </from>
              <to>
                <xdr:col>3</xdr:col>
                <xdr:colOff>403860</xdr:colOff>
                <xdr:row>197</xdr:row>
                <xdr:rowOff>0</xdr:rowOff>
              </to>
            </anchor>
          </objectPr>
        </oleObject>
      </mc:Choice>
      <mc:Fallback>
        <oleObject progId="Equation.2" shapeId="28709" r:id="rId76"/>
      </mc:Fallback>
    </mc:AlternateContent>
    <mc:AlternateContent xmlns:mc="http://schemas.openxmlformats.org/markup-compatibility/2006">
      <mc:Choice Requires="x14">
        <oleObject progId="Equation.2" shapeId="28710" r:id="rId78">
          <objectPr defaultSize="0" autoLine="0" autoPict="0" r:id="rId79">
            <anchor moveWithCells="1">
              <from>
                <xdr:col>1</xdr:col>
                <xdr:colOff>266700</xdr:colOff>
                <xdr:row>190</xdr:row>
                <xdr:rowOff>7620</xdr:rowOff>
              </from>
              <to>
                <xdr:col>3</xdr:col>
                <xdr:colOff>373380</xdr:colOff>
                <xdr:row>191</xdr:row>
                <xdr:rowOff>7620</xdr:rowOff>
              </to>
            </anchor>
          </objectPr>
        </oleObject>
      </mc:Choice>
      <mc:Fallback>
        <oleObject progId="Equation.2" shapeId="28710" r:id="rId78"/>
      </mc:Fallback>
    </mc:AlternateContent>
    <mc:AlternateContent xmlns:mc="http://schemas.openxmlformats.org/markup-compatibility/2006">
      <mc:Choice Requires="x14">
        <oleObject progId="Equation.2" shapeId="28711" r:id="rId80">
          <objectPr defaultSize="0" autoLine="0" autoPict="0" r:id="rId81">
            <anchor moveWithCells="1">
              <from>
                <xdr:col>1</xdr:col>
                <xdr:colOff>274320</xdr:colOff>
                <xdr:row>206</xdr:row>
                <xdr:rowOff>30480</xdr:rowOff>
              </from>
              <to>
                <xdr:col>3</xdr:col>
                <xdr:colOff>228600</xdr:colOff>
                <xdr:row>207</xdr:row>
                <xdr:rowOff>0</xdr:rowOff>
              </to>
            </anchor>
          </objectPr>
        </oleObject>
      </mc:Choice>
      <mc:Fallback>
        <oleObject progId="Equation.2" shapeId="28711" r:id="rId80"/>
      </mc:Fallback>
    </mc:AlternateContent>
    <mc:AlternateContent xmlns:mc="http://schemas.openxmlformats.org/markup-compatibility/2006">
      <mc:Choice Requires="x14">
        <oleObject progId="Equation.2" shapeId="28712" r:id="rId82">
          <objectPr defaultSize="0" autoLine="0" autoPict="0" r:id="rId83">
            <anchor moveWithCells="1">
              <from>
                <xdr:col>1</xdr:col>
                <xdr:colOff>38100</xdr:colOff>
                <xdr:row>81</xdr:row>
                <xdr:rowOff>45720</xdr:rowOff>
              </from>
              <to>
                <xdr:col>6</xdr:col>
                <xdr:colOff>731520</xdr:colOff>
                <xdr:row>82</xdr:row>
                <xdr:rowOff>76200</xdr:rowOff>
              </to>
            </anchor>
          </objectPr>
        </oleObject>
      </mc:Choice>
      <mc:Fallback>
        <oleObject progId="Equation.2" shapeId="28712" r:id="rId82"/>
      </mc:Fallback>
    </mc:AlternateContent>
    <mc:AlternateContent xmlns:mc="http://schemas.openxmlformats.org/markup-compatibility/2006">
      <mc:Choice Requires="x14">
        <oleObject progId="Equation.2" shapeId="28713" r:id="rId84">
          <objectPr defaultSize="0" autoLine="0" autoPict="0" r:id="rId85">
            <anchor moveWithCells="1">
              <from>
                <xdr:col>2</xdr:col>
                <xdr:colOff>137160</xdr:colOff>
                <xdr:row>138</xdr:row>
                <xdr:rowOff>182880</xdr:rowOff>
              </from>
              <to>
                <xdr:col>4</xdr:col>
                <xdr:colOff>266700</xdr:colOff>
                <xdr:row>140</xdr:row>
                <xdr:rowOff>0</xdr:rowOff>
              </to>
            </anchor>
          </objectPr>
        </oleObject>
      </mc:Choice>
      <mc:Fallback>
        <oleObject progId="Equation.2" shapeId="28713" r:id="rId84"/>
      </mc:Fallback>
    </mc:AlternateContent>
    <mc:AlternateContent xmlns:mc="http://schemas.openxmlformats.org/markup-compatibility/2006">
      <mc:Choice Requires="x14">
        <oleObject progId="Equation.2" shapeId="28714" r:id="rId86">
          <objectPr defaultSize="0" autoLine="0" autoPict="0" r:id="rId87">
            <anchor moveWithCells="1">
              <from>
                <xdr:col>0</xdr:col>
                <xdr:colOff>685800</xdr:colOff>
                <xdr:row>132</xdr:row>
                <xdr:rowOff>182880</xdr:rowOff>
              </from>
              <to>
                <xdr:col>4</xdr:col>
                <xdr:colOff>251460</xdr:colOff>
                <xdr:row>134</xdr:row>
                <xdr:rowOff>30480</xdr:rowOff>
              </to>
            </anchor>
          </objectPr>
        </oleObject>
      </mc:Choice>
      <mc:Fallback>
        <oleObject progId="Equation.2" shapeId="28714" r:id="rId86"/>
      </mc:Fallback>
    </mc:AlternateContent>
    <mc:AlternateContent xmlns:mc="http://schemas.openxmlformats.org/markup-compatibility/2006">
      <mc:Choice Requires="x14">
        <oleObject progId="Equation.2" shapeId="28715" r:id="rId88">
          <objectPr defaultSize="0" autoLine="0" autoPict="0" r:id="rId89">
            <anchor moveWithCells="1">
              <from>
                <xdr:col>1</xdr:col>
                <xdr:colOff>106680</xdr:colOff>
                <xdr:row>188</xdr:row>
                <xdr:rowOff>0</xdr:rowOff>
              </from>
              <to>
                <xdr:col>4</xdr:col>
                <xdr:colOff>464820</xdr:colOff>
                <xdr:row>189</xdr:row>
                <xdr:rowOff>45720</xdr:rowOff>
              </to>
            </anchor>
          </objectPr>
        </oleObject>
      </mc:Choice>
      <mc:Fallback>
        <oleObject progId="Equation.2" shapeId="28715" r:id="rId88"/>
      </mc:Fallback>
    </mc:AlternateContent>
    <mc:AlternateContent xmlns:mc="http://schemas.openxmlformats.org/markup-compatibility/2006">
      <mc:Choice Requires="x14">
        <oleObject progId="Equation.2" shapeId="28716" r:id="rId90">
          <objectPr defaultSize="0" autoLine="0" autoPict="0" r:id="rId91">
            <anchor moveWithCells="1">
              <from>
                <xdr:col>1</xdr:col>
                <xdr:colOff>274320</xdr:colOff>
                <xdr:row>198</xdr:row>
                <xdr:rowOff>30480</xdr:rowOff>
              </from>
              <to>
                <xdr:col>3</xdr:col>
                <xdr:colOff>304800</xdr:colOff>
                <xdr:row>199</xdr:row>
                <xdr:rowOff>0</xdr:rowOff>
              </to>
            </anchor>
          </objectPr>
        </oleObject>
      </mc:Choice>
      <mc:Fallback>
        <oleObject progId="Equation.2" shapeId="28716" r:id="rId90"/>
      </mc:Fallback>
    </mc:AlternateContent>
    <mc:AlternateContent xmlns:mc="http://schemas.openxmlformats.org/markup-compatibility/2006">
      <mc:Choice Requires="x14">
        <oleObject progId="Equation.2" shapeId="28717" r:id="rId92">
          <objectPr defaultSize="0" autoLine="0" autoPict="0" r:id="rId93">
            <anchor moveWithCells="1">
              <from>
                <xdr:col>1</xdr:col>
                <xdr:colOff>220980</xdr:colOff>
                <xdr:row>148</xdr:row>
                <xdr:rowOff>83820</xdr:rowOff>
              </from>
              <to>
                <xdr:col>2</xdr:col>
                <xdr:colOff>708660</xdr:colOff>
                <xdr:row>150</xdr:row>
                <xdr:rowOff>106680</xdr:rowOff>
              </to>
            </anchor>
          </objectPr>
        </oleObject>
      </mc:Choice>
      <mc:Fallback>
        <oleObject progId="Equation.2" shapeId="28717" r:id="rId92"/>
      </mc:Fallback>
    </mc:AlternateContent>
    <mc:AlternateContent xmlns:mc="http://schemas.openxmlformats.org/markup-compatibility/2006">
      <mc:Choice Requires="x14">
        <oleObject progId="Equation.2" shapeId="28718" r:id="rId94">
          <objectPr defaultSize="0" autoLine="0" autoPict="0" r:id="rId95">
            <anchor moveWithCells="1">
              <from>
                <xdr:col>1</xdr:col>
                <xdr:colOff>259080</xdr:colOff>
                <xdr:row>202</xdr:row>
                <xdr:rowOff>7620</xdr:rowOff>
              </from>
              <to>
                <xdr:col>3</xdr:col>
                <xdr:colOff>441960</xdr:colOff>
                <xdr:row>202</xdr:row>
                <xdr:rowOff>175260</xdr:rowOff>
              </to>
            </anchor>
          </objectPr>
        </oleObject>
      </mc:Choice>
      <mc:Fallback>
        <oleObject progId="Equation.2" shapeId="28718" r:id="rId94"/>
      </mc:Fallback>
    </mc:AlternateContent>
    <mc:AlternateContent xmlns:mc="http://schemas.openxmlformats.org/markup-compatibility/2006">
      <mc:Choice Requires="x14">
        <oleObject progId="Equation.2" shapeId="28719" r:id="rId96">
          <objectPr defaultSize="0" autoLine="0" autoPict="0" r:id="rId97">
            <anchor moveWithCells="1">
              <from>
                <xdr:col>1</xdr:col>
                <xdr:colOff>236220</xdr:colOff>
                <xdr:row>254</xdr:row>
                <xdr:rowOff>0</xdr:rowOff>
              </from>
              <to>
                <xdr:col>2</xdr:col>
                <xdr:colOff>335280</xdr:colOff>
                <xdr:row>255</xdr:row>
                <xdr:rowOff>38100</xdr:rowOff>
              </to>
            </anchor>
          </objectPr>
        </oleObject>
      </mc:Choice>
      <mc:Fallback>
        <oleObject progId="Equation.2" shapeId="28719" r:id="rId96"/>
      </mc:Fallback>
    </mc:AlternateContent>
    <mc:AlternateContent xmlns:mc="http://schemas.openxmlformats.org/markup-compatibility/2006">
      <mc:Choice Requires="x14">
        <oleObject progId="Equation.2" shapeId="28720" r:id="rId98">
          <objectPr defaultSize="0" autoLine="0" autoPict="0" r:id="rId99">
            <anchor moveWithCells="1">
              <from>
                <xdr:col>0</xdr:col>
                <xdr:colOff>579120</xdr:colOff>
                <xdr:row>258</xdr:row>
                <xdr:rowOff>22860</xdr:rowOff>
              </from>
              <to>
                <xdr:col>3</xdr:col>
                <xdr:colOff>373380</xdr:colOff>
                <xdr:row>259</xdr:row>
                <xdr:rowOff>0</xdr:rowOff>
              </to>
            </anchor>
          </objectPr>
        </oleObject>
      </mc:Choice>
      <mc:Fallback>
        <oleObject progId="Equation.2" shapeId="28720" r:id="rId98"/>
      </mc:Fallback>
    </mc:AlternateContent>
    <mc:AlternateContent xmlns:mc="http://schemas.openxmlformats.org/markup-compatibility/2006">
      <mc:Choice Requires="x14">
        <oleObject progId="Equation.2" shapeId="28721" r:id="rId100">
          <objectPr defaultSize="0" autoLine="0" autoPict="0" r:id="rId101">
            <anchor moveWithCells="1">
              <from>
                <xdr:col>0</xdr:col>
                <xdr:colOff>190500</xdr:colOff>
                <xdr:row>394</xdr:row>
                <xdr:rowOff>30480</xdr:rowOff>
              </from>
              <to>
                <xdr:col>2</xdr:col>
                <xdr:colOff>723900</xdr:colOff>
                <xdr:row>395</xdr:row>
                <xdr:rowOff>7620</xdr:rowOff>
              </to>
            </anchor>
          </objectPr>
        </oleObject>
      </mc:Choice>
      <mc:Fallback>
        <oleObject progId="Equation.2" shapeId="28721" r:id="rId100"/>
      </mc:Fallback>
    </mc:AlternateContent>
    <mc:AlternateContent xmlns:mc="http://schemas.openxmlformats.org/markup-compatibility/2006">
      <mc:Choice Requires="x14">
        <oleObject progId="Equation.2" shapeId="28722" r:id="rId102">
          <objectPr defaultSize="0" autoLine="0" autoPict="0" r:id="rId103">
            <anchor moveWithCells="1">
              <from>
                <xdr:col>6</xdr:col>
                <xdr:colOff>0</xdr:colOff>
                <xdr:row>451</xdr:row>
                <xdr:rowOff>0</xdr:rowOff>
              </from>
              <to>
                <xdr:col>7</xdr:col>
                <xdr:colOff>60960</xdr:colOff>
                <xdr:row>452</xdr:row>
                <xdr:rowOff>22860</xdr:rowOff>
              </to>
            </anchor>
          </objectPr>
        </oleObject>
      </mc:Choice>
      <mc:Fallback>
        <oleObject progId="Equation.2" shapeId="28722" r:id="rId102"/>
      </mc:Fallback>
    </mc:AlternateContent>
    <mc:AlternateContent xmlns:mc="http://schemas.openxmlformats.org/markup-compatibility/2006">
      <mc:Choice Requires="x14">
        <oleObject progId="Equation.2" shapeId="28723" r:id="rId104">
          <objectPr defaultSize="0" autoLine="0" autoPict="0" r:id="rId105">
            <anchor moveWithCells="1">
              <from>
                <xdr:col>0</xdr:col>
                <xdr:colOff>228600</xdr:colOff>
                <xdr:row>235</xdr:row>
                <xdr:rowOff>7620</xdr:rowOff>
              </from>
              <to>
                <xdr:col>4</xdr:col>
                <xdr:colOff>601980</xdr:colOff>
                <xdr:row>236</xdr:row>
                <xdr:rowOff>7620</xdr:rowOff>
              </to>
            </anchor>
          </objectPr>
        </oleObject>
      </mc:Choice>
      <mc:Fallback>
        <oleObject progId="Equation.2" shapeId="28723" r:id="rId104"/>
      </mc:Fallback>
    </mc:AlternateContent>
    <mc:AlternateContent xmlns:mc="http://schemas.openxmlformats.org/markup-compatibility/2006">
      <mc:Choice Requires="x14">
        <oleObject progId="Equation.2" shapeId="28724" r:id="rId106">
          <objectPr defaultSize="0" autoLine="0" autoPict="0" r:id="rId107">
            <anchor moveWithCells="1">
              <from>
                <xdr:col>2</xdr:col>
                <xdr:colOff>7620</xdr:colOff>
                <xdr:row>238</xdr:row>
                <xdr:rowOff>0</xdr:rowOff>
              </from>
              <to>
                <xdr:col>4</xdr:col>
                <xdr:colOff>769620</xdr:colOff>
                <xdr:row>239</xdr:row>
                <xdr:rowOff>22860</xdr:rowOff>
              </to>
            </anchor>
          </objectPr>
        </oleObject>
      </mc:Choice>
      <mc:Fallback>
        <oleObject progId="Equation.2" shapeId="28724" r:id="rId106"/>
      </mc:Fallback>
    </mc:AlternateContent>
    <mc:AlternateContent xmlns:mc="http://schemas.openxmlformats.org/markup-compatibility/2006">
      <mc:Choice Requires="x14">
        <oleObject progId="Equation.2" shapeId="28725" r:id="rId108">
          <objectPr defaultSize="0" autoLine="0" autoPict="0" r:id="rId109">
            <anchor moveWithCells="1">
              <from>
                <xdr:col>0</xdr:col>
                <xdr:colOff>746760</xdr:colOff>
                <xdr:row>263</xdr:row>
                <xdr:rowOff>144780</xdr:rowOff>
              </from>
              <to>
                <xdr:col>3</xdr:col>
                <xdr:colOff>68580</xdr:colOff>
                <xdr:row>264</xdr:row>
                <xdr:rowOff>144780</xdr:rowOff>
              </to>
            </anchor>
          </objectPr>
        </oleObject>
      </mc:Choice>
      <mc:Fallback>
        <oleObject progId="Equation.2" shapeId="28725" r:id="rId108"/>
      </mc:Fallback>
    </mc:AlternateContent>
    <mc:AlternateContent xmlns:mc="http://schemas.openxmlformats.org/markup-compatibility/2006">
      <mc:Choice Requires="x14">
        <oleObject progId="Word.Document.8" shapeId="28726" r:id="rId110">
          <objectPr defaultSize="0" autoLine="0" autoPict="0" r:id="rId111">
            <anchor moveWithCells="1">
              <from>
                <xdr:col>5</xdr:col>
                <xdr:colOff>0</xdr:colOff>
                <xdr:row>192</xdr:row>
                <xdr:rowOff>83820</xdr:rowOff>
              </from>
              <to>
                <xdr:col>8</xdr:col>
                <xdr:colOff>182880</xdr:colOff>
                <xdr:row>202</xdr:row>
                <xdr:rowOff>137160</xdr:rowOff>
              </to>
            </anchor>
          </objectPr>
        </oleObject>
      </mc:Choice>
      <mc:Fallback>
        <oleObject progId="Word.Document.8" shapeId="28726" r:id="rId110"/>
      </mc:Fallback>
    </mc:AlternateContent>
    <mc:AlternateContent xmlns:mc="http://schemas.openxmlformats.org/markup-compatibility/2006">
      <mc:Choice Requires="x14">
        <oleObject progId="Word.Document.8" shapeId="28727" r:id="rId112">
          <objectPr defaultSize="0" autoLine="0" autoPict="0" r:id="rId113">
            <anchor moveWithCells="1">
              <from>
                <xdr:col>8</xdr:col>
                <xdr:colOff>411480</xdr:colOff>
                <xdr:row>192</xdr:row>
                <xdr:rowOff>99060</xdr:rowOff>
              </from>
              <to>
                <xdr:col>12</xdr:col>
                <xdr:colOff>60960</xdr:colOff>
                <xdr:row>202</xdr:row>
                <xdr:rowOff>22860</xdr:rowOff>
              </to>
            </anchor>
          </objectPr>
        </oleObject>
      </mc:Choice>
      <mc:Fallback>
        <oleObject progId="Word.Document.8" shapeId="28727" r:id="rId112"/>
      </mc:Fallback>
    </mc:AlternateContent>
    <mc:AlternateContent xmlns:mc="http://schemas.openxmlformats.org/markup-compatibility/2006">
      <mc:Choice Requires="x14">
        <oleObject progId="Equation.2" shapeId="28728" r:id="rId114">
          <objectPr defaultSize="0" autoLine="0" autoPict="0" r:id="rId115">
            <anchor moveWithCells="1">
              <from>
                <xdr:col>0</xdr:col>
                <xdr:colOff>685800</xdr:colOff>
                <xdr:row>244</xdr:row>
                <xdr:rowOff>7620</xdr:rowOff>
              </from>
              <to>
                <xdr:col>3</xdr:col>
                <xdr:colOff>289560</xdr:colOff>
                <xdr:row>245</xdr:row>
                <xdr:rowOff>7620</xdr:rowOff>
              </to>
            </anchor>
          </objectPr>
        </oleObject>
      </mc:Choice>
      <mc:Fallback>
        <oleObject progId="Equation.2" shapeId="28728" r:id="rId114"/>
      </mc:Fallback>
    </mc:AlternateContent>
    <mc:AlternateContent xmlns:mc="http://schemas.openxmlformats.org/markup-compatibility/2006">
      <mc:Choice Requires="x14">
        <oleObject progId="Equation.2" shapeId="28729" r:id="rId116">
          <objectPr defaultSize="0" autoLine="0" autoPict="0" r:id="rId117">
            <anchor moveWithCells="1">
              <from>
                <xdr:col>2</xdr:col>
                <xdr:colOff>327660</xdr:colOff>
                <xdr:row>246</xdr:row>
                <xdr:rowOff>0</xdr:rowOff>
              </from>
              <to>
                <xdr:col>7</xdr:col>
                <xdr:colOff>175260</xdr:colOff>
                <xdr:row>247</xdr:row>
                <xdr:rowOff>0</xdr:rowOff>
              </to>
            </anchor>
          </objectPr>
        </oleObject>
      </mc:Choice>
      <mc:Fallback>
        <oleObject progId="Equation.2" shapeId="28729" r:id="rId116"/>
      </mc:Fallback>
    </mc:AlternateContent>
    <mc:AlternateContent xmlns:mc="http://schemas.openxmlformats.org/markup-compatibility/2006">
      <mc:Choice Requires="x14">
        <oleObject progId="Equation.2" shapeId="28730" r:id="rId118">
          <objectPr defaultSize="0" autoLine="0" autoPict="0" r:id="rId119">
            <anchor moveWithCells="1">
              <from>
                <xdr:col>1</xdr:col>
                <xdr:colOff>38100</xdr:colOff>
                <xdr:row>183</xdr:row>
                <xdr:rowOff>114300</xdr:rowOff>
              </from>
              <to>
                <xdr:col>3</xdr:col>
                <xdr:colOff>198120</xdr:colOff>
                <xdr:row>185</xdr:row>
                <xdr:rowOff>83820</xdr:rowOff>
              </to>
            </anchor>
          </objectPr>
        </oleObject>
      </mc:Choice>
      <mc:Fallback>
        <oleObject progId="Equation.2" shapeId="28730" r:id="rId118"/>
      </mc:Fallback>
    </mc:AlternateContent>
    <mc:AlternateContent xmlns:mc="http://schemas.openxmlformats.org/markup-compatibility/2006">
      <mc:Choice Requires="x14">
        <oleObject progId="Equation.2" shapeId="28731" r:id="rId120">
          <objectPr defaultSize="0" autoLine="0" autoPict="0" r:id="rId121">
            <anchor moveWithCells="1">
              <from>
                <xdr:col>1</xdr:col>
                <xdr:colOff>868680</xdr:colOff>
                <xdr:row>150</xdr:row>
                <xdr:rowOff>121920</xdr:rowOff>
              </from>
              <to>
                <xdr:col>3</xdr:col>
                <xdr:colOff>335280</xdr:colOff>
                <xdr:row>152</xdr:row>
                <xdr:rowOff>121920</xdr:rowOff>
              </to>
            </anchor>
          </objectPr>
        </oleObject>
      </mc:Choice>
      <mc:Fallback>
        <oleObject progId="Equation.2" shapeId="28731" r:id="rId120"/>
      </mc:Fallback>
    </mc:AlternateContent>
    <mc:AlternateContent xmlns:mc="http://schemas.openxmlformats.org/markup-compatibility/2006">
      <mc:Choice Requires="x14">
        <oleObject progId="Equation.2" shapeId="28732" r:id="rId122">
          <objectPr defaultSize="0" autoLine="0" autoPict="0" r:id="rId123">
            <anchor moveWithCells="1">
              <from>
                <xdr:col>1</xdr:col>
                <xdr:colOff>68580</xdr:colOff>
                <xdr:row>200</xdr:row>
                <xdr:rowOff>60960</xdr:rowOff>
              </from>
              <to>
                <xdr:col>3</xdr:col>
                <xdr:colOff>403860</xdr:colOff>
                <xdr:row>201</xdr:row>
                <xdr:rowOff>7620</xdr:rowOff>
              </to>
            </anchor>
          </objectPr>
        </oleObject>
      </mc:Choice>
      <mc:Fallback>
        <oleObject progId="Equation.2" shapeId="28732" r:id="rId122"/>
      </mc:Fallback>
    </mc:AlternateContent>
    <mc:AlternateContent xmlns:mc="http://schemas.openxmlformats.org/markup-compatibility/2006">
      <mc:Choice Requires="x14">
        <oleObject progId="Equation.2" shapeId="28733" r:id="rId124">
          <objectPr defaultSize="0" autoLine="0" autoPict="0" r:id="rId125">
            <anchor moveWithCells="1">
              <from>
                <xdr:col>11</xdr:col>
                <xdr:colOff>22860</xdr:colOff>
                <xdr:row>298</xdr:row>
                <xdr:rowOff>68580</xdr:rowOff>
              </from>
              <to>
                <xdr:col>15</xdr:col>
                <xdr:colOff>289560</xdr:colOff>
                <xdr:row>299</xdr:row>
                <xdr:rowOff>76200</xdr:rowOff>
              </to>
            </anchor>
          </objectPr>
        </oleObject>
      </mc:Choice>
      <mc:Fallback>
        <oleObject progId="Equation.2" shapeId="28733" r:id="rId12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E76-83B5-4938-9DDC-5C5406D4E7DD}">
  <dimension ref="A1:AW714"/>
  <sheetViews>
    <sheetView zoomScaleNormal="100" workbookViewId="0">
      <selection activeCell="B8" sqref="B8"/>
    </sheetView>
  </sheetViews>
  <sheetFormatPr defaultColWidth="9.109375" defaultRowHeight="14.4" x14ac:dyDescent="0.3"/>
  <cols>
    <col min="1" max="1" width="65.5546875" style="92" bestFit="1" customWidth="1"/>
    <col min="2" max="2" width="11.6640625" style="103" bestFit="1" customWidth="1"/>
    <col min="3" max="3" width="2.6640625" style="92" customWidth="1"/>
    <col min="4" max="4" width="12.44140625" style="92" bestFit="1" customWidth="1"/>
    <col min="5" max="5" width="2.6640625" style="92" customWidth="1"/>
    <col min="6" max="6" width="68.44140625" style="92" bestFit="1" customWidth="1"/>
    <col min="7" max="7" width="9.109375" style="103"/>
    <col min="8" max="8" width="2.6640625" style="92" customWidth="1"/>
    <col min="9" max="9" width="6.77734375" style="92" customWidth="1"/>
    <col min="10" max="10" width="8.21875" style="92" bestFit="1" customWidth="1"/>
    <col min="11" max="11" width="2.6640625" style="92" customWidth="1"/>
    <col min="12" max="12" width="9.21875" style="92" customWidth="1"/>
    <col min="13" max="16" width="9.109375" style="92"/>
    <col min="17" max="17" width="13.6640625" bestFit="1" customWidth="1"/>
    <col min="18" max="18" width="9.6640625" customWidth="1"/>
    <col min="19" max="19" width="11" bestFit="1" customWidth="1"/>
    <col min="20" max="20" width="12.109375" bestFit="1" customWidth="1"/>
    <col min="21" max="21" width="8.6640625" bestFit="1" customWidth="1"/>
    <col min="22" max="22" width="8.109375" bestFit="1" customWidth="1"/>
    <col min="23" max="23" width="11.5546875" customWidth="1"/>
    <col min="24" max="25" width="11" customWidth="1"/>
    <col min="26" max="26" width="9.33203125" customWidth="1"/>
    <col min="27" max="28" width="9.88671875" style="92" bestFit="1" customWidth="1"/>
    <col min="29" max="29" width="9.109375" style="92"/>
    <col min="30" max="30" width="14.33203125" style="92" bestFit="1" customWidth="1"/>
    <col min="31" max="16384" width="9.109375" style="92"/>
  </cols>
  <sheetData>
    <row r="1" spans="1:26" x14ac:dyDescent="0.3">
      <c r="A1" s="162" t="s">
        <v>738</v>
      </c>
      <c r="F1" s="190" t="s">
        <v>496</v>
      </c>
    </row>
    <row r="3" spans="1:26" x14ac:dyDescent="0.3">
      <c r="A3" s="163" t="s">
        <v>442</v>
      </c>
      <c r="F3" s="163" t="s">
        <v>442</v>
      </c>
    </row>
    <row r="4" spans="1:26" x14ac:dyDescent="0.3">
      <c r="I4" s="157" t="s">
        <v>754</v>
      </c>
    </row>
    <row r="5" spans="1:26" ht="15.6" x14ac:dyDescent="0.35">
      <c r="A5" s="157" t="s">
        <v>494</v>
      </c>
      <c r="B5" s="188">
        <f>iohsrp2!B37</f>
        <v>620</v>
      </c>
      <c r="F5" s="179" t="s">
        <v>617</v>
      </c>
      <c r="G5" s="178">
        <f>iohsrp2!B15-B32</f>
        <v>114.84882523426272</v>
      </c>
      <c r="J5" s="5" t="s">
        <v>755</v>
      </c>
    </row>
    <row r="6" spans="1:26" ht="15.6" x14ac:dyDescent="0.35">
      <c r="A6" s="157" t="s">
        <v>495</v>
      </c>
      <c r="B6" s="188">
        <f>iohsrp2!B38</f>
        <v>580</v>
      </c>
      <c r="F6" s="493" t="s">
        <v>610</v>
      </c>
      <c r="G6" s="178">
        <f>hsrp2tunl!F43</f>
        <v>98.890438036443769</v>
      </c>
      <c r="I6" s="178">
        <f>B10</f>
        <v>78.272746497358796</v>
      </c>
    </row>
    <row r="7" spans="1:26" ht="15.6" x14ac:dyDescent="0.35">
      <c r="A7" s="157" t="s">
        <v>515</v>
      </c>
      <c r="B7" s="188">
        <f>iohsrp2!B39</f>
        <v>622</v>
      </c>
      <c r="F7" s="179" t="s">
        <v>619</v>
      </c>
      <c r="G7" s="178">
        <f>iohsrp2!B38</f>
        <v>580</v>
      </c>
      <c r="J7" s="492" t="s">
        <v>1197</v>
      </c>
    </row>
    <row r="8" spans="1:26" ht="15.6" x14ac:dyDescent="0.35">
      <c r="A8" s="157" t="s">
        <v>514</v>
      </c>
      <c r="B8" s="188">
        <f>iohsrp2!B40</f>
        <v>4</v>
      </c>
      <c r="F8" s="179" t="s">
        <v>620</v>
      </c>
      <c r="G8" s="188">
        <f>G6/G19</f>
        <v>2.0999999999999996</v>
      </c>
      <c r="I8" s="188">
        <f>I6/G19</f>
        <v>1.6621704879482655</v>
      </c>
      <c r="J8" s="178">
        <f>hsrp2tunl!E21</f>
        <v>2.0999999999999996</v>
      </c>
    </row>
    <row r="9" spans="1:26" x14ac:dyDescent="0.3">
      <c r="A9" s="157" t="s">
        <v>744</v>
      </c>
      <c r="B9" s="159">
        <f>hsrp2tunl!F36</f>
        <v>1</v>
      </c>
      <c r="D9" s="206"/>
      <c r="F9" s="179" t="s">
        <v>491</v>
      </c>
      <c r="G9" s="178">
        <f>B25</f>
        <v>568.74412617131361</v>
      </c>
    </row>
    <row r="10" spans="1:26" ht="15.6" x14ac:dyDescent="0.35">
      <c r="A10" s="157" t="s">
        <v>618</v>
      </c>
      <c r="B10" s="477">
        <f>hsrp2pwh!N53*hsrp2pwh!G100</f>
        <v>78.272746497358796</v>
      </c>
      <c r="D10" s="5" t="s">
        <v>754</v>
      </c>
      <c r="F10" s="179" t="s">
        <v>490</v>
      </c>
      <c r="G10" s="477">
        <f>hsrp2pwh!D185-(hsrp2pwh!D201)</f>
        <v>614.83385279439733</v>
      </c>
      <c r="J10" s="5" t="s">
        <v>492</v>
      </c>
      <c r="M10"/>
      <c r="N10"/>
      <c r="O10"/>
      <c r="P10"/>
      <c r="T10" s="92"/>
      <c r="U10" s="92"/>
      <c r="V10" s="92"/>
      <c r="W10" s="92"/>
      <c r="X10" s="92"/>
      <c r="Y10" s="92"/>
      <c r="Z10" s="92"/>
    </row>
    <row r="11" spans="1:26" ht="15.6" x14ac:dyDescent="0.35">
      <c r="A11" s="157" t="s">
        <v>508</v>
      </c>
      <c r="B11" s="178">
        <f>G19</f>
        <v>47.090684779258943</v>
      </c>
      <c r="F11" s="179" t="s">
        <v>784</v>
      </c>
      <c r="G11" s="486">
        <f>(G9-G10)/G5</f>
        <v>-0.40130777593129291</v>
      </c>
      <c r="J11" s="5"/>
    </row>
    <row r="12" spans="1:26" ht="15.6" x14ac:dyDescent="0.35">
      <c r="A12" s="157" t="s">
        <v>497</v>
      </c>
      <c r="B12" s="178">
        <v>0.8</v>
      </c>
      <c r="F12" s="179" t="s">
        <v>518</v>
      </c>
      <c r="G12" s="180">
        <v>3.5000000000000003E-2</v>
      </c>
      <c r="J12" s="5" t="s">
        <v>521</v>
      </c>
    </row>
    <row r="13" spans="1:26" ht="15.6" x14ac:dyDescent="0.35">
      <c r="F13" s="179" t="s">
        <v>520</v>
      </c>
      <c r="G13" s="180">
        <v>2.1999999999999999E-2</v>
      </c>
      <c r="J13" s="5" t="s">
        <v>521</v>
      </c>
    </row>
    <row r="14" spans="1:26" ht="15.6" x14ac:dyDescent="0.35">
      <c r="A14" s="163" t="s">
        <v>501</v>
      </c>
      <c r="F14" s="179" t="s">
        <v>519</v>
      </c>
      <c r="G14" s="180">
        <v>1.2E-2</v>
      </c>
      <c r="J14" s="5" t="s">
        <v>521</v>
      </c>
    </row>
    <row r="16" spans="1:26" ht="15.6" x14ac:dyDescent="0.35">
      <c r="A16" s="157" t="s">
        <v>621</v>
      </c>
      <c r="B16" s="178">
        <f>B10/B11</f>
        <v>1.6621704879482655</v>
      </c>
      <c r="D16" s="5" t="s">
        <v>504</v>
      </c>
      <c r="F16" s="163" t="s">
        <v>502</v>
      </c>
    </row>
    <row r="17" spans="1:28" ht="16.8" x14ac:dyDescent="0.35">
      <c r="A17" s="157" t="s">
        <v>614</v>
      </c>
      <c r="B17" s="178">
        <f>B12*B16*G20^0.5</f>
        <v>3.5836280053258913</v>
      </c>
    </row>
    <row r="18" spans="1:28" ht="15.6" x14ac:dyDescent="0.35">
      <c r="A18" s="157" t="s">
        <v>505</v>
      </c>
      <c r="B18" s="178">
        <f>B6-B17</f>
        <v>576.41637199467414</v>
      </c>
      <c r="F18" s="179" t="s">
        <v>499</v>
      </c>
      <c r="G18" s="180">
        <f>(G9-G10)/G5</f>
        <v>-0.40130777593129291</v>
      </c>
      <c r="J18" s="5" t="s">
        <v>500</v>
      </c>
    </row>
    <row r="19" spans="1:28" ht="15.6" x14ac:dyDescent="0.35">
      <c r="A19" s="157" t="s">
        <v>609</v>
      </c>
      <c r="B19" s="178">
        <f>0.2*B16^2/2/9.81</f>
        <v>2.8163208267137359E-2</v>
      </c>
      <c r="F19" s="179" t="s">
        <v>489</v>
      </c>
      <c r="G19" s="178">
        <f>MAX(G6,I6)/J8</f>
        <v>47.090684779258943</v>
      </c>
    </row>
    <row r="20" spans="1:28" ht="15.6" x14ac:dyDescent="0.35">
      <c r="F20" s="179" t="s">
        <v>615</v>
      </c>
      <c r="G20" s="178">
        <f>(G19/0.8927)^0.5</f>
        <v>7.2629781152474955</v>
      </c>
    </row>
    <row r="21" spans="1:28" ht="16.8" x14ac:dyDescent="0.35">
      <c r="A21" s="163" t="s">
        <v>503</v>
      </c>
      <c r="F21" s="179" t="s">
        <v>616</v>
      </c>
      <c r="G21" s="178">
        <f>6.35*G5*G13^2*G8^2/(G19^0.5)^(4/3)</f>
        <v>0.11936973499822283</v>
      </c>
      <c r="I21" s="188">
        <f>6.35*G5*G13^2*I8^2/(G19^0.5)^(4/3)</f>
        <v>7.4783670025046156E-2</v>
      </c>
    </row>
    <row r="23" spans="1:28" ht="15.6" x14ac:dyDescent="0.35">
      <c r="A23" s="157" t="s">
        <v>506</v>
      </c>
      <c r="B23" s="178">
        <f>(B11*0.8)^0.5</f>
        <v>6.1377966586884547</v>
      </c>
      <c r="D23" s="5" t="s">
        <v>746</v>
      </c>
      <c r="F23" s="162" t="s">
        <v>522</v>
      </c>
      <c r="X23" t="s">
        <v>778</v>
      </c>
      <c r="Z23">
        <v>1.7999999999999999E-2</v>
      </c>
      <c r="AA23" t="s">
        <v>782</v>
      </c>
      <c r="AB23"/>
    </row>
    <row r="24" spans="1:28" ht="15.6" x14ac:dyDescent="0.35">
      <c r="A24" s="157" t="s">
        <v>507</v>
      </c>
      <c r="B24" s="178">
        <f>B11/B23</f>
        <v>7.6722458233605675</v>
      </c>
      <c r="X24" t="s">
        <v>779</v>
      </c>
      <c r="Z24" s="222">
        <f>(1+0.85+Z23*G28/G30)/(2*9.81)</f>
        <v>0.10879879687998897</v>
      </c>
      <c r="AA24" t="s">
        <v>248</v>
      </c>
      <c r="AB24" s="96" t="s">
        <v>777</v>
      </c>
    </row>
    <row r="25" spans="1:28" ht="15.6" x14ac:dyDescent="0.35">
      <c r="A25" s="157" t="s">
        <v>498</v>
      </c>
      <c r="B25" s="178">
        <f>B18-B24</f>
        <v>568.74412617131361</v>
      </c>
      <c r="F25" s="163" t="s">
        <v>442</v>
      </c>
      <c r="X25" t="s">
        <v>780</v>
      </c>
      <c r="AA25"/>
    </row>
    <row r="26" spans="1:28" x14ac:dyDescent="0.3">
      <c r="A26" s="209" t="s">
        <v>548</v>
      </c>
      <c r="B26" s="175">
        <v>5</v>
      </c>
      <c r="Z26" s="222">
        <f>(0.2+0.85+V32*G5/G20)/(2*9.81)</f>
        <v>7.9091393531884491E-2</v>
      </c>
      <c r="AA26" t="s">
        <v>248</v>
      </c>
    </row>
    <row r="27" spans="1:28" ht="15.6" x14ac:dyDescent="0.35">
      <c r="A27" s="157" t="s">
        <v>509</v>
      </c>
      <c r="B27" s="189">
        <f>TRUNC(B23/B26)+1</f>
        <v>2</v>
      </c>
      <c r="F27" s="157" t="s">
        <v>620</v>
      </c>
      <c r="G27" s="178">
        <f>G8</f>
        <v>2.0999999999999996</v>
      </c>
    </row>
    <row r="28" spans="1:28" ht="15.6" x14ac:dyDescent="0.35">
      <c r="F28" s="157" t="s">
        <v>617</v>
      </c>
      <c r="G28" s="178">
        <f>G5</f>
        <v>114.84882523426272</v>
      </c>
      <c r="U28" s="216" t="s">
        <v>768</v>
      </c>
      <c r="V28" s="242">
        <f>ROUND(2*G28*0.8/1200,1)</f>
        <v>0.2</v>
      </c>
      <c r="X28" s="96" t="s">
        <v>798</v>
      </c>
      <c r="Z28" s="96" t="s">
        <v>796</v>
      </c>
      <c r="AA28"/>
    </row>
    <row r="29" spans="1:28" ht="15.6" x14ac:dyDescent="0.35">
      <c r="A29" s="157" t="s">
        <v>510</v>
      </c>
      <c r="B29" s="178">
        <f>B7-B25+2.5</f>
        <v>55.75587382868639</v>
      </c>
      <c r="F29" s="179" t="s">
        <v>489</v>
      </c>
      <c r="G29" s="178">
        <f>G19</f>
        <v>47.090684779258943</v>
      </c>
      <c r="Z29" s="96" t="s">
        <v>797</v>
      </c>
      <c r="AA29"/>
    </row>
    <row r="30" spans="1:28" ht="15.6" x14ac:dyDescent="0.35">
      <c r="A30" s="157" t="s">
        <v>511</v>
      </c>
      <c r="B30" s="178">
        <f>1.2*B23+1.2</f>
        <v>8.5653559904261449</v>
      </c>
      <c r="F30" s="157" t="s">
        <v>493</v>
      </c>
      <c r="G30" s="178">
        <f>G20</f>
        <v>7.2629781152474955</v>
      </c>
      <c r="U30" s="208" t="s">
        <v>801</v>
      </c>
      <c r="V30" s="243">
        <f>ROUND(2*3.1416*(G5*G44/(G29*9.81))^0.5,1)</f>
        <v>23.1</v>
      </c>
      <c r="Z30" s="96" t="s">
        <v>799</v>
      </c>
      <c r="AA30"/>
    </row>
    <row r="31" spans="1:28" ht="15.6" x14ac:dyDescent="0.35">
      <c r="A31" s="157" t="s">
        <v>512</v>
      </c>
      <c r="B31" s="178">
        <f>B27*B30+2*2</f>
        <v>21.13071198085229</v>
      </c>
      <c r="F31" s="157" t="s">
        <v>531</v>
      </c>
      <c r="G31" s="178">
        <f>B19</f>
        <v>2.8163208267137359E-2</v>
      </c>
      <c r="Z31" s="96"/>
      <c r="AA31"/>
    </row>
    <row r="32" spans="1:28" ht="15.6" x14ac:dyDescent="0.35">
      <c r="A32" s="157" t="s">
        <v>513</v>
      </c>
      <c r="B32" s="178">
        <f>0.2*B29+B8</f>
        <v>15.151174765737279</v>
      </c>
      <c r="F32" s="157" t="s">
        <v>517</v>
      </c>
      <c r="G32" s="178">
        <f>G21</f>
        <v>0.11936973499822283</v>
      </c>
      <c r="U32" s="216" t="s">
        <v>762</v>
      </c>
      <c r="V32" s="230">
        <f>6.35*2*9.81*G13^2/((G29)^0.5)^(1/3)</f>
        <v>3.1731864345695776E-2</v>
      </c>
      <c r="X32" s="96" t="s">
        <v>800</v>
      </c>
      <c r="AA32"/>
    </row>
    <row r="33" spans="1:49" ht="16.8" x14ac:dyDescent="0.35">
      <c r="F33" s="208" t="s">
        <v>781</v>
      </c>
      <c r="G33" s="231">
        <f>0.85*G8^2/(2*9.81)</f>
        <v>0.19105504587155955</v>
      </c>
      <c r="AA33"/>
    </row>
    <row r="34" spans="1:49" ht="15.6" x14ac:dyDescent="0.35">
      <c r="A34" s="163" t="s">
        <v>606</v>
      </c>
      <c r="D34" s="5" t="s">
        <v>707</v>
      </c>
      <c r="F34" s="157" t="s">
        <v>494</v>
      </c>
      <c r="G34" s="178">
        <f>B5</f>
        <v>620</v>
      </c>
      <c r="S34" s="172"/>
      <c r="U34" s="217" t="s">
        <v>772</v>
      </c>
      <c r="V34" s="227">
        <f>(G29/G44)*V28</f>
        <v>0.17309259690849277</v>
      </c>
      <c r="Y34" s="92"/>
      <c r="Z34" s="92"/>
      <c r="AA34"/>
    </row>
    <row r="35" spans="1:49" ht="15.6" x14ac:dyDescent="0.35">
      <c r="D35" s="5" t="s">
        <v>708</v>
      </c>
      <c r="F35" s="157" t="s">
        <v>495</v>
      </c>
      <c r="G35" s="178">
        <f>B6</f>
        <v>580</v>
      </c>
      <c r="U35" s="217" t="s">
        <v>767</v>
      </c>
      <c r="V35" s="227">
        <f>IF(G41="nao",0,(9.81/G28)*V28)</f>
        <v>1.7083326677465038E-2</v>
      </c>
      <c r="AA35"/>
    </row>
    <row r="36" spans="1:49" x14ac:dyDescent="0.3">
      <c r="A36" s="164" t="s">
        <v>607</v>
      </c>
      <c r="B36" s="156"/>
      <c r="D36" s="5" t="s">
        <v>516</v>
      </c>
      <c r="F36" s="157" t="s">
        <v>447</v>
      </c>
      <c r="G36" s="477">
        <f>hsrp2pwh!D185</f>
        <v>621</v>
      </c>
      <c r="S36" s="172"/>
    </row>
    <row r="37" spans="1:49" ht="15.6" x14ac:dyDescent="0.35">
      <c r="A37" s="103"/>
      <c r="B37" s="156"/>
      <c r="D37" s="5" t="s">
        <v>709</v>
      </c>
      <c r="F37" s="157" t="s">
        <v>498</v>
      </c>
      <c r="G37" s="178">
        <f>B25</f>
        <v>568.74412617131361</v>
      </c>
      <c r="X37" s="172"/>
    </row>
    <row r="38" spans="1:49" x14ac:dyDescent="0.3">
      <c r="A38" s="164" t="s">
        <v>384</v>
      </c>
      <c r="B38" s="165"/>
      <c r="D38" s="5"/>
      <c r="Q38" s="92"/>
      <c r="R38" s="92"/>
      <c r="S38" s="92"/>
      <c r="T38" s="92"/>
      <c r="V38" s="172"/>
      <c r="W38" s="172"/>
      <c r="X38" s="172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 x14ac:dyDescent="0.3">
      <c r="A39" s="166" t="s">
        <v>452</v>
      </c>
      <c r="B39" s="167">
        <f>B5</f>
        <v>620</v>
      </c>
      <c r="D39" s="5"/>
      <c r="F39" s="163" t="s">
        <v>502</v>
      </c>
      <c r="Q39" s="92"/>
      <c r="R39" s="92"/>
      <c r="S39" s="92"/>
      <c r="T39" s="92"/>
      <c r="X39" s="172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9" x14ac:dyDescent="0.3">
      <c r="A40" s="166" t="s">
        <v>453</v>
      </c>
      <c r="B40" s="167"/>
      <c r="D40" s="5"/>
      <c r="Q40" s="92"/>
      <c r="R40" s="92"/>
      <c r="S40" s="92"/>
      <c r="T40" s="92"/>
      <c r="U40" s="218" t="s">
        <v>763</v>
      </c>
      <c r="V40" s="218" t="s">
        <v>769</v>
      </c>
      <c r="W40" s="218" t="s">
        <v>764</v>
      </c>
      <c r="X40" s="218" t="s">
        <v>770</v>
      </c>
      <c r="Y40" s="218" t="s">
        <v>248</v>
      </c>
      <c r="Z40" s="218" t="s">
        <v>771</v>
      </c>
      <c r="AA40" s="218" t="s">
        <v>765</v>
      </c>
      <c r="AB40" s="218" t="s">
        <v>766</v>
      </c>
      <c r="AC40" s="216" t="s">
        <v>775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9" x14ac:dyDescent="0.3">
      <c r="A41" s="166" t="s">
        <v>454</v>
      </c>
      <c r="B41" s="167">
        <f>B7</f>
        <v>622</v>
      </c>
      <c r="D41" s="5"/>
      <c r="F41" s="157" t="s">
        <v>527</v>
      </c>
      <c r="G41" s="159" t="str">
        <f>IF(AND(iohsrp2!B4&gt;=100,(G28/(G34-G10))&gt;6),"sim",IF(AND(iohsrp2!B4&lt;100,G5/(G34-G10)&gt;4),"sim", "nao"))</f>
        <v>sim</v>
      </c>
      <c r="L41" s="5" t="s">
        <v>783</v>
      </c>
      <c r="Q41" s="92"/>
      <c r="R41" s="92"/>
      <c r="S41" s="92"/>
      <c r="T41" s="92"/>
      <c r="U41" s="218">
        <v>0</v>
      </c>
      <c r="V41" s="219"/>
      <c r="W41" s="225">
        <f>-V32*G28/G30*G27^2/(2*9.81)</f>
        <v>-0.11278387116368398</v>
      </c>
      <c r="X41" s="219"/>
      <c r="Y41" s="219">
        <f>(G31+G32+G33)/((AC41/$G$29)^2)</f>
        <v>7.6777321799755063E-2</v>
      </c>
      <c r="Z41" s="219">
        <v>0</v>
      </c>
      <c r="AA41" s="219">
        <f>G27</f>
        <v>2.0999999999999996</v>
      </c>
      <c r="AB41" s="219"/>
      <c r="AC41" s="226">
        <f>$G$29*AA41</f>
        <v>98.890438036443769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9" x14ac:dyDescent="0.3">
      <c r="A42" s="166" t="s">
        <v>455</v>
      </c>
      <c r="B42" s="167"/>
      <c r="D42" s="5"/>
      <c r="F42" s="157" t="s">
        <v>786</v>
      </c>
      <c r="G42" s="158">
        <f>hsrp2rout!E73</f>
        <v>623.36172003168167</v>
      </c>
      <c r="Q42" s="92"/>
      <c r="R42" s="92"/>
      <c r="S42" s="92"/>
      <c r="T42" s="92"/>
      <c r="U42" s="220"/>
      <c r="V42" s="221">
        <f>$V$34*(AA41+Z41/2)</f>
        <v>0.36349445350783477</v>
      </c>
      <c r="W42" s="221"/>
      <c r="X42" s="221">
        <f>W41+V42/2</f>
        <v>6.8963355590233408E-2</v>
      </c>
      <c r="Y42" s="221"/>
      <c r="Z42" s="221">
        <f>-$V$35*(X42+Y41*((AA41+Z41/2)^2))</f>
        <v>-6.9623327598141256E-3</v>
      </c>
      <c r="AA42" s="221" t="s">
        <v>392</v>
      </c>
      <c r="AB42" s="229">
        <f>AA41+Z42/2</f>
        <v>2.0965188336200926</v>
      </c>
      <c r="AC42" s="213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9" x14ac:dyDescent="0.3">
      <c r="A43" s="166" t="s">
        <v>456</v>
      </c>
      <c r="B43" s="167">
        <f>B25</f>
        <v>568.74412617131361</v>
      </c>
      <c r="D43" s="5"/>
      <c r="F43" s="208" t="s">
        <v>787</v>
      </c>
      <c r="G43" s="178">
        <f>G10+G30</f>
        <v>622.09683090964484</v>
      </c>
      <c r="R43" s="92"/>
      <c r="S43" s="92"/>
      <c r="T43" s="92"/>
      <c r="U43" s="220">
        <f>U41+$V$28</f>
        <v>0.2</v>
      </c>
      <c r="V43" s="221"/>
      <c r="W43" s="221">
        <f>W41+V42</f>
        <v>0.25071058234415078</v>
      </c>
      <c r="X43" s="221"/>
      <c r="Y43" s="221">
        <f>Y41*(AC43/AC41)^2</f>
        <v>7.626907118891145E-2</v>
      </c>
      <c r="Z43" s="221"/>
      <c r="AA43" s="221">
        <f>AA41+Z42</f>
        <v>2.0930376672401856</v>
      </c>
      <c r="AB43" s="229"/>
      <c r="AC43" s="223">
        <f>$G$29*AA43</f>
        <v>98.562577019123054</v>
      </c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9" ht="15.6" x14ac:dyDescent="0.35">
      <c r="A44" s="164" t="s">
        <v>386</v>
      </c>
      <c r="B44" s="168"/>
      <c r="D44" s="5"/>
      <c r="F44" s="157" t="s">
        <v>523</v>
      </c>
      <c r="G44" s="477">
        <f>ABS(G31/0.2*(G28*G29/(((G35-G36)-G31-G32-G33)*(G31+G32+G33))))</f>
        <v>54.410974958280782</v>
      </c>
      <c r="H44" s="491"/>
      <c r="O44" s="157">
        <f>ROUND((G28*(0.8927*G20^2)/(0.619*G8*((iohsrp2!B26+iohsrp2!B27)/2-(iohsrp2!B37+iohsrp2!B38)/2-0.619*G8^2)))*G8^2/(2*9.81),2)</f>
        <v>0.62</v>
      </c>
      <c r="P44" s="241" t="s">
        <v>795</v>
      </c>
      <c r="R44" s="92"/>
      <c r="S44" s="92"/>
      <c r="T44" s="92"/>
      <c r="U44" s="220"/>
      <c r="V44" s="221">
        <f>(AA43+Z42/2)*$V$34</f>
        <v>0.36168676112092885</v>
      </c>
      <c r="W44" s="221"/>
      <c r="X44" s="221">
        <f>W43+V44/2</f>
        <v>0.43155396290461523</v>
      </c>
      <c r="Y44" s="221"/>
      <c r="Z44" s="221">
        <f>-$V$35*(X44+Y43*((AA43+Z42/2)^2))</f>
        <v>-1.3061288346201004E-2</v>
      </c>
      <c r="AA44" s="221"/>
      <c r="AB44" s="221">
        <f>AA43+Z44/2</f>
        <v>2.0865070230670852</v>
      </c>
      <c r="AC44" s="213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9" ht="15.6" x14ac:dyDescent="0.35">
      <c r="A45" s="166" t="s">
        <v>716</v>
      </c>
      <c r="B45" s="167">
        <f>B23</f>
        <v>6.1377966586884547</v>
      </c>
      <c r="D45" s="5"/>
      <c r="F45" s="157" t="s">
        <v>524</v>
      </c>
      <c r="G45" s="178">
        <f>IF(G41="nao",0,ROUND(SQRT(4*G44/PI()),2))</f>
        <v>8.32</v>
      </c>
      <c r="O45" s="5"/>
      <c r="P45" s="5" t="s">
        <v>785</v>
      </c>
      <c r="R45" s="92"/>
      <c r="S45" s="92"/>
      <c r="T45" s="92"/>
      <c r="U45" s="220">
        <f>U43+$V$28</f>
        <v>0.4</v>
      </c>
      <c r="V45" s="221"/>
      <c r="W45" s="221">
        <f>IF(W43+V44&lt;0,(W43+V44)*0.8,W43+V44)</f>
        <v>0.61239734346507957</v>
      </c>
      <c r="X45" s="221"/>
      <c r="Y45" s="221">
        <f>Y43*(AC45/AC43)^2</f>
        <v>1.9194330449938766E-2</v>
      </c>
      <c r="Z45" s="221"/>
      <c r="AA45" s="221">
        <f>IF(AND(ABS(AA43+Z44)&gt;$G$27*0.8,(AA43+Z44)&lt;0),-$G$27*0.5,IF(AND(ABS(AA43+Z44)&gt;$G$27*0.8,(AA43+Z44)&gt;0),$G$27*0.5,AA43+Z44))</f>
        <v>1.0499999999999998</v>
      </c>
      <c r="AB45" s="229"/>
      <c r="AC45" s="223">
        <f>$G$29*AA45</f>
        <v>49.445219018221884</v>
      </c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9" ht="15.6" x14ac:dyDescent="0.35">
      <c r="A46" s="166" t="s">
        <v>715</v>
      </c>
      <c r="B46" s="167">
        <f>B24</f>
        <v>7.6722458233605675</v>
      </c>
      <c r="C46" s="5"/>
      <c r="D46" s="5"/>
      <c r="F46" s="157" t="s">
        <v>525</v>
      </c>
      <c r="G46" s="228">
        <f>IF(G41="nao",0,MAX(W41:W101)+ABS(MIN(W41:W101)))</f>
        <v>3.5037535820233283</v>
      </c>
      <c r="M46" s="5"/>
      <c r="N46" s="5"/>
      <c r="O46" s="178">
        <f>IF(AND(G44&gt;0,AA43&gt;0),G27*SQRT(G28*AA43/(9.81*G44)),0)</f>
        <v>1.4092671797857921</v>
      </c>
      <c r="P46" s="5" t="s">
        <v>803</v>
      </c>
      <c r="Q46" s="92"/>
      <c r="R46" s="92"/>
      <c r="S46" s="92"/>
      <c r="T46" s="92"/>
      <c r="U46" s="220"/>
      <c r="V46" s="221">
        <f>(AA45+Z44/2)*$V$34</f>
        <v>0.18061682059451009</v>
      </c>
      <c r="W46" s="221"/>
      <c r="X46" s="221">
        <f>W45+V46/2</f>
        <v>0.70270575376233457</v>
      </c>
      <c r="Y46" s="221"/>
      <c r="Z46" s="221">
        <f>-$V$35*(X46+Y45*((AA45+Z44/2)^2))</f>
        <v>-1.2361582033559771E-2</v>
      </c>
      <c r="AA46" s="221"/>
      <c r="AB46" s="229">
        <f>AA45+Z46/2</f>
        <v>1.0438192089832199</v>
      </c>
      <c r="AC46" s="224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9" ht="15.6" x14ac:dyDescent="0.35">
      <c r="A47" s="5"/>
      <c r="B47" s="5"/>
      <c r="C47" s="5"/>
      <c r="D47" s="5"/>
      <c r="E47" s="103"/>
      <c r="F47" s="208" t="s">
        <v>1202</v>
      </c>
      <c r="G47" s="232">
        <f>IF(G41="nao",0,G34+MAX(W41:W714))</f>
        <v>623.39096971085962</v>
      </c>
      <c r="K47" s="5"/>
      <c r="M47" s="103"/>
      <c r="N47" s="103"/>
      <c r="O47" s="178">
        <f>IF(G41="nao",0,G34-2/3*(G31+G32)+O46)</f>
        <v>621.31091188427558</v>
      </c>
      <c r="P47" s="5" t="s">
        <v>803</v>
      </c>
      <c r="Q47" s="92"/>
      <c r="R47" s="92"/>
      <c r="S47" s="92"/>
      <c r="T47" s="92"/>
      <c r="U47" s="220">
        <f>U45+$V$28</f>
        <v>0.60000000000000009</v>
      </c>
      <c r="V47" s="221"/>
      <c r="W47" s="221">
        <f>IF(W45+V46&lt;0,(W45+V46)*0.8,W45+V46)</f>
        <v>0.79301416405958969</v>
      </c>
      <c r="X47" s="221"/>
      <c r="Y47" s="221">
        <f>Y45*(AC47/AC45)^2</f>
        <v>1.8745043602742897E-2</v>
      </c>
      <c r="Z47" s="221"/>
      <c r="AA47" s="221">
        <f>IF(AND(ABS(AA45+Z46)&gt;$G$27*0.8,(AA45+Z46)&lt;0),-$G$27*0.5,IF(AND(ABS(AA45+Z46)&gt;$G$27*0.8,(AA45+Z46)&gt;0),$G$27*0.5,AA45+Z46))</f>
        <v>1.03763841796644</v>
      </c>
      <c r="AB47" s="229"/>
      <c r="AC47" s="223">
        <f>$G$29*AA47</f>
        <v>48.863103655306567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9" ht="16.8" x14ac:dyDescent="0.35">
      <c r="A48" s="164" t="s">
        <v>717</v>
      </c>
      <c r="B48" s="194">
        <f>B45^2*B46*(B39-B43)/1000</f>
        <v>14.814641424898056</v>
      </c>
      <c r="D48" s="5"/>
      <c r="E48" s="103"/>
      <c r="F48" s="208" t="s">
        <v>1203</v>
      </c>
      <c r="G48" s="232">
        <f>IF(G41="nao",0,G35+MIN(W41:W714))</f>
        <v>579.34849826795153</v>
      </c>
      <c r="M48" s="155"/>
      <c r="O48" s="178">
        <f>IF(G41="nao",0,G35+2*(G31+G32)-O46)</f>
        <v>578.88579870674482</v>
      </c>
      <c r="P48" s="5" t="s">
        <v>803</v>
      </c>
      <c r="Q48" s="92"/>
      <c r="R48" s="92"/>
      <c r="S48" s="92"/>
      <c r="T48" s="92"/>
      <c r="U48" s="220"/>
      <c r="V48" s="221">
        <f>(AA47+Z46/2)*$V$34</f>
        <v>0.178537679249788</v>
      </c>
      <c r="W48" s="221"/>
      <c r="X48" s="221">
        <f t="shared" ref="X48:X64" si="0">W47+V48/2</f>
        <v>0.88228300368448365</v>
      </c>
      <c r="Y48" s="221"/>
      <c r="Z48" s="221">
        <f>-$V$35*(X48+Y47*((AA47+Z46/2)^2))</f>
        <v>-1.5413020576299353E-2</v>
      </c>
      <c r="AA48" s="221"/>
      <c r="AB48" s="229">
        <f t="shared" ref="AB48:AB64" si="1">AA47+Z48/2</f>
        <v>1.0299319076782902</v>
      </c>
      <c r="AC48" s="213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ht="15.6" x14ac:dyDescent="0.35">
      <c r="A49" s="103"/>
      <c r="B49" s="156"/>
      <c r="D49" s="5"/>
      <c r="E49" s="103"/>
      <c r="F49" s="157" t="s">
        <v>603</v>
      </c>
      <c r="G49" s="178">
        <f>IF(G41="nao",0,IF(G43&gt;G48-2,G43+1,G48-2))</f>
        <v>623.09683090964484</v>
      </c>
      <c r="M49" s="103"/>
      <c r="N49" s="103"/>
      <c r="O49" s="103"/>
      <c r="Q49" s="92"/>
      <c r="R49" s="92"/>
      <c r="S49" s="92"/>
      <c r="T49" s="92"/>
      <c r="U49" s="220">
        <f>U47+$V$28</f>
        <v>0.8</v>
      </c>
      <c r="V49" s="221"/>
      <c r="W49" s="221">
        <f>IF(W47+V48&lt;0,(W47+V48)*0.8,W47+V48)</f>
        <v>0.97155184330937772</v>
      </c>
      <c r="X49" s="221"/>
      <c r="Y49" s="221">
        <f>Y47*(AC49/AC47)^2</f>
        <v>1.8192303931326651E-2</v>
      </c>
      <c r="Z49" s="221"/>
      <c r="AA49" s="221">
        <f>IF(AND(ABS(AA47+Z48)&gt;$G$27*0.8,(AA47+Z48)&lt;0),-$G$27*0.5,IF(AND(ABS(AA47+Z48)&gt;$G$27*0.8,(AA47+Z48)&gt;0),$G$27*0.5,AA47+Z48))</f>
        <v>1.0222253973901405</v>
      </c>
      <c r="AB49" s="229"/>
      <c r="AC49" s="223">
        <f>$G$29*AA49</f>
        <v>48.137293961851817</v>
      </c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x14ac:dyDescent="0.3">
      <c r="A50" s="164" t="s">
        <v>718</v>
      </c>
      <c r="B50" s="165"/>
      <c r="D50" s="5"/>
      <c r="E50" s="103"/>
      <c r="L50" s="103"/>
      <c r="M50" s="103"/>
      <c r="N50" s="103"/>
      <c r="Q50" s="92"/>
      <c r="R50" s="92"/>
      <c r="S50" s="92"/>
      <c r="T50" s="92"/>
      <c r="U50" s="220"/>
      <c r="V50" s="221">
        <f>(AA49+Z48/2)*$V$34</f>
        <v>0.17560570878119758</v>
      </c>
      <c r="W50" s="221"/>
      <c r="X50" s="221">
        <f t="shared" si="0"/>
        <v>1.0593546976999766</v>
      </c>
      <c r="Y50" s="221"/>
      <c r="Z50" s="221">
        <f>-$V$35*(X50+Y49*((AA49+Z48/2)^2))</f>
        <v>-1.8417177458807447E-2</v>
      </c>
      <c r="AA50" s="221"/>
      <c r="AB50" s="229">
        <f t="shared" si="1"/>
        <v>1.0130168086607367</v>
      </c>
      <c r="AC50" s="224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x14ac:dyDescent="0.3">
      <c r="A51" s="166" t="s">
        <v>723</v>
      </c>
      <c r="B51" s="199">
        <f>2*B27*(B29-1)*2084.8</f>
        <v>456620.18303218158</v>
      </c>
      <c r="D51" s="5"/>
      <c r="L51" s="103"/>
      <c r="Q51" s="92"/>
      <c r="R51" s="92"/>
      <c r="S51" s="92"/>
      <c r="T51" s="92"/>
      <c r="U51" s="220">
        <f>U49+$V$28</f>
        <v>1</v>
      </c>
      <c r="V51" s="221"/>
      <c r="W51" s="221">
        <f>IF(W49+V50&lt;0,(W49+V50)*0.8,W49+V50)</f>
        <v>1.1471575520905752</v>
      </c>
      <c r="X51" s="221"/>
      <c r="Y51" s="221">
        <f>Y49*(AC51/AC49)^2</f>
        <v>1.7542676897996979E-2</v>
      </c>
      <c r="Z51" s="221"/>
      <c r="AA51" s="221">
        <f>IF(AND(ABS(AA49+Z50)&gt;$G$27*0.8,(AA49+Z50)&lt;0),-$G$27*0.5,IF(AND(ABS(AA49+Z50)&gt;$G$27*0.8,(AA49+Z50)&gt;0),$G$27*0.5,AA49+Z50))</f>
        <v>1.003808219931333</v>
      </c>
      <c r="AB51" s="229"/>
      <c r="AC51" s="223">
        <f>$G$29*AA51</f>
        <v>47.270016463615434</v>
      </c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x14ac:dyDescent="0.3">
      <c r="A52" s="103"/>
      <c r="B52" s="156"/>
      <c r="D52" s="5"/>
      <c r="Q52" s="92"/>
      <c r="R52" s="92"/>
      <c r="S52" s="92"/>
      <c r="T52" s="92"/>
      <c r="U52" s="220"/>
      <c r="V52" s="221">
        <f>(AA51+Z50/2)*$V$34</f>
        <v>0.17215783304897109</v>
      </c>
      <c r="W52" s="221"/>
      <c r="X52" s="221">
        <f t="shared" si="0"/>
        <v>1.2332364686150608</v>
      </c>
      <c r="Y52" s="221"/>
      <c r="Z52" s="221">
        <f>-$V$35*(X52+Y51*((AA51+Z50/2)^2))</f>
        <v>-2.1364240640560101E-2</v>
      </c>
      <c r="AA52" s="221"/>
      <c r="AB52" s="229">
        <f t="shared" si="1"/>
        <v>0.99312609961105291</v>
      </c>
      <c r="AC52" s="213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x14ac:dyDescent="0.3">
      <c r="A53" s="164" t="s">
        <v>536</v>
      </c>
      <c r="B53" s="156"/>
      <c r="D53" s="5"/>
      <c r="Q53" s="92"/>
      <c r="R53" s="92"/>
      <c r="S53" s="92"/>
      <c r="T53" s="92"/>
      <c r="U53" s="220">
        <f>U51+$V$28</f>
        <v>1.2</v>
      </c>
      <c r="V53" s="221"/>
      <c r="W53" s="221">
        <f>IF(W51+V52&lt;0,(W51+V52)*0.8,W51+V52)</f>
        <v>1.3193153851395463</v>
      </c>
      <c r="X53" s="221"/>
      <c r="Y53" s="221">
        <f>Y51*(AC53/AC51)^2</f>
        <v>1.6803895041196771E-2</v>
      </c>
      <c r="Z53" s="221"/>
      <c r="AA53" s="221">
        <f>IF(AND(ABS(AA51+Z52)&gt;$G$27*0.8,(AA51+Z52)&lt;0),-$G$27*0.5,IF(AND(ABS(AA51+Z52)&gt;$G$27*0.8,(AA51+Z52)&gt;0),$G$27*0.5,AA51+Z52))</f>
        <v>0.98244397929077287</v>
      </c>
      <c r="AB53" s="229"/>
      <c r="AC53" s="223">
        <f>$G$29*AA53</f>
        <v>46.263959742062589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x14ac:dyDescent="0.3">
      <c r="A54" s="164" t="s">
        <v>471</v>
      </c>
      <c r="B54" s="159">
        <f>B27</f>
        <v>2</v>
      </c>
      <c r="D54" s="5" t="s">
        <v>751</v>
      </c>
      <c r="Q54" s="92"/>
      <c r="R54" s="92"/>
      <c r="S54" s="92"/>
      <c r="T54" s="92"/>
      <c r="U54" s="220"/>
      <c r="V54" s="221">
        <f>(AA53+Z52/2)*$V$34</f>
        <v>0.16820478374582712</v>
      </c>
      <c r="W54" s="221"/>
      <c r="X54" s="221">
        <f t="shared" si="0"/>
        <v>1.4034177770124598</v>
      </c>
      <c r="Y54" s="221"/>
      <c r="Z54" s="221">
        <f>-$V$35*(X54+Y53*((AA53+Z52/2)^2))</f>
        <v>-2.4246127238174115E-2</v>
      </c>
      <c r="AA54" s="221"/>
      <c r="AB54" s="229">
        <f t="shared" si="1"/>
        <v>0.97032091567168577</v>
      </c>
      <c r="AC54" s="213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x14ac:dyDescent="0.3">
      <c r="A55" s="164" t="s">
        <v>458</v>
      </c>
      <c r="B55" s="168"/>
      <c r="D55" s="5"/>
      <c r="Q55" s="92"/>
      <c r="R55" s="92"/>
      <c r="S55" s="92"/>
      <c r="T55" s="92"/>
      <c r="U55" s="220">
        <f>U53+$V$28</f>
        <v>1.4</v>
      </c>
      <c r="V55" s="221"/>
      <c r="W55" s="221">
        <f>IF(W53+V54&lt;0,(W53+V54)*0.8,W53+V54)</f>
        <v>1.4875201688853734</v>
      </c>
      <c r="X55" s="221"/>
      <c r="Y55" s="221">
        <f>Y53*(AC55/AC53)^2</f>
        <v>1.5984709765277678E-2</v>
      </c>
      <c r="Z55" s="221"/>
      <c r="AA55" s="221">
        <f>IF(AND(ABS(AA53+Z54)&gt;$G$27*0.8,(AA53+Z54)&lt;0),-$G$27*0.5,IF(AND(ABS(AA53+Z54)&gt;$G$27*0.8,(AA53+Z54)&gt;0),$G$27*0.5,AA53+Z54))</f>
        <v>0.95819785205259878</v>
      </c>
      <c r="AB55" s="229"/>
      <c r="AC55" s="223">
        <f>$G$29*AA55</f>
        <v>45.122193007171923</v>
      </c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x14ac:dyDescent="0.3">
      <c r="A56" s="166" t="s">
        <v>460</v>
      </c>
      <c r="B56" s="167"/>
      <c r="D56" s="5"/>
      <c r="Q56" s="92"/>
      <c r="R56" s="92"/>
      <c r="S56" s="92"/>
      <c r="T56" s="92"/>
      <c r="U56" s="220"/>
      <c r="V56" s="221">
        <f>(AA55+Z54/2)*$V$34</f>
        <v>0.1637585419996094</v>
      </c>
      <c r="W56" s="221"/>
      <c r="X56" s="221">
        <f t="shared" si="0"/>
        <v>1.569399439885178</v>
      </c>
      <c r="Y56" s="221"/>
      <c r="Z56" s="221">
        <f>-$V$35*(X56+Y55*((AA55+Z54/2)^2))</f>
        <v>-2.705497847887452E-2</v>
      </c>
      <c r="AA56" s="221"/>
      <c r="AB56" s="229">
        <f t="shared" si="1"/>
        <v>0.94467036281316152</v>
      </c>
      <c r="AC56" s="224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x14ac:dyDescent="0.3">
      <c r="A57" s="166" t="s">
        <v>461</v>
      </c>
      <c r="B57" s="167">
        <f>((2*B59)+1)</f>
        <v>16.644491646721136</v>
      </c>
      <c r="D57" s="5"/>
      <c r="Q57" s="92"/>
      <c r="R57" s="92"/>
      <c r="S57" s="92"/>
      <c r="T57" s="92"/>
      <c r="U57" s="220">
        <f>U55+$V$28</f>
        <v>1.5999999999999999</v>
      </c>
      <c r="V57" s="221"/>
      <c r="W57" s="221">
        <f>IF(W55+V56&lt;0,(W55+V56)*0.8,W55+V56)</f>
        <v>1.6512787108849829</v>
      </c>
      <c r="X57" s="221"/>
      <c r="Y57" s="221">
        <f>Y55*(AC57/AC55)^2</f>
        <v>1.5094787960151314E-2</v>
      </c>
      <c r="Z57" s="221"/>
      <c r="AA57" s="221">
        <f>IF(AND(ABS(AA55+Z56)&gt;$G$27*0.8,(AA55+Z56)&lt;0),-$G$27*0.5,IF(AND(ABS(AA55+Z56)&gt;$G$27*0.8,(AA55+Z56)&gt;0),$G$27*0.5,AA55+Z56))</f>
        <v>0.93114287357372427</v>
      </c>
      <c r="AB57" s="229"/>
      <c r="AC57" s="223">
        <f>$G$29*AA57</f>
        <v>43.848155543913613</v>
      </c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x14ac:dyDescent="0.3">
      <c r="A58" s="164" t="s">
        <v>462</v>
      </c>
      <c r="B58" s="168"/>
      <c r="D58" s="5"/>
      <c r="Q58" s="92"/>
      <c r="R58" s="92"/>
      <c r="S58" s="92"/>
      <c r="T58" s="92"/>
      <c r="U58" s="220"/>
      <c r="V58" s="221">
        <f>(AA57+Z56/2)*$V$34</f>
        <v>0.15883242983760643</v>
      </c>
      <c r="W58" s="221"/>
      <c r="X58" s="221">
        <f t="shared" si="0"/>
        <v>1.730694925803786</v>
      </c>
      <c r="Y58" s="221"/>
      <c r="Z58" s="221">
        <f>-$V$35*(X58+Y57*((AA57+Z56/2)^2))</f>
        <v>-2.978315729774578E-2</v>
      </c>
      <c r="AA58" s="221"/>
      <c r="AB58" s="229">
        <f t="shared" si="1"/>
        <v>0.91625129492485136</v>
      </c>
      <c r="AC58" s="213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x14ac:dyDescent="0.3">
      <c r="A59" s="166" t="s">
        <v>538</v>
      </c>
      <c r="B59" s="167">
        <f>B46+0.15</f>
        <v>7.8222458233605678</v>
      </c>
      <c r="D59" s="5"/>
      <c r="Q59" s="92"/>
      <c r="R59" s="92"/>
      <c r="S59" s="92"/>
      <c r="T59" s="92"/>
      <c r="U59" s="220">
        <f>U57+$V$28</f>
        <v>1.7999999999999998</v>
      </c>
      <c r="V59" s="221"/>
      <c r="W59" s="221">
        <f>IF(W57+V58&lt;0,(W57+V58)*0.8,W57+V58)</f>
        <v>1.8101111407225894</v>
      </c>
      <c r="X59" s="221"/>
      <c r="Y59" s="221">
        <f>Y57*(AC59/AC57)^2</f>
        <v>1.4144599609802673E-2</v>
      </c>
      <c r="Z59" s="221"/>
      <c r="AA59" s="221">
        <f>IF(AND(ABS(AA57+Z58)&gt;$G$27*0.8,(AA57+Z58)&lt;0),-$G$27*0.5,IF(AND(ABS(AA57+Z58)&gt;$G$27*0.8,(AA57+Z58)&gt;0),$G$27*0.5,AA57+Z58))</f>
        <v>0.90135971627597844</v>
      </c>
      <c r="AB59" s="229"/>
      <c r="AC59" s="223">
        <f>$G$29*AA59</f>
        <v>42.445646271874381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48" x14ac:dyDescent="0.3">
      <c r="A60" s="166" t="s">
        <v>539</v>
      </c>
      <c r="B60" s="167"/>
      <c r="D60" s="5"/>
      <c r="Q60" s="92"/>
      <c r="R60" s="92"/>
      <c r="S60" s="92"/>
      <c r="T60" s="92"/>
      <c r="U60" s="220"/>
      <c r="V60" s="221">
        <f>(AA59+Z58/2)*$V$34</f>
        <v>0.15344107201851087</v>
      </c>
      <c r="W60" s="221"/>
      <c r="X60" s="221">
        <f t="shared" si="0"/>
        <v>1.8868316767318447</v>
      </c>
      <c r="Y60" s="221"/>
      <c r="Z60" s="221">
        <f>-$V$35*(X60+Y59*((AA59+Z58/2)^2))</f>
        <v>-3.2423246353228539E-2</v>
      </c>
      <c r="AA60" s="221"/>
      <c r="AB60" s="229">
        <f t="shared" si="1"/>
        <v>0.88514809309936415</v>
      </c>
      <c r="AC60" s="213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48" x14ac:dyDescent="0.3">
      <c r="A61" s="166" t="s">
        <v>540</v>
      </c>
      <c r="B61" s="167">
        <f>B39-B43</f>
        <v>51.25587382868639</v>
      </c>
      <c r="D61" s="5"/>
      <c r="Q61" s="92"/>
      <c r="R61" s="92"/>
      <c r="S61" s="92"/>
      <c r="T61" s="92"/>
      <c r="U61" s="220">
        <f>U59+$V$28</f>
        <v>1.9999999999999998</v>
      </c>
      <c r="V61" s="221"/>
      <c r="W61" s="221">
        <f>IF(W59+V60&lt;0,(W59+V60)*0.8,W59+V60)</f>
        <v>1.9635522127411003</v>
      </c>
      <c r="X61" s="221"/>
      <c r="Y61" s="221">
        <f>Y59*(AC61/AC59)^2</f>
        <v>1.3145297512122458E-2</v>
      </c>
      <c r="Z61" s="221"/>
      <c r="AA61" s="221">
        <f>IF(AND(ABS(AA59+Z60)&gt;$G$27*0.8,(AA59+Z60)&lt;0),-$G$27*0.5,IF(AND(ABS(AA59+Z60)&gt;$G$27*0.8,(AA59+Z60)&gt;0),$G$27*0.5,AA59+Z60))</f>
        <v>0.86893646992274987</v>
      </c>
      <c r="AB61" s="229"/>
      <c r="AC61" s="223">
        <f>$G$29*AA61</f>
        <v>40.918813398334237</v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x14ac:dyDescent="0.3">
      <c r="A62" s="164" t="s">
        <v>463</v>
      </c>
      <c r="B62" s="168"/>
      <c r="D62" s="5"/>
      <c r="Q62" s="92"/>
      <c r="R62" s="92"/>
      <c r="S62" s="92"/>
      <c r="T62" s="92"/>
      <c r="U62" s="220"/>
      <c r="V62" s="221">
        <f>(AA61+Z60/2)*$V$34</f>
        <v>0.14760035817168513</v>
      </c>
      <c r="W62" s="221"/>
      <c r="X62" s="221">
        <f t="shared" si="0"/>
        <v>2.0373523918269427</v>
      </c>
      <c r="Y62" s="221"/>
      <c r="Z62" s="221">
        <f>-$V$35*(X62+Y61*((AA61+Z60/2)^2))</f>
        <v>-3.4968046884741644E-2</v>
      </c>
      <c r="AA62" s="221"/>
      <c r="AB62" s="229">
        <f t="shared" si="1"/>
        <v>0.85145244648037899</v>
      </c>
      <c r="AC62" s="213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x14ac:dyDescent="0.3">
      <c r="A63" s="166" t="s">
        <v>541</v>
      </c>
      <c r="B63" s="167">
        <f>B45+0.6</f>
        <v>6.7377966586884543</v>
      </c>
      <c r="D63" s="5"/>
      <c r="Q63" s="92"/>
      <c r="R63" s="92"/>
      <c r="S63" s="92"/>
      <c r="T63" s="92"/>
      <c r="U63" s="220">
        <f>U61+$V$28</f>
        <v>2.1999999999999997</v>
      </c>
      <c r="V63" s="221"/>
      <c r="W63" s="221">
        <f>IF(W61+V62&lt;0,(W61+V62)*0.8,W61+V62)</f>
        <v>2.1111525709127852</v>
      </c>
      <c r="X63" s="221"/>
      <c r="Y63" s="221">
        <f>Y61*(AC63/AC61)^2</f>
        <v>1.2108590255818336E-2</v>
      </c>
      <c r="Z63" s="221"/>
      <c r="AA63" s="221">
        <f>IF(AND(ABS(AA61+Z62)&gt;$G$27*0.8,(AA61+Z62)&lt;0),-$G$27*0.5,IF(AND(ABS(AA61+Z62)&gt;$G$27*0.8,(AA61+Z62)&gt;0),$G$27*0.5,AA61+Z62))</f>
        <v>0.83396842303800822</v>
      </c>
      <c r="AB63" s="229"/>
      <c r="AC63" s="223">
        <f>$G$29*AA63</f>
        <v>39.272144125138517</v>
      </c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spans="1:48" x14ac:dyDescent="0.3">
      <c r="A64" s="164" t="s">
        <v>385</v>
      </c>
      <c r="B64" s="168"/>
      <c r="D64" s="5"/>
      <c r="Q64" s="92"/>
      <c r="R64" s="92"/>
      <c r="S64" s="92"/>
      <c r="T64" s="92"/>
      <c r="U64" s="220"/>
      <c r="V64" s="221">
        <f>(AA63+Z62/2)*$V$34</f>
        <v>0.14132740506128041</v>
      </c>
      <c r="W64" s="221"/>
      <c r="X64" s="221">
        <f t="shared" si="0"/>
        <v>2.1818162734434252</v>
      </c>
      <c r="Y64" s="221"/>
      <c r="Z64" s="221">
        <f>-$V$35*(X64+Y63*((AA63+Z62/2)^2))</f>
        <v>-3.7410579370003583E-2</v>
      </c>
      <c r="AA64" s="221"/>
      <c r="AB64" s="229">
        <f t="shared" si="1"/>
        <v>0.81526313335300649</v>
      </c>
      <c r="AC64" s="213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spans="1:48" x14ac:dyDescent="0.3">
      <c r="A65" s="166" t="s">
        <v>542</v>
      </c>
      <c r="B65" s="167">
        <f>((100*((2*B63)+(B57)))+(((B61)^2)*(B63^2)*B59*0.0125))/(1000)</f>
        <v>14.673780792523495</v>
      </c>
      <c r="D65" s="5"/>
      <c r="Q65" s="92"/>
      <c r="R65" s="92"/>
      <c r="S65" s="92"/>
      <c r="T65" s="92"/>
      <c r="U65" s="220">
        <f>U63+$V$28</f>
        <v>2.4</v>
      </c>
      <c r="V65" s="221"/>
      <c r="W65" s="221">
        <f>IF(W63+V64&lt;0,(W63+V64)*0.8,W63+V64)</f>
        <v>2.2524799759740657</v>
      </c>
      <c r="X65" s="221"/>
      <c r="Y65" s="221">
        <f>Y63*(AC65/AC63)^2</f>
        <v>1.1046609608238483E-2</v>
      </c>
      <c r="Z65" s="221"/>
      <c r="AA65" s="221">
        <f>IF(AND(ABS(AA63+Z64)&gt;$G$27*0.8,(AA63+Z64)&lt;0),-$G$27*0.5,IF(AND(ABS(AA63+Z64)&gt;$G$27*0.8,(AA63+Z64)&gt;0),$G$27*0.5,AA63+Z64))</f>
        <v>0.79655784366800464</v>
      </c>
      <c r="AB65" s="229"/>
      <c r="AC65" s="223">
        <f>$G$29*AA65</f>
        <v>37.510454324616234</v>
      </c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1:48" x14ac:dyDescent="0.3">
      <c r="A66" s="166" t="s">
        <v>543</v>
      </c>
      <c r="B66" s="167">
        <f>(((((B45)^2)*B59*(B61))^0.7)*0.1019*0.706)</f>
        <v>60.582745579367263</v>
      </c>
      <c r="D66" s="201">
        <f>0.913*(B69*1000)^0.669/10</f>
        <v>56.320065734794085</v>
      </c>
      <c r="Q66" s="92"/>
      <c r="R66" s="92"/>
      <c r="S66" s="92"/>
      <c r="T66" s="92"/>
      <c r="U66" s="213"/>
      <c r="V66" s="221">
        <f>(AA65+Z64/2)*$V$34</f>
        <v>0.13464051858082152</v>
      </c>
      <c r="W66" s="221"/>
      <c r="X66" s="221">
        <f t="shared" ref="X66" si="2">W65+V66/2</f>
        <v>2.3198002352644767</v>
      </c>
      <c r="Y66" s="221"/>
      <c r="Z66" s="221">
        <f>-$V$35*(X66+Y65*((AA65+Z64/2)^2))</f>
        <v>-3.9744086816972744E-2</v>
      </c>
      <c r="AA66" s="221"/>
      <c r="AB66" s="229">
        <f t="shared" ref="AB66" si="3">AA65+Z66/2</f>
        <v>0.77668580025951828</v>
      </c>
      <c r="AC66" s="224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1:48" x14ac:dyDescent="0.3">
      <c r="A67" s="164" t="s">
        <v>718</v>
      </c>
      <c r="B67" s="165"/>
      <c r="Q67" s="92"/>
      <c r="R67" s="92"/>
      <c r="S67" s="92"/>
      <c r="T67" s="92"/>
      <c r="U67" s="220">
        <f>U65+$V$28</f>
        <v>2.6</v>
      </c>
      <c r="V67" s="221"/>
      <c r="W67" s="221">
        <f>IF(W65+V66&lt;0,(W65+V66)*0.8,W65+V66)</f>
        <v>2.3871204945548872</v>
      </c>
      <c r="X67" s="221"/>
      <c r="Y67" s="221">
        <f>Y65*(AC67/AC65)^2</f>
        <v>9.9717734871634274E-3</v>
      </c>
      <c r="Z67" s="221"/>
      <c r="AA67" s="221">
        <f>IF(AND(ABS(AA65+Z66)&gt;$G$27*0.8,(AA65+Z66)&lt;0),-$G$27*0.5,IF(AND(ABS(AA65+Z66)&gt;$G$27*0.8,(AA65+Z66)&gt;0),$G$27*0.5,AA65+Z66))</f>
        <v>0.75681375685103192</v>
      </c>
      <c r="AB67" s="229"/>
      <c r="AC67" s="223">
        <f>$G$29*AA67</f>
        <v>35.638878060478667</v>
      </c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48" x14ac:dyDescent="0.3">
      <c r="A68" s="166" t="s">
        <v>721</v>
      </c>
      <c r="B68" s="169">
        <f>ROUND(0.4999999+B48/125.39,0)</f>
        <v>1</v>
      </c>
      <c r="D68" s="127"/>
      <c r="Q68" s="92"/>
      <c r="R68" s="92"/>
      <c r="S68" s="92"/>
      <c r="T68" s="92"/>
      <c r="U68" s="220"/>
      <c r="V68" s="221">
        <f>(AA67+Z66/2)*$V$34</f>
        <v>0.12755915494996453</v>
      </c>
      <c r="W68" s="221"/>
      <c r="X68" s="221">
        <f t="shared" ref="X68" si="4">W67+V68/2</f>
        <v>2.4509000720298695</v>
      </c>
      <c r="Y68" s="221"/>
      <c r="Z68" s="221">
        <f>-$V$35*(X68+Y67*((AA67+Z66/2)^2))</f>
        <v>-4.1962041366381347E-2</v>
      </c>
      <c r="AA68" s="221"/>
      <c r="AB68" s="229">
        <f t="shared" ref="AB68" si="5">AA67+Z68/2</f>
        <v>0.73583273616784128</v>
      </c>
      <c r="AC68" s="213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1:48" ht="16.8" x14ac:dyDescent="0.35">
      <c r="A69" s="166" t="s">
        <v>719</v>
      </c>
      <c r="B69" s="194">
        <f>B48/B68</f>
        <v>14.814641424898056</v>
      </c>
      <c r="D69" s="127"/>
      <c r="Q69" s="92"/>
      <c r="R69" s="92"/>
      <c r="S69" s="92"/>
      <c r="T69" s="92"/>
      <c r="U69" s="220">
        <f>U67+$V$28</f>
        <v>2.8000000000000003</v>
      </c>
      <c r="V69" s="221"/>
      <c r="W69" s="221">
        <f>IF(W67+V68&lt;0,(W67+V68)*0.8,W67+V68)</f>
        <v>2.5146796495048518</v>
      </c>
      <c r="X69" s="221"/>
      <c r="Y69" s="221">
        <f>Y67*(AC69/AC67)^2</f>
        <v>8.8966457223378093E-3</v>
      </c>
      <c r="Z69" s="221"/>
      <c r="AA69" s="221">
        <f>IF(AND(ABS(AA67+Z68)&gt;$G$27*0.8,(AA67+Z68)&lt;0),-$G$27*0.5,IF(AND(ABS(AA67+Z68)&gt;$G$27*0.8,(AA67+Z68)&gt;0),$G$27*0.5,AA67+Z68))</f>
        <v>0.71485171548465054</v>
      </c>
      <c r="AB69" s="229"/>
      <c r="AC69" s="223">
        <f>$G$29*AA69</f>
        <v>33.662856797800181</v>
      </c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48" x14ac:dyDescent="0.3">
      <c r="A70" s="166" t="s">
        <v>720</v>
      </c>
      <c r="B70" s="167">
        <f>IF(AND(B69&gt;=0,B69&lt;=125.39),(IF(B69&lt;=9.17,(-4.3986*B69^2+124.79*B69+110.2)*1000,(-0.128*B69^2+57.311*B69+369.83)*1000) ),"O parametro z esta fora da validade da curva.")*B68</f>
        <v>1190779.2938321496</v>
      </c>
      <c r="D70" s="127"/>
      <c r="Q70" s="92"/>
      <c r="R70" s="92"/>
      <c r="S70" s="92"/>
      <c r="T70" s="92"/>
      <c r="U70" s="213"/>
      <c r="V70" s="221">
        <f>(AA69+Z68/2)*$V$34</f>
        <v>0.1201038804818849</v>
      </c>
      <c r="W70" s="221"/>
      <c r="X70" s="221">
        <f t="shared" ref="X70" si="6">W69+V70/2</f>
        <v>2.5747315897457943</v>
      </c>
      <c r="Y70" s="221"/>
      <c r="Z70" s="221">
        <f>-$V$35*(X70+Y69*((AA69+Z68/2)^2))</f>
        <v>-4.4058154692304057E-2</v>
      </c>
      <c r="AA70" s="221"/>
      <c r="AB70" s="229">
        <f t="shared" ref="AB70" si="7">AA69+Z70/2</f>
        <v>0.69282263813849854</v>
      </c>
      <c r="AC70" s="224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48" x14ac:dyDescent="0.3">
      <c r="B71" s="156"/>
      <c r="D71" s="5"/>
      <c r="Q71" s="92"/>
      <c r="R71" s="92"/>
      <c r="S71" s="92"/>
      <c r="T71" s="92"/>
      <c r="U71" s="220">
        <f>U69+$V$28</f>
        <v>3.0000000000000004</v>
      </c>
      <c r="V71" s="221"/>
      <c r="W71" s="221">
        <f>IF(W69+V70&lt;0,(W69+V70)*0.8,W69+V70)</f>
        <v>2.6347835299867368</v>
      </c>
      <c r="X71" s="221"/>
      <c r="Y71" s="221">
        <f>Y69*(AC71/AC69)^2</f>
        <v>7.8337938590644658E-3</v>
      </c>
      <c r="Z71" s="221"/>
      <c r="AA71" s="221">
        <f>IF(AND(ABS(AA69+Z70)&gt;$G$27*0.8,(AA69+Z70)&lt;0),-$G$27*0.5,IF(AND(ABS(AA69+Z70)&gt;$G$27*0.8,(AA69+Z70)&gt;0),$G$27*0.5,AA69+Z70))</f>
        <v>0.67079356079234653</v>
      </c>
      <c r="AB71" s="229"/>
      <c r="AC71" s="223">
        <f>$G$29*AA71</f>
        <v>31.588128123229062</v>
      </c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48" x14ac:dyDescent="0.3">
      <c r="A72" s="164" t="s">
        <v>451</v>
      </c>
      <c r="B72" s="156"/>
      <c r="D72" s="5"/>
      <c r="Q72" s="92"/>
      <c r="R72" s="92"/>
      <c r="S72" s="92"/>
      <c r="T72" s="92"/>
      <c r="U72" s="220"/>
      <c r="V72" s="221">
        <f>(AA71+Z70/2)*$V$34</f>
        <v>0.11229632922169867</v>
      </c>
      <c r="W72" s="221"/>
      <c r="X72" s="221">
        <f t="shared" ref="X72" si="8">W71+V72/2</f>
        <v>2.6909316945975861</v>
      </c>
      <c r="Y72" s="221"/>
      <c r="Z72" s="221">
        <f>-$V$35*(X72+Y71*((AA71+Z70/2)^2))</f>
        <v>-4.602639247749836E-2</v>
      </c>
      <c r="AA72" s="221"/>
      <c r="AB72" s="229">
        <f t="shared" ref="AB72" si="9">AA71+Z72/2</f>
        <v>0.64778036455359733</v>
      </c>
      <c r="AC72" s="213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1:48" x14ac:dyDescent="0.3">
      <c r="A73" s="164" t="s">
        <v>471</v>
      </c>
      <c r="B73" s="169">
        <f>B9</f>
        <v>1</v>
      </c>
      <c r="D73" s="5" t="s">
        <v>751</v>
      </c>
      <c r="Q73" s="92"/>
      <c r="R73" s="92"/>
      <c r="S73" s="92"/>
      <c r="T73" s="92"/>
      <c r="U73" s="220">
        <f>U71+$V$28</f>
        <v>3.2000000000000006</v>
      </c>
      <c r="V73" s="221"/>
      <c r="W73" s="221">
        <f>IF(W71+V72&lt;0,(W71+V72)*0.8,W71+V72)</f>
        <v>2.7470798592084353</v>
      </c>
      <c r="X73" s="221"/>
      <c r="Y73" s="221">
        <f>Y71*(AC73/AC71)^2</f>
        <v>6.7956463148873972E-3</v>
      </c>
      <c r="Z73" s="221"/>
      <c r="AA73" s="221">
        <f>IF(AND(ABS(AA71+Z72)&gt;$G$27*0.8,(AA71+Z72)&lt;0),-$G$27*0.5,IF(AND(ABS(AA71+Z72)&gt;$G$27*0.8,(AA71+Z72)&gt;0),$G$27*0.5,AA71+Z72))</f>
        <v>0.62476716831484813</v>
      </c>
      <c r="AB73" s="229"/>
      <c r="AC73" s="223">
        <f>$G$29*AA73</f>
        <v>29.420713783544731</v>
      </c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1:48" x14ac:dyDescent="0.3">
      <c r="A74" s="164" t="s">
        <v>459</v>
      </c>
      <c r="B74" s="167">
        <v>2</v>
      </c>
      <c r="D74" s="5"/>
      <c r="Q74" s="92"/>
      <c r="R74" s="92"/>
      <c r="S74" s="92"/>
      <c r="T74" s="92"/>
      <c r="U74" s="213"/>
      <c r="V74" s="221">
        <f>(AA73+Z72/2)*$V$34</f>
        <v>0.1041591577266526</v>
      </c>
      <c r="W74" s="221"/>
      <c r="X74" s="221">
        <f t="shared" ref="X74" si="10">W73+V74/2</f>
        <v>2.7991594380717615</v>
      </c>
      <c r="Y74" s="221"/>
      <c r="Z74" s="221">
        <f>-$V$35*(X74+Y73*((AA73+Z72/2)^2))</f>
        <v>-4.7860993015660318E-2</v>
      </c>
      <c r="AA74" s="221"/>
      <c r="AB74" s="229">
        <f t="shared" ref="AB74" si="11">AA73+Z74/2</f>
        <v>0.60083667180701794</v>
      </c>
      <c r="AC74" s="213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48" x14ac:dyDescent="0.3">
      <c r="A75" s="164" t="s">
        <v>457</v>
      </c>
      <c r="B75" s="167">
        <f>TRUNC(B46/B74)+1</f>
        <v>4</v>
      </c>
      <c r="D75" s="5"/>
      <c r="Q75" s="92"/>
      <c r="R75" s="92"/>
      <c r="S75" s="92"/>
      <c r="T75" s="92"/>
      <c r="U75" s="220">
        <f>U73+$V$28</f>
        <v>3.4000000000000008</v>
      </c>
      <c r="V75" s="221"/>
      <c r="W75" s="221">
        <f>IF(W73+V74&lt;0,(W73+V74)*0.8,W73+V74)</f>
        <v>2.8512390169350881</v>
      </c>
      <c r="X75" s="221"/>
      <c r="Y75" s="221">
        <f>Y73*(AC75/AC73)^2</f>
        <v>5.7943502676362996E-3</v>
      </c>
      <c r="Z75" s="221"/>
      <c r="AA75" s="221">
        <f>IF(AND(ABS(AA73+Z74)&gt;$G$27*0.8,(AA73+Z74)&lt;0),-$G$27*0.5,IF(AND(ABS(AA73+Z74)&gt;$G$27*0.8,(AA73+Z74)&gt;0),$G$27*0.5,AA73+Z74))</f>
        <v>0.57690617529918786</v>
      </c>
      <c r="AB75" s="229"/>
      <c r="AC75" s="223">
        <f>$G$29*AA75</f>
        <v>27.166906848221956</v>
      </c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48" x14ac:dyDescent="0.3">
      <c r="A76" s="164" t="s">
        <v>458</v>
      </c>
      <c r="B76" s="168"/>
      <c r="D76" s="5"/>
      <c r="Q76" s="92"/>
      <c r="R76" s="92"/>
      <c r="S76" s="92"/>
      <c r="T76" s="92"/>
      <c r="U76" s="220"/>
      <c r="V76" s="221">
        <f>(AA75+Z74/2)*$V$34</f>
        <v>9.5715996269232648E-2</v>
      </c>
      <c r="W76" s="221"/>
      <c r="X76" s="221">
        <f t="shared" ref="X76" si="12">W75+V76/2</f>
        <v>2.8990970150697044</v>
      </c>
      <c r="Y76" s="221"/>
      <c r="Z76" s="221">
        <f>-$V$35*(X76+Y75*((AA75+Z74/2)^2))</f>
        <v>-4.9556489763235373E-2</v>
      </c>
      <c r="AA76" s="221"/>
      <c r="AB76" s="229">
        <f t="shared" ref="AB76" si="13">AA75+Z76/2</f>
        <v>0.55212793041757013</v>
      </c>
      <c r="AC76" s="224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48" x14ac:dyDescent="0.3">
      <c r="A77" s="166" t="s">
        <v>460</v>
      </c>
      <c r="B77" s="167"/>
      <c r="D77" s="5"/>
      <c r="Q77" s="92"/>
      <c r="R77" s="92"/>
      <c r="S77" s="92"/>
      <c r="T77" s="92"/>
      <c r="U77" s="220">
        <f>U75+$V$28</f>
        <v>3.600000000000001</v>
      </c>
      <c r="V77" s="221"/>
      <c r="W77" s="221">
        <f>IF(W75+V76&lt;0,(W75+V76)*0.8,W75+V76)</f>
        <v>2.9469550132043207</v>
      </c>
      <c r="X77" s="221"/>
      <c r="Y77" s="221">
        <f>Y75*(AC77/AC75)^2</f>
        <v>4.8416317235821923E-3</v>
      </c>
      <c r="Z77" s="221"/>
      <c r="AA77" s="221">
        <f>IF(AND(ABS(AA75+Z76)&gt;$G$27*0.8,(AA75+Z76)&lt;0),-$G$27*0.5,IF(AND(ABS(AA75+Z76)&gt;$G$27*0.8,(AA75+Z76)&gt;0),$G$27*0.5,AA75+Z76))</f>
        <v>0.52734968553595252</v>
      </c>
      <c r="AB77" s="229"/>
      <c r="AC77" s="223">
        <f>$G$29*AA77</f>
        <v>24.833257810014871</v>
      </c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48" x14ac:dyDescent="0.3">
      <c r="A78" s="166" t="s">
        <v>461</v>
      </c>
      <c r="B78" s="167">
        <f>B41-B43-1.5</f>
        <v>51.75587382868639</v>
      </c>
      <c r="D78" s="5"/>
      <c r="Q78" s="92"/>
      <c r="R78" s="92"/>
      <c r="S78" s="92"/>
      <c r="T78" s="92"/>
      <c r="U78" s="213"/>
      <c r="V78" s="221">
        <f>(AA77+Z76/2)*$V$34</f>
        <v>8.6991395794901269E-2</v>
      </c>
      <c r="W78" s="221"/>
      <c r="X78" s="221">
        <f t="shared" ref="X78" si="14">W77+V78/2</f>
        <v>2.9904507111017713</v>
      </c>
      <c r="Y78" s="221"/>
      <c r="Z78" s="221">
        <f>-$V$35*(X78+Y77*((AA77+Z76/2)^2))</f>
        <v>-5.110773743849889E-2</v>
      </c>
      <c r="AA78" s="221"/>
      <c r="AB78" s="229">
        <f t="shared" ref="AB78" si="15">AA77+Z78/2</f>
        <v>0.50179581681670304</v>
      </c>
      <c r="AC78" s="213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spans="1:48" x14ac:dyDescent="0.3">
      <c r="A79" s="164" t="s">
        <v>462</v>
      </c>
      <c r="B79" s="168"/>
      <c r="D79" s="5"/>
      <c r="Q79" s="92"/>
      <c r="R79" s="92"/>
      <c r="S79" s="92"/>
      <c r="T79" s="92"/>
      <c r="U79" s="220">
        <f>U77+$V$28</f>
        <v>3.8000000000000012</v>
      </c>
      <c r="V79" s="221"/>
      <c r="W79" s="221">
        <f>IF(W77+V78&lt;0,(W77+V78)*0.8,W77+V78)</f>
        <v>3.0339464089992219</v>
      </c>
      <c r="X79" s="221"/>
      <c r="Y79" s="221">
        <f>Y77*(AC79/AC77)^2</f>
        <v>3.9486592814974922E-3</v>
      </c>
      <c r="Z79" s="221"/>
      <c r="AA79" s="221">
        <f>IF(AND(ABS(AA77+Z78)&gt;$G$27*0.8,(AA77+Z78)&lt;0),-$G$27*0.5,IF(AND(ABS(AA77+Z78)&gt;$G$27*0.8,(AA77+Z78)&gt;0),$G$27*0.5,AA77+Z78))</f>
        <v>0.47624194809745363</v>
      </c>
      <c r="AB79" s="229"/>
      <c r="AC79" s="223">
        <f>$G$29*AA79</f>
        <v>22.426559456517388</v>
      </c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spans="1:48" x14ac:dyDescent="0.3">
      <c r="A80" s="166" t="s">
        <v>538</v>
      </c>
      <c r="B80" s="167">
        <f>B46+0.15</f>
        <v>7.8222458233605678</v>
      </c>
      <c r="D80" s="5"/>
      <c r="Q80" s="92"/>
      <c r="R80" s="92"/>
      <c r="S80" s="92"/>
      <c r="T80" s="92"/>
      <c r="U80" s="220"/>
      <c r="V80" s="221">
        <f>(AA79+Z78/2)*$V$34</f>
        <v>7.8010770055274292E-2</v>
      </c>
      <c r="W80" s="221"/>
      <c r="X80" s="221">
        <f t="shared" ref="X80" si="16">W79+V80/2</f>
        <v>3.0729517940268591</v>
      </c>
      <c r="Y80" s="221"/>
      <c r="Z80" s="221">
        <f>-$V$35*(X80+Y79*((AA79+Z78/2)^2))</f>
        <v>-5.2509941055001043E-2</v>
      </c>
      <c r="AA80" s="221"/>
      <c r="AB80" s="229">
        <f t="shared" ref="AB80" si="17">AA79+Z80/2</f>
        <v>0.44998697756995309</v>
      </c>
      <c r="AC80" s="213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1:48" x14ac:dyDescent="0.3">
      <c r="A81" s="166" t="s">
        <v>539</v>
      </c>
      <c r="B81" s="167">
        <f>B82-B80/2</f>
        <v>47.34475091700611</v>
      </c>
      <c r="D81" s="5"/>
      <c r="Q81" s="92"/>
      <c r="R81" s="92"/>
      <c r="S81" s="92"/>
      <c r="T81" s="92"/>
      <c r="U81" s="220">
        <f>U79+$V$28</f>
        <v>4.0000000000000009</v>
      </c>
      <c r="V81" s="221"/>
      <c r="W81" s="221">
        <f>IF(W79+V80&lt;0,(W79+V80)*0.8,W79+V80)</f>
        <v>3.111957179054496</v>
      </c>
      <c r="X81" s="221"/>
      <c r="Y81" s="221">
        <f>Y79*(AC81/AC79)^2</f>
        <v>3.125913164464846E-3</v>
      </c>
      <c r="Z81" s="221"/>
      <c r="AA81" s="221">
        <f>IF(AND(ABS(AA79+Z80)&gt;$G$27*0.8,(AA79+Z80)&lt;0),-$G$27*0.5,IF(AND(ABS(AA79+Z80)&gt;$G$27*0.8,(AA79+Z80)&gt;0),$G$27*0.5,AA79+Z80))</f>
        <v>0.42373200704245256</v>
      </c>
      <c r="AB81" s="229"/>
      <c r="AC81" s="223">
        <f>$G$29*AA81</f>
        <v>19.953830374518866</v>
      </c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1:48" x14ac:dyDescent="0.3">
      <c r="A82" s="166" t="s">
        <v>540</v>
      </c>
      <c r="B82" s="167">
        <f>B39-B43</f>
        <v>51.25587382868639</v>
      </c>
      <c r="D82" s="5"/>
      <c r="P82" s="171"/>
      <c r="U82" s="213"/>
      <c r="V82" s="221">
        <f>(AA81+Z80/2)*$V$34</f>
        <v>6.8800332461864858E-2</v>
      </c>
      <c r="W82" s="221"/>
      <c r="X82" s="221">
        <f t="shared" ref="X82" si="18">W81+V82/2</f>
        <v>3.1463573452854283</v>
      </c>
      <c r="Y82" s="221"/>
      <c r="Z82" s="221">
        <f>-$V$35*(X82+Y81*((AA81+Z80/2)^2))</f>
        <v>-5.3758687089779128E-2</v>
      </c>
      <c r="AA82" s="221"/>
      <c r="AB82" s="229">
        <f t="shared" ref="AB82" si="19">AA81+Z82/2</f>
        <v>0.39685266349756299</v>
      </c>
      <c r="AC82" s="213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1:48" x14ac:dyDescent="0.3">
      <c r="A83" s="164" t="s">
        <v>463</v>
      </c>
      <c r="B83" s="168"/>
      <c r="D83" s="5"/>
      <c r="M83" s="171"/>
      <c r="N83" s="171"/>
      <c r="U83" s="220">
        <f>U81+$V$28</f>
        <v>4.2000000000000011</v>
      </c>
      <c r="V83" s="221"/>
      <c r="W83" s="221">
        <f>IF(W81+V82&lt;0,(W81+V82)*0.8,W81+V82)</f>
        <v>3.1807575115163607</v>
      </c>
      <c r="X83" s="221"/>
      <c r="Y83" s="221">
        <f>Y81*(AC83/AC81)^2</f>
        <v>2.3830611284194688E-3</v>
      </c>
      <c r="Z83" s="221"/>
      <c r="AA83" s="221">
        <f>IF(AND(ABS(AA81+Z82)&gt;$G$27*0.8,(AA81+Z82)&lt;0),-$G$27*0.5,IF(AND(ABS(AA81+Z82)&gt;$G$27*0.8,(AA81+Z82)&gt;0),$G$27*0.5,AA81+Z82))</f>
        <v>0.36997331995267346</v>
      </c>
      <c r="AB83" s="229"/>
      <c r="AC83" s="223">
        <f>$G$29*AA83</f>
        <v>17.422296986627259</v>
      </c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1:48" x14ac:dyDescent="0.3">
      <c r="A84" s="166" t="s">
        <v>541</v>
      </c>
      <c r="B84" s="167">
        <f>(B45+0.4)</f>
        <v>6.5377966586884551</v>
      </c>
      <c r="D84" s="5"/>
      <c r="J84" s="139"/>
      <c r="N84" s="171"/>
      <c r="U84" s="220"/>
      <c r="V84" s="221">
        <f>(AA83+Z82/2)*$V$34</f>
        <v>5.9387027360084464E-2</v>
      </c>
      <c r="W84" s="221"/>
      <c r="X84" s="221">
        <f t="shared" ref="X84" si="20">W83+V84/2</f>
        <v>3.2104510251964027</v>
      </c>
      <c r="Y84" s="221"/>
      <c r="Z84" s="221">
        <f>-$V$35*(X84+Y83*((AA83+Z82/2)^2))</f>
        <v>-5.4849975833078123E-2</v>
      </c>
      <c r="AA84" s="221"/>
      <c r="AB84" s="229">
        <f t="shared" ref="AB84" si="21">AA83+Z84/2</f>
        <v>0.34254833203613438</v>
      </c>
      <c r="AC84" s="213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1:48" x14ac:dyDescent="0.3">
      <c r="A85" s="164" t="s">
        <v>385</v>
      </c>
      <c r="B85" s="168"/>
      <c r="D85" s="5"/>
      <c r="J85" s="139"/>
      <c r="L85" s="171" t="s">
        <v>387</v>
      </c>
      <c r="N85" s="172"/>
      <c r="O85" s="171" t="s">
        <v>388</v>
      </c>
      <c r="U85" s="220">
        <f>U83+$V$28</f>
        <v>4.4000000000000012</v>
      </c>
      <c r="V85" s="221"/>
      <c r="W85" s="221">
        <f>IF(W83+V84&lt;0,(W83+V84)*0.8,W83+V84)</f>
        <v>3.2401445388764452</v>
      </c>
      <c r="X85" s="221"/>
      <c r="Y85" s="221">
        <f>Y83*(AC85/AC83)^2</f>
        <v>1.7288428669581836E-3</v>
      </c>
      <c r="Z85" s="221"/>
      <c r="AA85" s="221">
        <f>IF(AND(ABS(AA83+Z84)&gt;$G$27*0.8,(AA83+Z84)&lt;0),-$G$27*0.5,IF(AND(ABS(AA83+Z84)&gt;$G$27*0.8,(AA83+Z84)&gt;0),$G$27*0.5,AA83+Z84))</f>
        <v>0.31512334411959536</v>
      </c>
      <c r="AB85" s="229"/>
      <c r="AC85" s="223">
        <f>$G$29*AA85</f>
        <v>14.839374064521808</v>
      </c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1:48" x14ac:dyDescent="0.3">
      <c r="A86" s="166" t="s">
        <v>542</v>
      </c>
      <c r="B86" s="167">
        <f>((100*((2*B84)+(B78)))+(((B82)^2)*(B84^2)*B80*0.005))/(1000)</f>
        <v>10.875037844815717</v>
      </c>
      <c r="D86" s="5"/>
      <c r="J86" s="139"/>
      <c r="L86" s="171" t="s">
        <v>389</v>
      </c>
      <c r="M86" s="171" t="s">
        <v>385</v>
      </c>
      <c r="N86" s="212"/>
      <c r="O86" s="171" t="s">
        <v>7</v>
      </c>
      <c r="P86" s="171" t="s">
        <v>385</v>
      </c>
      <c r="U86" s="213"/>
      <c r="V86" s="221">
        <f>(AA85+Z84/2)*$V$34</f>
        <v>4.9798455601491591E-2</v>
      </c>
      <c r="W86" s="221"/>
      <c r="X86" s="221">
        <f t="shared" ref="X86" si="22">W85+V86/2</f>
        <v>3.265043766677191</v>
      </c>
      <c r="Y86" s="221"/>
      <c r="Z86" s="221">
        <f>-$V$35*(X86+Y85*((AA85+Z84/2)^2))</f>
        <v>-5.5780253853782914E-2</v>
      </c>
      <c r="AA86" s="221"/>
      <c r="AB86" s="229">
        <f t="shared" ref="AB86" si="23">AA85+Z86/2</f>
        <v>0.28723321719270389</v>
      </c>
      <c r="AC86" s="224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1:48" x14ac:dyDescent="0.3">
      <c r="A87" s="166" t="s">
        <v>543</v>
      </c>
      <c r="B87" s="167">
        <f>((B80*B84/1000)*(((B81^0.5)*30.074)+((19.989+(1.113*B81))*B84)))</f>
        <v>34.883944761071419</v>
      </c>
      <c r="D87" s="201">
        <f>0.503*(B91*1000)^0.716/10</f>
        <v>48.728477732973552</v>
      </c>
      <c r="J87" s="139"/>
      <c r="L87" s="172" t="s">
        <v>390</v>
      </c>
      <c r="M87" s="172" t="s">
        <v>42</v>
      </c>
      <c r="N87" s="212"/>
      <c r="O87" s="172" t="s">
        <v>390</v>
      </c>
      <c r="P87" s="172" t="s">
        <v>42</v>
      </c>
      <c r="U87" s="220">
        <f>U85+$V$28</f>
        <v>4.6000000000000014</v>
      </c>
      <c r="V87" s="221"/>
      <c r="W87" s="221">
        <f>IF(W85+V86&lt;0,(W85+V86)*0.8,W85+V86)</f>
        <v>3.2899429944779368</v>
      </c>
      <c r="X87" s="221"/>
      <c r="Y87" s="221">
        <f>Y85*(AC87/AC85)^2</f>
        <v>1.1709645090664592E-3</v>
      </c>
      <c r="Z87" s="221"/>
      <c r="AA87" s="221">
        <f>IF(AND(ABS(AA85+Z86)&gt;$G$27*0.8,(AA85+Z86)&lt;0),-$G$27*0.5,IF(AND(ABS(AA85+Z86)&gt;$G$27*0.8,(AA85+Z86)&gt;0),$G$27*0.5,AA85+Z86))</f>
        <v>0.25934309026581243</v>
      </c>
      <c r="AB87" s="229"/>
      <c r="AC87" s="223">
        <f>$G$29*AA87</f>
        <v>12.212643713386271</v>
      </c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x14ac:dyDescent="0.3">
      <c r="A88" s="166" t="s">
        <v>544</v>
      </c>
      <c r="B88" s="167">
        <f>B87/B75</f>
        <v>8.7209861902678547</v>
      </c>
      <c r="D88" s="5"/>
      <c r="J88" s="139"/>
      <c r="L88" s="160">
        <v>5</v>
      </c>
      <c r="M88" s="161">
        <f>8.053996037+0.500809115*B88</f>
        <v>12.421545412875265</v>
      </c>
      <c r="N88" s="212"/>
      <c r="O88" s="214">
        <v>5</v>
      </c>
      <c r="P88" s="215">
        <f>-0.018874907+0.250814212*B88</f>
        <v>2.168472372174914</v>
      </c>
      <c r="U88" s="220"/>
      <c r="V88" s="221">
        <f>(AA87+Z86/2)*$V$34</f>
        <v>4.0062794486499999E-2</v>
      </c>
      <c r="W88" s="221"/>
      <c r="X88" s="221">
        <f t="shared" ref="X88" si="24">W87+V88/2</f>
        <v>3.309974391721187</v>
      </c>
      <c r="Y88" s="221"/>
      <c r="Z88" s="221">
        <f>-$V$35*(X88+Y87*((AA87+Z86/2)^2))</f>
        <v>-5.6546445449935298E-2</v>
      </c>
      <c r="AA88" s="221"/>
      <c r="AB88" s="229">
        <f t="shared" ref="AB88" si="25">AA87+Z88/2</f>
        <v>0.23106986754084477</v>
      </c>
      <c r="AC88" s="213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x14ac:dyDescent="0.3">
      <c r="A89" s="164" t="s">
        <v>718</v>
      </c>
      <c r="B89" s="165"/>
      <c r="D89" s="5"/>
      <c r="J89" s="139"/>
      <c r="L89" s="160">
        <v>10</v>
      </c>
      <c r="M89" s="161">
        <f>5.60006605+0.569848085*B88</f>
        <v>10.569703329835582</v>
      </c>
      <c r="N89" s="212"/>
      <c r="O89" s="214">
        <v>6</v>
      </c>
      <c r="P89" s="215">
        <f>-0.165278806+0.300675426*B88</f>
        <v>2.4569074318989044</v>
      </c>
      <c r="U89" s="220">
        <f>U87+$V$28</f>
        <v>4.8000000000000016</v>
      </c>
      <c r="V89" s="221"/>
      <c r="W89" s="221">
        <f>IF(W87+V88&lt;0,(W87+V88)*0.8,W87+V88)</f>
        <v>3.3300057889644368</v>
      </c>
      <c r="X89" s="221"/>
      <c r="Y89" s="221">
        <f>Y87*(AC89/AC87)^2</f>
        <v>7.1600474468961771E-4</v>
      </c>
      <c r="Z89" s="221"/>
      <c r="AA89" s="221">
        <f>IF(AND(ABS(AA87+Z88)&gt;$G$27*0.8,(AA87+Z88)&lt;0),-$G$27*0.5,IF(AND(ABS(AA87+Z88)&gt;$G$27*0.8,(AA87+Z88)&gt;0),$G$27*0.5,AA87+Z88))</f>
        <v>0.20279664481587711</v>
      </c>
      <c r="AB89" s="229"/>
      <c r="AC89" s="223">
        <f>$G$29*AA89</f>
        <v>9.5498328753158059</v>
      </c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x14ac:dyDescent="0.3">
      <c r="A90" s="166" t="s">
        <v>721</v>
      </c>
      <c r="B90" s="169">
        <f>ROUND(0.4999999+B48/54.43,0)</f>
        <v>1</v>
      </c>
      <c r="D90" s="127"/>
      <c r="J90" s="139"/>
      <c r="L90" s="160">
        <v>15</v>
      </c>
      <c r="M90" s="161">
        <f>7.432298547+0.630713342*B88</f>
        <v>12.932740892599686</v>
      </c>
      <c r="N90" s="212"/>
      <c r="O90" s="214">
        <v>7</v>
      </c>
      <c r="P90" s="215">
        <f>-0.143628177+0.35121065*B88</f>
        <v>2.919275051524997</v>
      </c>
      <c r="U90" s="213"/>
      <c r="V90" s="221">
        <f>(AA89+Z88/2)*$V$34</f>
        <v>3.0208712351072534E-2</v>
      </c>
      <c r="W90" s="221"/>
      <c r="X90" s="221">
        <f t="shared" ref="X90" si="26">W89+V90/2</f>
        <v>3.345110145139973</v>
      </c>
      <c r="Y90" s="221"/>
      <c r="Z90" s="221">
        <f>-$V$35*(X90+Y89*((AA89+Z88/2)^2))</f>
        <v>-5.7145981941152363E-2</v>
      </c>
      <c r="AA90" s="221"/>
      <c r="AB90" s="229">
        <f t="shared" ref="AB90" si="27">AA89+Z90/2</f>
        <v>0.17422365384530092</v>
      </c>
      <c r="AC90" s="223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ht="16.8" x14ac:dyDescent="0.35">
      <c r="A91" s="166" t="s">
        <v>719</v>
      </c>
      <c r="B91" s="194">
        <f>B48/B90</f>
        <v>14.814641424898056</v>
      </c>
      <c r="D91" s="127"/>
      <c r="J91" s="139"/>
      <c r="L91" s="160">
        <v>20</v>
      </c>
      <c r="M91" s="161">
        <f>8.307959049+0.691964188*B88</f>
        <v>14.342569176707912</v>
      </c>
      <c r="N91" s="212"/>
      <c r="O91" s="214">
        <v>8</v>
      </c>
      <c r="P91" s="215">
        <f>-0.4215396+0.401517395*B88</f>
        <v>3.0800880569473232</v>
      </c>
      <c r="U91" s="220">
        <f>U89+$V$28</f>
        <v>5.0000000000000018</v>
      </c>
      <c r="V91" s="221"/>
      <c r="W91" s="221">
        <f>IF(W89+V90&lt;0,(W89+V90)*0.8,W89+V90)</f>
        <v>3.3602145013155091</v>
      </c>
      <c r="X91" s="221"/>
      <c r="Y91" s="221">
        <f>Y89*(AC91/AC89)^2</f>
        <v>3.6933400902483592E-4</v>
      </c>
      <c r="Z91" s="221"/>
      <c r="AA91" s="221">
        <f>IF(AND(ABS(AA89+Z90)&gt;$G$27*0.8,(AA89+Z90)&lt;0),-$G$27*0.5,IF(AND(ABS(AA89+Z90)&gt;$G$27*0.8,(AA89+Z90)&gt;0),$G$27*0.5,AA89+Z90))</f>
        <v>0.14565066287472475</v>
      </c>
      <c r="AB91" s="229"/>
      <c r="AC91" s="223">
        <f>$G$29*AA91</f>
        <v>6.8587894533237765</v>
      </c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x14ac:dyDescent="0.3">
      <c r="A92" s="166" t="s">
        <v>720</v>
      </c>
      <c r="B92" s="167">
        <f>IF(AND(B91&gt;=0,B91&lt;=54.43),1000*72.896*B91^0.716,"O parametro z esta fora da validade da curva.")*B90</f>
        <v>502248.39471923793</v>
      </c>
      <c r="D92" s="127"/>
      <c r="J92" s="139"/>
      <c r="L92" s="160">
        <v>25</v>
      </c>
      <c r="M92" s="161">
        <f>11.40042933+0.74151255*B88</f>
        <v>17.867150038460302</v>
      </c>
      <c r="N92" s="212"/>
      <c r="O92" s="214">
        <v>9</v>
      </c>
      <c r="P92" s="215">
        <f>-0.302152726+0.451841229*B88</f>
        <v>3.6383483923026554</v>
      </c>
      <c r="U92" s="220"/>
      <c r="V92" s="221">
        <f>(AA91+Z90/2)*$V$34</f>
        <v>2.0265278269889556E-2</v>
      </c>
      <c r="W92" s="221"/>
      <c r="X92" s="221">
        <f t="shared" ref="X92" si="28">W91+V92/2</f>
        <v>3.3703471404504541</v>
      </c>
      <c r="Y92" s="221"/>
      <c r="Z92" s="221">
        <f>-$V$35*(X92+Y91*((AA91+Z90/2)^2))</f>
        <v>-5.7576827701598415E-2</v>
      </c>
      <c r="AA92" s="221"/>
      <c r="AB92" s="229">
        <f t="shared" ref="AB92" si="29">AA91+Z92/2</f>
        <v>0.11686224902392554</v>
      </c>
      <c r="AC92" s="213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1:48" x14ac:dyDescent="0.3">
      <c r="B93" s="156"/>
      <c r="C93" s="170"/>
      <c r="D93" s="5"/>
      <c r="J93" s="139"/>
      <c r="L93" s="160">
        <v>30</v>
      </c>
      <c r="M93" s="161">
        <f>15.01585205+0.788540291*B88</f>
        <v>21.892701038280794</v>
      </c>
      <c r="N93" s="212"/>
      <c r="O93" s="214">
        <v>10</v>
      </c>
      <c r="P93" s="215">
        <f>-0.4215396+0.501517395*B88</f>
        <v>3.9521866759741089</v>
      </c>
      <c r="U93" s="220">
        <f>U91+$V$28</f>
        <v>5.200000000000002</v>
      </c>
      <c r="V93" s="221"/>
      <c r="W93" s="221">
        <f>IF(W91+V92&lt;0,(W91+V92)*0.8,W91+V92)</f>
        <v>3.3804797795853987</v>
      </c>
      <c r="X93" s="221"/>
      <c r="Y93" s="221">
        <f>Y91*(AC93/AC91)^2</f>
        <v>1.3504800887623273E-4</v>
      </c>
      <c r="Z93" s="221"/>
      <c r="AA93" s="221">
        <f>IF(AND(ABS(AA91+Z92)&gt;$G$27*0.8,(AA91+Z92)&lt;0),-$G$27*0.5,IF(AND(ABS(AA91+Z92)&gt;$G$27*0.8,(AA91+Z92)&gt;0),$G$27*0.5,AA91+Z92))</f>
        <v>8.8073835173126336E-2</v>
      </c>
      <c r="AB93" s="229"/>
      <c r="AC93" s="223">
        <f>$G$29*AA93</f>
        <v>4.1474572094381017</v>
      </c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spans="1:48" x14ac:dyDescent="0.3">
      <c r="A94" s="164" t="s">
        <v>467</v>
      </c>
      <c r="B94" s="165"/>
      <c r="C94" s="139"/>
      <c r="D94" s="5"/>
      <c r="H94" s="173"/>
      <c r="I94" s="173"/>
      <c r="J94" s="139"/>
      <c r="L94" s="160">
        <v>35</v>
      </c>
      <c r="M94" s="161">
        <f>16.01304491+0.844996697*B88</f>
        <v>23.382249435358951</v>
      </c>
      <c r="N94" s="212"/>
      <c r="O94" s="214">
        <v>11</v>
      </c>
      <c r="P94" s="215">
        <f>-0.544905009+0.552590674*B88</f>
        <v>4.2742306278248057</v>
      </c>
      <c r="U94" s="213"/>
      <c r="V94" s="221">
        <f>(AA93+Z92/2)*$V$34</f>
        <v>1.0261867535495732E-2</v>
      </c>
      <c r="W94" s="221"/>
      <c r="X94" s="221">
        <f t="shared" ref="X94" si="30">W93+V94/2</f>
        <v>3.3856107133531466</v>
      </c>
      <c r="Y94" s="221"/>
      <c r="Z94" s="221">
        <f>-$V$35*(X94+Y93*((AA93+Z92/2)^2))</f>
        <v>-5.7837501927734701E-2</v>
      </c>
      <c r="AA94" s="221"/>
      <c r="AB94" s="229">
        <f t="shared" ref="AB94" si="31">AA93+Z94/2</f>
        <v>5.9155084209258982E-2</v>
      </c>
      <c r="AC94" s="213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spans="1:48" x14ac:dyDescent="0.3">
      <c r="A95" s="164" t="s">
        <v>468</v>
      </c>
      <c r="B95" s="168"/>
      <c r="C95" s="139"/>
      <c r="D95" s="5"/>
      <c r="H95" s="139"/>
      <c r="I95" s="139"/>
      <c r="J95" s="139"/>
      <c r="N95" s="212"/>
      <c r="O95" s="214">
        <v>12</v>
      </c>
      <c r="P95" s="215">
        <f>-0.704817419+0.602544412*B88</f>
        <v>4.5499640770750638</v>
      </c>
      <c r="U95" s="220">
        <f>U93+$V$28</f>
        <v>5.4000000000000021</v>
      </c>
      <c r="V95" s="221"/>
      <c r="W95" s="221">
        <f>IF(W93+V94&lt;0,(W93+V94)*0.8,W93+V94)</f>
        <v>3.3907416471208944</v>
      </c>
      <c r="X95" s="221"/>
      <c r="Y95" s="221">
        <f>Y93*(AC95/AC93)^2</f>
        <v>1.5916684787408329E-5</v>
      </c>
      <c r="Z95" s="221"/>
      <c r="AA95" s="221">
        <f>IF(AND(ABS(AA93+Z94)&gt;$G$27*0.8,(AA93+Z94)&lt;0),-$G$27*0.5,IF(AND(ABS(AA93+Z94)&gt;$G$27*0.8,(AA93+Z94)&gt;0),$G$27*0.5,AA93+Z94))</f>
        <v>3.0236333245391635E-2</v>
      </c>
      <c r="AB95" s="229"/>
      <c r="AC95" s="223">
        <f>$G$29*AA95</f>
        <v>1.423849637739365</v>
      </c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1:48" x14ac:dyDescent="0.3">
      <c r="A96" s="166" t="s">
        <v>464</v>
      </c>
      <c r="B96" s="167">
        <f>1.1*B66</f>
        <v>66.641020137303997</v>
      </c>
      <c r="C96" s="139"/>
      <c r="D96" s="5"/>
      <c r="G96" s="173"/>
      <c r="H96" s="139"/>
      <c r="I96" s="139"/>
      <c r="J96" s="139"/>
      <c r="O96" s="214">
        <v>13</v>
      </c>
      <c r="P96" s="215">
        <f>-0.828182828+0.653617691*B88</f>
        <v>4.8720080289257615</v>
      </c>
      <c r="U96" s="220"/>
      <c r="V96" s="221">
        <f>(AA95+Z94/2)*$V$34</f>
        <v>2.2806373874965517E-4</v>
      </c>
      <c r="W96" s="221"/>
      <c r="X96" s="221">
        <f t="shared" ref="X96" si="32">W95+V96/2</f>
        <v>3.3908556789902691</v>
      </c>
      <c r="Y96" s="221"/>
      <c r="Z96" s="221">
        <f>-$V$35*(X96+Y95*((AA95+Z94/2)^2))</f>
        <v>-5.7927095280800332E-2</v>
      </c>
      <c r="AA96" s="221"/>
      <c r="AB96" s="221">
        <f t="shared" ref="AB96" si="33">AA95+Z96/2</f>
        <v>1.2727856049914686E-3</v>
      </c>
      <c r="AC96" s="224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spans="1:48" x14ac:dyDescent="0.3">
      <c r="A97" s="166" t="s">
        <v>465</v>
      </c>
      <c r="B97" s="167">
        <v>5</v>
      </c>
      <c r="C97" s="139"/>
      <c r="D97" s="5"/>
      <c r="G97" s="139"/>
      <c r="H97" s="139"/>
      <c r="I97" s="139"/>
      <c r="J97" s="170"/>
      <c r="O97" s="214">
        <v>14</v>
      </c>
      <c r="P97" s="215">
        <f>-0.559801382+0.702007772*B88</f>
        <v>5.5623987030727049</v>
      </c>
      <c r="U97" s="220">
        <f>U95+$V$28</f>
        <v>5.6000000000000023</v>
      </c>
      <c r="V97" s="221"/>
      <c r="W97" s="221">
        <f>IF(W95+V96&lt;0,(W95+V96)*0.8,W95+V96)</f>
        <v>3.3909697108596442</v>
      </c>
      <c r="X97" s="221"/>
      <c r="Y97" s="221">
        <f>Y95*(AC97/AC95)^2</f>
        <v>1.3349474931865483E-5</v>
      </c>
      <c r="Z97" s="221"/>
      <c r="AA97" s="221">
        <f>IF(AND(ABS(AA95+Z96)&gt;$G$27*0.8,(AA95+Z96)&lt;0),-$G$27*0.5,IF(AND(ABS(AA95+Z96)&gt;$G$27*0.8,(AA95+Z96)&gt;0),$G$27*0.5,AA95+Z96))</f>
        <v>-2.7690762035408698E-2</v>
      </c>
      <c r="AB97" s="221"/>
      <c r="AC97" s="223">
        <f>$G$29*AA97</f>
        <v>-1.3039769463069018</v>
      </c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x14ac:dyDescent="0.3">
      <c r="A98" s="166" t="s">
        <v>466</v>
      </c>
      <c r="B98" s="167">
        <v>5</v>
      </c>
      <c r="C98" s="139"/>
      <c r="D98" s="5"/>
      <c r="G98" s="139"/>
      <c r="O98" s="214">
        <v>15</v>
      </c>
      <c r="P98" s="215">
        <f>-0.68316679+0.753081051*B88</f>
        <v>5.8844426559234027</v>
      </c>
      <c r="U98" s="213"/>
      <c r="V98" s="221">
        <f>(AA97+Z96/2)*$V$34</f>
        <v>-9.8064415878437051E-3</v>
      </c>
      <c r="W98" s="221"/>
      <c r="X98" s="221">
        <f t="shared" ref="X98" si="34">W97+V98/2</f>
        <v>3.3860664900657222</v>
      </c>
      <c r="Y98" s="221"/>
      <c r="Z98" s="221">
        <f>-$V$35*(X98+Y97*((AA97+Z96/2)^2))</f>
        <v>-5.7845280733395753E-2</v>
      </c>
      <c r="AA98" s="221"/>
      <c r="AB98" s="221">
        <f t="shared" ref="AB98" si="35">AA97+Z98/2</f>
        <v>-5.6613402402106577E-2</v>
      </c>
      <c r="AC98" s="213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x14ac:dyDescent="0.3">
      <c r="A99" s="164" t="s">
        <v>385</v>
      </c>
      <c r="B99" s="168"/>
      <c r="C99" s="139"/>
      <c r="D99" s="5"/>
      <c r="G99" s="139"/>
      <c r="U99" s="220">
        <f>U97+$V$28</f>
        <v>5.8000000000000025</v>
      </c>
      <c r="V99" s="221"/>
      <c r="W99" s="221">
        <f>IF(W97+V98&lt;0,(W97+V98)*0.8,W97+V98)</f>
        <v>3.3811632692718003</v>
      </c>
      <c r="X99" s="221"/>
      <c r="Y99" s="221">
        <f>Y97*(AC99/AC97)^2</f>
        <v>1.2737748733059672E-4</v>
      </c>
      <c r="Z99" s="221"/>
      <c r="AA99" s="221">
        <f>IF(AND(ABS(AA97+Z98)&gt;$G$27*0.8,(AA97+Z98)&lt;0),-$G$27*0.5,IF(AND(ABS(AA97+Z98)&gt;$G$27*0.8,(AA97+Z98)&gt;0),$G$27*0.5,AA97+Z98))</f>
        <v>-8.5536042768804443E-2</v>
      </c>
      <c r="AB99" s="221"/>
      <c r="AC99" s="223">
        <f>$G$29*AA99</f>
        <v>-4.0279508272909812</v>
      </c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x14ac:dyDescent="0.3">
      <c r="A100" s="166" t="s">
        <v>469</v>
      </c>
      <c r="B100" s="167">
        <f>(VLOOKUP(B97+5,L87:P93,2)-VLOOKUP(B97,L87:P93,2))*(B97-(VLOOKUP(B97,L87:P93,1)))/5+VLOOKUP(B97,L87:P93,2)</f>
        <v>12.421545412875265</v>
      </c>
      <c r="C100" s="139"/>
      <c r="D100" s="5"/>
      <c r="T100" s="92"/>
      <c r="U100" s="220"/>
      <c r="V100" s="221">
        <f>(AA99+Z98/2)*$V$34</f>
        <v>-1.9811950702650401E-2</v>
      </c>
      <c r="W100" s="221"/>
      <c r="X100" s="221">
        <f t="shared" ref="X100" si="36">W99+V100/2</f>
        <v>3.371257293920475</v>
      </c>
      <c r="Y100" s="221"/>
      <c r="Z100" s="221">
        <f>-$V$35*(X100+Y99*((AA99+Z98/2)^2))</f>
        <v>-5.7592318173558706E-2</v>
      </c>
      <c r="AA100" s="221"/>
      <c r="AB100" s="221">
        <f t="shared" ref="AB100" si="37">AA99+Z100/2</f>
        <v>-0.11433220185558379</v>
      </c>
      <c r="AC100" s="213"/>
    </row>
    <row r="101" spans="1:48" x14ac:dyDescent="0.3">
      <c r="A101" s="166" t="s">
        <v>470</v>
      </c>
      <c r="B101" s="167">
        <f>(VLOOKUP(B98+5,O87:P97,2)-VLOOKUP(B98,O87:P97,2))*(B98-(VLOOKUP(B98,O87:P97,1)))/5+VLOOKUP(B98,O87:P97,2)</f>
        <v>2.168472372174914</v>
      </c>
      <c r="D101" s="5"/>
      <c r="T101" s="92"/>
      <c r="U101" s="220">
        <f>U99+$V$28</f>
        <v>6.0000000000000027</v>
      </c>
      <c r="V101" s="221"/>
      <c r="W101" s="221">
        <f>IF(W99+V100&lt;0,(W99+V100)*0.8,W99+V100)</f>
        <v>3.3613513185691501</v>
      </c>
      <c r="X101" s="221"/>
      <c r="Y101" s="221">
        <f>Y99*(AC101/AC99)^2</f>
        <v>3.5665290439667978E-4</v>
      </c>
      <c r="Z101" s="221"/>
      <c r="AA101" s="221">
        <f>IF(AND(ABS(AA99+Z100)&gt;$G$27*0.8,(AA99+Z100)&lt;0),-$G$27*0.5,IF(AND(ABS(AA99+Z100)&gt;$G$27*0.8,(AA99+Z100)&gt;0),$G$27*0.5,AA99+Z100))</f>
        <v>-0.14312836094236314</v>
      </c>
      <c r="AB101" s="221"/>
      <c r="AC101" s="223">
        <f>$G$29*AA101</f>
        <v>-6.7400125281088199</v>
      </c>
    </row>
    <row r="102" spans="1:48" x14ac:dyDescent="0.3">
      <c r="A102" s="164" t="s">
        <v>718</v>
      </c>
      <c r="B102" s="165"/>
      <c r="D102" s="5"/>
      <c r="U102" s="213"/>
      <c r="V102" s="221">
        <f>(AA101+Z100/2)*$V$34</f>
        <v>-2.9758861644090452E-2</v>
      </c>
      <c r="W102" s="221"/>
      <c r="X102" s="221">
        <f t="shared" ref="X102" si="38">W101+V102/2</f>
        <v>3.3464718877471049</v>
      </c>
      <c r="Y102" s="221"/>
      <c r="Z102" s="221">
        <f>-$V$35*(X102+Y101*((AA101+Z100/2)^2))</f>
        <v>-5.7169052567100892E-2</v>
      </c>
      <c r="AA102" s="221"/>
      <c r="AB102" s="221">
        <f t="shared" ref="AB102" si="39">AA101+Z102/2</f>
        <v>-0.1717128872259136</v>
      </c>
      <c r="AC102" s="213"/>
    </row>
    <row r="103" spans="1:48" x14ac:dyDescent="0.3">
      <c r="A103" s="166" t="s">
        <v>721</v>
      </c>
      <c r="B103" s="169">
        <f>ROUND(0.4999999+B48/54.43,0)</f>
        <v>1</v>
      </c>
      <c r="D103" s="195"/>
      <c r="U103" s="220">
        <f>U101+$V$28</f>
        <v>6.2000000000000028</v>
      </c>
      <c r="V103" s="221"/>
      <c r="W103" s="221">
        <f>IF(W101+V102&lt;0,(W101+V102)*0.8,W101+V102)</f>
        <v>3.3315924569250597</v>
      </c>
      <c r="X103" s="221"/>
      <c r="Y103" s="221">
        <f>Y101*(AC103/AC101)^2</f>
        <v>6.984656481637179E-4</v>
      </c>
      <c r="Z103" s="221"/>
      <c r="AA103" s="221">
        <f>IF(AND(ABS(AA101+Z102)&gt;$G$27*0.8,(AA101+Z102)&lt;0),-$G$27*0.5,IF(AND(ABS(AA101+Z102)&gt;$G$27*0.8,(AA101+Z102)&gt;0),$G$27*0.5,AA101+Z102))</f>
        <v>-0.20029741350946403</v>
      </c>
      <c r="AB103" s="221"/>
      <c r="AC103" s="223">
        <f>$G$29*AA103</f>
        <v>-9.4321423616750533</v>
      </c>
    </row>
    <row r="104" spans="1:48" ht="16.8" x14ac:dyDescent="0.35">
      <c r="A104" s="166" t="s">
        <v>719</v>
      </c>
      <c r="B104" s="194">
        <f>B48/B103</f>
        <v>14.814641424898056</v>
      </c>
      <c r="D104" s="127"/>
      <c r="U104" s="213"/>
      <c r="V104" s="221">
        <f>(AA103+Z102/2)*$V$34</f>
        <v>-3.9617769344226166E-2</v>
      </c>
      <c r="W104" s="221"/>
      <c r="X104" s="221">
        <f t="shared" ref="X104" si="40">W103+V104/2</f>
        <v>3.3117835722529465</v>
      </c>
      <c r="Y104" s="221"/>
      <c r="Z104" s="221">
        <f>-$V$35*(X104+Y103*((AA103+Z102/2)^2))</f>
        <v>-5.6576905736976428E-2</v>
      </c>
      <c r="AA104" s="221"/>
      <c r="AB104" s="221">
        <f t="shared" ref="AB104" si="41">AA103+Z104/2</f>
        <v>-0.22858586637795225</v>
      </c>
      <c r="AC104" s="213"/>
    </row>
    <row r="105" spans="1:48" x14ac:dyDescent="0.3">
      <c r="A105" s="166" t="s">
        <v>720</v>
      </c>
      <c r="B105" s="167">
        <f>IF(AND(B104&gt;=0,B104&lt;=125.39),(-0.71*(B104^2)+97.3*B104+57.78)*1000,"O parametro z esta fora da validade da curva.")*B103</f>
        <v>1343418.3542532837</v>
      </c>
      <c r="D105" s="127"/>
      <c r="U105" s="220">
        <f>U103+$V$28</f>
        <v>6.400000000000003</v>
      </c>
      <c r="V105" s="221"/>
      <c r="W105" s="221">
        <f>IF(W103+V104&lt;0,(W103+V104)*0.8,W103+V104)</f>
        <v>3.2919746875808333</v>
      </c>
      <c r="X105" s="221"/>
      <c r="Y105" s="221">
        <f>Y103*(AC105/AC103)^2</f>
        <v>1.1487770368314248E-3</v>
      </c>
      <c r="Z105" s="221"/>
      <c r="AA105" s="221">
        <f>IF(AND(ABS(AA103+Z104)&gt;$G$27*0.8,(AA103+Z104)&lt;0),-$G$27*0.5,IF(AND(ABS(AA103+Z104)&gt;$G$27*0.8,(AA103+Z104)&gt;0),$G$27*0.5,AA103+Z104))</f>
        <v>-0.25687431924644044</v>
      </c>
      <c r="AB105" s="221"/>
      <c r="AC105" s="223">
        <f>$G$29*AA105</f>
        <v>-12.096387595520856</v>
      </c>
    </row>
    <row r="106" spans="1:48" x14ac:dyDescent="0.3">
      <c r="B106" s="156"/>
      <c r="D106" s="5"/>
      <c r="U106" s="213"/>
      <c r="V106" s="221">
        <f>(AA105+Z104/2)*$V$34</f>
        <v>-4.9359564766997724E-2</v>
      </c>
      <c r="W106" s="221"/>
      <c r="X106" s="221">
        <f t="shared" ref="X106" si="42">W105+V106/2</f>
        <v>3.2672949051973346</v>
      </c>
      <c r="Y106" s="221"/>
      <c r="Z106" s="221">
        <f>-$V$35*(X106+Y105*((AA105+Z104/2)^2))</f>
        <v>-5.581786207364197E-2</v>
      </c>
      <c r="AA106" s="221"/>
      <c r="AB106" s="221">
        <f t="shared" ref="AB106" si="43">AA105+Z106/2</f>
        <v>-0.2847832502832614</v>
      </c>
      <c r="AC106" s="213"/>
    </row>
    <row r="107" spans="1:48" x14ac:dyDescent="0.3">
      <c r="A107" s="164" t="s">
        <v>537</v>
      </c>
      <c r="B107" s="156"/>
      <c r="D107" s="5"/>
      <c r="U107" s="220">
        <f>U105+$V$28</f>
        <v>6.6000000000000032</v>
      </c>
      <c r="V107" s="221"/>
      <c r="W107" s="221">
        <f>IF(W105+V106&lt;0,(W105+V106)*0.8,W105+V106)</f>
        <v>3.2426151228138358</v>
      </c>
      <c r="X107" s="221"/>
      <c r="Y107" s="221">
        <f>Y105*(AC107/AC105)^2</f>
        <v>1.7022698746223873E-3</v>
      </c>
      <c r="Z107" s="221"/>
      <c r="AA107" s="221">
        <f>IF(AND(ABS(AA105+Z106)&gt;$G$27*0.8,(AA105+Z106)&lt;0),-$G$27*0.5,IF(AND(ABS(AA105+Z106)&gt;$G$27*0.8,(AA105+Z106)&gt;0),$G$27*0.5,AA105+Z106))</f>
        <v>-0.31269218132008242</v>
      </c>
      <c r="AB107" s="221"/>
      <c r="AC107" s="223">
        <f>$G$29*AA107</f>
        <v>-14.724888943482883</v>
      </c>
    </row>
    <row r="108" spans="1:48" x14ac:dyDescent="0.3">
      <c r="A108" s="164" t="s">
        <v>471</v>
      </c>
      <c r="B108" s="169">
        <f>B9</f>
        <v>1</v>
      </c>
      <c r="D108" s="5" t="s">
        <v>751</v>
      </c>
      <c r="U108" s="213"/>
      <c r="V108" s="221">
        <f>(AA107+Z106/2)*$V$34</f>
        <v>-5.8955531047777732E-2</v>
      </c>
      <c r="W108" s="221"/>
      <c r="X108" s="221">
        <f t="shared" ref="X108" si="44">W107+V108/2</f>
        <v>3.2131373572899471</v>
      </c>
      <c r="Y108" s="221"/>
      <c r="Z108" s="221">
        <f>-$V$35*(X108+Y107*((AA107+Z106/2)^2))</f>
        <v>-5.4894448729452573E-2</v>
      </c>
      <c r="AA108" s="221"/>
      <c r="AB108" s="221">
        <f t="shared" ref="AB108" si="45">AA107+Z108/2</f>
        <v>-0.34013940568480872</v>
      </c>
      <c r="AC108" s="213"/>
    </row>
    <row r="109" spans="1:48" x14ac:dyDescent="0.3">
      <c r="A109" s="164" t="s">
        <v>391</v>
      </c>
      <c r="B109" s="139"/>
      <c r="D109" s="5"/>
      <c r="U109" s="220">
        <f>U107+$V$28</f>
        <v>6.8000000000000034</v>
      </c>
      <c r="V109" s="221"/>
      <c r="W109" s="221">
        <f>IF(W107+V108&lt;0,(W107+V108)*0.8,W107+V108)</f>
        <v>3.183659591766058</v>
      </c>
      <c r="X109" s="221"/>
      <c r="Y109" s="221">
        <f>Y107*(AC109/AC107)^2</f>
        <v>2.352414147972587E-3</v>
      </c>
      <c r="Z109" s="221"/>
      <c r="AA109" s="221">
        <f>IF(AND(ABS(AA107+Z108)&gt;$G$27*0.8,(AA107+Z108)&lt;0),-$G$27*0.5,IF(AND(ABS(AA107+Z108)&gt;$G$27*0.8,(AA107+Z108)&gt;0),$G$27*0.5,AA107+Z108))</f>
        <v>-0.36758663004953501</v>
      </c>
      <c r="AB109" s="221"/>
      <c r="AC109" s="223">
        <f>$G$29*AA109</f>
        <v>-17.309906124732727</v>
      </c>
    </row>
    <row r="110" spans="1:48" x14ac:dyDescent="0.3">
      <c r="A110" s="166" t="s">
        <v>393</v>
      </c>
      <c r="B110" s="174">
        <f>1/(1^2+0.2^2)^0.5</f>
        <v>0.98058067569092011</v>
      </c>
      <c r="D110" s="5"/>
      <c r="U110" s="213"/>
      <c r="V110" s="221">
        <f>(AA109+Z108/2)*$V$34</f>
        <v>-6.8377435727335956E-2</v>
      </c>
      <c r="W110" s="221"/>
      <c r="X110" s="221">
        <f t="shared" ref="X110" si="46">W109+V110/2</f>
        <v>3.14947087390239</v>
      </c>
      <c r="Y110" s="221"/>
      <c r="Z110" s="221">
        <f>-$V$35*(X110+Y109*((AA109+Z108/2)^2))</f>
        <v>-5.3809711060822558E-2</v>
      </c>
      <c r="AA110" s="221"/>
      <c r="AB110" s="221">
        <f t="shared" ref="AB110" si="47">AA109+Z110/2</f>
        <v>-0.39449148557994629</v>
      </c>
      <c r="AC110" s="213"/>
    </row>
    <row r="111" spans="1:48" x14ac:dyDescent="0.3">
      <c r="A111" s="166" t="s">
        <v>548</v>
      </c>
      <c r="B111" s="175">
        <v>5</v>
      </c>
      <c r="D111" s="5"/>
      <c r="U111" s="220">
        <f>U109+$V$28</f>
        <v>7.0000000000000036</v>
      </c>
      <c r="V111" s="221"/>
      <c r="W111" s="221">
        <f>IF(W109+V110&lt;0,(W109+V110)*0.8,W109+V110)</f>
        <v>3.1152821560387221</v>
      </c>
      <c r="X111" s="221"/>
      <c r="Y111" s="221">
        <f>Y109*(AC111/AC109)^2</f>
        <v>3.0915472610722628E-3</v>
      </c>
      <c r="Z111" s="221"/>
      <c r="AA111" s="221">
        <f>IF(AND(ABS(AA109+Z110)&gt;$G$27*0.8,(AA109+Z110)&lt;0),-$G$27*0.5,IF(AND(ABS(AA109+Z110)&gt;$G$27*0.8,(AA109+Z110)&gt;0),$G$27*0.5,AA109+Z110))</f>
        <v>-0.42139634111035756</v>
      </c>
      <c r="AB111" s="221"/>
      <c r="AC111" s="223">
        <f>$G$29*AA111</f>
        <v>-19.843842266360923</v>
      </c>
    </row>
    <row r="112" spans="1:48" x14ac:dyDescent="0.3">
      <c r="A112" s="166" t="s">
        <v>394</v>
      </c>
      <c r="B112" s="176">
        <f>TRUNC(B45/B111)+1</f>
        <v>2</v>
      </c>
      <c r="D112" s="5"/>
      <c r="U112" s="213"/>
      <c r="V112" s="221">
        <f>(AA111+Z110/2)*$V$34</f>
        <v>-7.7597618323735559E-2</v>
      </c>
      <c r="W112" s="221"/>
      <c r="X112" s="221">
        <f t="shared" ref="X112" si="48">W111+V112/2</f>
        <v>3.0764833468768544</v>
      </c>
      <c r="Y112" s="221"/>
      <c r="Z112" s="221">
        <f>-$V$35*(X112+Y111*((AA111+Z110/2)^2))</f>
        <v>-5.256718425362944E-2</v>
      </c>
      <c r="AA112" s="221"/>
      <c r="AB112" s="221">
        <f t="shared" ref="AB112" si="49">AA111+Z112/2</f>
        <v>-0.44767993323717226</v>
      </c>
      <c r="AC112" s="213"/>
    </row>
    <row r="113" spans="1:29" x14ac:dyDescent="0.3">
      <c r="A113" s="166" t="s">
        <v>395</v>
      </c>
      <c r="B113" s="176">
        <f>B112*B108</f>
        <v>2</v>
      </c>
      <c r="D113" s="5"/>
      <c r="U113" s="220">
        <f>U111+$V$28</f>
        <v>7.2000000000000037</v>
      </c>
      <c r="V113" s="221"/>
      <c r="W113" s="221">
        <f>IF(W111+V112&lt;0,(W111+V112)*0.8,W111+V112)</f>
        <v>3.0376845377149864</v>
      </c>
      <c r="X113" s="221"/>
      <c r="Y113" s="221">
        <f>Y111*(AC113/AC111)^2</f>
        <v>3.9109675401479823E-3</v>
      </c>
      <c r="Z113" s="221"/>
      <c r="AA113" s="221">
        <f>IF(AND(ABS(AA111+Z112)&gt;$G$27*0.8,(AA111+Z112)&lt;0),-$G$27*0.5,IF(AND(ABS(AA111+Z112)&gt;$G$27*0.8,(AA111+Z112)&gt;0),$G$27*0.5,AA111+Z112))</f>
        <v>-0.473963525363987</v>
      </c>
      <c r="AB113" s="221"/>
      <c r="AC113" s="223">
        <f>$G$29*AA113</f>
        <v>-22.319266969781811</v>
      </c>
    </row>
    <row r="114" spans="1:29" x14ac:dyDescent="0.3">
      <c r="A114" s="164" t="s">
        <v>458</v>
      </c>
      <c r="B114" s="168"/>
      <c r="D114" s="5"/>
      <c r="U114" s="213"/>
      <c r="V114" s="221">
        <f>(AA113+Z112/2)*$V$34</f>
        <v>-8.6589072662470776E-2</v>
      </c>
      <c r="W114" s="221"/>
      <c r="X114" s="221">
        <f t="shared" ref="X114" si="50">W113+V114/2</f>
        <v>2.994390001383751</v>
      </c>
      <c r="Y114" s="221"/>
      <c r="Z114" s="221">
        <f>-$V$35*(X114+Y113*((AA113+Z112/2)^2))</f>
        <v>-5.1170862191978826E-2</v>
      </c>
      <c r="AA114" s="221"/>
      <c r="AB114" s="221">
        <f t="shared" ref="AB114" si="51">AA113+Z114/2</f>
        <v>-0.49954895645997643</v>
      </c>
      <c r="AC114" s="213"/>
    </row>
    <row r="115" spans="1:29" x14ac:dyDescent="0.3">
      <c r="A115" s="166" t="s">
        <v>460</v>
      </c>
      <c r="B115" s="167">
        <f>(((B41-B43)*2*B112)/B110)+(B46*B112)</f>
        <v>232.58668353944691</v>
      </c>
      <c r="D115" s="5"/>
      <c r="U115" s="220">
        <f>U113+$V$28</f>
        <v>7.4000000000000039</v>
      </c>
      <c r="V115" s="221"/>
      <c r="W115" s="221">
        <f>IF(W113+V114&lt;0,(W113+V114)*0.8,W113+V114)</f>
        <v>2.9510954650525156</v>
      </c>
      <c r="X115" s="221"/>
      <c r="Y115" s="221">
        <f>Y113*(AC115/AC113)^2</f>
        <v>4.8010395737230977E-3</v>
      </c>
      <c r="Z115" s="221"/>
      <c r="AA115" s="221">
        <f>IF(AND(ABS(AA113+Z114)&gt;$G$27*0.8,(AA113+Z114)&lt;0),-$G$27*0.5,IF(AND(ABS(AA113+Z114)&gt;$G$27*0.8,(AA113+Z114)&gt;0),$G$27*0.5,AA113+Z114))</f>
        <v>-0.52513438755596586</v>
      </c>
      <c r="AB115" s="221"/>
      <c r="AC115" s="223">
        <f>$G$29*AA115</f>
        <v>-24.728937911147188</v>
      </c>
    </row>
    <row r="116" spans="1:29" x14ac:dyDescent="0.3">
      <c r="A116" s="166" t="s">
        <v>461</v>
      </c>
      <c r="B116" s="167"/>
      <c r="D116" s="5"/>
      <c r="U116" s="213"/>
      <c r="V116" s="221">
        <f>(AA115+Z114/2)*$V$34</f>
        <v>-9.5325523579441129E-2</v>
      </c>
      <c r="W116" s="221"/>
      <c r="X116" s="221">
        <f t="shared" ref="X116" si="52">W115+V116/2</f>
        <v>2.9034327032627951</v>
      </c>
      <c r="Y116" s="221"/>
      <c r="Z116" s="221">
        <f>-$V$35*(X116+Y115*((AA115+Z114/2)^2))</f>
        <v>-4.9625164702596689E-2</v>
      </c>
      <c r="AA116" s="221"/>
      <c r="AB116" s="221">
        <f t="shared" ref="AB116" si="53">AA115+Z116/2</f>
        <v>-0.54994696990726422</v>
      </c>
      <c r="AC116" s="213"/>
    </row>
    <row r="117" spans="1:29" x14ac:dyDescent="0.3">
      <c r="A117" s="164" t="s">
        <v>462</v>
      </c>
      <c r="B117" s="168"/>
      <c r="D117" s="5"/>
      <c r="U117" s="220">
        <f>U115+$V$28</f>
        <v>7.6000000000000041</v>
      </c>
      <c r="V117" s="221"/>
      <c r="W117" s="221">
        <f>IF(W115+V116&lt;0,(W115+V116)*0.8,W115+V116)</f>
        <v>2.8557699414730746</v>
      </c>
      <c r="X117" s="221"/>
      <c r="Y117" s="221">
        <f>Y115*(AC117/AC115)^2</f>
        <v>5.7513098379297894E-3</v>
      </c>
      <c r="Z117" s="221"/>
      <c r="AA117" s="221">
        <f>IF(AND(ABS(AA115+Z116)&gt;$G$27*0.8,(AA115+Z116)&lt;0),-$G$27*0.5,IF(AND(ABS(AA115+Z116)&gt;$G$27*0.8,(AA115+Z116)&gt;0),$G$27*0.5,AA115+Z116))</f>
        <v>-0.57475955225856257</v>
      </c>
      <c r="AB117" s="221"/>
      <c r="AC117" s="223">
        <f>$G$29*AA117</f>
        <v>-27.065820899275977</v>
      </c>
    </row>
    <row r="118" spans="1:29" x14ac:dyDescent="0.3">
      <c r="A118" s="166" t="s">
        <v>538</v>
      </c>
      <c r="B118" s="167"/>
      <c r="D118" s="5"/>
      <c r="U118" s="213"/>
      <c r="V118" s="221">
        <f>(AA117+Z116/2)*$V$34</f>
        <v>-0.10378149781358922</v>
      </c>
      <c r="W118" s="221"/>
      <c r="X118" s="221">
        <f t="shared" ref="X118" si="54">W117+V118/2</f>
        <v>2.80387919256628</v>
      </c>
      <c r="Y118" s="221"/>
      <c r="Z118" s="221">
        <f>-$V$35*(X118+Y117*((AA117+Z116/2)^2))</f>
        <v>-4.7934904324363821E-2</v>
      </c>
      <c r="AA118" s="221"/>
      <c r="AB118" s="221">
        <f t="shared" ref="AB118" si="55">AA117+Z118/2</f>
        <v>-0.59872700442074445</v>
      </c>
      <c r="AC118" s="213"/>
    </row>
    <row r="119" spans="1:29" x14ac:dyDescent="0.3">
      <c r="A119" s="166" t="s">
        <v>539</v>
      </c>
      <c r="B119" s="167"/>
      <c r="D119" s="5"/>
      <c r="U119" s="220">
        <f>U117+$V$28</f>
        <v>7.8000000000000043</v>
      </c>
      <c r="V119" s="221"/>
      <c r="W119" s="221">
        <f>IF(W117+V118&lt;0,(W117+V118)*0.8,W117+V118)</f>
        <v>2.7519884436594855</v>
      </c>
      <c r="X119" s="221"/>
      <c r="Y119" s="221">
        <f>Y117*(AC119/AC117)^2</f>
        <v>6.7506309816669141E-3</v>
      </c>
      <c r="Z119" s="221"/>
      <c r="AA119" s="221">
        <f>IF(AND(ABS(AA117+Z118)&gt;$G$27*0.8,(AA117+Z118)&lt;0),-$G$27*0.5,IF(AND(ABS(AA117+Z118)&gt;$G$27*0.8,(AA117+Z118)&gt;0),$G$27*0.5,AA117+Z118))</f>
        <v>-0.62269445658292644</v>
      </c>
      <c r="AB119" s="221"/>
      <c r="AC119" s="223">
        <f>$G$29*AA119</f>
        <v>-29.323108368738534</v>
      </c>
    </row>
    <row r="120" spans="1:29" x14ac:dyDescent="0.3">
      <c r="A120" s="166" t="s">
        <v>540</v>
      </c>
      <c r="B120" s="167"/>
      <c r="U120" s="213"/>
      <c r="V120" s="221">
        <f>(AA119+Z118/2)*$V$34</f>
        <v>-0.11193238910649357</v>
      </c>
      <c r="W120" s="221"/>
      <c r="X120" s="221">
        <f t="shared" ref="X120" si="56">W119+V120/2</f>
        <v>2.6960222491062389</v>
      </c>
      <c r="Y120" s="221"/>
      <c r="Z120" s="221">
        <f>-$V$35*(X120+Y119*((AA119+Z118/2)^2))</f>
        <v>-4.610525371540989E-2</v>
      </c>
      <c r="AA120" s="221"/>
      <c r="AB120" s="221">
        <f t="shared" ref="AB120" si="57">AA119+Z120/2</f>
        <v>-0.64574708344063136</v>
      </c>
      <c r="AC120" s="213"/>
    </row>
    <row r="121" spans="1:29" x14ac:dyDescent="0.3">
      <c r="A121" s="164" t="s">
        <v>463</v>
      </c>
      <c r="B121" s="168"/>
      <c r="U121" s="220">
        <f>U119+$V$28</f>
        <v>8.0000000000000036</v>
      </c>
      <c r="V121" s="221"/>
      <c r="W121" s="221">
        <f>IF(W119+V120&lt;0,(W119+V120)*0.8,W119+V120)</f>
        <v>2.6400560545529919</v>
      </c>
      <c r="X121" s="221"/>
      <c r="Y121" s="221">
        <f>Y119*(AC121/AC119)^2</f>
        <v>7.7872931134272006E-3</v>
      </c>
      <c r="Z121" s="221"/>
      <c r="AA121" s="221">
        <f>IF(AND(ABS(AA119+Z120)&gt;$G$27*0.8,(AA119+Z120)&lt;0),-$G$27*0.5,IF(AND(ABS(AA119+Z120)&gt;$G$27*0.8,(AA119+Z120)&gt;0),$G$27*0.5,AA119+Z120))</f>
        <v>-0.66879971029833629</v>
      </c>
      <c r="AB121" s="221"/>
      <c r="AC121" s="223">
        <f>$G$29*AA121</f>
        <v>-31.494236338118654</v>
      </c>
    </row>
    <row r="122" spans="1:29" x14ac:dyDescent="0.3">
      <c r="A122" s="166" t="s">
        <v>541</v>
      </c>
      <c r="B122" s="167"/>
      <c r="U122" s="213"/>
      <c r="V122" s="221">
        <f>(AA121+Z120/2)*$V$34</f>
        <v>-0.11975451771554928</v>
      </c>
      <c r="W122" s="221"/>
      <c r="X122" s="221">
        <f t="shared" ref="X122" si="58">W121+V122/2</f>
        <v>2.5801787956952174</v>
      </c>
      <c r="Y122" s="221"/>
      <c r="Z122" s="221">
        <f>-$V$35*(X122+Y121*((AA121+Z120/2)^2))</f>
        <v>-4.4141714722025778E-2</v>
      </c>
      <c r="AA122" s="221"/>
      <c r="AB122" s="221">
        <f t="shared" ref="AB122" si="59">AA121+Z122/2</f>
        <v>-0.69087056765934918</v>
      </c>
      <c r="AC122" s="213"/>
    </row>
    <row r="123" spans="1:29" x14ac:dyDescent="0.3">
      <c r="A123" s="164" t="s">
        <v>385</v>
      </c>
      <c r="B123" s="168"/>
      <c r="U123" s="220">
        <f>U121+$V$28</f>
        <v>8.2000000000000028</v>
      </c>
      <c r="V123" s="221"/>
      <c r="W123" s="221">
        <f>IF(W121+V122&lt;0,(W121+V122)*0.8,W121+V122)</f>
        <v>2.5203015368374424</v>
      </c>
      <c r="X123" s="221"/>
      <c r="Y123" s="221">
        <f>Y121*(AC123/AC121)^2</f>
        <v>8.8491604352330423E-3</v>
      </c>
      <c r="Z123" s="221"/>
      <c r="AA123" s="221">
        <f>IF(AND(ABS(AA121+Z122)&gt;$G$27*0.8,(AA121+Z122)&lt;0),-$G$27*0.5,IF(AND(ABS(AA121+Z122)&gt;$G$27*0.8,(AA121+Z122)&gt;0),$G$27*0.5,AA121+Z122))</f>
        <v>-0.71294142502036206</v>
      </c>
      <c r="AB123" s="221"/>
      <c r="AC123" s="223">
        <f>$G$29*AA123</f>
        <v>-33.572899911709548</v>
      </c>
    </row>
    <row r="124" spans="1:29" x14ac:dyDescent="0.3">
      <c r="A124" s="166" t="s">
        <v>542</v>
      </c>
      <c r="B124" s="167">
        <f>(40*B115)/(1000)</f>
        <v>9.3034673415778766</v>
      </c>
      <c r="U124" s="213"/>
      <c r="V124" s="221">
        <f>(AA123+Z122/2)*$V$34</f>
        <v>-0.12722518471703059</v>
      </c>
      <c r="W124" s="221"/>
      <c r="X124" s="221">
        <f t="shared" ref="X124" si="60">W123+V124/2</f>
        <v>2.4566889444789273</v>
      </c>
      <c r="Y124" s="221"/>
      <c r="Z124" s="221">
        <f>-$V$35*(X124+Y123*((AA123+Z122/2)^2))</f>
        <v>-4.205009000007541E-2</v>
      </c>
      <c r="AA124" s="221"/>
      <c r="AB124" s="221">
        <f t="shared" ref="AB124" si="61">AA123+Z124/2</f>
        <v>-0.73396647002039972</v>
      </c>
      <c r="AC124" s="213"/>
    </row>
    <row r="125" spans="1:29" x14ac:dyDescent="0.3">
      <c r="A125" s="166" t="s">
        <v>543</v>
      </c>
      <c r="B125" s="167">
        <f>(180*B45*B46)/1000</f>
        <v>8.476323260266609</v>
      </c>
      <c r="U125" s="220">
        <f>U123+$V$28</f>
        <v>8.4000000000000021</v>
      </c>
      <c r="V125" s="221"/>
      <c r="W125" s="221">
        <f>IF(W123+V124&lt;0,(W123+V124)*0.8,W123+V124)</f>
        <v>2.3930763521204117</v>
      </c>
      <c r="X125" s="221"/>
      <c r="Y125" s="221">
        <f>Y123*(AC125/AC123)^2</f>
        <v>9.923811602921398E-3</v>
      </c>
      <c r="Z125" s="221"/>
      <c r="AA125" s="221">
        <f>IF(AND(ABS(AA123+Z124)&gt;$G$27*0.8,(AA123+Z124)&lt;0),-$G$27*0.5,IF(AND(ABS(AA123+Z124)&gt;$G$27*0.8,(AA123+Z124)&gt;0),$G$27*0.5,AA123+Z124))</f>
        <v>-0.75499151502043749</v>
      </c>
      <c r="AB125" s="221"/>
      <c r="AC125" s="223">
        <f>$G$29*AA125</f>
        <v>-35.553067444842569</v>
      </c>
    </row>
    <row r="126" spans="1:29" x14ac:dyDescent="0.3">
      <c r="A126" s="164" t="s">
        <v>718</v>
      </c>
      <c r="B126" s="165"/>
      <c r="U126" s="213"/>
      <c r="V126" s="221">
        <f>(AA125+Z124/2)*$V$34</f>
        <v>-0.13432272161793929</v>
      </c>
      <c r="W126" s="221"/>
      <c r="X126" s="221">
        <f t="shared" ref="X126" si="62">W125+V126/2</f>
        <v>2.3259149913114419</v>
      </c>
      <c r="Y126" s="221"/>
      <c r="Z126" s="221">
        <f>-$V$35*(X126+Y125*((AA125+Z124/2)^2))</f>
        <v>-3.9836457908105381E-2</v>
      </c>
      <c r="AA126" s="221"/>
      <c r="AB126" s="221">
        <f t="shared" ref="AB126" si="63">AA125+Z126/2</f>
        <v>-0.77490974397449019</v>
      </c>
      <c r="AC126" s="213"/>
    </row>
    <row r="127" spans="1:29" x14ac:dyDescent="0.3">
      <c r="A127" s="166" t="s">
        <v>720</v>
      </c>
      <c r="B127" s="167">
        <f>IF(AND(B10/B108&gt;=2,B10/B108&lt;=1000),5.35*1000*B10,"Vazao fora da validade da curva.")*B108</f>
        <v>418759.19376086956</v>
      </c>
      <c r="D127" s="127" t="s">
        <v>722</v>
      </c>
      <c r="U127" s="220">
        <f>U125+$V$28</f>
        <v>8.6000000000000014</v>
      </c>
      <c r="V127" s="221"/>
      <c r="W127" s="221">
        <f>IF(W125+V126&lt;0,(W125+V126)*0.8,W125+V126)</f>
        <v>2.2587536305024725</v>
      </c>
      <c r="X127" s="221"/>
      <c r="Y127" s="221">
        <f>Y125*(AC127/AC125)^2</f>
        <v>1.0998682248491178E-2</v>
      </c>
      <c r="Z127" s="221"/>
      <c r="AA127" s="221">
        <f>IF(AND(ABS(AA125+Z126)&gt;$G$27*0.8,(AA125+Z126)&lt;0),-$G$27*0.5,IF(AND(ABS(AA125+Z126)&gt;$G$27*0.8,(AA125+Z126)&gt;0),$G$27*0.5,AA125+Z126))</f>
        <v>-0.7948279729285429</v>
      </c>
      <c r="AB127" s="221"/>
      <c r="AC127" s="223">
        <f>$G$29*AA127</f>
        <v>-37.428993526915377</v>
      </c>
    </row>
    <row r="128" spans="1:29" x14ac:dyDescent="0.3">
      <c r="U128" s="213"/>
      <c r="V128" s="221">
        <f>(AA127+Z126/2)*$V$34</f>
        <v>-0.1410265359051896</v>
      </c>
      <c r="W128" s="221"/>
      <c r="X128" s="221">
        <f t="shared" ref="X128" si="64">W127+V128/2</f>
        <v>2.1882403625498776</v>
      </c>
      <c r="Y128" s="221"/>
      <c r="Z128" s="221">
        <f>-$V$35*(X128+Y127*((AA127+Z126/2)^2))</f>
        <v>-3.7507151190811112E-2</v>
      </c>
      <c r="AA128" s="221"/>
      <c r="AB128" s="221">
        <f t="shared" ref="AB128" si="65">AA127+Z128/2</f>
        <v>-0.81358154852394848</v>
      </c>
      <c r="AC128" s="213"/>
    </row>
    <row r="129" spans="21:29" x14ac:dyDescent="0.3">
      <c r="U129" s="220">
        <f>U127+$V$28</f>
        <v>8.8000000000000007</v>
      </c>
      <c r="V129" s="221"/>
      <c r="W129" s="221">
        <f>IF(W127+V128&lt;0,(W127+V128)*0.8,W127+V128)</f>
        <v>2.1177270945972828</v>
      </c>
      <c r="X129" s="221"/>
      <c r="Y129" s="221">
        <f>Y127*(AC129/AC127)^2</f>
        <v>1.2061208171354296E-2</v>
      </c>
      <c r="Z129" s="221"/>
      <c r="AA129" s="221">
        <f>IF(AND(ABS(AA127+Z128)&gt;$G$27*0.8,(AA127+Z128)&lt;0),-$G$27*0.5,IF(AND(ABS(AA127+Z128)&gt;$G$27*0.8,(AA127+Z128)&gt;0),$G$27*0.5,AA127+Z128))</f>
        <v>-0.83233512411935406</v>
      </c>
      <c r="AB129" s="221"/>
      <c r="AC129" s="223">
        <f>$G$29*AA129</f>
        <v>-39.195230960609869</v>
      </c>
    </row>
    <row r="130" spans="21:29" x14ac:dyDescent="0.3">
      <c r="U130" s="213"/>
      <c r="V130" s="221">
        <f>(AA129+Z128/2)*$V$34</f>
        <v>-0.14731715323310013</v>
      </c>
      <c r="W130" s="221"/>
      <c r="X130" s="221">
        <f t="shared" ref="X130" si="66">W129+V130/2</f>
        <v>2.0440685179807327</v>
      </c>
      <c r="Y130" s="221"/>
      <c r="Z130" s="221">
        <f>-$V$35*(X130+Y129*((AA129+Z128/2)^2))</f>
        <v>-3.5068739751572431E-2</v>
      </c>
      <c r="AA130" s="221"/>
      <c r="AB130" s="221">
        <f t="shared" ref="AB130" si="67">AA129+Z130/2</f>
        <v>-0.84986949399514033</v>
      </c>
      <c r="AC130" s="213"/>
    </row>
    <row r="131" spans="21:29" x14ac:dyDescent="0.3">
      <c r="U131" s="220">
        <f>U129+$V$28</f>
        <v>9</v>
      </c>
      <c r="V131" s="221"/>
      <c r="W131" s="221">
        <f>IF(W129+V130&lt;0,(W129+V130)*0.8,W129+V130)</f>
        <v>1.9704099413641827</v>
      </c>
      <c r="X131" s="221"/>
      <c r="Y131" s="221">
        <f>Y129*(AC131/AC129)^2</f>
        <v>1.3098967783212088E-2</v>
      </c>
      <c r="Z131" s="221"/>
      <c r="AA131" s="221">
        <f>IF(AND(ABS(AA129+Z130)&gt;$G$27*0.8,(AA129+Z130)&lt;0),-$G$27*0.5,IF(AND(ABS(AA129+Z130)&gt;$G$27*0.8,(AA129+Z130)&gt;0),$G$27*0.5,AA129+Z130))</f>
        <v>-0.86740386387092649</v>
      </c>
      <c r="AB131" s="221"/>
      <c r="AC131" s="223">
        <f>$G$29*AA131</f>
        <v>-40.846641929857036</v>
      </c>
    </row>
    <row r="132" spans="21:29" x14ac:dyDescent="0.3">
      <c r="U132" s="213"/>
      <c r="V132" s="221">
        <f>(AA131+Z130/2)*$V$34</f>
        <v>-0.1531762569828333</v>
      </c>
      <c r="W132" s="221"/>
      <c r="X132" s="221">
        <f t="shared" ref="X132" si="68">W131+V132/2</f>
        <v>1.893821812872766</v>
      </c>
      <c r="Y132" s="221"/>
      <c r="Z132" s="221">
        <f>-$V$35*(X132+Y131*((AA131+Z130/2)^2))</f>
        <v>-3.2528017583379934E-2</v>
      </c>
      <c r="AA132" s="221"/>
      <c r="AB132" s="221">
        <f t="shared" ref="AB132" si="69">AA131+Z132/2</f>
        <v>-0.88366787266261648</v>
      </c>
      <c r="AC132" s="213"/>
    </row>
    <row r="133" spans="21:29" x14ac:dyDescent="0.3">
      <c r="U133" s="220">
        <f>U131+$V$28</f>
        <v>9.1999999999999993</v>
      </c>
      <c r="V133" s="221"/>
      <c r="W133" s="221">
        <f>IF(W131+V132&lt;0,(W131+V132)*0.8,W131+V132)</f>
        <v>1.8172336843813495</v>
      </c>
      <c r="X133" s="221"/>
      <c r="Y133" s="221">
        <f>Y131*(AC133/AC131)^2</f>
        <v>1.4099822468696819E-2</v>
      </c>
      <c r="Z133" s="221"/>
      <c r="AA133" s="221">
        <f>IF(AND(ABS(AA131+Z132)&gt;$G$27*0.8,(AA131+Z132)&lt;0),-$G$27*0.5,IF(AND(ABS(AA131+Z132)&gt;$G$27*0.8,(AA131+Z132)&gt;0),$G$27*0.5,AA131+Z132))</f>
        <v>-0.89993188145430647</v>
      </c>
      <c r="AB133" s="221"/>
      <c r="AC133" s="223">
        <f>$G$29*AA133</f>
        <v>-42.378408552370175</v>
      </c>
    </row>
    <row r="134" spans="21:29" x14ac:dyDescent="0.3">
      <c r="U134" s="213"/>
      <c r="V134" s="221">
        <f>(AA133+Z132/2)*$V$34</f>
        <v>-0.15858672591956793</v>
      </c>
      <c r="W134" s="221"/>
      <c r="X134" s="221">
        <f t="shared" ref="X134" si="70">W133+V134/2</f>
        <v>1.7379403214215654</v>
      </c>
      <c r="Y134" s="221"/>
      <c r="Z134" s="221">
        <f>-$V$35*(X134+Y133*((AA133+Z132/2)^2))</f>
        <v>-2.9891993698485785E-2</v>
      </c>
      <c r="AA134" s="221"/>
      <c r="AB134" s="221">
        <f t="shared" ref="AB134" si="71">AA133+Z134/2</f>
        <v>-0.91487787830354939</v>
      </c>
      <c r="AC134" s="213"/>
    </row>
    <row r="135" spans="21:29" x14ac:dyDescent="0.3">
      <c r="U135" s="220">
        <f>U133+$V$28</f>
        <v>9.3999999999999986</v>
      </c>
      <c r="V135" s="221"/>
      <c r="W135" s="221">
        <f>IF(W133+V134&lt;0,(W133+V134)*0.8,W133+V134)</f>
        <v>1.6586469584617816</v>
      </c>
      <c r="X135" s="221"/>
      <c r="Y135" s="221">
        <f>Y133*(AC135/AC133)^2</f>
        <v>1.5052053594844817E-2</v>
      </c>
      <c r="Z135" s="221"/>
      <c r="AA135" s="221">
        <f>IF(AND(ABS(AA133+Z134)&gt;$G$27*0.8,(AA133+Z134)&lt;0),-$G$27*0.5,IF(AND(ABS(AA133+Z134)&gt;$G$27*0.8,(AA133+Z134)&gt;0),$G$27*0.5,AA133+Z134))</f>
        <v>-0.9298238751527923</v>
      </c>
      <c r="AB135" s="221"/>
      <c r="AC135" s="223">
        <f>$G$29*AA135</f>
        <v>-43.786043005049166</v>
      </c>
    </row>
    <row r="136" spans="21:29" x14ac:dyDescent="0.3">
      <c r="U136" s="213"/>
      <c r="V136" s="221">
        <f>(AA135+Z134/2)*$V$34</f>
        <v>-0.16353267062573659</v>
      </c>
      <c r="W136" s="221"/>
      <c r="X136" s="221">
        <f t="shared" ref="X136" si="72">W135+V136/2</f>
        <v>1.5768806231489132</v>
      </c>
      <c r="Y136" s="221"/>
      <c r="Z136" s="221">
        <f>-$V$35*(X136+Y135*((AA135+Z134/2)^2))</f>
        <v>-2.716788667793359E-2</v>
      </c>
      <c r="AA136" s="221"/>
      <c r="AB136" s="221">
        <f t="shared" ref="AB136" si="73">AA135+Z136/2</f>
        <v>-0.94340781849175914</v>
      </c>
      <c r="AC136" s="213"/>
    </row>
    <row r="137" spans="21:29" x14ac:dyDescent="0.3">
      <c r="U137" s="220">
        <f>U135+$V$28</f>
        <v>9.5999999999999979</v>
      </c>
      <c r="V137" s="221"/>
      <c r="W137" s="221">
        <f>IF(W135+V136&lt;0,(W135+V136)*0.8,W135+V136)</f>
        <v>1.4951142878360451</v>
      </c>
      <c r="X137" s="221"/>
      <c r="Y137" s="221">
        <f>Y135*(AC137/AC135)^2</f>
        <v>1.5944494962458276E-2</v>
      </c>
      <c r="Z137" s="221"/>
      <c r="AA137" s="221">
        <f>IF(AND(ABS(AA135+Z136)&gt;$G$27*0.8,(AA135+Z136)&lt;0),-$G$27*0.5,IF(AND(ABS(AA135+Z136)&gt;$G$27*0.8,(AA135+Z136)&gt;0),$G$27*0.5,AA135+Z136))</f>
        <v>-0.95699176183072587</v>
      </c>
      <c r="AB137" s="221"/>
      <c r="AC137" s="223">
        <f>$G$29*AA137</f>
        <v>-45.06539739271836</v>
      </c>
    </row>
    <row r="138" spans="21:29" x14ac:dyDescent="0.3">
      <c r="U138" s="213"/>
      <c r="V138" s="221">
        <f>(AA137+Z136/2)*$V$34</f>
        <v>-0.16799946930411375</v>
      </c>
      <c r="W138" s="221"/>
      <c r="X138" s="221">
        <f t="shared" ref="X138" si="74">W137+V138/2</f>
        <v>1.4111145531839882</v>
      </c>
      <c r="Y138" s="221"/>
      <c r="Z138" s="221">
        <f>-$V$35*(X138+Y137*((AA137+Z136/2)^2))</f>
        <v>-2.436312226145803E-2</v>
      </c>
      <c r="AA138" s="221"/>
      <c r="AB138" s="221">
        <f t="shared" ref="AB138" si="75">AA137+Z138/2</f>
        <v>-0.96917332296145486</v>
      </c>
      <c r="AC138" s="213"/>
    </row>
    <row r="139" spans="21:29" x14ac:dyDescent="0.3">
      <c r="U139" s="220">
        <f>U137+$V$28</f>
        <v>9.7999999999999972</v>
      </c>
      <c r="V139" s="221"/>
      <c r="W139" s="221">
        <f>IF(W137+V138&lt;0,(W137+V138)*0.8,W137+V138)</f>
        <v>1.3271148185319313</v>
      </c>
      <c r="X139" s="221"/>
      <c r="Y139" s="221">
        <f>Y137*(AC139/AC137)^2</f>
        <v>1.6766659538881526E-2</v>
      </c>
      <c r="Z139" s="221"/>
      <c r="AA139" s="221">
        <f>IF(AND(ABS(AA137+Z138)&gt;$G$27*0.8,(AA137+Z138)&lt;0),-$G$27*0.5,IF(AND(ABS(AA137+Z138)&gt;$G$27*0.8,(AA137+Z138)&gt;0),$G$27*0.5,AA137+Z138))</f>
        <v>-0.98135488409218385</v>
      </c>
      <c r="AB139" s="221"/>
      <c r="AC139" s="223">
        <f>$G$29*AA139</f>
        <v>-46.212673503371228</v>
      </c>
    </row>
    <row r="140" spans="21:29" x14ac:dyDescent="0.3">
      <c r="U140" s="213"/>
      <c r="V140" s="221">
        <f>(AA139+Z138/2)*$V$34</f>
        <v>-0.17197380342686647</v>
      </c>
      <c r="W140" s="221"/>
      <c r="X140" s="221">
        <f t="shared" ref="X140" si="76">W139+V140/2</f>
        <v>1.2411279168184981</v>
      </c>
      <c r="Y140" s="221"/>
      <c r="Z140" s="221">
        <f>-$V$35*(X140+Y139*((AA139+Z138/2)^2))</f>
        <v>-2.1485333223924329E-2</v>
      </c>
      <c r="AA140" s="221"/>
      <c r="AB140" s="221">
        <f t="shared" ref="AB140" si="77">AA139+Z140/2</f>
        <v>-0.99209755070414607</v>
      </c>
      <c r="AC140" s="213"/>
    </row>
    <row r="141" spans="21:29" x14ac:dyDescent="0.3">
      <c r="U141" s="220">
        <f>U139+$V$28</f>
        <v>9.9999999999999964</v>
      </c>
      <c r="V141" s="221"/>
      <c r="W141" s="221">
        <f>IF(W139+V140&lt;0,(W139+V140)*0.8,W139+V140)</f>
        <v>1.1551410151050647</v>
      </c>
      <c r="X141" s="221"/>
      <c r="Y141" s="221">
        <f>Y139*(AC141/AC139)^2</f>
        <v>1.7508859344085262E-2</v>
      </c>
      <c r="Z141" s="221"/>
      <c r="AA141" s="221">
        <f>IF(AND(ABS(AA139+Z140)&gt;$G$27*0.8,(AA139+Z140)&lt;0),-$G$27*0.5,IF(AND(ABS(AA139+Z140)&gt;$G$27*0.8,(AA139+Z140)&gt;0),$G$27*0.5,AA139+Z140))</f>
        <v>-1.0028402173161082</v>
      </c>
      <c r="AB141" s="221"/>
      <c r="AC141" s="223">
        <f>$G$29*AA141</f>
        <v>-47.224432557596387</v>
      </c>
    </row>
    <row r="142" spans="21:29" x14ac:dyDescent="0.3">
      <c r="U142" s="213"/>
      <c r="V142" s="221">
        <f>(AA141+Z140/2)*$V$34</f>
        <v>-0.17544369356110909</v>
      </c>
      <c r="W142" s="221"/>
      <c r="X142" s="221">
        <f t="shared" ref="X142" si="78">W141+V142/2</f>
        <v>1.0674191683245102</v>
      </c>
      <c r="Y142" s="221"/>
      <c r="Z142" s="221">
        <f>-$V$35*(X142+Y141*((AA141+Z140/2)^2))</f>
        <v>-1.8542360643317549E-2</v>
      </c>
      <c r="AA142" s="221"/>
      <c r="AB142" s="221">
        <f t="shared" ref="AB142" si="79">AA141+Z142/2</f>
        <v>-1.0121113976377669</v>
      </c>
      <c r="AC142" s="213"/>
    </row>
    <row r="143" spans="21:29" x14ac:dyDescent="0.3">
      <c r="U143" s="220">
        <f>U141+$V$28</f>
        <v>10.199999999999996</v>
      </c>
      <c r="V143" s="221"/>
      <c r="W143" s="221">
        <f>IF(W141+V142&lt;0,(W141+V142)*0.8,W141+V142)</f>
        <v>0.97969732154395561</v>
      </c>
      <c r="X143" s="221"/>
      <c r="Y143" s="221">
        <f>Y141*(AC143/AC141)^2</f>
        <v>1.8162317381658698E-2</v>
      </c>
      <c r="Z143" s="221"/>
      <c r="AA143" s="221">
        <f>IF(AND(ABS(AA141+Z142)&gt;$G$27*0.8,(AA141+Z142)&lt;0),-$G$27*0.5,IF(AND(ABS(AA141+Z142)&gt;$G$27*0.8,(AA141+Z142)&gt;0),$G$27*0.5,AA141+Z142))</f>
        <v>-1.0213825779594257</v>
      </c>
      <c r="AB143" s="221"/>
      <c r="AC143" s="223">
        <f>$G$29*AA143</f>
        <v>-48.097605017714187</v>
      </c>
    </row>
    <row r="144" spans="21:29" x14ac:dyDescent="0.3">
      <c r="U144" s="213"/>
      <c r="V144" s="221">
        <f>(AA143+Z142/2)*$V$34</f>
        <v>-0.17839853553437088</v>
      </c>
      <c r="W144" s="221"/>
      <c r="X144" s="221">
        <f t="shared" ref="X144" si="80">W143+V144/2</f>
        <v>0.89049805377677016</v>
      </c>
      <c r="Y144" s="221"/>
      <c r="Z144" s="221">
        <f>-$V$35*(X144+Y143*((AA143+Z142/2)^2))</f>
        <v>-1.5542255562991568E-2</v>
      </c>
      <c r="AA144" s="221"/>
      <c r="AB144" s="221">
        <f t="shared" ref="AB144" si="81">AA143+Z144/2</f>
        <v>-1.0291537057409215</v>
      </c>
      <c r="AC144" s="213"/>
    </row>
    <row r="145" spans="21:29" x14ac:dyDescent="0.3">
      <c r="U145" s="220">
        <f>U143+$V$28</f>
        <v>10.399999999999995</v>
      </c>
      <c r="V145" s="221"/>
      <c r="W145" s="221">
        <f>IF(W143+V144&lt;0,(W143+V144)*0.8,W143+V144)</f>
        <v>0.80129878600958471</v>
      </c>
      <c r="X145" s="221"/>
      <c r="Y145" s="221">
        <f>Y143*(AC145/AC143)^2</f>
        <v>1.8719270516692685E-2</v>
      </c>
      <c r="Z145" s="221"/>
      <c r="AA145" s="221">
        <f>IF(AND(ABS(AA143+Z144)&gt;$G$27*0.8,(AA143+Z144)&lt;0),-$G$27*0.5,IF(AND(ABS(AA143+Z144)&gt;$G$27*0.8,(AA143+Z144)&gt;0),$G$27*0.5,AA143+Z144))</f>
        <v>-1.0369248335224173</v>
      </c>
      <c r="AB145" s="221"/>
      <c r="AC145" s="223">
        <f>$G$29*AA145</f>
        <v>-48.829500475189711</v>
      </c>
    </row>
    <row r="146" spans="21:29" x14ac:dyDescent="0.3">
      <c r="U146" s="213"/>
      <c r="V146" s="221">
        <f>(AA145+Z144/2)*$V$34</f>
        <v>-0.18082913692190858</v>
      </c>
      <c r="W146" s="221"/>
      <c r="X146" s="221">
        <f t="shared" ref="X146" si="82">W145+V146/2</f>
        <v>0.7108842175486304</v>
      </c>
      <c r="Y146" s="221"/>
      <c r="Z146" s="221">
        <f>-$V$35*(X146+Y145*((AA145+Z144/2)^2))</f>
        <v>-1.2493279991923329E-2</v>
      </c>
      <c r="AA146" s="221"/>
      <c r="AB146" s="221">
        <f t="shared" ref="AB146" si="83">AA145+Z146/2</f>
        <v>-1.043171473518379</v>
      </c>
      <c r="AC146" s="213"/>
    </row>
    <row r="147" spans="21:29" x14ac:dyDescent="0.3">
      <c r="U147" s="220">
        <f>U145+$V$28</f>
        <v>10.599999999999994</v>
      </c>
      <c r="V147" s="221"/>
      <c r="W147" s="221">
        <f>IF(W145+V146&lt;0,(W145+V146)*0.8,W145+V146)</f>
        <v>0.6204696490876761</v>
      </c>
      <c r="X147" s="221"/>
      <c r="Y147" s="221">
        <f>Y145*(AC147/AC145)^2</f>
        <v>1.9173062208592054E-2</v>
      </c>
      <c r="Z147" s="221"/>
      <c r="AA147" s="221">
        <f>IF(AND(ABS(AA145+Z146)&gt;$G$27*0.8,(AA145+Z146)&lt;0),-$G$27*0.5,IF(AND(ABS(AA145+Z146)&gt;$G$27*0.8,(AA145+Z146)&gt;0),$G$27*0.5,AA145+Z146))</f>
        <v>-1.0494181135143406</v>
      </c>
      <c r="AB147" s="221"/>
      <c r="AC147" s="223">
        <f>$G$29*AA147</f>
        <v>-49.417817585148391</v>
      </c>
    </row>
    <row r="148" spans="21:29" x14ac:dyDescent="0.3">
      <c r="U148" s="213"/>
      <c r="V148" s="221">
        <f>(AA147+Z146/2)*$V$34</f>
        <v>-0.18272775364986213</v>
      </c>
      <c r="W148" s="221"/>
      <c r="X148" s="221">
        <f t="shared" ref="X148" si="84">W147+V148/2</f>
        <v>0.52910577226274502</v>
      </c>
      <c r="Y148" s="221"/>
      <c r="Z148" s="221">
        <f>-$V$35*(X148+Y147*((AA147+Z146/2)^2))</f>
        <v>-9.4039061742208167E-3</v>
      </c>
      <c r="AA148" s="221"/>
      <c r="AB148" s="221">
        <f t="shared" ref="AB148" si="85">AA147+Z148/2</f>
        <v>-1.054120066601451</v>
      </c>
      <c r="AC148" s="213"/>
    </row>
    <row r="149" spans="21:29" x14ac:dyDescent="0.3">
      <c r="U149" s="220">
        <f>U147+$V$28</f>
        <v>10.799999999999994</v>
      </c>
      <c r="V149" s="221"/>
      <c r="W149" s="221">
        <f>IF(W147+V148&lt;0,(W147+V148)*0.8,W147+V148)</f>
        <v>0.43774189543781394</v>
      </c>
      <c r="X149" s="221"/>
      <c r="Y149" s="221">
        <f>Y147*(AC149/AC147)^2</f>
        <v>1.9518224014875456E-2</v>
      </c>
      <c r="Z149" s="221"/>
      <c r="AA149" s="221">
        <f>IF(AND(ABS(AA147+Z148)&gt;$G$27*0.8,(AA147+Z148)&lt;0),-$G$27*0.5,IF(AND(ABS(AA147+Z148)&gt;$G$27*0.8,(AA147+Z148)&gt;0),$G$27*0.5,AA147+Z148))</f>
        <v>-1.0588220196885614</v>
      </c>
      <c r="AB149" s="221"/>
      <c r="AC149" s="223">
        <f>$G$29*AA149</f>
        <v>-49.86065396649235</v>
      </c>
    </row>
    <row r="150" spans="21:29" x14ac:dyDescent="0.3">
      <c r="U150" s="213"/>
      <c r="V150" s="221">
        <f>(AA149+Z148/2)*$V$34</f>
        <v>-0.18408812632217819</v>
      </c>
      <c r="W150" s="221"/>
      <c r="X150" s="221">
        <f t="shared" ref="X150" si="86">W149+V150/2</f>
        <v>0.34569783227672485</v>
      </c>
      <c r="Y150" s="221"/>
      <c r="Z150" s="221">
        <f>-$V$35*(X150+Y149*((AA149+Z148/2)^2))</f>
        <v>-6.2828130947451431E-3</v>
      </c>
      <c r="AA150" s="221"/>
      <c r="AB150" s="221">
        <f t="shared" ref="AB150" si="87">AA149+Z150/2</f>
        <v>-1.0619634262359339</v>
      </c>
      <c r="AC150" s="213"/>
    </row>
    <row r="151" spans="21:29" x14ac:dyDescent="0.3">
      <c r="U151" s="220">
        <f>U149+$V$28</f>
        <v>10.999999999999993</v>
      </c>
      <c r="V151" s="221"/>
      <c r="W151" s="221">
        <f>IF(W149+V150&lt;0,(W149+V150)*0.8,W149+V150)</f>
        <v>0.25365376911563575</v>
      </c>
      <c r="X151" s="221"/>
      <c r="Y151" s="221">
        <f>Y149*(AC151/AC149)^2</f>
        <v>1.975054479914409E-2</v>
      </c>
      <c r="Z151" s="221"/>
      <c r="AA151" s="221">
        <f>IF(AND(ABS(AA149+Z150)&gt;$G$27*0.8,(AA149+Z150)&lt;0),-$G$27*0.5,IF(AND(ABS(AA149+Z150)&gt;$G$27*0.8,(AA149+Z150)&gt;0),$G$27*0.5,AA149+Z150))</f>
        <v>-1.0651048327833066</v>
      </c>
      <c r="AB151" s="221"/>
      <c r="AC151" s="223">
        <f>$G$29*AA151</f>
        <v>-50.156515937464</v>
      </c>
    </row>
    <row r="152" spans="21:29" x14ac:dyDescent="0.3">
      <c r="U152" s="213"/>
      <c r="V152" s="221">
        <f>(AA151+Z150/2)*$V$34</f>
        <v>-0.18490551570347852</v>
      </c>
      <c r="W152" s="221"/>
      <c r="X152" s="221">
        <f t="shared" ref="X152" si="88">W151+V152/2</f>
        <v>0.16120101126389649</v>
      </c>
      <c r="Y152" s="221"/>
      <c r="Z152" s="221">
        <f>-$V$35*(X152+Y151*((AA151+Z150/2)^2))</f>
        <v>-3.1388792714161307E-3</v>
      </c>
      <c r="AA152" s="221"/>
      <c r="AB152" s="221">
        <f t="shared" ref="AB152" si="89">AA151+Z152/2</f>
        <v>-1.0666742724190146</v>
      </c>
      <c r="AC152" s="213"/>
    </row>
    <row r="153" spans="21:29" x14ac:dyDescent="0.3">
      <c r="U153" s="220">
        <f>U151+$V$28</f>
        <v>11.199999999999992</v>
      </c>
      <c r="V153" s="221"/>
      <c r="W153" s="221">
        <f>IF(W151+V152&lt;0,(W151+V152)*0.8,W151+V152)</f>
        <v>6.8748253412157234E-2</v>
      </c>
      <c r="X153" s="221"/>
      <c r="Y153" s="221">
        <f>Y151*(AC153/AC151)^2</f>
        <v>1.9867126610082525E-2</v>
      </c>
      <c r="Z153" s="221"/>
      <c r="AA153" s="221">
        <f>IF(AND(ABS(AA151+Z152)&gt;$G$27*0.8,(AA151+Z152)&lt;0),-$G$27*0.5,IF(AND(ABS(AA151+Z152)&gt;$G$27*0.8,(AA151+Z152)&gt;0),$G$27*0.5,AA151+Z152))</f>
        <v>-1.0682437120547228</v>
      </c>
      <c r="AB153" s="221"/>
      <c r="AC153" s="223">
        <f>$G$29*AA153</f>
        <v>-50.30432791179441</v>
      </c>
    </row>
    <row r="154" spans="21:29" x14ac:dyDescent="0.3">
      <c r="U154" s="213"/>
      <c r="V154" s="221">
        <f>(AA153+Z152/2)*$V$34</f>
        <v>-0.18517673663295597</v>
      </c>
      <c r="W154" s="221"/>
      <c r="X154" s="221">
        <f t="shared" ref="X154" si="90">W153+V154/2</f>
        <v>-2.3840114904320753E-2</v>
      </c>
      <c r="Y154" s="221"/>
      <c r="Z154" s="221">
        <f>-$V$35*(X154+Y153*((AA153+Z152/2)^2))</f>
        <v>1.8828985258140237E-5</v>
      </c>
      <c r="AA154" s="221"/>
      <c r="AB154" s="221">
        <f t="shared" ref="AB154" si="91">AA153+Z154/2</f>
        <v>-1.0682342975620938</v>
      </c>
      <c r="AC154" s="213"/>
    </row>
    <row r="155" spans="21:29" x14ac:dyDescent="0.3">
      <c r="U155" s="220">
        <f>U153+$V$28</f>
        <v>11.399999999999991</v>
      </c>
      <c r="V155" s="221"/>
      <c r="W155" s="221">
        <f>IF(W153+V154&lt;0,(W153+V154)*0.8,W153+V154)</f>
        <v>-9.3142786576638992E-2</v>
      </c>
      <c r="X155" s="221"/>
      <c r="Y155" s="221">
        <f>Y153*(AC155/AC153)^2</f>
        <v>1.9866426255784959E-2</v>
      </c>
      <c r="Z155" s="221"/>
      <c r="AA155" s="221">
        <f>IF(AND(ABS(AA153+Z154)&gt;$G$27*0.8,(AA153+Z154)&lt;0),-$G$27*0.5,IF(AND(ABS(AA153+Z154)&gt;$G$27*0.8,(AA153+Z154)&gt;0),$G$27*0.5,AA153+Z154))</f>
        <v>-1.0682248830694647</v>
      </c>
      <c r="AB155" s="221"/>
      <c r="AC155" s="223">
        <f>$G$29*AA155</f>
        <v>-50.303441241984906</v>
      </c>
    </row>
    <row r="156" spans="21:29" x14ac:dyDescent="0.3">
      <c r="U156" s="213"/>
      <c r="V156" s="221">
        <f>(AA155+Z154/2)*$V$34</f>
        <v>-0.18490018951378695</v>
      </c>
      <c r="W156" s="221"/>
      <c r="X156" s="221">
        <f t="shared" ref="X156" si="92">W155+V156/2</f>
        <v>-0.18559288133353247</v>
      </c>
      <c r="Y156" s="221"/>
      <c r="Z156" s="221">
        <f>-$V$35*(X156+Y155*((AA155+Z154/2)^2))</f>
        <v>2.783277329773869E-3</v>
      </c>
      <c r="AA156" s="221"/>
      <c r="AB156" s="221">
        <f t="shared" ref="AB156" si="93">AA155+Z156/2</f>
        <v>-1.0668332444045778</v>
      </c>
      <c r="AC156" s="213"/>
    </row>
    <row r="157" spans="21:29" x14ac:dyDescent="0.3">
      <c r="U157" s="220">
        <f>U155+$V$28</f>
        <v>11.599999999999991</v>
      </c>
      <c r="V157" s="221"/>
      <c r="W157" s="221">
        <f>IF(W155+V156&lt;0,(W155+V156)*0.8,W155+V156)</f>
        <v>-0.22243438087234077</v>
      </c>
      <c r="X157" s="221"/>
      <c r="Y157" s="221">
        <f>Y155*(AC157/AC155)^2</f>
        <v>1.9763036528991525E-2</v>
      </c>
      <c r="Z157" s="221"/>
      <c r="AA157" s="221">
        <f>IF(AND(ABS(AA155+Z156)&gt;$G$27*0.8,(AA155+Z156)&lt;0),-$G$27*0.5,IF(AND(ABS(AA155+Z156)&gt;$G$27*0.8,(AA155+Z156)&gt;0),$G$27*0.5,AA155+Z156))</f>
        <v>-1.0654416057396909</v>
      </c>
      <c r="AB157" s="221"/>
      <c r="AC157" s="223">
        <f>$G$29*AA157</f>
        <v>-50.172374806595272</v>
      </c>
    </row>
    <row r="158" spans="21:29" x14ac:dyDescent="0.3">
      <c r="U158" s="213"/>
      <c r="V158" s="221">
        <f>(AA157+Z156/2)*$V$34</f>
        <v>-0.18417917204137405</v>
      </c>
      <c r="W158" s="221"/>
      <c r="X158" s="221">
        <f t="shared" ref="X158" si="94">W157+V158/2</f>
        <v>-0.31452396689302781</v>
      </c>
      <c r="Y158" s="221"/>
      <c r="Z158" s="221">
        <f>-$V$35*(X158+Y157*((AA157+Z156/2)^2))</f>
        <v>4.9908633239990037E-3</v>
      </c>
      <c r="AA158" s="221"/>
      <c r="AB158" s="221">
        <f t="shared" ref="AB158" si="95">AA157+Z158/2</f>
        <v>-1.0629461740776915</v>
      </c>
      <c r="AC158" s="213"/>
    </row>
    <row r="159" spans="21:29" x14ac:dyDescent="0.3">
      <c r="U159" s="220">
        <f>U157+$V$28</f>
        <v>11.79999999999999</v>
      </c>
      <c r="V159" s="221"/>
      <c r="W159" s="221">
        <f>IF(W157+V158&lt;0,(W157+V158)*0.8,W157+V158)</f>
        <v>-0.32529084233097189</v>
      </c>
      <c r="X159" s="221"/>
      <c r="Y159" s="221">
        <f>Y157*(AC159/AC157)^2</f>
        <v>1.9578317637054851E-2</v>
      </c>
      <c r="Z159" s="221"/>
      <c r="AA159" s="221">
        <f>IF(AND(ABS(AA157+Z158)&gt;$G$27*0.8,(AA157+Z158)&lt;0),-$G$27*0.5,IF(AND(ABS(AA157+Z158)&gt;$G$27*0.8,(AA157+Z158)&gt;0),$G$27*0.5,AA157+Z158))</f>
        <v>-1.0604507424156919</v>
      </c>
      <c r="AB159" s="221"/>
      <c r="AC159" s="223">
        <f>$G$29*AA159</f>
        <v>-49.93735163502847</v>
      </c>
    </row>
    <row r="160" spans="21:29" x14ac:dyDescent="0.3">
      <c r="U160" s="213"/>
      <c r="V160" s="221">
        <f>(AA159+Z158/2)*$V$34</f>
        <v>-0.1831242321514881</v>
      </c>
      <c r="W160" s="221"/>
      <c r="X160" s="221">
        <f t="shared" ref="X160" si="96">W159+V160/2</f>
        <v>-0.41685295840671593</v>
      </c>
      <c r="Y160" s="221"/>
      <c r="Z160" s="221">
        <f>-$V$35*(X160+Y159*((AA159+Z158/2)^2))</f>
        <v>6.7468812787121087E-3</v>
      </c>
      <c r="AA160" s="221"/>
      <c r="AB160" s="221">
        <f t="shared" ref="AB160" si="97">AA159+Z160/2</f>
        <v>-1.057077301776336</v>
      </c>
      <c r="AC160" s="213"/>
    </row>
    <row r="161" spans="21:29" x14ac:dyDescent="0.3">
      <c r="U161" s="220">
        <f>U159+$V$28</f>
        <v>11.999999999999989</v>
      </c>
      <c r="V161" s="221"/>
      <c r="W161" s="221">
        <f>IF(W159+V160&lt;0,(W159+V160)*0.8,W159+V160)</f>
        <v>-0.40673205958596803</v>
      </c>
      <c r="X161" s="221"/>
      <c r="Y161" s="221">
        <f>Y159*(AC161/AC159)^2</f>
        <v>1.9329984782606786E-2</v>
      </c>
      <c r="Z161" s="221"/>
      <c r="AA161" s="221">
        <f>IF(AND(ABS(AA159+Z160)&gt;$G$27*0.8,(AA159+Z160)&lt;0),-$G$27*0.5,IF(AND(ABS(AA159+Z160)&gt;$G$27*0.8,(AA159+Z160)&gt;0),$G$27*0.5,AA159+Z160))</f>
        <v>-1.0537038611369798</v>
      </c>
      <c r="AB161" s="221"/>
      <c r="AC161" s="223">
        <f>$G$29*AA161</f>
        <v>-49.619636375489556</v>
      </c>
    </row>
    <row r="162" spans="21:29" x14ac:dyDescent="0.3">
      <c r="U162" s="213"/>
      <c r="V162" s="221">
        <f>(AA161+Z160/2)*$V$34</f>
        <v>-0.1818044200959229</v>
      </c>
      <c r="W162" s="221"/>
      <c r="X162" s="221">
        <f t="shared" ref="X162" si="98">W161+V162/2</f>
        <v>-0.49763426963392948</v>
      </c>
      <c r="Y162" s="221"/>
      <c r="Z162" s="221">
        <f>-$V$35*(X162+Y161*((AA161+Z160/2)^2))</f>
        <v>8.1369515833430769E-3</v>
      </c>
      <c r="AA162" s="221"/>
      <c r="AB162" s="221">
        <f t="shared" ref="AB162" si="99">AA161+Z162/2</f>
        <v>-1.0496353853453082</v>
      </c>
      <c r="AC162" s="213"/>
    </row>
    <row r="163" spans="21:29" x14ac:dyDescent="0.3">
      <c r="U163" s="220">
        <f>U161+$V$28</f>
        <v>12.199999999999989</v>
      </c>
      <c r="V163" s="221"/>
      <c r="W163" s="221">
        <f>IF(W161+V162&lt;0,(W161+V162)*0.8,W161+V162)</f>
        <v>-0.47082918374551275</v>
      </c>
      <c r="X163" s="221"/>
      <c r="Y163" s="221">
        <f>Y161*(AC163/AC161)^2</f>
        <v>1.9032596015823206E-2</v>
      </c>
      <c r="Z163" s="221"/>
      <c r="AA163" s="221">
        <f>IF(AND(ABS(AA161+Z162)&gt;$G$27*0.8,(AA161+Z162)&lt;0),-$G$27*0.5,IF(AND(ABS(AA161+Z162)&gt;$G$27*0.8,(AA161+Z162)&gt;0),$G$27*0.5,AA161+Z162))</f>
        <v>-1.0455669095536366</v>
      </c>
      <c r="AB163" s="221"/>
      <c r="AC163" s="223">
        <f>$G$29*AA163</f>
        <v>-49.236461753414247</v>
      </c>
    </row>
    <row r="164" spans="21:29" x14ac:dyDescent="0.3">
      <c r="U164" s="213"/>
      <c r="V164" s="221">
        <f>(AA163+Z162/2)*$V$34</f>
        <v>-0.18027566857598637</v>
      </c>
      <c r="W164" s="221"/>
      <c r="X164" s="221">
        <f t="shared" ref="X164" si="100">W163+V164/2</f>
        <v>-0.5609670180335059</v>
      </c>
      <c r="Y164" s="221"/>
      <c r="Z164" s="221">
        <f>-$V$35*(X164+Y163*((AA163+Z162/2)^2))</f>
        <v>9.230497232804771E-3</v>
      </c>
      <c r="AA164" s="221"/>
      <c r="AB164" s="221">
        <f t="shared" ref="AB164" si="101">AA163+Z164/2</f>
        <v>-1.0409516609372342</v>
      </c>
      <c r="AC164" s="213"/>
    </row>
    <row r="165" spans="21:29" x14ac:dyDescent="0.3">
      <c r="U165" s="220">
        <f>U163+$V$28</f>
        <v>12.399999999999988</v>
      </c>
      <c r="V165" s="221"/>
      <c r="W165" s="221">
        <f>IF(W163+V164&lt;0,(W163+V164)*0.8,W163+V164)</f>
        <v>-0.52088388185719925</v>
      </c>
      <c r="X165" s="221"/>
      <c r="Y165" s="221">
        <f>Y163*(AC165/AC163)^2</f>
        <v>1.8698031387261147E-2</v>
      </c>
      <c r="Z165" s="221"/>
      <c r="AA165" s="221">
        <f>IF(AND(ABS(AA163+Z164)&gt;$G$27*0.8,(AA163+Z164)&lt;0),-$G$27*0.5,IF(AND(ABS(AA163+Z164)&gt;$G$27*0.8,(AA163+Z164)&gt;0),$G$27*0.5,AA163+Z164))</f>
        <v>-1.0363364123208318</v>
      </c>
      <c r="AB165" s="221"/>
      <c r="AC165" s="223">
        <f>$G$29*AA165</f>
        <v>-48.801791317868414</v>
      </c>
    </row>
    <row r="166" spans="21:29" x14ac:dyDescent="0.3">
      <c r="U166" s="213"/>
      <c r="V166" s="221">
        <f>(AA165+Z164/2)*$V$34</f>
        <v>-0.1785832955110519</v>
      </c>
      <c r="W166" s="221"/>
      <c r="X166" s="221">
        <f t="shared" ref="X166" si="102">W165+V166/2</f>
        <v>-0.61017552961272514</v>
      </c>
      <c r="Y166" s="221"/>
      <c r="Z166" s="221">
        <f>-$V$35*(X166+Y165*((AA165+Z164/2)^2))</f>
        <v>1.0083816870564345E-2</v>
      </c>
      <c r="AA166" s="221"/>
      <c r="AB166" s="221">
        <f t="shared" ref="AB166" si="103">AA165+Z166/2</f>
        <v>-1.0312945038855497</v>
      </c>
      <c r="AC166" s="213"/>
    </row>
    <row r="167" spans="21:29" x14ac:dyDescent="0.3">
      <c r="U167" s="220">
        <f>U165+$V$28</f>
        <v>12.599999999999987</v>
      </c>
      <c r="V167" s="221"/>
      <c r="W167" s="221">
        <f>IF(W165+V166&lt;0,(W165+V166)*0.8,W165+V166)</f>
        <v>-0.55957374189460096</v>
      </c>
      <c r="X167" s="221"/>
      <c r="Y167" s="221">
        <f>Y165*(AC167/AC165)^2</f>
        <v>1.8335928474663966E-2</v>
      </c>
      <c r="Z167" s="221"/>
      <c r="AA167" s="221">
        <f>IF(AND(ABS(AA165+Z166)&gt;$G$27*0.8,(AA165+Z166)&lt;0),-$G$27*0.5,IF(AND(ABS(AA165+Z166)&gt;$G$27*0.8,(AA165+Z166)&gt;0),$G$27*0.5,AA165+Z166))</f>
        <v>-1.0262525954502675</v>
      </c>
      <c r="AB167" s="221"/>
      <c r="AC167" s="223">
        <f>$G$29*AA167</f>
        <v>-48.326937476244893</v>
      </c>
    </row>
    <row r="168" spans="21:29" x14ac:dyDescent="0.3">
      <c r="U168" s="213"/>
      <c r="V168" s="221">
        <f>(AA167+Z166/2)*$V$34</f>
        <v>-0.17676400980612983</v>
      </c>
      <c r="W168" s="221"/>
      <c r="X168" s="221">
        <f t="shared" ref="X168" si="104">W167+V168/2</f>
        <v>-0.64795574679766588</v>
      </c>
      <c r="Y168" s="221"/>
      <c r="Z168" s="221">
        <f>-$V$35*(X168+Y167*((AA167+Z166/2)^2))</f>
        <v>1.0742572100873338E-2</v>
      </c>
      <c r="AA168" s="221"/>
      <c r="AB168" s="221">
        <f t="shared" ref="AB168" si="105">AA167+Z168/2</f>
        <v>-1.0208813093998308</v>
      </c>
      <c r="AC168" s="213"/>
    </row>
    <row r="169" spans="21:29" x14ac:dyDescent="0.3">
      <c r="U169" s="220">
        <f>U167+$V$28</f>
        <v>12.799999999999986</v>
      </c>
      <c r="V169" s="221"/>
      <c r="W169" s="221">
        <f>IF(W167+V168&lt;0,(W167+V168)*0.8,W167+V168)</f>
        <v>-0.58907020136058463</v>
      </c>
      <c r="X169" s="221"/>
      <c r="Y169" s="221">
        <f>Y167*(AC169/AC167)^2</f>
        <v>1.7954065198007001E-2</v>
      </c>
      <c r="Z169" s="221"/>
      <c r="AA169" s="221">
        <f>IF(AND(ABS(AA167+Z168)&gt;$G$27*0.8,(AA167+Z168)&lt;0),-$G$27*0.5,IF(AND(ABS(AA167+Z168)&gt;$G$27*0.8,(AA167+Z168)&gt;0),$G$27*0.5,AA167+Z168))</f>
        <v>-1.0155100233493941</v>
      </c>
      <c r="AB169" s="221"/>
      <c r="AC169" s="223">
        <f>$G$29*AA169</f>
        <v>-47.821062399724205</v>
      </c>
    </row>
    <row r="170" spans="21:29" x14ac:dyDescent="0.3">
      <c r="U170" s="213"/>
      <c r="V170" s="221">
        <f>(AA169+Z168/2)*$V$34</f>
        <v>-0.1748475372769423</v>
      </c>
      <c r="W170" s="221"/>
      <c r="X170" s="221">
        <f t="shared" ref="X170" si="106">W169+V170/2</f>
        <v>-0.67649396999905576</v>
      </c>
      <c r="Y170" s="221"/>
      <c r="Z170" s="221">
        <f>-$V$35*(X170+Y169*((AA169+Z168/2)^2))</f>
        <v>1.1243801386501336E-2</v>
      </c>
      <c r="AA170" s="221"/>
      <c r="AB170" s="221">
        <f t="shared" ref="AB170" si="107">AA169+Z170/2</f>
        <v>-1.0098881226561434</v>
      </c>
      <c r="AC170" s="213"/>
    </row>
    <row r="171" spans="21:29" x14ac:dyDescent="0.3">
      <c r="U171" s="220">
        <f>U169+$V$28</f>
        <v>12.999999999999986</v>
      </c>
      <c r="V171" s="221"/>
      <c r="W171" s="221">
        <f>IF(W169+V170&lt;0,(W169+V170)*0.8,W169+V170)</f>
        <v>-0.61113419091002152</v>
      </c>
      <c r="X171" s="221"/>
      <c r="Y171" s="221">
        <f>Y169*(AC171/AC169)^2</f>
        <v>1.7558688750551676E-2</v>
      </c>
      <c r="Z171" s="221"/>
      <c r="AA171" s="221">
        <f>IF(AND(ABS(AA169+Z170)&gt;$G$27*0.8,(AA169+Z170)&lt;0),-$G$27*0.5,IF(AND(ABS(AA169+Z170)&gt;$G$27*0.8,(AA169+Z170)&gt;0),$G$27*0.5,AA169+Z170))</f>
        <v>-1.0042662219628928</v>
      </c>
      <c r="AB171" s="221"/>
      <c r="AC171" s="223">
        <f>$G$29*AA171</f>
        <v>-47.291584092911883</v>
      </c>
    </row>
    <row r="172" spans="21:29" x14ac:dyDescent="0.3">
      <c r="U172" s="213"/>
      <c r="V172" s="221">
        <f>(AA171+Z170/2)*$V$34</f>
        <v>-0.17285793895648152</v>
      </c>
      <c r="W172" s="221"/>
      <c r="X172" s="221">
        <f t="shared" ref="X172" si="108">W171+V172/2</f>
        <v>-0.69756316038826227</v>
      </c>
      <c r="Y172" s="221"/>
      <c r="Z172" s="221">
        <f>-$V$35*(X172+Y171*((AA171+Z170/2)^2))</f>
        <v>1.1617551280832845E-2</v>
      </c>
      <c r="AA172" s="221"/>
      <c r="AB172" s="221">
        <f t="shared" ref="AB172" si="109">AA171+Z172/2</f>
        <v>-0.99845744632247646</v>
      </c>
      <c r="AC172" s="213"/>
    </row>
    <row r="173" spans="21:29" x14ac:dyDescent="0.3">
      <c r="U173" s="220">
        <f>U171+$V$28</f>
        <v>13.199999999999985</v>
      </c>
      <c r="V173" s="221"/>
      <c r="W173" s="221">
        <f>IF(W171+V172&lt;0,(W171+V172)*0.8,W171+V172)</f>
        <v>-0.6271937038932025</v>
      </c>
      <c r="X173" s="221"/>
      <c r="Y173" s="221">
        <f>Y171*(AC173/AC171)^2</f>
        <v>1.7154793707406423E-2</v>
      </c>
      <c r="Z173" s="221"/>
      <c r="AA173" s="221">
        <f>IF(AND(ABS(AA171+Z172)&gt;$G$27*0.8,(AA171+Z172)&lt;0),-$G$27*0.5,IF(AND(ABS(AA171+Z172)&gt;$G$27*0.8,(AA171+Z172)&gt;0),$G$27*0.5,AA171+Z172))</f>
        <v>-0.99264867068205997</v>
      </c>
      <c r="AB173" s="221"/>
      <c r="AC173" s="223">
        <f>$G$29*AA173</f>
        <v>-46.744505647639308</v>
      </c>
    </row>
    <row r="174" spans="21:29" x14ac:dyDescent="0.3">
      <c r="U174" s="213"/>
      <c r="V174" s="221">
        <f>(AA173+Z172/2)*$V$34</f>
        <v>-0.17081468016566254</v>
      </c>
      <c r="W174" s="221"/>
      <c r="X174" s="221">
        <f t="shared" ref="X174" si="110">W173+V174/2</f>
        <v>-0.71260104397603374</v>
      </c>
      <c r="Y174" s="221"/>
      <c r="Z174" s="221">
        <f>-$V$35*(X174+Y173*((AA173+Z172/2)^2))</f>
        <v>1.1888198150802366E-2</v>
      </c>
      <c r="AA174" s="221"/>
      <c r="AB174" s="221">
        <f t="shared" ref="AB174" si="111">AA173+Z174/2</f>
        <v>-0.98670457160665881</v>
      </c>
      <c r="AC174" s="213"/>
    </row>
    <row r="175" spans="21:29" x14ac:dyDescent="0.3">
      <c r="U175" s="220">
        <f>U173+$V$28</f>
        <v>13.399999999999984</v>
      </c>
      <c r="V175" s="221"/>
      <c r="W175" s="221">
        <f>IF(W173+V174&lt;0,(W173+V174)*0.8,W173+V174)</f>
        <v>-0.63840670724709203</v>
      </c>
      <c r="X175" s="221"/>
      <c r="Y175" s="221">
        <f>Y173*(AC175/AC173)^2</f>
        <v>1.6746354391147945E-2</v>
      </c>
      <c r="Z175" s="221"/>
      <c r="AA175" s="221">
        <f>IF(AND(ABS(AA173+Z174)&gt;$G$27*0.8,(AA173+Z174)&lt;0),-$G$27*0.5,IF(AND(ABS(AA173+Z174)&gt;$G$27*0.8,(AA173+Z174)&gt;0),$G$27*0.5,AA173+Z174))</f>
        <v>-0.98076047253125764</v>
      </c>
      <c r="AB175" s="221"/>
      <c r="AC175" s="223">
        <f>$G$29*AA175</f>
        <v>-46.184682255926504</v>
      </c>
    </row>
    <row r="176" spans="21:29" x14ac:dyDescent="0.3">
      <c r="U176" s="213"/>
      <c r="V176" s="221">
        <f>(AA175+Z174/2)*$V$34</f>
        <v>-0.16873349759039333</v>
      </c>
      <c r="W176" s="221"/>
      <c r="X176" s="221">
        <f t="shared" ref="X176" si="112">W175+V176/2</f>
        <v>-0.72277345604228871</v>
      </c>
      <c r="Y176" s="221"/>
      <c r="Z176" s="221">
        <f>-$V$35*(X176+Y175*((AA175+Z174/2)^2))</f>
        <v>1.2075519419390369E-2</v>
      </c>
      <c r="AA176" s="221"/>
      <c r="AB176" s="221">
        <f t="shared" ref="AB176" si="113">AA175+Z176/2</f>
        <v>-0.97472271282156242</v>
      </c>
      <c r="AC176" s="213"/>
    </row>
    <row r="177" spans="21:29" x14ac:dyDescent="0.3">
      <c r="U177" s="220">
        <f>U175+$V$28</f>
        <v>13.599999999999984</v>
      </c>
      <c r="V177" s="221"/>
      <c r="W177" s="221">
        <f>IF(W175+V176&lt;0,(W175+V176)*0.8,W175+V176)</f>
        <v>-0.64571216386998831</v>
      </c>
      <c r="X177" s="221"/>
      <c r="Y177" s="221">
        <f>Y175*(AC177/AC175)^2</f>
        <v>1.6336517289474977E-2</v>
      </c>
      <c r="Z177" s="221"/>
      <c r="AA177" s="221">
        <f>IF(AND(ABS(AA175+Z176)&gt;$G$27*0.8,(AA175+Z176)&lt;0),-$G$27*0.5,IF(AND(ABS(AA175+Z176)&gt;$G$27*0.8,(AA175+Z176)&gt;0),$G$27*0.5,AA175+Z176))</f>
        <v>-0.96868495311186731</v>
      </c>
      <c r="AB177" s="221"/>
      <c r="AC177" s="223">
        <f>$G$29*AA177</f>
        <v>-45.61603777740217</v>
      </c>
    </row>
    <row r="178" spans="21:29" x14ac:dyDescent="0.3">
      <c r="U178" s="213"/>
      <c r="V178" s="221">
        <f>(AA177+Z176/2)*$V$34</f>
        <v>-0.16662710261265407</v>
      </c>
      <c r="W178" s="221"/>
      <c r="X178" s="221">
        <f t="shared" ref="X178" si="114">W177+V178/2</f>
        <v>-0.72902571517631531</v>
      </c>
      <c r="Y178" s="221"/>
      <c r="Z178" s="221">
        <f>-$V$35*(X178+Y177*((AA177+Z176/2)^2))</f>
        <v>1.2195561999279391E-2</v>
      </c>
      <c r="AA178" s="221"/>
      <c r="AB178" s="221">
        <f t="shared" ref="AB178" si="115">AA177+Z178/2</f>
        <v>-0.96258717211222766</v>
      </c>
      <c r="AC178" s="213"/>
    </row>
    <row r="179" spans="21:29" x14ac:dyDescent="0.3">
      <c r="U179" s="220">
        <f>U177+$V$28</f>
        <v>13.799999999999983</v>
      </c>
      <c r="V179" s="221"/>
      <c r="W179" s="221">
        <f>IF(W177+V178&lt;0,(W177+V178)*0.8,W177+V178)</f>
        <v>-0.64987141318611386</v>
      </c>
      <c r="X179" s="221"/>
      <c r="Y179" s="221">
        <f>Y177*(AC179/AC177)^2</f>
        <v>1.5927759301242246E-2</v>
      </c>
      <c r="Z179" s="221"/>
      <c r="AA179" s="221">
        <f>IF(AND(ABS(AA177+Z178)&gt;$G$27*0.8,(AA177+Z178)&lt;0),-$G$27*0.5,IF(AND(ABS(AA177+Z178)&gt;$G$27*0.8,(AA177+Z178)&gt;0),$G$27*0.5,AA177+Z178))</f>
        <v>-0.95648939111258791</v>
      </c>
      <c r="AB179" s="229"/>
      <c r="AC179" s="223">
        <f>$G$29*AA179</f>
        <v>-45.041740411588201</v>
      </c>
    </row>
    <row r="180" spans="21:29" x14ac:dyDescent="0.3">
      <c r="U180" s="220"/>
      <c r="V180" s="221">
        <f>(AA179+Z178/2)*$V$34</f>
        <v>-0.16450575187449398</v>
      </c>
      <c r="W180" s="221"/>
      <c r="X180" s="221">
        <f t="shared" ref="X180" si="116">W179+V180/2</f>
        <v>-0.73212428912336081</v>
      </c>
      <c r="Y180" s="221"/>
      <c r="Z180" s="221">
        <f>-$V$35*(X180+Y179*((AA179+Z178/2)^2))</f>
        <v>1.2261346448385148E-2</v>
      </c>
      <c r="AA180" s="221"/>
      <c r="AB180" s="229">
        <f t="shared" ref="AB180" si="117">AA179+Z180/2</f>
        <v>-0.95035871788839532</v>
      </c>
      <c r="AC180" s="213"/>
    </row>
    <row r="181" spans="21:29" x14ac:dyDescent="0.3">
      <c r="U181" s="220">
        <f>U179+$V$28</f>
        <v>13.999999999999982</v>
      </c>
      <c r="V181" s="221"/>
      <c r="W181" s="221">
        <f>IF(W179+V180&lt;0,(W179+V180)*0.8,W179+V180)</f>
        <v>-0.65150173204848638</v>
      </c>
      <c r="X181" s="221"/>
      <c r="Y181" s="221">
        <f>Y179*(AC181/AC179)^2</f>
        <v>1.5522017183555425E-2</v>
      </c>
      <c r="Z181" s="221"/>
      <c r="AA181" s="221">
        <f>IF(AND(ABS(AA179+Z180)&gt;$G$27*0.8,(AA179+Z180)&lt;0),-$G$27*0.5,IF(AND(ABS(AA179+Z180)&gt;$G$27*0.8,(AA179+Z180)&gt;0),$G$27*0.5,AA179+Z180))</f>
        <v>-0.94422804466420274</v>
      </c>
      <c r="AB181" s="229"/>
      <c r="AC181" s="223">
        <f>$G$29*AA181</f>
        <v>-44.464345211018006</v>
      </c>
    </row>
    <row r="182" spans="21:29" x14ac:dyDescent="0.3">
      <c r="U182" s="213"/>
      <c r="V182" s="221">
        <f>(AA181+Z180/2)*$V$34</f>
        <v>-0.16237771017558231</v>
      </c>
      <c r="W182" s="221"/>
      <c r="X182" s="221">
        <f t="shared" ref="X182" si="118">W181+V182/2</f>
        <v>-0.73269058713627755</v>
      </c>
      <c r="Y182" s="221"/>
      <c r="Z182" s="221">
        <f>-$V$35*(X182+Y181*((AA181+Z180/2)^2))</f>
        <v>1.2283438011917683E-2</v>
      </c>
      <c r="AA182" s="221"/>
      <c r="AB182" s="229">
        <f t="shared" ref="AB182" si="119">AA181+Z182/2</f>
        <v>-0.9380863256582439</v>
      </c>
      <c r="AC182" s="213"/>
    </row>
    <row r="183" spans="21:29" x14ac:dyDescent="0.3">
      <c r="U183" s="220">
        <f>U181+$V$28</f>
        <v>14.199999999999982</v>
      </c>
      <c r="V183" s="221"/>
      <c r="W183" s="221">
        <f>IF(W181+V182&lt;0,(W181+V182)*0.8,W181+V182)</f>
        <v>-0.651103553779255</v>
      </c>
      <c r="X183" s="221"/>
      <c r="Y183" s="221">
        <f>Y181*(AC183/AC181)^2</f>
        <v>1.5120792993741864E-2</v>
      </c>
      <c r="Z183" s="221"/>
      <c r="AA183" s="221">
        <f>IF(AND(ABS(AA181+Z182)&gt;$G$27*0.8,(AA181+Z182)&lt;0),-$G$27*0.5,IF(AND(ABS(AA181+Z182)&gt;$G$27*0.8,(AA181+Z182)&gt;0),$G$27*0.5,AA181+Z182))</f>
        <v>-0.93194460665228507</v>
      </c>
      <c r="AB183" s="229"/>
      <c r="AC183" s="223">
        <f>$G$29*AA183</f>
        <v>-43.885909703593221</v>
      </c>
    </row>
    <row r="184" spans="21:29" x14ac:dyDescent="0.3">
      <c r="U184" s="220"/>
      <c r="V184" s="221">
        <f>(AA183+Z182/2)*$V$34</f>
        <v>-0.16024962604808415</v>
      </c>
      <c r="W184" s="221"/>
      <c r="X184" s="221">
        <f t="shared" ref="X184" si="120">W183+V184/2</f>
        <v>-0.73122836680329706</v>
      </c>
      <c r="Y184" s="221"/>
      <c r="Z184" s="221">
        <f>-$V$35*(X184+Y183*((AA183+Z182/2)^2))</f>
        <v>1.2270409773045199E-2</v>
      </c>
      <c r="AA184" s="221"/>
      <c r="AB184" s="221">
        <f t="shared" ref="AB184" si="121">AA183+Z184/2</f>
        <v>-0.92580940176576243</v>
      </c>
      <c r="AC184" s="224"/>
    </row>
    <row r="185" spans="21:29" x14ac:dyDescent="0.3">
      <c r="U185" s="220">
        <f>U183+$V$28</f>
        <v>14.399999999999981</v>
      </c>
      <c r="V185" s="221"/>
      <c r="W185" s="221">
        <f>IF(W183+V184&lt;0,(W183+V184)*0.8,W183+V184)</f>
        <v>-0.64908254386187136</v>
      </c>
      <c r="X185" s="221"/>
      <c r="Y185" s="221">
        <f>Y183*(AC185/AC183)^2</f>
        <v>1.4725239688327015E-2</v>
      </c>
      <c r="Z185" s="221"/>
      <c r="AA185" s="221">
        <f>IF(AND(ABS(AA183+Z184)&gt;$G$27*0.8,(AA183+Z184)&lt;0),-$G$27*0.5,IF(AND(ABS(AA183+Z184)&gt;$G$27*0.8,(AA183+Z184)&gt;0),$G$27*0.5,AA183+Z184))</f>
        <v>-0.9196741968792399</v>
      </c>
      <c r="AB185" s="221"/>
      <c r="AC185" s="223">
        <f>$G$29*AA185</f>
        <v>-43.308087704858416</v>
      </c>
    </row>
    <row r="186" spans="21:29" x14ac:dyDescent="0.3">
      <c r="U186" s="213"/>
      <c r="V186" s="221">
        <f>(AA185+Z184/2)*$V$34</f>
        <v>-0.15812683650118622</v>
      </c>
      <c r="W186" s="221"/>
      <c r="X186" s="221">
        <f t="shared" ref="X186" si="122">W185+V186/2</f>
        <v>-0.72814596211246452</v>
      </c>
      <c r="Y186" s="221"/>
      <c r="Z186" s="221">
        <f>-$V$35*(X186+Y185*((AA185+Z184/2)^2))</f>
        <v>1.2229218335177275E-2</v>
      </c>
      <c r="AA186" s="221"/>
      <c r="AB186" s="221">
        <f t="shared" ref="AB186" si="123">AA185+Z186/2</f>
        <v>-0.91355958771165124</v>
      </c>
      <c r="AC186" s="213"/>
    </row>
    <row r="187" spans="21:29" x14ac:dyDescent="0.3">
      <c r="U187" s="220">
        <f>U185+$V$28</f>
        <v>14.59999999999998</v>
      </c>
      <c r="V187" s="221"/>
      <c r="W187" s="221">
        <f>IF(W185+V186&lt;0,(W185+V186)*0.8,W185+V186)</f>
        <v>-0.64576750429044605</v>
      </c>
      <c r="X187" s="221"/>
      <c r="Y187" s="221">
        <f>Y185*(AC187/AC185)^2</f>
        <v>1.4336230424678133E-2</v>
      </c>
      <c r="Z187" s="221"/>
      <c r="AA187" s="221">
        <f>IF(AND(ABS(AA185+Z186)&gt;$G$27*0.8,(AA185+Z186)&lt;0),-$G$27*0.5,IF(AND(ABS(AA185+Z186)&gt;$G$27*0.8,(AA185+Z186)&gt;0),$G$27*0.5,AA185+Z186))</f>
        <v>-0.90744497854406259</v>
      </c>
      <c r="AB187" s="221"/>
      <c r="AC187" s="223">
        <f>$G$29*AA187</f>
        <v>-42.732205439139847</v>
      </c>
    </row>
    <row r="188" spans="21:29" x14ac:dyDescent="0.3">
      <c r="U188" s="220"/>
      <c r="V188" s="221">
        <f>(AA187+Z186/2)*$V$34</f>
        <v>-0.1560136143078649</v>
      </c>
      <c r="W188" s="221"/>
      <c r="X188" s="221">
        <f t="shared" ref="X188" si="124">W187+V188/2</f>
        <v>-0.72377431144437854</v>
      </c>
      <c r="Y188" s="221"/>
      <c r="Z188" s="221">
        <f>-$V$35*(X188+Y187*((AA187+Z186/2)^2))</f>
        <v>1.2165508579896662E-2</v>
      </c>
      <c r="AA188" s="221"/>
      <c r="AB188" s="221">
        <f t="shared" ref="AB188" si="125">AA187+Z188/2</f>
        <v>-0.90136222425411427</v>
      </c>
      <c r="AC188" s="213"/>
    </row>
    <row r="189" spans="21:29" x14ac:dyDescent="0.3">
      <c r="U189" s="220">
        <f>U187+$V$28</f>
        <v>14.799999999999979</v>
      </c>
      <c r="V189" s="221"/>
      <c r="W189" s="221">
        <f>IF(W187+V188&lt;0,(W187+V188)*0.8,W187+V188)</f>
        <v>-0.64142489487864873</v>
      </c>
      <c r="X189" s="221"/>
      <c r="Y189" s="221">
        <f>Y187*(AC189/AC187)^2</f>
        <v>1.3954414544521407E-2</v>
      </c>
      <c r="Z189" s="221"/>
      <c r="AA189" s="221">
        <f>IF(AND(ABS(AA187+Z188)&gt;$G$27*0.8,(AA187+Z188)&lt;0),-$G$27*0.5,IF(AND(ABS(AA187+Z188)&gt;$G$27*0.8,(AA187+Z188)&gt;0),$G$27*0.5,AA187+Z188))</f>
        <v>-0.89527946996416596</v>
      </c>
      <c r="AB189" s="221"/>
      <c r="AC189" s="223">
        <f>$G$29*AA189</f>
        <v>-42.159323309424565</v>
      </c>
    </row>
    <row r="190" spans="21:29" x14ac:dyDescent="0.3">
      <c r="U190" s="213"/>
      <c r="V190" s="221">
        <f>(AA189+Z188/2)*$V$34</f>
        <v>-0.15391336867855301</v>
      </c>
      <c r="W190" s="221"/>
      <c r="X190" s="221">
        <f t="shared" ref="X190" si="126">W189+V190/2</f>
        <v>-0.71838157921792523</v>
      </c>
      <c r="Y190" s="221"/>
      <c r="Z190" s="221">
        <f>-$V$35*(X190+Y189*((AA189+Z188/2)^2))</f>
        <v>1.2083860906917841E-2</v>
      </c>
      <c r="AA190" s="221"/>
      <c r="AB190" s="221">
        <f t="shared" ref="AB190" si="127">AA189+Z190/2</f>
        <v>-0.88923753951070705</v>
      </c>
      <c r="AC190" s="213"/>
    </row>
    <row r="191" spans="21:29" x14ac:dyDescent="0.3">
      <c r="U191" s="220">
        <f>U189+$V$28</f>
        <v>14.999999999999979</v>
      </c>
      <c r="V191" s="221"/>
      <c r="W191" s="221">
        <f>IF(W189+V190&lt;0,(W189+V190)*0.8,W189+V190)</f>
        <v>-0.63627061084576142</v>
      </c>
      <c r="X191" s="221"/>
      <c r="Y191" s="221">
        <f>Y189*(AC191/AC189)^2</f>
        <v>1.3580262717023067E-2</v>
      </c>
      <c r="Z191" s="221"/>
      <c r="AA191" s="221">
        <f>IF(AND(ABS(AA189+Z190)&gt;$G$27*0.8,(AA189+Z190)&lt;0),-$G$27*0.5,IF(AND(ABS(AA189+Z190)&gt;$G$27*0.8,(AA189+Z190)&gt;0),$G$27*0.5,AA189+Z190))</f>
        <v>-0.88319560905724814</v>
      </c>
      <c r="AB191" s="221"/>
      <c r="AC191" s="223">
        <f>$G$29*AA191</f>
        <v>-41.59028602454049</v>
      </c>
    </row>
    <row r="192" spans="21:29" x14ac:dyDescent="0.3">
      <c r="U192" s="213"/>
      <c r="V192" s="221">
        <f>(AA191+Z190/2)*$V$34</f>
        <v>-0.15182880811736732</v>
      </c>
      <c r="W192" s="221"/>
      <c r="X192" s="221">
        <f t="shared" ref="X192" si="128">W191+V192/2</f>
        <v>-0.71218501490444508</v>
      </c>
      <c r="Y192" s="221"/>
      <c r="Z192" s="221">
        <f>-$V$35*(X192+Y191*((AA191+Z190/2)^2))</f>
        <v>1.1987991822877159E-2</v>
      </c>
      <c r="AA192" s="221"/>
      <c r="AB192" s="221">
        <f t="shared" ref="AB192" si="129">AA191+Z192/2</f>
        <v>-0.87720161314580958</v>
      </c>
      <c r="AC192" s="213"/>
    </row>
    <row r="193" spans="21:29" x14ac:dyDescent="0.3">
      <c r="U193" s="220">
        <f>U191+$V$28</f>
        <v>15.199999999999978</v>
      </c>
      <c r="V193" s="221"/>
      <c r="W193" s="221">
        <f>IF(W191+V192&lt;0,(W191+V192)*0.8,W191+V192)</f>
        <v>-0.63047953517050304</v>
      </c>
      <c r="X193" s="221"/>
      <c r="Y193" s="221">
        <f>Y191*(AC193/AC191)^2</f>
        <v>1.3214103285993548E-2</v>
      </c>
      <c r="Z193" s="221"/>
      <c r="AA193" s="221">
        <f>IF(AND(ABS(AA191+Z192)&gt;$G$27*0.8,(AA191+Z192)&lt;0),-$G$27*0.5,IF(AND(ABS(AA191+Z192)&gt;$G$27*0.8,(AA191+Z192)&gt;0),$G$27*0.5,AA191+Z192))</f>
        <v>-0.87120761723437101</v>
      </c>
      <c r="AB193" s="221"/>
      <c r="AC193" s="223">
        <f>$G$29*AA193</f>
        <v>-41.025763280473043</v>
      </c>
    </row>
    <row r="194" spans="21:29" x14ac:dyDescent="0.3">
      <c r="U194" s="213"/>
      <c r="V194" s="221">
        <f>(AA193+Z192/2)*$V$34</f>
        <v>-0.14976207259538765</v>
      </c>
      <c r="W194" s="221"/>
      <c r="X194" s="221">
        <f t="shared" ref="X194" si="130">W193+V194/2</f>
        <v>-0.70536057146819686</v>
      </c>
      <c r="Y194" s="221"/>
      <c r="Z194" s="221">
        <f>-$V$35*(X194+Y193*((AA193+Z192/2)^2))</f>
        <v>1.1880916689211936E-2</v>
      </c>
      <c r="AA194" s="221"/>
      <c r="AB194" s="221">
        <f t="shared" ref="AB194" si="131">AA193+Z194/2</f>
        <v>-0.86526715888976502</v>
      </c>
      <c r="AC194" s="213"/>
    </row>
    <row r="195" spans="21:29" x14ac:dyDescent="0.3">
      <c r="U195" s="220">
        <f>U193+$V$28</f>
        <v>15.399999999999977</v>
      </c>
      <c r="V195" s="221"/>
      <c r="W195" s="221">
        <f>IF(W193+V194&lt;0,(W193+V194)*0.8,W193+V194)</f>
        <v>-0.62419328621271264</v>
      </c>
      <c r="X195" s="221"/>
      <c r="Y195" s="221">
        <f>Y193*(AC195/AC193)^2</f>
        <v>1.2856151498185735E-2</v>
      </c>
      <c r="Z195" s="221"/>
      <c r="AA195" s="221">
        <f>IF(AND(ABS(AA193+Z194)&gt;$G$27*0.8,(AA193+Z194)&lt;0),-$G$27*0.5,IF(AND(ABS(AA193+Z194)&gt;$G$27*0.8,(AA193+Z194)&gt;0),$G$27*0.5,AA193+Z194))</f>
        <v>-0.85932670054515903</v>
      </c>
      <c r="AB195" s="221"/>
      <c r="AC195" s="223">
        <f>$G$29*AA195</f>
        <v>-40.466282777772726</v>
      </c>
    </row>
    <row r="196" spans="21:29" x14ac:dyDescent="0.3">
      <c r="U196" s="213"/>
      <c r="V196" s="221">
        <f>(AA195+Z194/2)*$V$34</f>
        <v>-0.14771484082847372</v>
      </c>
      <c r="W196" s="221"/>
      <c r="X196" s="221">
        <f t="shared" ref="X196" si="132">W195+V196/2</f>
        <v>-0.69805070662694946</v>
      </c>
      <c r="Y196" s="221"/>
      <c r="Z196" s="221">
        <f>-$V$35*(X196+Y195*((AA195+Z194/2)^2))</f>
        <v>1.1765081773300842E-2</v>
      </c>
      <c r="AA196" s="221"/>
      <c r="AB196" s="221">
        <f t="shared" ref="AB196" si="133">AA195+Z196/2</f>
        <v>-0.85344415965850862</v>
      </c>
      <c r="AC196" s="213"/>
    </row>
    <row r="197" spans="21:29" x14ac:dyDescent="0.3">
      <c r="U197" s="220">
        <f>U195+$V$28</f>
        <v>15.599999999999977</v>
      </c>
      <c r="V197" s="221"/>
      <c r="W197" s="221">
        <f>IF(W195+V196&lt;0,(W195+V196)*0.8,W195+V196)</f>
        <v>-0.6175265016329492</v>
      </c>
      <c r="X197" s="221"/>
      <c r="Y197" s="221">
        <f>Y195*(AC197/AC195)^2</f>
        <v>1.250653298165456E-2</v>
      </c>
      <c r="Z197" s="221"/>
      <c r="AA197" s="221">
        <f>IF(AND(ABS(AA195+Z196)&gt;$G$27*0.8,(AA195+Z196)&lt;0),-$G$27*0.5,IF(AND(ABS(AA195+Z196)&gt;$G$27*0.8,(AA195+Z196)&gt;0),$G$27*0.5,AA195+Z196))</f>
        <v>-0.84756161877185821</v>
      </c>
      <c r="AB197" s="221"/>
      <c r="AC197" s="223">
        <f>$G$29*AA197</f>
        <v>-39.912257020584015</v>
      </c>
    </row>
    <row r="198" spans="21:29" x14ac:dyDescent="0.3">
      <c r="U198" s="213"/>
      <c r="V198" s="221">
        <f>(AA197+Z196/2)*$V$34</f>
        <v>-0.14568841735469618</v>
      </c>
      <c r="W198" s="221"/>
      <c r="X198" s="221">
        <f t="shared" ref="X198" si="134">W197+V198/2</f>
        <v>-0.69037071031029729</v>
      </c>
      <c r="Y198" s="221"/>
      <c r="Z198" s="221">
        <f>-$V$35*(X198+Y197*((AA197+Z196/2)^2))</f>
        <v>1.1642471396828133E-2</v>
      </c>
      <c r="AA198" s="221"/>
      <c r="AB198" s="221">
        <f t="shared" ref="AB198" si="135">AA197+Z198/2</f>
        <v>-0.84174038307344412</v>
      </c>
      <c r="AC198" s="213"/>
    </row>
    <row r="199" spans="21:29" x14ac:dyDescent="0.3">
      <c r="U199" s="220">
        <f>U197+$V$28</f>
        <v>15.799999999999976</v>
      </c>
      <c r="V199" s="221"/>
      <c r="W199" s="221">
        <f>IF(W197+V198&lt;0,(W197+V198)*0.8,W197+V198)</f>
        <v>-0.61057193519011632</v>
      </c>
      <c r="X199" s="221"/>
      <c r="Y199" s="221">
        <f>Y197*(AC199/AC197)^2</f>
        <v>1.216530258752851E-2</v>
      </c>
      <c r="Z199" s="221"/>
      <c r="AA199" s="221">
        <f>IF(AND(ABS(AA197+Z198)&gt;$G$27*0.8,(AA197+Z198)&lt;0),-$G$27*0.5,IF(AND(ABS(AA197+Z198)&gt;$G$27*0.8,(AA197+Z198)&gt;0),$G$27*0.5,AA197+Z198))</f>
        <v>-0.83591914737503004</v>
      </c>
      <c r="AB199" s="221"/>
      <c r="AC199" s="223">
        <f>$G$29*AA199</f>
        <v>-39.364005069984444</v>
      </c>
    </row>
    <row r="200" spans="21:29" x14ac:dyDescent="0.3">
      <c r="U200" s="213"/>
      <c r="V200" s="221">
        <f>(AA199+Z198/2)*$V$34</f>
        <v>-0.14368380322042212</v>
      </c>
      <c r="W200" s="221"/>
      <c r="X200" s="221">
        <f t="shared" ref="X200" si="136">W199+V200/2</f>
        <v>-0.68241383680032741</v>
      </c>
      <c r="Y200" s="221"/>
      <c r="Z200" s="221">
        <f>-$V$35*(X200+Y199*((AA199+Z198/2)^2))</f>
        <v>1.1514694880819742E-2</v>
      </c>
      <c r="AA200" s="221"/>
      <c r="AB200" s="221">
        <f t="shared" ref="AB200" si="137">AA199+Z200/2</f>
        <v>-0.83016179993462014</v>
      </c>
      <c r="AC200" s="213"/>
    </row>
    <row r="201" spans="21:29" x14ac:dyDescent="0.3">
      <c r="U201" s="220">
        <f>U199+$V$28</f>
        <v>15.999999999999975</v>
      </c>
      <c r="V201" s="221"/>
      <c r="W201" s="221">
        <f>IF(W199+V200&lt;0,(W199+V200)*0.8,W199+V200)</f>
        <v>-0.60340459072843078</v>
      </c>
      <c r="X201" s="221"/>
      <c r="Y201" s="221">
        <f>Y199*(AC201/AC199)^2</f>
        <v>1.1832459497952842E-2</v>
      </c>
      <c r="Z201" s="221"/>
      <c r="AA201" s="221">
        <f>IF(AND(ABS(AA199+Z200)&gt;$G$27*0.8,(AA199+Z200)&lt;0),-$G$27*0.5,IF(AND(ABS(AA199+Z200)&gt;$G$27*0.8,(AA199+Z200)&gt;0),$G$27*0.5,AA199+Z200))</f>
        <v>-0.82440445249421024</v>
      </c>
      <c r="AB201" s="221"/>
      <c r="AC201" s="223">
        <f>$G$29*AA201</f>
        <v>-38.82177020302241</v>
      </c>
    </row>
    <row r="202" spans="21:29" x14ac:dyDescent="0.3">
      <c r="U202" s="213"/>
      <c r="V202" s="221">
        <f>(AA201+Z200/2)*$V$34</f>
        <v>-0.14170175336538199</v>
      </c>
      <c r="W202" s="221"/>
      <c r="X202" s="221">
        <f t="shared" ref="X202" si="138">W201+V202/2</f>
        <v>-0.67425546741112174</v>
      </c>
      <c r="Y202" s="221"/>
      <c r="Z202" s="221">
        <f>-$V$35*(X202+Y201*((AA201+Z200/2)^2))</f>
        <v>1.1383057099368842E-2</v>
      </c>
      <c r="AA202" s="221"/>
      <c r="AB202" s="221">
        <f t="shared" ref="AB202" si="139">AA201+Z202/2</f>
        <v>-0.81871292394452577</v>
      </c>
      <c r="AC202" s="213"/>
    </row>
    <row r="203" spans="21:29" x14ac:dyDescent="0.3">
      <c r="U203" s="220">
        <f>U201+$V$28</f>
        <v>16.199999999999974</v>
      </c>
      <c r="V203" s="221"/>
      <c r="W203" s="221">
        <f>IF(W201+V202&lt;0,(W201+V202)*0.8,W201+V202)</f>
        <v>-0.59608507527505028</v>
      </c>
      <c r="X203" s="221"/>
      <c r="Y203" s="221">
        <f>Y201*(AC203/AC201)^2</f>
        <v>1.150795933045367E-2</v>
      </c>
      <c r="Z203" s="221"/>
      <c r="AA203" s="221">
        <f>IF(AND(ABS(AA201+Z202)&gt;$G$27*0.8,(AA201+Z202)&lt;0),-$G$27*0.5,IF(AND(ABS(AA201+Z202)&gt;$G$27*0.8,(AA201+Z202)&gt;0),$G$27*0.5,AA201+Z202))</f>
        <v>-0.81302139539484142</v>
      </c>
      <c r="AB203" s="221"/>
      <c r="AC203" s="223">
        <f>$G$29*AA203</f>
        <v>-38.285734249331725</v>
      </c>
    </row>
    <row r="204" spans="21:29" x14ac:dyDescent="0.3">
      <c r="U204" s="213"/>
      <c r="V204" s="221">
        <f>(AA203+Z202/2)*$V$34</f>
        <v>-0.1397428232140159</v>
      </c>
      <c r="W204" s="221"/>
      <c r="X204" s="221">
        <f t="shared" ref="X204" si="140">W203+V204/2</f>
        <v>-0.66595648688205822</v>
      </c>
      <c r="Y204" s="221"/>
      <c r="Z204" s="221">
        <f>-$V$35*(X204+Y203*((AA203+Z202/2)^2))</f>
        <v>1.124861573442062E-2</v>
      </c>
      <c r="AA204" s="221"/>
      <c r="AB204" s="221">
        <f t="shared" ref="AB204" si="141">AA203+Z204/2</f>
        <v>-0.80739708752763106</v>
      </c>
      <c r="AC204" s="213"/>
    </row>
    <row r="205" spans="21:29" x14ac:dyDescent="0.3">
      <c r="U205" s="220">
        <f>U203+$V$28</f>
        <v>16.399999999999974</v>
      </c>
      <c r="V205" s="221"/>
      <c r="W205" s="221">
        <f>IF(W203+V204&lt;0,(W203+V204)*0.8,W203+V204)</f>
        <v>-0.58866231879125297</v>
      </c>
      <c r="X205" s="221"/>
      <c r="Y205" s="221">
        <f>Y203*(AC205/AC203)^2</f>
        <v>1.1191723828286999E-2</v>
      </c>
      <c r="Z205" s="221"/>
      <c r="AA205" s="221">
        <f>IF(AND(ABS(AA203+Z204)&gt;$G$27*0.8,(AA203+Z204)&lt;0),-$G$27*0.5,IF(AND(ABS(AA203+Z204)&gt;$G$27*0.8,(AA203+Z204)&gt;0),$G$27*0.5,AA203+Z204))</f>
        <v>-0.80177277966042082</v>
      </c>
      <c r="AB205" s="221"/>
      <c r="AC205" s="223">
        <f>$G$29*AA205</f>
        <v>-37.756029231579113</v>
      </c>
    </row>
    <row r="206" spans="21:29" x14ac:dyDescent="0.3">
      <c r="U206" s="213"/>
      <c r="V206" s="221">
        <f>(AA205+Z204/2)*$V$34</f>
        <v>-0.13780740650741471</v>
      </c>
      <c r="W206" s="221"/>
      <c r="X206" s="221">
        <f t="shared" ref="X206" si="142">W205+V206/2</f>
        <v>-0.65756602204496029</v>
      </c>
      <c r="Y206" s="221"/>
      <c r="Z206" s="221">
        <f>-$V$35*(X206+Y205*((AA205+Z204/2)^2))</f>
        <v>1.1112227740322665E-2</v>
      </c>
      <c r="AA206" s="221"/>
      <c r="AB206" s="221">
        <f t="shared" ref="AB206" si="143">AA205+Z206/2</f>
        <v>-0.79621666579025951</v>
      </c>
      <c r="AC206" s="213"/>
    </row>
    <row r="207" spans="21:29" x14ac:dyDescent="0.3">
      <c r="U207" s="220">
        <f>U205+$V$28</f>
        <v>16.599999999999973</v>
      </c>
      <c r="V207" s="221"/>
      <c r="W207" s="221">
        <f>IF(W205+V206&lt;0,(W205+V206)*0.8,W205+V206)</f>
        <v>-0.58117578023893424</v>
      </c>
      <c r="X207" s="221"/>
      <c r="Y207" s="221">
        <f>Y205*(AC207/AC205)^2</f>
        <v>1.0883648612012655E-2</v>
      </c>
      <c r="Z207" s="221"/>
      <c r="AA207" s="221">
        <f>IF(AND(ABS(AA205+Z206)&gt;$G$27*0.8,(AA205+Z206)&lt;0),-$G$27*0.5,IF(AND(ABS(AA205+Z206)&gt;$G$27*0.8,(AA205+Z206)&gt;0),$G$27*0.5,AA205+Z206))</f>
        <v>-0.79066055192009821</v>
      </c>
      <c r="AB207" s="221"/>
      <c r="AC207" s="223">
        <f>$G$29*AA207</f>
        <v>-37.232746817864246</v>
      </c>
    </row>
    <row r="208" spans="21:29" x14ac:dyDescent="0.3">
      <c r="U208" s="213"/>
      <c r="V208" s="221">
        <f>(AA207+Z206/2)*$V$34</f>
        <v>-0.13589576602644646</v>
      </c>
      <c r="W208" s="221"/>
      <c r="X208" s="221">
        <f t="shared" ref="X208" si="144">W207+V208/2</f>
        <v>-0.64912366325215742</v>
      </c>
      <c r="Y208" s="221"/>
      <c r="Z208" s="221">
        <f>-$V$35*(X208+Y207*((AA207+Z206/2)^2))</f>
        <v>1.0974587053424134E-2</v>
      </c>
      <c r="AA208" s="221"/>
      <c r="AB208" s="221">
        <f t="shared" ref="AB208" si="145">AA207+Z208/2</f>
        <v>-0.78517325839338614</v>
      </c>
      <c r="AC208" s="213"/>
    </row>
    <row r="209" spans="21:29" x14ac:dyDescent="0.3">
      <c r="U209" s="220">
        <f>U207+$V$28</f>
        <v>16.799999999999972</v>
      </c>
      <c r="V209" s="221"/>
      <c r="W209" s="221">
        <f>IF(W207+V208&lt;0,(W207+V208)*0.8,W207+V208)</f>
        <v>-0.57365723701230464</v>
      </c>
      <c r="X209" s="221"/>
      <c r="Y209" s="221">
        <f>Y207*(AC209/AC207)^2</f>
        <v>1.0583609374893626E-2</v>
      </c>
      <c r="Z209" s="221"/>
      <c r="AA209" s="221">
        <f>IF(AND(ABS(AA207+Z208)&gt;$G$27*0.8,(AA207+Z208)&lt;0),-$G$27*0.5,IF(AND(ABS(AA207+Z208)&gt;$G$27*0.8,(AA207+Z208)&gt;0),$G$27*0.5,AA207+Z208))</f>
        <v>-0.77968596486667407</v>
      </c>
      <c r="AB209" s="221"/>
      <c r="AC209" s="223">
        <f>$G$29*AA209</f>
        <v>-36.715945998348914</v>
      </c>
    </row>
    <row r="210" spans="21:29" x14ac:dyDescent="0.3">
      <c r="U210" s="213"/>
      <c r="V210" s="221">
        <f>(AA209+Z208/2)*$V$34</f>
        <v>-0.1340080585453387</v>
      </c>
      <c r="W210" s="221"/>
      <c r="X210" s="221">
        <f t="shared" ref="X210" si="146">W209+V210/2</f>
        <v>-0.640661266284974</v>
      </c>
      <c r="Y210" s="221"/>
      <c r="Z210" s="221">
        <f>-$V$35*(X210+Y209*((AA209+Z208/2)^2))</f>
        <v>1.0836255197972138E-2</v>
      </c>
      <c r="AA210" s="221"/>
      <c r="AB210" s="221">
        <f t="shared" ref="AB210" si="147">AA209+Z210/2</f>
        <v>-0.774267837267688</v>
      </c>
      <c r="AC210" s="213"/>
    </row>
    <row r="211" spans="21:29" x14ac:dyDescent="0.3">
      <c r="U211" s="220">
        <f>U209+$V$28</f>
        <v>16.999999999999972</v>
      </c>
      <c r="V211" s="221"/>
      <c r="W211" s="221">
        <f>IF(W209+V210&lt;0,(W209+V210)*0.8,W209+V210)</f>
        <v>-0.56613223644611466</v>
      </c>
      <c r="X211" s="221"/>
      <c r="Y211" s="221">
        <f>Y209*(AC211/AC209)^2</f>
        <v>1.0291466829824776E-2</v>
      </c>
      <c r="Z211" s="221"/>
      <c r="AA211" s="221">
        <f>IF(AND(ABS(AA209+Z210)&gt;$G$27*0.8,(AA209+Z210)&lt;0),-$G$27*0.5,IF(AND(ABS(AA209+Z210)&gt;$G$27*0.8,(AA209+Z210)&gt;0),$G$27*0.5,AA209+Z210))</f>
        <v>-0.76884970966870192</v>
      </c>
      <c r="AB211" s="221"/>
      <c r="AC211" s="223">
        <f>$G$29*AA211</f>
        <v>-36.2056593206336</v>
      </c>
    </row>
    <row r="212" spans="21:29" x14ac:dyDescent="0.3">
      <c r="U212" s="213"/>
      <c r="V212" s="221">
        <f>(AA211+Z210/2)*$V$34</f>
        <v>-0.13214435510240624</v>
      </c>
      <c r="W212" s="221"/>
      <c r="X212" s="221">
        <f t="shared" ref="X212" si="148">W211+V212/2</f>
        <v>-0.63220441399731775</v>
      </c>
      <c r="Y212" s="221"/>
      <c r="Z212" s="221">
        <f>-$V$35*(X212+Y211*((AA211+Z210/2)^2))</f>
        <v>1.0697686128011202E-2</v>
      </c>
      <c r="AA212" s="221"/>
      <c r="AB212" s="221">
        <f t="shared" ref="AB212" si="149">AA211+Z212/2</f>
        <v>-0.76350086660469629</v>
      </c>
      <c r="AC212" s="213"/>
    </row>
    <row r="213" spans="21:29" x14ac:dyDescent="0.3">
      <c r="U213" s="220">
        <f>U211+$V$28</f>
        <v>17.199999999999971</v>
      </c>
      <c r="V213" s="221"/>
      <c r="W213" s="221">
        <f>IF(W211+V212&lt;0,(W211+V212)*0.8,W211+V212)</f>
        <v>-0.55862127323881683</v>
      </c>
      <c r="X213" s="221"/>
      <c r="Y213" s="221">
        <f>Y211*(AC213/AC211)^2</f>
        <v>1.0007070655054229E-2</v>
      </c>
      <c r="Z213" s="221"/>
      <c r="AA213" s="221">
        <f>IF(AND(ABS(AA211+Z212)&gt;$G$27*0.8,(AA211+Z212)&lt;0),-$G$27*0.5,IF(AND(ABS(AA211+Z212)&gt;$G$27*0.8,(AA211+Z212)&gt;0),$G$27*0.5,AA211+Z212))</f>
        <v>-0.75815202354069067</v>
      </c>
      <c r="AB213" s="221"/>
      <c r="AC213" s="223">
        <f>$G$29*AA213</f>
        <v>-35.701897955311971</v>
      </c>
    </row>
    <row r="214" spans="21:29" x14ac:dyDescent="0.3">
      <c r="U214" s="213"/>
      <c r="V214" s="221">
        <f>(AA213+Z212/2)*$V$34</f>
        <v>-0.13030465746968217</v>
      </c>
      <c r="W214" s="221"/>
      <c r="X214" s="221">
        <f t="shared" ref="X214" si="150">W213+V214/2</f>
        <v>-0.62377360197365794</v>
      </c>
      <c r="Y214" s="221"/>
      <c r="Z214" s="221">
        <f>-$V$35*(X214+Y213*((AA213+Z212/2)^2))</f>
        <v>1.0559246392245682E-2</v>
      </c>
      <c r="AA214" s="221"/>
      <c r="AB214" s="221">
        <f t="shared" ref="AB214" si="151">AA213+Z214/2</f>
        <v>-0.75287240034456782</v>
      </c>
      <c r="AC214" s="213"/>
    </row>
    <row r="215" spans="21:29" x14ac:dyDescent="0.3">
      <c r="U215" s="220">
        <f>U213+$V$28</f>
        <v>17.39999999999997</v>
      </c>
      <c r="V215" s="221"/>
      <c r="W215" s="221">
        <f>IF(W213+V214&lt;0,(W213+V214)*0.8,W213+V214)</f>
        <v>-0.55114074456679918</v>
      </c>
      <c r="X215" s="221"/>
      <c r="Y215" s="221">
        <f>Y213*(AC215/AC213)^2</f>
        <v>9.7302626372586382E-3</v>
      </c>
      <c r="Z215" s="221"/>
      <c r="AA215" s="221">
        <f>IF(AND(ABS(AA213+Z214)&gt;$G$27*0.8,(AA213+Z214)&lt;0),-$G$27*0.5,IF(AND(ABS(AA213+Z214)&gt;$G$27*0.8,(AA213+Z214)&gt;0),$G$27*0.5,AA213+Z214))</f>
        <v>-0.74759277714844496</v>
      </c>
      <c r="AB215" s="221"/>
      <c r="AC215" s="223">
        <f>$G$29*AA215</f>
        <v>-35.2046558119482</v>
      </c>
    </row>
    <row r="216" spans="21:29" x14ac:dyDescent="0.3">
      <c r="U216" s="213"/>
      <c r="V216" s="221">
        <f>(AA215+Z214/2)*$V$34</f>
        <v>-0.12848891153694122</v>
      </c>
      <c r="W216" s="221"/>
      <c r="X216" s="221">
        <f t="shared" ref="X216" si="152">W215+V216/2</f>
        <v>-0.61538520033526978</v>
      </c>
      <c r="Y216" s="221"/>
      <c r="Z216" s="221">
        <f>-$V$35*(X216+Y215*((AA215+Z214/2)^2))</f>
        <v>1.0421231503772376E-2</v>
      </c>
      <c r="AA216" s="221"/>
      <c r="AB216" s="221">
        <f t="shared" ref="AB216" si="153">AA215+Z216/2</f>
        <v>-0.74238216139655877</v>
      </c>
      <c r="AC216" s="213"/>
    </row>
    <row r="217" spans="21:29" x14ac:dyDescent="0.3">
      <c r="U217" s="220">
        <f>U215+$V$28</f>
        <v>17.599999999999969</v>
      </c>
      <c r="V217" s="221"/>
      <c r="W217" s="221">
        <f>IF(W215+V216&lt;0,(W215+V216)*0.8,W215+V216)</f>
        <v>-0.54370372488299235</v>
      </c>
      <c r="X217" s="221"/>
      <c r="Y217" s="221">
        <f>Y215*(AC217/AC215)^2</f>
        <v>9.4608791713377306E-3</v>
      </c>
      <c r="Z217" s="221"/>
      <c r="AA217" s="221">
        <f>IF(AND(ABS(AA215+Z216)&gt;$G$27*0.8,(AA215+Z216)&lt;0),-$G$27*0.5,IF(AND(ABS(AA215+Z216)&gt;$G$27*0.8,(AA215+Z216)&gt;0),$G$27*0.5,AA215+Z216))</f>
        <v>-0.73717154564467258</v>
      </c>
      <c r="AB217" s="221"/>
      <c r="AC217" s="223">
        <f>$G$29*AA217</f>
        <v>-34.713912884192375</v>
      </c>
    </row>
    <row r="218" spans="21:29" x14ac:dyDescent="0.3">
      <c r="U218" s="213"/>
      <c r="V218" s="221">
        <f>(AA217+Z216/2)*$V$34</f>
        <v>-0.12669701819069762</v>
      </c>
      <c r="W218" s="221"/>
      <c r="X218" s="221">
        <f t="shared" ref="X218" si="154">W217+V218/2</f>
        <v>-0.60705223397834118</v>
      </c>
      <c r="Y218" s="221"/>
      <c r="Z218" s="221">
        <f>-$V$35*(X218+Y217*((AA217+Z216/2)^2))</f>
        <v>1.0283879230227619E-2</v>
      </c>
      <c r="AA218" s="221"/>
      <c r="AB218" s="221">
        <f t="shared" ref="AB218" si="155">AA217+Z218/2</f>
        <v>-0.7320296060295588</v>
      </c>
      <c r="AC218" s="213"/>
    </row>
    <row r="219" spans="21:29" x14ac:dyDescent="0.3">
      <c r="U219" s="220">
        <f>U217+$V$28</f>
        <v>17.799999999999969</v>
      </c>
      <c r="V219" s="221"/>
      <c r="W219" s="221">
        <f>IF(W217+V218&lt;0,(W217+V218)*0.8,W217+V218)</f>
        <v>-0.53632059445895208</v>
      </c>
      <c r="X219" s="221"/>
      <c r="Y219" s="221">
        <f>Y217*(AC219/AC217)^2</f>
        <v>9.1987532447794472E-3</v>
      </c>
      <c r="Z219" s="221"/>
      <c r="AA219" s="221">
        <f>IF(AND(ABS(AA217+Z218)&gt;$G$27*0.8,(AA217+Z218)&lt;0),-$G$27*0.5,IF(AND(ABS(AA217+Z218)&gt;$G$27*0.8,(AA217+Z218)&gt;0),$G$27*0.5,AA217+Z218))</f>
        <v>-0.72688766641444491</v>
      </c>
      <c r="AB219" s="221"/>
      <c r="AC219" s="223">
        <f>$G$29*AA219</f>
        <v>-34.229637969053755</v>
      </c>
    </row>
    <row r="220" spans="21:29" x14ac:dyDescent="0.3">
      <c r="U220" s="213"/>
      <c r="V220" s="221">
        <f>(AA219+Z218/2)*$V$34</f>
        <v>-0.12492884215930378</v>
      </c>
      <c r="W220" s="221"/>
      <c r="X220" s="221">
        <f t="shared" ref="X220" si="156">W219+V220/2</f>
        <v>-0.59878501553860397</v>
      </c>
      <c r="Y220" s="221"/>
      <c r="Z220" s="221">
        <f>-$V$35*(X220+Y219*((AA219+Z218/2)^2))</f>
        <v>1.0147380384916947E-2</v>
      </c>
      <c r="AA220" s="221"/>
      <c r="AB220" s="221">
        <f t="shared" ref="AB220" si="157">AA219+Z220/2</f>
        <v>-0.7218139762219864</v>
      </c>
      <c r="AC220" s="213"/>
    </row>
    <row r="221" spans="21:29" x14ac:dyDescent="0.3">
      <c r="U221" s="220">
        <f>U219+$V$28</f>
        <v>17.999999999999968</v>
      </c>
      <c r="V221" s="221"/>
      <c r="W221" s="221">
        <f>IF(W219+V220&lt;0,(W219+V220)*0.8,W219+V220)</f>
        <v>-0.52899954929460469</v>
      </c>
      <c r="X221" s="221"/>
      <c r="Y221" s="221">
        <f>Y219*(AC221/AC219)^2</f>
        <v>8.9437160091295851E-3</v>
      </c>
      <c r="Z221" s="221"/>
      <c r="AA221" s="221">
        <f>IF(AND(ABS(AA219+Z220)&gt;$G$27*0.8,(AA219+Z220)&lt;0),-$G$27*0.5,IF(AND(ABS(AA219+Z220)&gt;$G$27*0.8,(AA219+Z220)&gt;0),$G$27*0.5,AA219+Z220))</f>
        <v>-0.716740286029528</v>
      </c>
      <c r="AB221" s="221"/>
      <c r="AC221" s="223">
        <f>$G$29*AA221</f>
        <v>-33.751790878012393</v>
      </c>
    </row>
    <row r="222" spans="21:29" x14ac:dyDescent="0.3">
      <c r="U222" s="213"/>
      <c r="V222" s="221">
        <f>(AA221+Z220/2)*$V$34</f>
        <v>-0.12318421920646511</v>
      </c>
      <c r="W222" s="221"/>
      <c r="X222" s="221">
        <f t="shared" ref="X222" si="158">W221+V222/2</f>
        <v>-0.59059165889783727</v>
      </c>
      <c r="Y222" s="221"/>
      <c r="Z222" s="221">
        <f>-$V$35*(X222+Y221*((AA221+Z220/2)^2))</f>
        <v>1.0011887589983981E-2</v>
      </c>
      <c r="AA222" s="221"/>
      <c r="AB222" s="221">
        <f t="shared" ref="AB222" si="159">AA221+Z222/2</f>
        <v>-0.71173434223453602</v>
      </c>
      <c r="AC222" s="213"/>
    </row>
    <row r="223" spans="21:29" x14ac:dyDescent="0.3">
      <c r="U223" s="220">
        <f>U221+$V$28</f>
        <v>18.199999999999967</v>
      </c>
      <c r="V223" s="221"/>
      <c r="W223" s="221">
        <f>IF(W221+V222&lt;0,(W221+V222)*0.8,W221+V222)</f>
        <v>-0.52174701480085595</v>
      </c>
      <c r="X223" s="221"/>
      <c r="Y223" s="221">
        <f>Y221*(AC223/AC221)^2</f>
        <v>8.6955980207737392E-3</v>
      </c>
      <c r="Z223" s="221"/>
      <c r="AA223" s="221">
        <f>IF(AND(ABS(AA221+Z222)&gt;$G$27*0.8,(AA221+Z222)&lt;0),-$G$27*0.5,IF(AND(ABS(AA221+Z222)&gt;$G$27*0.8,(AA221+Z222)&gt;0),$G$27*0.5,AA221+Z222))</f>
        <v>-0.70672839843954405</v>
      </c>
      <c r="AB223" s="221"/>
      <c r="AC223" s="223">
        <f>$G$29*AA223</f>
        <v>-33.280324235467084</v>
      </c>
    </row>
    <row r="224" spans="21:29" x14ac:dyDescent="0.3">
      <c r="U224" s="213"/>
      <c r="V224" s="221">
        <f>(AA223+Z222/2)*$V$34</f>
        <v>-0.12146296198342756</v>
      </c>
      <c r="W224" s="221"/>
      <c r="X224" s="221">
        <f t="shared" ref="X224" si="160">W223+V224/2</f>
        <v>-0.58247849579256972</v>
      </c>
      <c r="Y224" s="221"/>
      <c r="Z224" s="221">
        <f>-$V$35*(X224+Y223*((AA223+Z222/2)^2))</f>
        <v>9.8775223938227415E-3</v>
      </c>
      <c r="AA224" s="221"/>
      <c r="AB224" s="221">
        <f t="shared" ref="AB224" si="161">AA223+Z224/2</f>
        <v>-0.70178963724263266</v>
      </c>
      <c r="AC224" s="213"/>
    </row>
    <row r="225" spans="21:29" x14ac:dyDescent="0.3">
      <c r="U225" s="220">
        <f>U223+$V$28</f>
        <v>18.399999999999967</v>
      </c>
      <c r="V225" s="221"/>
      <c r="W225" s="221">
        <f>IF(W223+V224&lt;0,(W223+V224)*0.8,W223+V224)</f>
        <v>-0.51456798142742677</v>
      </c>
      <c r="X225" s="221"/>
      <c r="Y225" s="221">
        <f>Y223*(AC225/AC223)^2</f>
        <v>8.4542302169294033E-3</v>
      </c>
      <c r="Z225" s="221"/>
      <c r="AA225" s="221">
        <f>IF(AND(ABS(AA223+Z224)&gt;$G$27*0.8,(AA223+Z224)&lt;0),-$G$27*0.5,IF(AND(ABS(AA223+Z224)&gt;$G$27*0.8,(AA223+Z224)&gt;0),$G$27*0.5,AA223+Z224))</f>
        <v>-0.69685087604572127</v>
      </c>
      <c r="AB225" s="221"/>
      <c r="AC225" s="223">
        <f>$G$29*AA225</f>
        <v>-32.815184942019506</v>
      </c>
    </row>
    <row r="226" spans="21:29" x14ac:dyDescent="0.3">
      <c r="U226" s="213"/>
      <c r="V226" s="221">
        <f>(AA225+Z224/2)*$V$34</f>
        <v>-0.1197648647916278</v>
      </c>
      <c r="W226" s="221"/>
      <c r="X226" s="221">
        <f t="shared" ref="X226" si="162">W225+V226/2</f>
        <v>-0.57445041382324069</v>
      </c>
      <c r="Y226" s="221"/>
      <c r="Z226" s="221">
        <f>-$V$35*(X226+Y225*((AA225+Z224/2)^2))</f>
        <v>9.744381052847171E-3</v>
      </c>
      <c r="AA226" s="221"/>
      <c r="AB226" s="221">
        <f t="shared" ref="AB226" si="163">AA225+Z226/2</f>
        <v>-0.69197868551929764</v>
      </c>
      <c r="AC226" s="213"/>
    </row>
    <row r="227" spans="21:29" x14ac:dyDescent="0.3">
      <c r="U227" s="220">
        <f>U225+$V$28</f>
        <v>18.599999999999966</v>
      </c>
      <c r="V227" s="221"/>
      <c r="W227" s="221">
        <f>IF(W225+V226&lt;0,(W225+V226)*0.8,W225+V226)</f>
        <v>-0.50746627697524371</v>
      </c>
      <c r="X227" s="221"/>
      <c r="Y227" s="221">
        <f>Y225*(AC227/AC225)^2</f>
        <v>8.2194446796640865E-3</v>
      </c>
      <c r="Z227" s="221"/>
      <c r="AA227" s="221">
        <f>IF(AND(ABS(AA225+Z226)&gt;$G$27*0.8,(AA225+Z226)&lt;0),-$G$27*0.5,IF(AND(ABS(AA225+Z226)&gt;$G$27*0.8,(AA225+Z226)&gt;0),$G$27*0.5,AA225+Z226))</f>
        <v>-0.68710649499287413</v>
      </c>
      <c r="AB227" s="221"/>
      <c r="AC227" s="223">
        <f>$G$29*AA227</f>
        <v>-32.3563153654909</v>
      </c>
    </row>
    <row r="228" spans="21:29" x14ac:dyDescent="0.3">
      <c r="U228" s="213"/>
      <c r="V228" s="221">
        <f>(AA227+Z226/2)*$V$34</f>
        <v>-0.11808970746015725</v>
      </c>
      <c r="W228" s="221"/>
      <c r="X228" s="221">
        <f t="shared" ref="X228" si="164">W227+V228/2</f>
        <v>-0.56651113070532233</v>
      </c>
      <c r="Y228" s="221"/>
      <c r="Z228" s="221">
        <f>-$V$35*(X228+Y227*((AA227+Z226/2)^2))</f>
        <v>9.612539229240713E-3</v>
      </c>
      <c r="AA228" s="221"/>
      <c r="AB228" s="221">
        <f t="shared" ref="AB228" si="165">AA227+Z228/2</f>
        <v>-0.68230022537825374</v>
      </c>
      <c r="AC228" s="213"/>
    </row>
    <row r="229" spans="21:29" x14ac:dyDescent="0.3">
      <c r="U229" s="220">
        <f>U227+$V$28</f>
        <v>18.799999999999965</v>
      </c>
      <c r="V229" s="221"/>
      <c r="W229" s="221">
        <f>IF(W227+V228&lt;0,(W227+V228)*0.8,W227+V228)</f>
        <v>-0.50044478754832078</v>
      </c>
      <c r="X229" s="221"/>
      <c r="Y229" s="221">
        <f>Y227*(AC229/AC227)^2</f>
        <v>7.9910752302661085E-3</v>
      </c>
      <c r="Z229" s="221"/>
      <c r="AA229" s="221">
        <f>IF(AND(ABS(AA227+Z228)&gt;$G$27*0.8,(AA227+Z228)&lt;0),-$G$27*0.5,IF(AND(ABS(AA227+Z228)&gt;$G$27*0.8,(AA227+Z228)&gt;0),$G$27*0.5,AA227+Z228))</f>
        <v>-0.67749395576363347</v>
      </c>
      <c r="AB229" s="221"/>
      <c r="AC229" s="223">
        <f>$G$29*AA229</f>
        <v>-31.903654310718466</v>
      </c>
    </row>
    <row r="230" spans="21:29" x14ac:dyDescent="0.3">
      <c r="U230" s="213"/>
      <c r="V230" s="221">
        <f>(AA229+Z228/2)*$V$34</f>
        <v>-0.11643725850389781</v>
      </c>
      <c r="W230" s="221"/>
      <c r="X230" s="221">
        <f t="shared" ref="X230" si="166">W229+V230/2</f>
        <v>-0.55866341680026965</v>
      </c>
      <c r="Y230" s="221"/>
      <c r="Z230" s="221">
        <f>-$V$35*(X230+Y229*((AA229+Z228/2)^2))</f>
        <v>9.482055808851789E-3</v>
      </c>
      <c r="AA230" s="221"/>
      <c r="AB230" s="221">
        <f t="shared" ref="AB230" si="167">AA229+Z230/2</f>
        <v>-0.67275292785920759</v>
      </c>
      <c r="AC230" s="213"/>
    </row>
    <row r="231" spans="21:29" x14ac:dyDescent="0.3">
      <c r="U231" s="220">
        <f>U229+$V$28</f>
        <v>18.999999999999964</v>
      </c>
      <c r="V231" s="221"/>
      <c r="W231" s="221">
        <f>IF(W229+V230&lt;0,(W229+V230)*0.8,W229+V230)</f>
        <v>-0.49350563684177495</v>
      </c>
      <c r="X231" s="221"/>
      <c r="Y231" s="221">
        <f>Y229*(AC231/AC229)^2</f>
        <v>7.7689578878868204E-3</v>
      </c>
      <c r="Z231" s="221"/>
      <c r="AA231" s="221">
        <f>IF(AND(ABS(AA229+Z230)&gt;$G$27*0.8,(AA229+Z230)&lt;0),-$G$27*0.5,IF(AND(ABS(AA229+Z230)&gt;$G$27*0.8,(AA229+Z230)&gt;0),$G$27*0.5,AA229+Z230))</f>
        <v>-0.66801189995478172</v>
      </c>
      <c r="AB231" s="221"/>
      <c r="AC231" s="223">
        <f>$G$29*AA231</f>
        <v>-31.457137809564486</v>
      </c>
    </row>
    <row r="232" spans="21:29" x14ac:dyDescent="0.3">
      <c r="U232" s="213"/>
      <c r="V232" s="221">
        <f>(AA231+Z230/2)*$V$34</f>
        <v>-0.11480727769695673</v>
      </c>
      <c r="W232" s="221"/>
      <c r="X232" s="221">
        <f t="shared" ref="X232" si="168">W231+V232/2</f>
        <v>-0.55090927569025328</v>
      </c>
      <c r="Y232" s="221"/>
      <c r="Z232" s="221">
        <f>-$V$35*(X232+Y231*((AA231+Z230/2)^2))</f>
        <v>9.3529760048966584E-3</v>
      </c>
      <c r="AA232" s="221"/>
      <c r="AB232" s="221">
        <f t="shared" ref="AB232" si="169">AA231+Z232/2</f>
        <v>-0.66333541195233336</v>
      </c>
      <c r="AC232" s="213"/>
    </row>
    <row r="233" spans="21:29" x14ac:dyDescent="0.3">
      <c r="U233" s="220">
        <f>U231+$V$28</f>
        <v>19.199999999999964</v>
      </c>
      <c r="V233" s="221"/>
      <c r="W233" s="221">
        <f>IF(W231+V232&lt;0,(W231+V232)*0.8,W231+V232)</f>
        <v>-0.48665033163098537</v>
      </c>
      <c r="X233" s="221"/>
      <c r="Y233" s="221">
        <f>Y231*(AC233/AC231)^2</f>
        <v>7.5529312196346201E-3</v>
      </c>
      <c r="Z233" s="221"/>
      <c r="AA233" s="221">
        <f>IF(AND(ABS(AA231+Z232)&gt;$G$27*0.8,(AA231+Z232)&lt;0),-$G$27*0.5,IF(AND(ABS(AA231+Z232)&gt;$G$27*0.8,(AA231+Z232)&gt;0),$G$27*0.5,AA231+Z232))</f>
        <v>-0.65865892394988501</v>
      </c>
      <c r="AB233" s="221"/>
      <c r="AC233" s="223">
        <f>$G$29*AA233</f>
        <v>-31.016699764769925</v>
      </c>
    </row>
    <row r="234" spans="21:29" x14ac:dyDescent="0.3">
      <c r="U234" s="213"/>
      <c r="V234" s="221">
        <f>(AA233+Z232/2)*$V$34</f>
        <v>-0.11319951817068384</v>
      </c>
      <c r="W234" s="221"/>
      <c r="X234" s="221">
        <f t="shared" ref="X234" si="170">W233+V234/2</f>
        <v>-0.54325009071632724</v>
      </c>
      <c r="Y234" s="221"/>
      <c r="Z234" s="221">
        <f>-$V$35*(X234+Y233*((AA233+Z232/2)^2))</f>
        <v>9.2253338818903338E-3</v>
      </c>
      <c r="AA234" s="221"/>
      <c r="AB234" s="221">
        <f t="shared" ref="AB234" si="171">AA233+Z234/2</f>
        <v>-0.65404625700893981</v>
      </c>
      <c r="AC234" s="213"/>
    </row>
    <row r="235" spans="21:29" x14ac:dyDescent="0.3">
      <c r="U235" s="220">
        <f>U233+$V$28</f>
        <v>19.399999999999963</v>
      </c>
      <c r="V235" s="221"/>
      <c r="W235" s="221">
        <f>IF(W233+V234&lt;0,(W233+V234)*0.8,W233+V234)</f>
        <v>-0.4798798798413354</v>
      </c>
      <c r="X235" s="221"/>
      <c r="Y235" s="221">
        <f>Y233*(AC235/AC233)^2</f>
        <v>7.3428366039017864E-3</v>
      </c>
      <c r="Z235" s="221"/>
      <c r="AA235" s="221">
        <f>IF(AND(ABS(AA233+Z234)&gt;$G$27*0.8,(AA233+Z234)&lt;0),-$G$27*0.5,IF(AND(ABS(AA233+Z234)&gt;$G$27*0.8,(AA233+Z234)&gt;0),$G$27*0.5,AA233+Z234))</f>
        <v>-0.64943359006799473</v>
      </c>
      <c r="AB235" s="221"/>
      <c r="AC235" s="223">
        <f>$G$29*AA235</f>
        <v>-30.582272474954411</v>
      </c>
    </row>
    <row r="236" spans="21:29" x14ac:dyDescent="0.3">
      <c r="U236" s="213"/>
      <c r="V236" s="221">
        <f>(AA235+Z234/2)*$V$34</f>
        <v>-0.11161372812499258</v>
      </c>
      <c r="W236" s="221"/>
      <c r="X236" s="221">
        <f t="shared" ref="X236" si="172">W235+V236/2</f>
        <v>-0.53568674390383164</v>
      </c>
      <c r="Y236" s="221"/>
      <c r="Z236" s="221">
        <f>-$V$35*(X236+Y235*((AA235+Z234/2)^2))</f>
        <v>9.0991544088789948E-3</v>
      </c>
      <c r="AA236" s="221"/>
      <c r="AB236" s="221">
        <f t="shared" ref="AB236" si="173">AA235+Z236/2</f>
        <v>-0.64488401286355523</v>
      </c>
      <c r="AC236" s="213"/>
    </row>
    <row r="237" spans="21:29" x14ac:dyDescent="0.3">
      <c r="U237" s="220">
        <f>U235+$V$28</f>
        <v>19.599999999999962</v>
      </c>
      <c r="V237" s="221"/>
      <c r="W237" s="221">
        <f>IF(W235+V236&lt;0,(W235+V236)*0.8,W235+V236)</f>
        <v>-0.4731948863730624</v>
      </c>
      <c r="X237" s="221"/>
      <c r="Y237" s="221">
        <f>Y235*(AC237/AC235)^2</f>
        <v>7.138518424379155E-3</v>
      </c>
      <c r="Z237" s="221"/>
      <c r="AA237" s="221">
        <f>IF(AND(ABS(AA235+Z236)&gt;$G$27*0.8,(AA235+Z236)&lt;0),-$G$27*0.5,IF(AND(ABS(AA235+Z236)&gt;$G$27*0.8,(AA235+Z236)&gt;0),$G$27*0.5,AA235+Z236))</f>
        <v>-0.64033443565911574</v>
      </c>
      <c r="AB237" s="221"/>
      <c r="AC237" s="223">
        <f>$G$29*AA237</f>
        <v>-30.153787062928085</v>
      </c>
    </row>
    <row r="238" spans="21:29" x14ac:dyDescent="0.3">
      <c r="U238" s="213"/>
      <c r="V238" s="221">
        <f>(AA237+Z236/2)*$V$34</f>
        <v>-0.1100496522250184</v>
      </c>
      <c r="W238" s="221"/>
      <c r="X238" s="221">
        <f t="shared" ref="X238" si="174">W237+V238/2</f>
        <v>-0.52821971248557165</v>
      </c>
      <c r="Y238" s="221"/>
      <c r="Z238" s="221">
        <f>-$V$35*(X238+Y237*((AA237+Z236/2)^2))</f>
        <v>8.9744551304815866E-3</v>
      </c>
      <c r="AA238" s="221"/>
      <c r="AB238" s="221">
        <f t="shared" ref="AB238" si="175">AA237+Z238/2</f>
        <v>-0.63584720809387496</v>
      </c>
      <c r="AC238" s="213"/>
    </row>
    <row r="239" spans="21:29" x14ac:dyDescent="0.3">
      <c r="U239" s="220">
        <f>U237+$V$28</f>
        <v>19.799999999999962</v>
      </c>
      <c r="V239" s="221"/>
      <c r="W239" s="221">
        <f>IF(W237+V238&lt;0,(W237+V238)*0.8,W237+V238)</f>
        <v>-0.46659563087846467</v>
      </c>
      <c r="X239" s="221"/>
      <c r="Y239" s="221">
        <f>Y237*(AC239/AC237)^2</f>
        <v>6.9398242087478947E-3</v>
      </c>
      <c r="Z239" s="221"/>
      <c r="AA239" s="221">
        <f>IF(AND(ABS(AA237+Z238)&gt;$G$27*0.8,(AA237+Z238)&lt;0),-$G$27*0.5,IF(AND(ABS(AA237+Z238)&gt;$G$27*0.8,(AA237+Z238)&gt;0),$G$27*0.5,AA237+Z238))</f>
        <v>-0.63135998052863418</v>
      </c>
      <c r="AB239" s="221"/>
      <c r="AC239" s="223">
        <f>$G$29*AA239</f>
        <v>-29.731173825312975</v>
      </c>
    </row>
    <row r="240" spans="21:29" x14ac:dyDescent="0.3">
      <c r="U240" s="213"/>
      <c r="V240" s="221">
        <f>(AA239+Z238/2)*$V$34</f>
        <v>-0.10850703274160982</v>
      </c>
      <c r="W240" s="221"/>
      <c r="X240" s="221">
        <f t="shared" ref="X240" si="176">W239+V240/2</f>
        <v>-0.52084914724926956</v>
      </c>
      <c r="Y240" s="221"/>
      <c r="Z240" s="221">
        <f>-$V$35*(X240+Y239*((AA239+Z238/2)^2))</f>
        <v>8.8512475275624499E-3</v>
      </c>
      <c r="AA240" s="221"/>
      <c r="AB240" s="221">
        <f t="shared" ref="AB240" si="177">AA239+Z240/2</f>
        <v>-0.62693435676485298</v>
      </c>
      <c r="AC240" s="213"/>
    </row>
    <row r="241" spans="21:29" x14ac:dyDescent="0.3">
      <c r="U241" s="220">
        <f>U239+$V$28</f>
        <v>19.999999999999961</v>
      </c>
      <c r="V241" s="221"/>
      <c r="W241" s="221">
        <f>IF(W239+V240&lt;0,(W239+V240)*0.8,W239+V240)</f>
        <v>-0.46008213089605959</v>
      </c>
      <c r="X241" s="221"/>
      <c r="Y241" s="221">
        <f>Y239*(AC241/AC239)^2</f>
        <v>6.7466047232611192E-3</v>
      </c>
      <c r="Z241" s="221"/>
      <c r="AA241" s="221">
        <f>IF(AND(ABS(AA239+Z240)&gt;$G$27*0.8,(AA239+Z240)&lt;0),-$G$27*0.5,IF(AND(ABS(AA239+Z240)&gt;$G$27*0.8,(AA239+Z240)&gt;0),$G$27*0.5,AA239+Z240))</f>
        <v>-0.62250873300107168</v>
      </c>
      <c r="AB241" s="221"/>
      <c r="AC241" s="223">
        <f>$G$29*AA241</f>
        <v>-29.314362518089336</v>
      </c>
    </row>
    <row r="242" spans="21:29" x14ac:dyDescent="0.3">
      <c r="U242" s="213"/>
      <c r="V242" s="221">
        <f>(AA241+Z240/2)*$V$34</f>
        <v>-0.10698561048315823</v>
      </c>
      <c r="W242" s="221"/>
      <c r="X242" s="221">
        <f t="shared" ref="X242" si="178">W241+V242/2</f>
        <v>-0.51357493613763872</v>
      </c>
      <c r="Y242" s="221"/>
      <c r="Z242" s="221">
        <f>-$V$35*(X242+Y241*((AA241+Z240/2)^2))</f>
        <v>8.7295381258183646E-3</v>
      </c>
      <c r="AA242" s="221"/>
      <c r="AB242" s="221">
        <f t="shared" ref="AB242" si="179">AA241+Z242/2</f>
        <v>-0.61814396393816251</v>
      </c>
      <c r="AC242" s="213"/>
    </row>
    <row r="243" spans="21:29" x14ac:dyDescent="0.3">
      <c r="U243" s="220">
        <f>U241+$V$28</f>
        <v>20.19999999999996</v>
      </c>
      <c r="V243" s="221"/>
      <c r="W243" s="221">
        <f>IF(W241+V242&lt;0,(W241+V242)*0.8,W241+V242)</f>
        <v>-0.45365419310337424</v>
      </c>
      <c r="X243" s="221"/>
      <c r="Y243" s="221">
        <f>Y241*(AC243/AC241)^2</f>
        <v>6.5587140322038041E-3</v>
      </c>
      <c r="Z243" s="221"/>
      <c r="AA243" s="221">
        <f>IF(AND(ABS(AA241+Z242)&gt;$G$27*0.8,(AA241+Z242)&lt;0),-$G$27*0.5,IF(AND(ABS(AA241+Z242)&gt;$G$27*0.8,(AA241+Z242)&gt;0),$G$27*0.5,AA241+Z242))</f>
        <v>-0.61377919487525334</v>
      </c>
      <c r="AB243" s="221"/>
      <c r="AC243" s="223">
        <f>$G$29*AA243</f>
        <v>-28.903282589937902</v>
      </c>
    </row>
    <row r="244" spans="21:29" x14ac:dyDescent="0.3">
      <c r="U244" s="213"/>
      <c r="V244" s="221">
        <f>(AA243+Z242/2)*$V$34</f>
        <v>-0.10548512555735666</v>
      </c>
      <c r="W244" s="221"/>
      <c r="X244" s="221">
        <f t="shared" ref="X244" si="180">W243+V244/2</f>
        <v>-0.50639675588205257</v>
      </c>
      <c r="Y244" s="221"/>
      <c r="Z244" s="221">
        <f>-$V$35*(X244+Y243*((AA243+Z242/2)^2))</f>
        <v>8.6093293995791222E-3</v>
      </c>
      <c r="AA244" s="221"/>
      <c r="AB244" s="221">
        <f t="shared" ref="AB244" si="181">AA243+Z244/2</f>
        <v>-0.60947453017546382</v>
      </c>
      <c r="AC244" s="213"/>
    </row>
    <row r="245" spans="21:29" x14ac:dyDescent="0.3">
      <c r="U245" s="220">
        <f>U243+$V$28</f>
        <v>20.399999999999959</v>
      </c>
      <c r="V245" s="221"/>
      <c r="W245" s="221">
        <f>IF(W243+V244&lt;0,(W243+V244)*0.8,W243+V244)</f>
        <v>-0.44731145492858471</v>
      </c>
      <c r="X245" s="221"/>
      <c r="Y245" s="221">
        <f>Y243*(AC245/AC243)^2</f>
        <v>6.376009529437357E-3</v>
      </c>
      <c r="Z245" s="221"/>
      <c r="AA245" s="221">
        <f>IF(AND(ABS(AA243+Z244)&gt;$G$27*0.8,(AA243+Z244)&lt;0),-$G$27*0.5,IF(AND(ABS(AA243+Z244)&gt;$G$27*0.8,(AA243+Z244)&gt;0),$G$27*0.5,AA243+Z244))</f>
        <v>-0.6051698654756742</v>
      </c>
      <c r="AB245" s="221"/>
      <c r="AC245" s="223">
        <f>$G$29*AA245</f>
        <v>-28.497863373021513</v>
      </c>
    </row>
    <row r="246" spans="21:29" x14ac:dyDescent="0.3">
      <c r="U246" s="213"/>
      <c r="V246" s="221">
        <f>(AA245+Z244/2)*$V$34</f>
        <v>-0.10400531799424079</v>
      </c>
      <c r="W246" s="221"/>
      <c r="X246" s="221">
        <f t="shared" ref="X246" si="182">W245+V246/2</f>
        <v>-0.49931411392570513</v>
      </c>
      <c r="Y246" s="221"/>
      <c r="Z246" s="221">
        <f>-$V$35*(X246+Y245*((AA245+Z244/2)^2))</f>
        <v>8.4906205092083499E-3</v>
      </c>
      <c r="AA246" s="221"/>
      <c r="AB246" s="221">
        <f t="shared" ref="AB246" si="183">AA245+Z246/2</f>
        <v>-0.60092455522107002</v>
      </c>
      <c r="AC246" s="213"/>
    </row>
    <row r="247" spans="21:29" x14ac:dyDescent="0.3">
      <c r="U247" s="220">
        <f>U245+$V$28</f>
        <v>20.599999999999959</v>
      </c>
      <c r="V247" s="221"/>
      <c r="W247" s="221">
        <f>IF(W245+V246&lt;0,(W245+V246)*0.8,W245+V246)</f>
        <v>-0.44105341833826039</v>
      </c>
      <c r="X247" s="221"/>
      <c r="Y247" s="221">
        <f>Y245*(AC247/AC245)^2</f>
        <v>6.1983519478075221E-3</v>
      </c>
      <c r="Z247" s="221"/>
      <c r="AA247" s="221">
        <f>IF(AND(ABS(AA245+Z246)&gt;$G$27*0.8,(AA245+Z246)&lt;0),-$G$27*0.5,IF(AND(ABS(AA245+Z246)&gt;$G$27*0.8,(AA245+Z246)&gt;0),$G$27*0.5,AA245+Z246))</f>
        <v>-0.59667924496646585</v>
      </c>
      <c r="AB247" s="221"/>
      <c r="AC247" s="223">
        <f>$G$29*AA247</f>
        <v>-28.098034239042072</v>
      </c>
    </row>
    <row r="248" spans="21:29" x14ac:dyDescent="0.3">
      <c r="U248" s="213"/>
      <c r="V248" s="221">
        <f>(AA247+Z246/2)*$V$34</f>
        <v>-0.1025459282559926</v>
      </c>
      <c r="W248" s="221"/>
      <c r="X248" s="221">
        <f t="shared" ref="X248" si="184">W247+V248/2</f>
        <v>-0.49232638246625671</v>
      </c>
      <c r="Y248" s="221"/>
      <c r="Z248" s="221">
        <f>-$V$35*(X248+Y247*((AA247+Z246/2)^2))</f>
        <v>8.3734079032601466E-3</v>
      </c>
      <c r="AA248" s="221"/>
      <c r="AB248" s="221">
        <f t="shared" ref="AB248" si="185">AA247+Z248/2</f>
        <v>-0.59249254101483573</v>
      </c>
      <c r="AC248" s="213"/>
    </row>
    <row r="249" spans="21:29" x14ac:dyDescent="0.3">
      <c r="U249" s="220">
        <f>U247+$V$28</f>
        <v>20.799999999999958</v>
      </c>
      <c r="V249" s="221"/>
      <c r="W249" s="221">
        <f>IF(W247+V248&lt;0,(W247+V248)*0.8,W247+V248)</f>
        <v>-0.43487947727540244</v>
      </c>
      <c r="X249" s="221"/>
      <c r="Y249" s="221">
        <f>Y247*(AC249/AC247)^2</f>
        <v>6.0256053510501081E-3</v>
      </c>
      <c r="Z249" s="221"/>
      <c r="AA249" s="221">
        <f>IF(AND(ABS(AA247+Z248)&gt;$G$27*0.8,(AA247+Z248)&lt;0),-$G$27*0.5,IF(AND(ABS(AA247+Z248)&gt;$G$27*0.8,(AA247+Z248)&gt;0),$G$27*0.5,AA247+Z248))</f>
        <v>-0.58830583706320572</v>
      </c>
      <c r="AB249" s="221"/>
      <c r="AC249" s="223">
        <f>$G$29*AA249</f>
        <v>-27.703724726941495</v>
      </c>
    </row>
    <row r="250" spans="21:29" x14ac:dyDescent="0.3">
      <c r="U250" s="213"/>
      <c r="V250" s="221">
        <f>(AA249+Z248/2)*$V$34</f>
        <v>-0.10110669765422019</v>
      </c>
      <c r="W250" s="221"/>
      <c r="X250" s="221">
        <f t="shared" ref="X250" si="186">W249+V250/2</f>
        <v>-0.48543282610251254</v>
      </c>
      <c r="Y250" s="221"/>
      <c r="Z250" s="221">
        <f>-$V$35*(X250+Y249*((AA249+Z248/2)^2))</f>
        <v>8.2576858106799718E-3</v>
      </c>
      <c r="AA250" s="221"/>
      <c r="AB250" s="221">
        <f t="shared" ref="AB250" si="187">AA249+Z250/2</f>
        <v>-0.58417699415786573</v>
      </c>
      <c r="AC250" s="213"/>
    </row>
    <row r="251" spans="21:29" x14ac:dyDescent="0.3">
      <c r="U251" s="220">
        <f>U249+$V$28</f>
        <v>20.999999999999957</v>
      </c>
      <c r="V251" s="221"/>
      <c r="W251" s="221">
        <f>IF(W249+V250&lt;0,(W249+V250)*0.8,W249+V250)</f>
        <v>-0.42878893994369816</v>
      </c>
      <c r="X251" s="221"/>
      <c r="Y251" s="221">
        <f>Y249*(AC251/AC249)^2</f>
        <v>5.8576371119122414E-3</v>
      </c>
      <c r="Z251" s="221"/>
      <c r="AA251" s="221">
        <f>IF(AND(ABS(AA249+Z250)&gt;$G$27*0.8,(AA249+Z250)&lt;0),-$G$27*0.5,IF(AND(ABS(AA249+Z250)&gt;$G$27*0.8,(AA249+Z250)&gt;0),$G$27*0.5,AA249+Z250))</f>
        <v>-0.58004815125252573</v>
      </c>
      <c r="AB251" s="221"/>
      <c r="AC251" s="223">
        <f>$G$29*AA251</f>
        <v>-27.314864647424603</v>
      </c>
    </row>
    <row r="252" spans="21:29" x14ac:dyDescent="0.3">
      <c r="U252" s="213"/>
      <c r="V252" s="221">
        <f>(AA251+Z250/2)*$V$34</f>
        <v>-9.9687368691557379E-2</v>
      </c>
      <c r="W252" s="221"/>
      <c r="X252" s="221">
        <f t="shared" ref="X252" si="188">W251+V252/2</f>
        <v>-0.47863262428947684</v>
      </c>
      <c r="Y252" s="221"/>
      <c r="Z252" s="221">
        <f>-$V$35*(X252+Y251*((AA251+Z250/2)^2))</f>
        <v>8.1434466435775579E-3</v>
      </c>
      <c r="AA252" s="221"/>
      <c r="AB252" s="221">
        <f t="shared" ref="AB252" si="189">AA251+Z252/2</f>
        <v>-0.575976427930737</v>
      </c>
      <c r="AC252" s="213"/>
    </row>
    <row r="253" spans="21:29" x14ac:dyDescent="0.3">
      <c r="U253" s="220">
        <f>U251+$V$28</f>
        <v>21.199999999999957</v>
      </c>
      <c r="V253" s="221"/>
      <c r="W253" s="221">
        <f>IF(W251+V252&lt;0,(W251+V252)*0.8,W251+V252)</f>
        <v>-0.42278104690820445</v>
      </c>
      <c r="X253" s="221"/>
      <c r="Y253" s="221">
        <f>Y251*(AC253/AC251)^2</f>
        <v>5.6943178794718894E-3</v>
      </c>
      <c r="Z253" s="221"/>
      <c r="AA253" s="221">
        <f>IF(AND(ABS(AA251+Z252)&gt;$G$27*0.8,(AA251+Z252)&lt;0),-$G$27*0.5,IF(AND(ABS(AA251+Z252)&gt;$G$27*0.8,(AA251+Z252)&gt;0),$G$27*0.5,AA251+Z252))</f>
        <v>-0.57190470460894816</v>
      </c>
      <c r="AB253" s="221"/>
      <c r="AC253" s="223">
        <f>$G$29*AA253</f>
        <v>-26.931384168515176</v>
      </c>
    </row>
    <row r="254" spans="21:29" x14ac:dyDescent="0.3">
      <c r="U254" s="213"/>
      <c r="V254" s="221">
        <f>(AA253+Z252/2)*$V$34</f>
        <v>-9.8287685341285999E-2</v>
      </c>
      <c r="W254" s="221"/>
      <c r="X254" s="221">
        <f t="shared" ref="X254" si="190">W253+V254/2</f>
        <v>-0.47192488957884743</v>
      </c>
      <c r="Y254" s="221"/>
      <c r="Z254" s="221">
        <f>-$V$35*(X254+Y253*((AA253+Z252/2)^2))</f>
        <v>8.030681327237001E-3</v>
      </c>
      <c r="AA254" s="221"/>
      <c r="AB254" s="221">
        <f t="shared" ref="AB254" si="191">AA253+Z254/2</f>
        <v>-0.56788936394532963</v>
      </c>
      <c r="AC254" s="213"/>
    </row>
    <row r="255" spans="21:29" x14ac:dyDescent="0.3">
      <c r="U255" s="220">
        <f>U253+$V$28</f>
        <v>21.399999999999956</v>
      </c>
      <c r="V255" s="221"/>
      <c r="W255" s="221">
        <f>IF(W253+V254&lt;0,(W253+V254)*0.8,W253+V254)</f>
        <v>-0.4168549857995924</v>
      </c>
      <c r="X255" s="221"/>
      <c r="Y255" s="221">
        <f>Y253*(AC255/AC253)^2</f>
        <v>5.535521538049171E-3</v>
      </c>
      <c r="Z255" s="221"/>
      <c r="AA255" s="221">
        <f>IF(AND(ABS(AA253+Z254)&gt;$G$27*0.8,(AA253+Z254)&lt;0),-$G$27*0.5,IF(AND(ABS(AA253+Z254)&gt;$G$27*0.8,(AA253+Z254)&gt;0),$G$27*0.5,AA253+Z254))</f>
        <v>-0.5638740232817111</v>
      </c>
      <c r="AB255" s="221"/>
      <c r="AC255" s="223">
        <f>$G$29*AA255</f>
        <v>-26.553213885571576</v>
      </c>
    </row>
    <row r="256" spans="21:29" x14ac:dyDescent="0.3">
      <c r="U256" s="213"/>
      <c r="V256" s="221">
        <f>(AA255+Z254/2)*$V$34</f>
        <v>-9.6907393276133291E-2</v>
      </c>
      <c r="W256" s="221"/>
      <c r="X256" s="221">
        <f t="shared" ref="X256" si="192">W255+V256/2</f>
        <v>-0.46530868243765905</v>
      </c>
      <c r="Y256" s="221"/>
      <c r="Z256" s="221">
        <f>-$V$35*(X256+Y255*((AA255+Z254/2)^2))</f>
        <v>7.9193795708948928E-3</v>
      </c>
      <c r="AA256" s="221"/>
      <c r="AB256" s="221">
        <f t="shared" ref="AB256" si="193">AA255+Z256/2</f>
        <v>-0.55991433349626363</v>
      </c>
      <c r="AC256" s="213"/>
    </row>
    <row r="257" spans="21:29" x14ac:dyDescent="0.3">
      <c r="U257" s="220">
        <f>U255+$V$28</f>
        <v>21.599999999999955</v>
      </c>
      <c r="V257" s="221"/>
      <c r="W257" s="221">
        <f>IF(W255+V256&lt;0,(W255+V256)*0.8,W255+V256)</f>
        <v>-0.41100990326058062</v>
      </c>
      <c r="X257" s="221"/>
      <c r="Y257" s="221">
        <f>Y255*(AC257/AC255)^2</f>
        <v>5.3811251596305142E-3</v>
      </c>
      <c r="Z257" s="221"/>
      <c r="AA257" s="221">
        <f>IF(AND(ABS(AA255+Z256)&gt;$G$27*0.8,(AA255+Z256)&lt;0),-$G$27*0.5,IF(AND(ABS(AA255+Z256)&gt;$G$27*0.8,(AA255+Z256)&gt;0),$G$27*0.5,AA255+Z256))</f>
        <v>-0.55595464371081615</v>
      </c>
      <c r="AB257" s="221"/>
      <c r="AC257" s="223">
        <f>$G$29*AA257</f>
        <v>-26.180284878551259</v>
      </c>
    </row>
    <row r="258" spans="21:29" x14ac:dyDescent="0.3">
      <c r="U258" s="213"/>
      <c r="V258" s="221">
        <f>(AA257+Z256/2)*$V$34</f>
        <v>-9.5546240055325873E-2</v>
      </c>
      <c r="W258" s="221"/>
      <c r="X258" s="221">
        <f t="shared" ref="X258" si="194">W257+V258/2</f>
        <v>-0.45878302328824355</v>
      </c>
      <c r="Y258" s="221"/>
      <c r="Z258" s="221">
        <f>-$V$35*(X258+Y257*((AA257+Z256/2)^2))</f>
        <v>7.8095300902740628E-3</v>
      </c>
      <c r="AA258" s="221"/>
      <c r="AB258" s="221">
        <f t="shared" ref="AB258" si="195">AA257+Z258/2</f>
        <v>-0.55204987866567912</v>
      </c>
      <c r="AC258" s="213"/>
    </row>
    <row r="259" spans="21:29" x14ac:dyDescent="0.3">
      <c r="U259" s="220">
        <f>U257+$V$28</f>
        <v>21.799999999999955</v>
      </c>
      <c r="V259" s="221"/>
      <c r="W259" s="221">
        <f>IF(W257+V258&lt;0,(W257+V258)*0.8,W257+V258)</f>
        <v>-0.40524491465272522</v>
      </c>
      <c r="X259" s="221"/>
      <c r="Y259" s="221">
        <f>Y257*(AC259/AC257)^2</f>
        <v>5.2310089513476488E-3</v>
      </c>
      <c r="Z259" s="221"/>
      <c r="AA259" s="221">
        <f>IF(AND(ABS(AA257+Z258)&gt;$G$27*0.8,(AA257+Z258)&lt;0),-$G$27*0.5,IF(AND(ABS(AA257+Z258)&gt;$G$27*0.8,(AA257+Z258)&gt;0),$G$27*0.5,AA257+Z258))</f>
        <v>-0.54814511362054208</v>
      </c>
      <c r="AB259" s="221"/>
      <c r="AC259" s="223">
        <f>$G$29*AA259</f>
        <v>-25.812528758796024</v>
      </c>
    </row>
    <row r="260" spans="21:29" x14ac:dyDescent="0.3">
      <c r="U260" s="213"/>
      <c r="V260" s="221">
        <f>(AA259+Z258/2)*$V$34</f>
        <v>-9.4203975277300178E-2</v>
      </c>
      <c r="W260" s="221"/>
      <c r="X260" s="221">
        <f t="shared" ref="X260" si="196">W259+V260/2</f>
        <v>-0.45234690229137531</v>
      </c>
      <c r="Y260" s="221"/>
      <c r="Z260" s="221">
        <f>-$V$35*(X260+Y259*((AA259+Z258/2)^2))</f>
        <v>7.7011207907967914E-3</v>
      </c>
      <c r="AA260" s="221"/>
      <c r="AB260" s="221">
        <f t="shared" ref="AB260" si="197">AA259+Z260/2</f>
        <v>-0.54429455322514364</v>
      </c>
      <c r="AC260" s="213"/>
    </row>
    <row r="261" spans="21:29" x14ac:dyDescent="0.3">
      <c r="U261" s="220">
        <f>U259+$V$28</f>
        <v>21.999999999999954</v>
      </c>
      <c r="V261" s="221"/>
      <c r="W261" s="221">
        <f>IF(W259+V260&lt;0,(W259+V260)*0.8,W259+V260)</f>
        <v>-0.39955911194402033</v>
      </c>
      <c r="X261" s="221"/>
      <c r="Y261" s="221">
        <f>Y259*(AC261/AC259)^2</f>
        <v>5.0850561992492648E-3</v>
      </c>
      <c r="Z261" s="221"/>
      <c r="AA261" s="221">
        <f>IF(AND(ABS(AA259+Z260)&gt;$G$27*0.8,(AA259+Z260)&lt;0),-$G$27*0.5,IF(AND(ABS(AA259+Z260)&gt;$G$27*0.8,(AA259+Z260)&gt;0),$G$27*0.5,AA259+Z260))</f>
        <v>-0.54044399282974531</v>
      </c>
      <c r="AB261" s="221"/>
      <c r="AC261" s="223">
        <f>$G$29*AA261</f>
        <v>-25.449877707189618</v>
      </c>
    </row>
    <row r="262" spans="21:29" x14ac:dyDescent="0.3">
      <c r="U262" s="213"/>
      <c r="V262" s="221">
        <f>(AA261+Z260/2)*$V$34</f>
        <v>-9.2880350704102957E-2</v>
      </c>
      <c r="W262" s="221"/>
      <c r="X262" s="221">
        <f t="shared" ref="X262" si="198">W261+V262/2</f>
        <v>-0.4459992872960718</v>
      </c>
      <c r="Y262" s="221"/>
      <c r="Z262" s="221">
        <f>-$V$35*(X262+Y261*((AA261+Z260/2)^2))</f>
        <v>7.5941389187265829E-3</v>
      </c>
      <c r="AA262" s="221"/>
      <c r="AB262" s="221">
        <f t="shared" ref="AB262" si="199">AA261+Z262/2</f>
        <v>-0.536646923370382</v>
      </c>
      <c r="AC262" s="213"/>
    </row>
    <row r="263" spans="21:29" x14ac:dyDescent="0.3">
      <c r="U263" s="220">
        <f>U261+$V$28</f>
        <v>22.199999999999953</v>
      </c>
      <c r="V263" s="221"/>
      <c r="W263" s="221">
        <f>IF(W261+V262&lt;0,(W261+V262)*0.8,W261+V262)</f>
        <v>-0.39395157011849863</v>
      </c>
      <c r="X263" s="221"/>
      <c r="Y263" s="221">
        <f>Y261*(AC263/AC261)^2</f>
        <v>4.9431532093590028E-3</v>
      </c>
      <c r="Z263" s="221"/>
      <c r="AA263" s="221">
        <f>IF(AND(ABS(AA261+Z262)&gt;$G$27*0.8,(AA261+Z262)&lt;0),-$G$27*0.5,IF(AND(ABS(AA261+Z262)&gt;$G$27*0.8,(AA261+Z262)&gt;0),$G$27*0.5,AA261+Z262))</f>
        <v>-0.53284985391101869</v>
      </c>
      <c r="AB263" s="221"/>
      <c r="AC263" s="223">
        <f>$G$29*AA263</f>
        <v>-25.09226450519796</v>
      </c>
    </row>
    <row r="264" spans="21:29" x14ac:dyDescent="0.3">
      <c r="U264" s="213"/>
      <c r="V264" s="221">
        <f>(AA263+Z262/2)*$V$34</f>
        <v>-9.1575120362406101E-2</v>
      </c>
      <c r="W264" s="221"/>
      <c r="X264" s="221">
        <f t="shared" ref="X264" si="200">W263+V264/2</f>
        <v>-0.43973913029970169</v>
      </c>
      <c r="Y264" s="221"/>
      <c r="Z264" s="221">
        <f>-$V$35*(X264+Y263*((AA263+Z262/2)^2))</f>
        <v>7.4885711861285139E-3</v>
      </c>
      <c r="AA264" s="221"/>
      <c r="AB264" s="221">
        <f t="shared" ref="AB264" si="201">AA263+Z264/2</f>
        <v>-0.52910556831795441</v>
      </c>
      <c r="AC264" s="213"/>
    </row>
    <row r="265" spans="21:29" x14ac:dyDescent="0.3">
      <c r="U265" s="220">
        <f>U263+$V$28</f>
        <v>22.399999999999952</v>
      </c>
      <c r="V265" s="221"/>
      <c r="W265" s="221">
        <f>IF(W263+V264&lt;0,(W263+V264)*0.8,W263+V264)</f>
        <v>-0.38842135238472381</v>
      </c>
      <c r="X265" s="221"/>
      <c r="Y265" s="221">
        <f>Y263*(AC265/AC263)^2</f>
        <v>4.8051892468173197E-3</v>
      </c>
      <c r="Z265" s="221"/>
      <c r="AA265" s="221">
        <f>IF(AND(ABS(AA263+Z264)&gt;$G$27*0.8,(AA263+Z264)&lt;0),-$G$27*0.5,IF(AND(ABS(AA263+Z264)&gt;$G$27*0.8,(AA263+Z264)&gt;0),$G$27*0.5,AA263+Z264))</f>
        <v>-0.52536128272489013</v>
      </c>
      <c r="AB265" s="221"/>
      <c r="AC265" s="223">
        <f>$G$29*AA265</f>
        <v>-24.739622560024937</v>
      </c>
    </row>
    <row r="266" spans="21:29" x14ac:dyDescent="0.3">
      <c r="U266" s="213"/>
      <c r="V266" s="221">
        <f>(AA265+Z264/2)*$V$34</f>
        <v>-9.0288040625157565E-2</v>
      </c>
      <c r="W266" s="221"/>
      <c r="X266" s="221">
        <f t="shared" ref="X266" si="202">W265+V266/2</f>
        <v>-0.43356537269730261</v>
      </c>
      <c r="Y266" s="221"/>
      <c r="Z266" s="221">
        <f>-$V$35*(X266+Y265*((AA265+Z264/2)^2))</f>
        <v>7.3844038744351149E-3</v>
      </c>
      <c r="AA266" s="221"/>
      <c r="AB266" s="221">
        <f t="shared" ref="AB266" si="203">AA265+Z266/2</f>
        <v>-0.5216690807876726</v>
      </c>
      <c r="AC266" s="213"/>
    </row>
    <row r="267" spans="21:29" x14ac:dyDescent="0.3">
      <c r="U267" s="220">
        <f>U265+$V$28</f>
        <v>22.599999999999952</v>
      </c>
      <c r="V267" s="221"/>
      <c r="W267" s="221">
        <f>W265+V266</f>
        <v>-0.47870939300988136</v>
      </c>
      <c r="X267" s="221"/>
      <c r="Y267" s="221">
        <f>Y265*(AC267/AC265)^2</f>
        <v>4.671056473747136E-3</v>
      </c>
      <c r="Z267" s="221"/>
      <c r="AA267" s="221">
        <f>AA265+Z266</f>
        <v>-0.51797687885045507</v>
      </c>
      <c r="AB267" s="229"/>
      <c r="AC267" s="223">
        <f>$G$29*AA267</f>
        <v>-24.391885924891177</v>
      </c>
    </row>
    <row r="268" spans="21:29" x14ac:dyDescent="0.3">
      <c r="U268" s="220"/>
      <c r="V268" s="221">
        <f>(AA267+Z266/2)*$V$34</f>
        <v>-8.9018870277157464E-2</v>
      </c>
      <c r="W268" s="221"/>
      <c r="X268" s="221">
        <f>W267+V268/2</f>
        <v>-0.5232188281484601</v>
      </c>
      <c r="Y268" s="221"/>
      <c r="Z268" s="221">
        <f>-$V$35*(X268+Y267*((AA267+Z266/2)^2))</f>
        <v>8.9172127093813114E-3</v>
      </c>
      <c r="AA268" s="221"/>
      <c r="AB268" s="221">
        <f>AA267+Z268/2</f>
        <v>-0.51351827249576443</v>
      </c>
      <c r="AC268" s="213"/>
    </row>
    <row r="269" spans="21:29" x14ac:dyDescent="0.3">
      <c r="U269" s="220">
        <f>U267+$V$28</f>
        <v>22.799999999999951</v>
      </c>
      <c r="V269" s="221"/>
      <c r="W269" s="221">
        <f>IF(W267+V268&lt;0,(W267+V268)*0.8,W267+V268)</f>
        <v>-0.45418261062963111</v>
      </c>
      <c r="X269" s="221"/>
      <c r="Y269" s="221">
        <f>Y267*(AC269/AC267)^2</f>
        <v>4.5116120288354487E-3</v>
      </c>
      <c r="Z269" s="221"/>
      <c r="AA269" s="221">
        <f>IF(AND(ABS(AA267+Z268)&gt;$G$27*0.8,(AA267+Z268)&lt;0),-$G$27*0.5,IF(AND(ABS(AA267+Z268)&gt;$G$27*0.8,(AA267+Z268)&gt;0),$G$27*0.5,AA267+Z268))</f>
        <v>-0.50905966614107379</v>
      </c>
      <c r="AB269" s="229"/>
      <c r="AC269" s="223">
        <f>$G$29*AA269</f>
        <v>-23.971968272084101</v>
      </c>
    </row>
    <row r="270" spans="21:29" x14ac:dyDescent="0.3">
      <c r="U270" s="220"/>
      <c r="V270" s="221">
        <f>(AA269+Z268/2)*$V$34</f>
        <v>-8.7342707841202682E-2</v>
      </c>
      <c r="W270" s="221"/>
      <c r="X270" s="221">
        <f>W269+V270/2</f>
        <v>-0.49785396455023245</v>
      </c>
      <c r="Y270" s="221"/>
      <c r="Z270" s="221">
        <f>-$V$35*(X270+Y269*((AA269+Z268/2)^2))</f>
        <v>8.4853773278715221E-3</v>
      </c>
      <c r="AA270" s="221"/>
      <c r="AB270" s="229">
        <f>AA269+Z270/2</f>
        <v>-0.50481697747713805</v>
      </c>
      <c r="AC270" s="224"/>
    </row>
    <row r="271" spans="21:29" x14ac:dyDescent="0.3">
      <c r="U271" s="220">
        <f>U269+$V$28</f>
        <v>22.99999999999995</v>
      </c>
      <c r="V271" s="221"/>
      <c r="W271" s="221">
        <f>IF(W269+V270&lt;0,(W269+V270)*0.8,W269+V270)</f>
        <v>-0.43322025477666704</v>
      </c>
      <c r="X271" s="221"/>
      <c r="Y271" s="221">
        <f>Y269*(AC271/AC269)^2</f>
        <v>4.3624598931300161E-3</v>
      </c>
      <c r="Z271" s="221"/>
      <c r="AA271" s="221">
        <f>IF(AND(ABS(AA269+Z270)&gt;$G$27*0.8,(AA269+Z270)&lt;0),-$G$27*0.5,IF(AND(ABS(AA269+Z270)&gt;$G$27*0.8,(AA269+Z270)&gt;0),$G$27*0.5,AA269+Z270))</f>
        <v>-0.50057428881320232</v>
      </c>
      <c r="AB271" s="229"/>
      <c r="AC271" s="223">
        <f>$G$29*AA271</f>
        <v>-23.572386043104238</v>
      </c>
    </row>
    <row r="272" spans="21:29" x14ac:dyDescent="0.3">
      <c r="U272" s="220"/>
      <c r="V272" s="221">
        <f>(AA271+Z270/2)*$V$34</f>
        <v>-8.5911325597584215E-2</v>
      </c>
      <c r="W272" s="221"/>
      <c r="X272" s="221">
        <f t="shared" ref="X272" si="204">W271+V272/2</f>
        <v>-0.47617591757545913</v>
      </c>
      <c r="Y272" s="221"/>
      <c r="Z272" s="221">
        <f>-$V$35*(X272+Y271*((AA271+Z270/2)^2))</f>
        <v>8.1163098098164209E-3</v>
      </c>
      <c r="AA272" s="221"/>
      <c r="AB272" s="229">
        <f t="shared" ref="AB272" si="205">AA271+Z272/2</f>
        <v>-0.49651613390829413</v>
      </c>
      <c r="AC272" s="213"/>
    </row>
    <row r="273" spans="21:29" x14ac:dyDescent="0.3">
      <c r="U273" s="220">
        <f>U271+$V$28</f>
        <v>23.19999999999995</v>
      </c>
      <c r="V273" s="221"/>
      <c r="W273" s="221">
        <f>IF(W271+V272&lt;0,(W271+V272)*0.8,W271+V272)</f>
        <v>-0.41530526429940101</v>
      </c>
      <c r="X273" s="221"/>
      <c r="Y273" s="221">
        <f>Y271*(AC273/AC271)^2</f>
        <v>4.2221409366613996E-3</v>
      </c>
      <c r="Z273" s="221"/>
      <c r="AA273" s="221">
        <f>IF(AND(ABS(AA271+Z272)&gt;$G$27*0.8,(AA271+Z272)&lt;0),-$G$27*0.5,IF(AND(ABS(AA271+Z272)&gt;$G$27*0.8,(AA271+Z272)&gt;0),$G$27*0.5,AA271+Z272))</f>
        <v>-0.49245797900338589</v>
      </c>
      <c r="AB273" s="229"/>
      <c r="AC273" s="223">
        <f>$G$29*AA273</f>
        <v>-23.190183456279364</v>
      </c>
    </row>
    <row r="274" spans="21:29" x14ac:dyDescent="0.3">
      <c r="U274" s="220"/>
      <c r="V274" s="221">
        <f>(AA273+Z272/2)*$V$34</f>
        <v>-8.4538393882856569E-2</v>
      </c>
      <c r="W274" s="221"/>
      <c r="X274" s="221">
        <f t="shared" ref="X274" si="206">W273+V274/2</f>
        <v>-0.45757446124082929</v>
      </c>
      <c r="Y274" s="221"/>
      <c r="Z274" s="221">
        <f>-$V$35*(X274+Y273*((AA273+Z272/2)^2))</f>
        <v>7.799688941507745E-3</v>
      </c>
      <c r="AA274" s="221"/>
      <c r="AB274" s="229">
        <f t="shared" ref="AB274" si="207">AA273+Z274/2</f>
        <v>-0.48855813453263203</v>
      </c>
      <c r="AC274" s="224"/>
    </row>
    <row r="275" spans="21:29" x14ac:dyDescent="0.3">
      <c r="U275" s="220">
        <f>U273+$V$28</f>
        <v>23.399999999999949</v>
      </c>
      <c r="V275" s="221"/>
      <c r="W275" s="221">
        <f>IF(W273+V274&lt;0,(W273+V274)*0.8,W273+V274)</f>
        <v>-0.39987492654580609</v>
      </c>
      <c r="X275" s="221"/>
      <c r="Y275" s="221">
        <f>Y273*(AC275/AC273)^2</f>
        <v>4.0894571380133303E-3</v>
      </c>
      <c r="Z275" s="221"/>
      <c r="AA275" s="221">
        <f>IF(AND(ABS(AA273+Z274)&gt;$G$27*0.8,(AA273+Z274)&lt;0),-$G$27*0.5,IF(AND(ABS(AA273+Z274)&gt;$G$27*0.8,(AA273+Z274)&gt;0),$G$27*0.5,AA273+Z274))</f>
        <v>-0.48465829006187816</v>
      </c>
      <c r="AB275" s="229"/>
      <c r="AC275" s="223">
        <f>$G$29*AA275</f>
        <v>-22.822890762958551</v>
      </c>
    </row>
    <row r="276" spans="21:29" x14ac:dyDescent="0.3">
      <c r="U276" s="220"/>
      <c r="V276" s="221">
        <f>(AA275+Z274/2)*$V$34</f>
        <v>-8.3215727833058029E-2</v>
      </c>
      <c r="W276" s="221"/>
      <c r="X276" s="221">
        <f t="shared" ref="X276" si="208">W275+V276/2</f>
        <v>-0.44148279046233507</v>
      </c>
      <c r="Y276" s="221"/>
      <c r="Z276" s="221">
        <f>-$V$35*(X276+Y275*((AA275+Z274/2)^2))</f>
        <v>7.5258477280115412E-3</v>
      </c>
      <c r="AA276" s="221"/>
      <c r="AB276" s="229">
        <f t="shared" ref="AB276" si="209">AA275+Z276/2</f>
        <v>-0.48089536619787238</v>
      </c>
      <c r="AC276" s="213"/>
    </row>
    <row r="277" spans="21:29" x14ac:dyDescent="0.3">
      <c r="U277" s="220">
        <f>U275+$V$28</f>
        <v>23.599999999999948</v>
      </c>
      <c r="V277" s="221"/>
      <c r="W277" s="221">
        <f>IF(W275+V276&lt;0,(W275+V276)*0.8,W275+V276)</f>
        <v>-0.3864725235030913</v>
      </c>
      <c r="X277" s="221"/>
      <c r="Y277" s="221">
        <f>Y275*(AC277/AC275)^2</f>
        <v>3.9634397759861391E-3</v>
      </c>
      <c r="Z277" s="221"/>
      <c r="AA277" s="221">
        <f>IF(AND(ABS(AA275+Z276)&gt;$G$27*0.8,(AA275+Z276)&lt;0),-$G$27*0.5,IF(AND(ABS(AA275+Z276)&gt;$G$27*0.8,(AA275+Z276)&gt;0),$G$27*0.5,AA275+Z276))</f>
        <v>-0.47713244233386665</v>
      </c>
      <c r="AB277" s="229"/>
      <c r="AC277" s="223">
        <f>$G$29*AA277</f>
        <v>-22.468493439902058</v>
      </c>
    </row>
    <row r="278" spans="21:29" x14ac:dyDescent="0.3">
      <c r="U278" s="220"/>
      <c r="V278" s="221">
        <f>(AA277+Z276/2)*$V$34</f>
        <v>-8.1936759249270949E-2</v>
      </c>
      <c r="W278" s="221"/>
      <c r="X278" s="221">
        <f t="shared" ref="X278" si="210">W277+V278/2</f>
        <v>-0.42744090312772676</v>
      </c>
      <c r="Y278" s="221"/>
      <c r="Z278" s="221">
        <f>-$V$35*(X278+Y277*((AA277+Z276/2)^2))</f>
        <v>7.2869404977283087E-3</v>
      </c>
      <c r="AA278" s="221"/>
      <c r="AB278" s="229">
        <f t="shared" ref="AB278" si="211">AA277+Z278/2</f>
        <v>-0.47348897208500251</v>
      </c>
      <c r="AC278" s="213"/>
    </row>
    <row r="279" spans="21:29" x14ac:dyDescent="0.3">
      <c r="U279" s="220">
        <f>U277+$V$28</f>
        <v>23.799999999999947</v>
      </c>
      <c r="V279" s="221"/>
      <c r="W279" s="221">
        <f>IF(W277+V278&lt;0,(W277+V278)*0.8,W277+V278)</f>
        <v>-0.37472742620188981</v>
      </c>
      <c r="X279" s="221"/>
      <c r="Y279" s="221">
        <f>Y277*(AC279/AC277)^2</f>
        <v>3.8433020363461599E-3</v>
      </c>
      <c r="Z279" s="221"/>
      <c r="AA279" s="221">
        <f>IF(AND(ABS(AA277+Z278)&gt;$G$27*0.8,(AA277+Z278)&lt;0),-$G$27*0.5,IF(AND(ABS(AA277+Z278)&gt;$G$27*0.8,(AA277+Z278)&gt;0),$G$27*0.5,AA277+Z278))</f>
        <v>-0.46984550183613832</v>
      </c>
      <c r="AB279" s="229"/>
      <c r="AC279" s="223">
        <f>$G$29*AA279</f>
        <v>-22.125346421918319</v>
      </c>
    </row>
    <row r="280" spans="21:29" x14ac:dyDescent="0.3">
      <c r="U280" s="220"/>
      <c r="V280" s="221">
        <f>(AA279+Z278/2)*$V$34</f>
        <v>-8.069612033145647E-2</v>
      </c>
      <c r="W280" s="221"/>
      <c r="X280" s="221">
        <f t="shared" ref="X280" si="212">W279+V280/2</f>
        <v>-0.41507548636761804</v>
      </c>
      <c r="Y280" s="221"/>
      <c r="Z280" s="221">
        <f>-$V$35*(X280+Y279*((AA279+Z278/2)^2))</f>
        <v>7.0766000863105565E-3</v>
      </c>
      <c r="AA280" s="221"/>
      <c r="AB280" s="229">
        <f t="shared" ref="AB280" si="213">AA279+Z280/2</f>
        <v>-0.46630720179298307</v>
      </c>
      <c r="AC280" s="224"/>
    </row>
    <row r="281" spans="21:29" x14ac:dyDescent="0.3">
      <c r="U281" s="220">
        <f>U279+$V$28</f>
        <v>23.999999999999947</v>
      </c>
      <c r="V281" s="221"/>
      <c r="W281" s="221">
        <f>IF(W279+V280&lt;0,(W279+V280)*0.8,W279+V280)</f>
        <v>-0.36433883722667704</v>
      </c>
      <c r="X281" s="221"/>
      <c r="Y281" s="221">
        <f>Y279*(AC281/AC279)^2</f>
        <v>3.7284017420228218E-3</v>
      </c>
      <c r="Z281" s="221"/>
      <c r="AA281" s="221">
        <f>IF(AND(ABS(AA279+Z280)&gt;$G$27*0.8,(AA279+Z280)&lt;0),-$G$27*0.5,IF(AND(ABS(AA279+Z280)&gt;$G$27*0.8,(AA279+Z280)&gt;0),$G$27*0.5,AA279+Z280))</f>
        <v>-0.46276890174982777</v>
      </c>
      <c r="AB281" s="229"/>
      <c r="AC281" s="223">
        <f>$G$29*AA281</f>
        <v>-21.792104477944992</v>
      </c>
    </row>
    <row r="282" spans="21:29" x14ac:dyDescent="0.3">
      <c r="U282" s="220"/>
      <c r="V282" s="221">
        <f>(AA281+Z280/2)*$V$34</f>
        <v>-7.948941742925765E-2</v>
      </c>
      <c r="W282" s="221"/>
      <c r="X282" s="221">
        <f t="shared" ref="X282" si="214">W281+V282/2</f>
        <v>-0.40408354594130586</v>
      </c>
      <c r="Y282" s="221"/>
      <c r="Z282" s="221">
        <f>-$V$35*(X282+Y281*((AA281+Z280/2)^2))</f>
        <v>6.8896587221728683E-3</v>
      </c>
      <c r="AA282" s="221"/>
      <c r="AB282" s="229">
        <f t="shared" ref="AB282" si="215">AA281+Z282/2</f>
        <v>-0.45932407238874134</v>
      </c>
      <c r="AC282" s="213"/>
    </row>
    <row r="283" spans="21:29" x14ac:dyDescent="0.3">
      <c r="U283" s="220">
        <f>U281+$V$28</f>
        <v>24.199999999999946</v>
      </c>
      <c r="V283" s="221"/>
      <c r="W283" s="221">
        <f>IF(W281+V282&lt;0,(W281+V282)*0.8,W281+V282)</f>
        <v>-0.35506260372474774</v>
      </c>
      <c r="X283" s="221"/>
      <c r="Y283" s="221">
        <f>Y281*(AC283/AC281)^2</f>
        <v>3.6182119708262593E-3</v>
      </c>
      <c r="Z283" s="221"/>
      <c r="AA283" s="221">
        <f>IF(AND(ABS(AA281+Z282)&gt;$G$27*0.8,(AA281+Z282)&lt;0),-$G$27*0.5,IF(AND(ABS(AA281+Z282)&gt;$G$27*0.8,(AA281+Z282)&gt;0),$G$27*0.5,AA281+Z282))</f>
        <v>-0.45587924302765492</v>
      </c>
      <c r="AB283" s="229"/>
      <c r="AC283" s="223">
        <f>$G$29*AA283</f>
        <v>-21.467665730822478</v>
      </c>
    </row>
    <row r="284" spans="21:29" x14ac:dyDescent="0.3">
      <c r="U284" s="220"/>
      <c r="V284" s="221">
        <f>(AA283+Z282/2)*$V$34</f>
        <v>-7.8313047592317608E-2</v>
      </c>
      <c r="W284" s="221"/>
      <c r="X284" s="221">
        <f t="shared" ref="X284" si="216">W283+V284/2</f>
        <v>-0.39421912752090654</v>
      </c>
      <c r="Y284" s="221"/>
      <c r="Z284" s="221">
        <f>-$V$35*(X284+Y283*((AA283+Z282/2)^2))</f>
        <v>6.7219215980680235E-3</v>
      </c>
      <c r="AA284" s="221"/>
      <c r="AB284" s="229">
        <f t="shared" ref="AB284" si="217">AA283+Z284/2</f>
        <v>-0.45251828222862089</v>
      </c>
      <c r="AC284" s="213"/>
    </row>
    <row r="285" spans="21:29" x14ac:dyDescent="0.3">
      <c r="U285" s="220">
        <f>U283+$V$28</f>
        <v>24.399999999999945</v>
      </c>
      <c r="V285" s="221"/>
      <c r="W285" s="221">
        <f>IF(W283+V284&lt;0,(W283+V284)*0.8,W283+V284)</f>
        <v>-0.34670052105365229</v>
      </c>
      <c r="X285" s="221"/>
      <c r="Y285" s="221">
        <f>Y283*(AC285/AC283)^2</f>
        <v>3.5122978324672108E-3</v>
      </c>
      <c r="Z285" s="221"/>
      <c r="AA285" s="221">
        <f>IF(AND(ABS(AA283+Z284)&gt;$G$27*0.8,(AA283+Z284)&lt;0),-$G$27*0.5,IF(AND(ABS(AA283+Z284)&gt;$G$27*0.8,(AA283+Z284)&gt;0),$G$27*0.5,AA283+Z284))</f>
        <v>-0.44915732142958692</v>
      </c>
      <c r="AB285" s="229"/>
      <c r="AC285" s="223">
        <f>$G$29*AA285</f>
        <v>-21.151125839736967</v>
      </c>
    </row>
    <row r="286" spans="21:29" x14ac:dyDescent="0.3">
      <c r="U286" s="220"/>
      <c r="V286" s="221">
        <f>(AA285+Z284/2)*$V$34</f>
        <v>-7.716404975389736E-2</v>
      </c>
      <c r="W286" s="221"/>
      <c r="X286" s="221">
        <f t="shared" ref="X286" si="218">W285+V286/2</f>
        <v>-0.38528254593060096</v>
      </c>
      <c r="Y286" s="221"/>
      <c r="Z286" s="221">
        <f>-$V$35*(X286+Y285*((AA285+Z284/2)^2))</f>
        <v>6.5699831874877707E-3</v>
      </c>
      <c r="AA286" s="221"/>
      <c r="AB286" s="229">
        <f t="shared" ref="AB286" si="219">AA285+Z286/2</f>
        <v>-0.44587232983584302</v>
      </c>
      <c r="AC286" s="213"/>
    </row>
    <row r="287" spans="21:29" x14ac:dyDescent="0.3">
      <c r="U287" s="220">
        <f>U285+$V$28</f>
        <v>24.599999999999945</v>
      </c>
      <c r="V287" s="221"/>
      <c r="W287" s="221">
        <f>IF(W285+V286&lt;0,(W285+V286)*0.8,W285+V286)</f>
        <v>-0.33909165664603974</v>
      </c>
      <c r="X287" s="221"/>
      <c r="Y287" s="221">
        <f>Y285*(AC287/AC285)^2</f>
        <v>3.410298073707632E-3</v>
      </c>
      <c r="Z287" s="221"/>
      <c r="AA287" s="221">
        <f>IF(AND(ABS(AA285+Z286)&gt;$G$27*0.8,(AA285+Z286)&lt;0),-$G$27*0.5,IF(AND(ABS(AA285+Z286)&gt;$G$27*0.8,(AA285+Z286)&gt;0),$G$27*0.5,AA285+Z286))</f>
        <v>-0.44258733824209917</v>
      </c>
      <c r="AB287" s="229"/>
      <c r="AC287" s="223">
        <f>$G$29*AA287</f>
        <v>-20.84174083244995</v>
      </c>
    </row>
    <row r="288" spans="21:29" x14ac:dyDescent="0.3">
      <c r="U288" s="220"/>
      <c r="V288" s="221">
        <f>(AA287+Z286/2)*$V$34</f>
        <v>-7.6039984009358713E-2</v>
      </c>
      <c r="W288" s="221"/>
      <c r="X288" s="221">
        <f t="shared" ref="X288" si="220">W287+V288/2</f>
        <v>-0.37711164865071911</v>
      </c>
      <c r="Y288" s="221"/>
      <c r="Z288" s="221">
        <f>-$V$35*(X288+Y287*((AA287+Z286/2)^2))</f>
        <v>6.4310782387015037E-3</v>
      </c>
      <c r="AA288" s="221"/>
      <c r="AB288" s="229">
        <f t="shared" ref="AB288" si="221">AA287+Z288/2</f>
        <v>-0.43937179912274843</v>
      </c>
      <c r="AC288" s="213"/>
    </row>
    <row r="289" spans="21:29" x14ac:dyDescent="0.3">
      <c r="U289" s="220">
        <f>U287+$V$28</f>
        <v>24.799999999999944</v>
      </c>
      <c r="V289" s="221"/>
      <c r="W289" s="221">
        <f>IF(W287+V288&lt;0,(W287+V288)*0.8,W287+V288)</f>
        <v>-0.33210531252431874</v>
      </c>
      <c r="X289" s="221"/>
      <c r="Y289" s="221">
        <f>Y287*(AC289/AC287)^2</f>
        <v>3.3119104805790292E-3</v>
      </c>
      <c r="Z289" s="221"/>
      <c r="AA289" s="221">
        <f>IF(AND(ABS(AA287+Z288)&gt;$G$27*0.8,(AA287+Z288)&lt;0),-$G$27*0.5,IF(AND(ABS(AA287+Z288)&gt;$G$27*0.8,(AA287+Z288)&gt;0),$G$27*0.5,AA287+Z288))</f>
        <v>-0.43615626000339769</v>
      </c>
      <c r="AB289" s="229"/>
      <c r="AC289" s="223">
        <f>$G$29*AA289</f>
        <v>-20.538896954320506</v>
      </c>
    </row>
    <row r="290" spans="21:29" x14ac:dyDescent="0.3">
      <c r="U290" s="213"/>
      <c r="V290" s="221">
        <f>(AA289+Z288/2)*$V$34</f>
        <v>-7.4938833685254613E-2</v>
      </c>
      <c r="W290" s="221"/>
      <c r="X290" s="221">
        <f t="shared" ref="X290" si="222">W289+V290/2</f>
        <v>-0.36957472936694602</v>
      </c>
      <c r="Y290" s="221"/>
      <c r="Z290" s="221">
        <f>-$V$35*(X290+Y289*((AA289+Z288/2)^2))</f>
        <v>6.3029609010455487E-3</v>
      </c>
      <c r="AA290" s="221"/>
      <c r="AB290" s="229">
        <f t="shared" ref="AB290" si="223">AA289+Z290/2</f>
        <v>-0.43300477955287492</v>
      </c>
      <c r="AC290" s="224"/>
    </row>
    <row r="291" spans="21:29" x14ac:dyDescent="0.3">
      <c r="U291" s="220">
        <f>U289+$V$28</f>
        <v>24.999999999999943</v>
      </c>
      <c r="V291" s="221"/>
      <c r="W291" s="221">
        <f>IF(W289+V290&lt;0,(W289+V290)*0.8,W289+V290)</f>
        <v>-0.32563531696765868</v>
      </c>
      <c r="X291" s="221"/>
      <c r="Y291" s="221">
        <f>Y289*(AC291/AC289)^2</f>
        <v>3.2168802751401321E-3</v>
      </c>
      <c r="Z291" s="221"/>
      <c r="AA291" s="221">
        <f>IF(AND(ABS(AA289+Z290)&gt;$G$27*0.8,(AA289+Z290)&lt;0),-$G$27*0.5,IF(AND(ABS(AA289+Z290)&gt;$G$27*0.8,(AA289+Z290)&gt;0),$G$27*0.5,AA289+Z290))</f>
        <v>-0.42985329910235215</v>
      </c>
      <c r="AB291" s="229"/>
      <c r="AC291" s="223">
        <f>$G$29*AA291</f>
        <v>-20.242086209353378</v>
      </c>
    </row>
    <row r="292" spans="21:29" x14ac:dyDescent="0.3">
      <c r="U292" s="220"/>
      <c r="V292" s="221">
        <f>(AA291+Z290/2)*$V$34</f>
        <v>-7.3858925896021888E-2</v>
      </c>
      <c r="W292" s="221"/>
      <c r="X292" s="221">
        <f t="shared" ref="X292" si="224">W291+V292/2</f>
        <v>-0.3625647799156696</v>
      </c>
      <c r="Y292" s="221"/>
      <c r="Z292" s="221">
        <f>-$V$35*(X292+Y291*((AA291+Z290/2)^2))</f>
        <v>6.1838066730537126E-3</v>
      </c>
      <c r="AA292" s="221"/>
      <c r="AB292" s="229">
        <f t="shared" ref="AB292" si="225">AA291+Z292/2</f>
        <v>-0.42676139576582528</v>
      </c>
      <c r="AC292" s="213"/>
    </row>
    <row r="293" spans="21:29" x14ac:dyDescent="0.3">
      <c r="U293" s="220">
        <f>U291+$V$28</f>
        <v>25.199999999999942</v>
      </c>
      <c r="V293" s="221"/>
      <c r="W293" s="221">
        <f>IF(W291+V292&lt;0,(W291+V292)*0.8,W291+V292)</f>
        <v>-0.31959539429094447</v>
      </c>
      <c r="X293" s="221"/>
      <c r="Y293" s="221">
        <f>Y291*(AC293/AC291)^2</f>
        <v>3.1249908794646693E-3</v>
      </c>
      <c r="Z293" s="221"/>
      <c r="AA293" s="221">
        <f>IF(AND(ABS(AA291+Z292)&gt;$G$27*0.8,(AA291+Z292)&lt;0),-$G$27*0.5,IF(AND(ABS(AA291+Z292)&gt;$G$27*0.8,(AA291+Z292)&gt;0),$G$27*0.5,AA291+Z292))</f>
        <v>-0.42366949242929841</v>
      </c>
      <c r="AB293" s="229"/>
      <c r="AC293" s="223">
        <f>$G$29*AA293</f>
        <v>-19.950886518576723</v>
      </c>
    </row>
    <row r="294" spans="21:29" x14ac:dyDescent="0.3">
      <c r="U294" s="213"/>
      <c r="V294" s="221">
        <f>(AA293+Z292/2)*$V$34</f>
        <v>-7.2798867097580808E-2</v>
      </c>
      <c r="W294" s="221"/>
      <c r="X294" s="221">
        <f t="shared" ref="X294" si="226">W293+V294/2</f>
        <v>-0.35599482783973485</v>
      </c>
      <c r="Y294" s="221"/>
      <c r="Z294" s="221">
        <f>-$V$35*(X294+Y293*((AA293+Z292/2)^2))</f>
        <v>6.0721328641428875E-3</v>
      </c>
      <c r="AA294" s="221"/>
      <c r="AB294" s="229">
        <f t="shared" ref="AB294" si="227">AA293+Z294/2</f>
        <v>-0.42063342599722697</v>
      </c>
      <c r="AC294" s="224"/>
    </row>
    <row r="295" spans="21:29" x14ac:dyDescent="0.3">
      <c r="U295" s="220">
        <f>U293+$V$28</f>
        <v>25.399999999999942</v>
      </c>
      <c r="V295" s="221"/>
      <c r="W295" s="221">
        <f>IF(W293+V294&lt;0,(W293+V294)*0.8,W293+V294)</f>
        <v>-0.31391540911082028</v>
      </c>
      <c r="X295" s="221"/>
      <c r="Y295" s="221">
        <f>Y293*(AC295/AC293)^2</f>
        <v>3.03605655471351E-3</v>
      </c>
      <c r="Z295" s="221"/>
      <c r="AA295" s="221">
        <f>IF(AND(ABS(AA293+Z294)&gt;$G$27*0.8,(AA293+Z294)&lt;0),-$G$27*0.5,IF(AND(ABS(AA293+Z294)&gt;$G$27*0.8,(AA293+Z294)&gt;0),$G$27*0.5,AA293+Z294))</f>
        <v>-0.41759735956515553</v>
      </c>
      <c r="AB295" s="229"/>
      <c r="AC295" s="223">
        <f>$G$29*AA295</f>
        <v>-19.664945623933594</v>
      </c>
    </row>
    <row r="296" spans="21:29" x14ac:dyDescent="0.3">
      <c r="U296" s="220"/>
      <c r="V296" s="221">
        <f>(AA295+Z294/2)*$V$34</f>
        <v>-7.1757490806148433E-2</v>
      </c>
      <c r="W296" s="221"/>
      <c r="X296" s="221">
        <f t="shared" ref="X296" si="228">W295+V296/2</f>
        <v>-0.34979415451389451</v>
      </c>
      <c r="Y296" s="221"/>
      <c r="Z296" s="221">
        <f>-$V$35*(X296+Y295*((AA295+Z294/2)^2))</f>
        <v>5.9667340746832123E-3</v>
      </c>
      <c r="AA296" s="221"/>
      <c r="AB296" s="229">
        <f t="shared" ref="AB296" si="229">AA295+Z296/2</f>
        <v>-0.41461399252781395</v>
      </c>
      <c r="AC296" s="213"/>
    </row>
    <row r="297" spans="21:29" x14ac:dyDescent="0.3">
      <c r="U297" s="220">
        <f>U295+$V$28</f>
        <v>25.599999999999941</v>
      </c>
      <c r="V297" s="221"/>
      <c r="W297" s="221">
        <f>IF(W295+V296&lt;0,(W295+V296)*0.8,W295+V296)</f>
        <v>-0.308538319933575</v>
      </c>
      <c r="X297" s="221"/>
      <c r="Y297" s="221">
        <f>Y295*(AC297/AC295)^2</f>
        <v>2.949916527974045E-3</v>
      </c>
      <c r="Z297" s="221"/>
      <c r="AA297" s="221">
        <f>IF(AND(ABS(AA295+Z296)&gt;$G$27*0.8,(AA295+Z296)&lt;0),-$G$27*0.5,IF(AND(ABS(AA295+Z296)&gt;$G$27*0.8,(AA295+Z296)&gt;0),$G$27*0.5,AA295+Z296))</f>
        <v>-0.4116306254904723</v>
      </c>
      <c r="AB297" s="229"/>
      <c r="AC297" s="223">
        <f>$G$29*AA297</f>
        <v>-19.383968030461023</v>
      </c>
    </row>
    <row r="298" spans="21:29" x14ac:dyDescent="0.3">
      <c r="U298" s="213"/>
      <c r="V298" s="221">
        <f>(AA297+Z296/2)*$V$34</f>
        <v>-7.0733815185188412E-2</v>
      </c>
      <c r="W298" s="221"/>
      <c r="X298" s="221">
        <f t="shared" ref="X298" si="230">W297+V298/2</f>
        <v>-0.3439052275261692</v>
      </c>
      <c r="Y298" s="221"/>
      <c r="Z298" s="221">
        <f>-$V$35*(X298+Y297*((AA297+Z296/2)^2))</f>
        <v>5.8666298590020465E-3</v>
      </c>
      <c r="AA298" s="221"/>
      <c r="AB298" s="229">
        <f t="shared" ref="AB298" si="231">AA297+Z298/2</f>
        <v>-0.40869731056097131</v>
      </c>
      <c r="AC298" s="213"/>
    </row>
    <row r="299" spans="21:29" x14ac:dyDescent="0.3">
      <c r="U299" s="220">
        <f>U297+$V$28</f>
        <v>25.79999999999994</v>
      </c>
      <c r="V299" s="221"/>
      <c r="W299" s="221">
        <f>IF(W297+V298&lt;0,(W297+V298)*0.8,W297+V298)</f>
        <v>-0.30341770809501073</v>
      </c>
      <c r="X299" s="221"/>
      <c r="Y299" s="221">
        <f>Y297*(AC299/AC297)^2</f>
        <v>2.8664303012365653E-3</v>
      </c>
      <c r="Z299" s="221"/>
      <c r="AA299" s="221">
        <f>IF(AND(ABS(AA297+Z298)&gt;$G$27*0.8,(AA297+Z298)&lt;0),-$G$27*0.5,IF(AND(ABS(AA297+Z298)&gt;$G$27*0.8,(AA297+Z298)&gt;0),$G$27*0.5,AA297+Z298))</f>
        <v>-0.40576399563147025</v>
      </c>
      <c r="AB299" s="229"/>
      <c r="AC299" s="223">
        <f>$G$29*AA299</f>
        <v>-19.107704413054169</v>
      </c>
    </row>
    <row r="300" spans="21:29" x14ac:dyDescent="0.3">
      <c r="U300" s="220"/>
      <c r="V300" s="221">
        <f>(AA299+Z298/2)*$V$34</f>
        <v>-6.9727008637119725E-2</v>
      </c>
      <c r="W300" s="221"/>
      <c r="X300" s="221">
        <f t="shared" ref="X300" si="232">W299+V300/2</f>
        <v>-0.33828121241357056</v>
      </c>
      <c r="Y300" s="221"/>
      <c r="Z300" s="221">
        <f>-$V$35*(X300+Y299*((AA299+Z298/2)^2))</f>
        <v>5.7710222711103978E-3</v>
      </c>
      <c r="AA300" s="221"/>
      <c r="AB300" s="229">
        <f t="shared" ref="AB300" si="233">AA299+Z300/2</f>
        <v>-0.40287848449591507</v>
      </c>
      <c r="AC300" s="224"/>
    </row>
    <row r="301" spans="21:29" x14ac:dyDescent="0.3">
      <c r="U301" s="220">
        <f>U299+$V$28</f>
        <v>25.99999999999994</v>
      </c>
      <c r="V301" s="221"/>
      <c r="W301" s="221">
        <f>IF(W299+V300&lt;0,(W299+V300)*0.8,W299+V300)</f>
        <v>-0.2985157733857044</v>
      </c>
      <c r="X301" s="221"/>
      <c r="Y301" s="221">
        <f>Y299*(AC301/AC299)^2</f>
        <v>2.7854739007921367E-3</v>
      </c>
      <c r="Z301" s="221"/>
      <c r="AA301" s="221">
        <f>IF(AND(ABS(AA299+Z300)&gt;$G$27*0.8,(AA299+Z300)&lt;0),-$G$27*0.5,IF(AND(ABS(AA299+Z300)&gt;$G$27*0.8,(AA299+Z300)&gt;0),$G$27*0.5,AA299+Z300))</f>
        <v>-0.39999297336035988</v>
      </c>
      <c r="AB301" s="229"/>
      <c r="AC301" s="223">
        <f>$G$29*AA301</f>
        <v>-18.835943022431227</v>
      </c>
    </row>
    <row r="302" spans="21:29" x14ac:dyDescent="0.3">
      <c r="U302" s="213"/>
      <c r="V302" s="221">
        <f>(AA301+Z300/2)*$V$34</f>
        <v>-6.8736361888232636E-2</v>
      </c>
      <c r="W302" s="221"/>
      <c r="X302" s="221">
        <f t="shared" ref="X302" si="234">W301+V302/2</f>
        <v>-0.33288395432982071</v>
      </c>
      <c r="Y302" s="221"/>
      <c r="Z302" s="221">
        <f>-$V$35*(X302+Y301*((AA301+Z300/2)^2))</f>
        <v>5.6792614271722087E-3</v>
      </c>
      <c r="AA302" s="221"/>
      <c r="AB302" s="229">
        <f t="shared" ref="AB302" si="235">AA301+Z302/2</f>
        <v>-0.39715334264677377</v>
      </c>
      <c r="AC302" s="213"/>
    </row>
    <row r="303" spans="21:29" x14ac:dyDescent="0.3">
      <c r="U303" s="220">
        <f>U301+$V$28</f>
        <v>26.199999999999939</v>
      </c>
      <c r="V303" s="221"/>
      <c r="W303" s="221">
        <f>IF(W301+V302&lt;0,(W301+V302)*0.8,W301+V302)</f>
        <v>-0.29380170821914964</v>
      </c>
      <c r="X303" s="221"/>
      <c r="Y303" s="221">
        <f>Y301*(AC303/AC301)^2</f>
        <v>2.7069368755222993E-3</v>
      </c>
      <c r="Z303" s="221"/>
      <c r="AA303" s="221">
        <f>IF(AND(ABS(AA301+Z302)&gt;$G$27*0.8,(AA301+Z302)&lt;0),-$G$27*0.5,IF(AND(ABS(AA301+Z302)&gt;$G$27*0.8,(AA301+Z302)&gt;0),$G$27*0.5,AA301+Z302))</f>
        <v>-0.39431371193318765</v>
      </c>
      <c r="AB303" s="229"/>
      <c r="AC303" s="223">
        <f>$G$29*AA303</f>
        <v>-18.568502712785254</v>
      </c>
    </row>
    <row r="304" spans="21:29" x14ac:dyDescent="0.3">
      <c r="U304" s="220"/>
      <c r="V304" s="221">
        <f>(AA303+Z302/2)*$V$34</f>
        <v>-6.7761265340667051E-2</v>
      </c>
      <c r="W304" s="221"/>
      <c r="X304" s="221">
        <f t="shared" ref="X304" si="236">W303+V304/2</f>
        <v>-0.32768234088948317</v>
      </c>
      <c r="Y304" s="221"/>
      <c r="Z304" s="221">
        <f>-$V$35*(X304+Y303*((AA303+Z302/2)^2))</f>
        <v>5.5908175710133769E-3</v>
      </c>
      <c r="AA304" s="221"/>
      <c r="AB304" s="229">
        <f t="shared" ref="AB304" si="237">AA303+Z304/2</f>
        <v>-0.39151830314768093</v>
      </c>
      <c r="AC304" s="213"/>
    </row>
    <row r="305" spans="21:29" x14ac:dyDescent="0.3">
      <c r="U305" s="220">
        <f>U303+$V$28</f>
        <v>26.399999999999938</v>
      </c>
      <c r="V305" s="221"/>
      <c r="W305" s="221">
        <f>IF(W303+V304&lt;0,(W303+V304)*0.8,W303+V304)</f>
        <v>-0.28925037884785337</v>
      </c>
      <c r="X305" s="221"/>
      <c r="Y305" s="221">
        <f>Y303*(AC305/AC303)^2</f>
        <v>2.6307198920752133E-3</v>
      </c>
      <c r="Z305" s="221"/>
      <c r="AA305" s="221">
        <f>IF(AND(ABS(AA303+Z304)&gt;$G$27*0.8,(AA303+Z304)&lt;0),-$G$27*0.5,IF(AND(ABS(AA303+Z304)&gt;$G$27*0.8,(AA303+Z304)&gt;0),$G$27*0.5,AA303+Z304))</f>
        <v>-0.38872289436217428</v>
      </c>
      <c r="AB305" s="229"/>
      <c r="AC305" s="223">
        <f>$G$29*AA305</f>
        <v>-18.305227284890321</v>
      </c>
    </row>
    <row r="306" spans="21:29" x14ac:dyDescent="0.3">
      <c r="U306" s="213"/>
      <c r="V306" s="221">
        <f>(AA305+Z304/2)*$V$34</f>
        <v>-6.680119069683027E-2</v>
      </c>
      <c r="W306" s="221"/>
      <c r="X306" s="221">
        <f t="shared" ref="X306" si="238">W305+V306/2</f>
        <v>-0.32265097419626854</v>
      </c>
      <c r="Y306" s="221"/>
      <c r="Z306" s="221">
        <f>-$V$35*(X306+Y305*((AA305+Z304/2)^2))</f>
        <v>5.5052584147502201E-3</v>
      </c>
      <c r="AA306" s="221"/>
      <c r="AB306" s="229">
        <f t="shared" ref="AB306" si="239">AA305+Z306/2</f>
        <v>-0.38597026515479915</v>
      </c>
      <c r="AC306" s="213"/>
    </row>
    <row r="307" spans="21:29" x14ac:dyDescent="0.3">
      <c r="U307" s="220">
        <f>U305+$V$28</f>
        <v>26.599999999999937</v>
      </c>
      <c r="V307" s="221"/>
      <c r="W307" s="221">
        <f>IF(W305+V306&lt;0,(W305+V306)*0.8,W305+V306)</f>
        <v>-0.28484125563574691</v>
      </c>
      <c r="X307" s="221"/>
      <c r="Y307" s="221">
        <f>Y305*(AC307/AC305)^2</f>
        <v>2.5567328061301378E-3</v>
      </c>
      <c r="Z307" s="221"/>
      <c r="AA307" s="221">
        <f>IF(AND(ABS(AA305+Z306)&gt;$G$27*0.8,(AA305+Z306)&lt;0),-$G$27*0.5,IF(AND(ABS(AA305+Z306)&gt;$G$27*0.8,(AA305+Z306)&gt;0),$G$27*0.5,AA305+Z306))</f>
        <v>-0.38321763594742403</v>
      </c>
      <c r="AB307" s="229"/>
      <c r="AC307" s="223">
        <f>$G$29*AA307</f>
        <v>-18.045980896252956</v>
      </c>
    </row>
    <row r="308" spans="21:29" x14ac:dyDescent="0.3">
      <c r="U308" s="220"/>
      <c r="V308" s="221">
        <f>(AA307+Z306/2)*$V$34</f>
        <v>-6.5855676049442272E-2</v>
      </c>
      <c r="W308" s="221"/>
      <c r="X308" s="221">
        <f t="shared" ref="X308" si="240">W307+V308/2</f>
        <v>-0.31776909366046807</v>
      </c>
      <c r="Y308" s="221"/>
      <c r="Z308" s="221">
        <f>-$V$35*(X308+Y307*((AA307+Z306/2)^2))</f>
        <v>5.4222307584531702E-3</v>
      </c>
      <c r="AA308" s="221"/>
      <c r="AB308" s="229">
        <f t="shared" ref="AB308" si="241">AA307+Z308/2</f>
        <v>-0.38050652056819745</v>
      </c>
      <c r="AC308" s="213"/>
    </row>
    <row r="309" spans="21:29" x14ac:dyDescent="0.3">
      <c r="U309" s="220">
        <f>U307+$V$28</f>
        <v>26.799999999999937</v>
      </c>
      <c r="V309" s="221"/>
      <c r="W309" s="221">
        <f>IF(W307+V308&lt;0,(W307+V308)*0.8,W307+V308)</f>
        <v>-0.28055754534815136</v>
      </c>
      <c r="X309" s="221"/>
      <c r="Y309" s="221">
        <f>Y307*(AC309/AC307)^2</f>
        <v>2.4848931136456564E-3</v>
      </c>
      <c r="Z309" s="221"/>
      <c r="AA309" s="221">
        <f>IF(AND(ABS(AA307+Z308)&gt;$G$27*0.8,(AA307+Z308)&lt;0),-$G$27*0.5,IF(AND(ABS(AA307+Z308)&gt;$G$27*0.8,(AA307+Z308)&gt;0),$G$27*0.5,AA307+Z308))</f>
        <v>-0.37779540518897087</v>
      </c>
      <c r="AB309" s="229"/>
      <c r="AC309" s="223">
        <f>$G$29*AA309</f>
        <v>-17.790644336806235</v>
      </c>
    </row>
    <row r="310" spans="21:29" x14ac:dyDescent="0.3">
      <c r="U310" s="213"/>
      <c r="V310" s="221">
        <f>(AA309+Z308/2)*$V$34</f>
        <v>-6.4924313782746351E-2</v>
      </c>
      <c r="W310" s="221"/>
      <c r="X310" s="221">
        <f t="shared" ref="X310" si="242">W309+V310/2</f>
        <v>-0.31301970223952452</v>
      </c>
      <c r="Y310" s="221"/>
      <c r="Z310" s="221">
        <f>-$V$35*(X310+Y309*((AA309+Z308/2)^2))</f>
        <v>5.3414455808318204E-3</v>
      </c>
      <c r="AA310" s="221"/>
      <c r="AB310" s="229">
        <f t="shared" ref="AB310" si="243">AA309+Z310/2</f>
        <v>-0.37512468239855495</v>
      </c>
      <c r="AC310" s="224"/>
    </row>
    <row r="311" spans="21:29" x14ac:dyDescent="0.3">
      <c r="U311" s="220">
        <f>U309+$V$28</f>
        <v>26.999999999999936</v>
      </c>
      <c r="V311" s="221"/>
      <c r="W311" s="221">
        <f>IF(W309+V310&lt;0,(W309+V310)*0.8,W309+V310)</f>
        <v>-0.27638548730471818</v>
      </c>
      <c r="X311" s="221"/>
      <c r="Y311" s="221">
        <f>Y309*(AC311/AC309)^2</f>
        <v>2.4151247055617087E-3</v>
      </c>
      <c r="Z311" s="221"/>
      <c r="AA311" s="221">
        <f>IF(AND(ABS(AA309+Z310)&gt;$G$27*0.8,(AA309+Z310)&lt;0),-$G$27*0.5,IF(AND(ABS(AA309+Z310)&gt;$G$27*0.8,(AA309+Z310)&gt;0),$G$27*0.5,AA309+Z310))</f>
        <v>-0.37245395960813904</v>
      </c>
      <c r="AB311" s="229"/>
      <c r="AC311" s="223">
        <f>$G$29*AA311</f>
        <v>-17.539112006693717</v>
      </c>
    </row>
    <row r="312" spans="21:29" x14ac:dyDescent="0.3">
      <c r="U312" s="220"/>
      <c r="V312" s="221">
        <f>(AA311+Z310/2)*$V$34</f>
        <v>-6.4006740754007876E-2</v>
      </c>
      <c r="W312" s="221"/>
      <c r="X312" s="221">
        <f t="shared" ref="X312" si="244">W311+V312/2</f>
        <v>-0.30838885768172214</v>
      </c>
      <c r="Y312" s="221"/>
      <c r="Z312" s="221">
        <f>-$V$35*(X312+Y311*((AA311+Z310/2)^2))</f>
        <v>5.2626659454920672E-3</v>
      </c>
      <c r="AA312" s="221"/>
      <c r="AB312" s="229">
        <f t="shared" ref="AB312" si="245">AA311+Z312/2</f>
        <v>-0.369822626635393</v>
      </c>
      <c r="AC312" s="213"/>
    </row>
    <row r="313" spans="21:29" x14ac:dyDescent="0.3">
      <c r="U313" s="220">
        <f>U311+$V$28</f>
        <v>27.199999999999935</v>
      </c>
      <c r="V313" s="221"/>
      <c r="W313" s="221">
        <f>IF(W311+V312&lt;0,(W311+V312)*0.8,W311+V312)</f>
        <v>-0.27231378244698085</v>
      </c>
      <c r="X313" s="221"/>
      <c r="Y313" s="221">
        <f>Y311*(AC313/AC311)^2</f>
        <v>2.347356864966E-3</v>
      </c>
      <c r="Z313" s="221"/>
      <c r="AA313" s="221">
        <f>IF(AND(ABS(AA311+Z312)&gt;$G$27*0.8,(AA311+Z312)&lt;0),-$G$27*0.5,IF(AND(ABS(AA311+Z312)&gt;$G$27*0.8,(AA311+Z312)&gt;0),$G$27*0.5,AA311+Z312))</f>
        <v>-0.36719129366264697</v>
      </c>
      <c r="AB313" s="229"/>
      <c r="AC313" s="223">
        <f>$G$29*AA313</f>
        <v>-17.291289463556009</v>
      </c>
    </row>
    <row r="314" spans="21:29" x14ac:dyDescent="0.3">
      <c r="U314" s="213"/>
      <c r="V314" s="221">
        <f>(AA313+Z312/2)*$V$34</f>
        <v>-6.310263032467299E-2</v>
      </c>
      <c r="W314" s="221"/>
      <c r="X314" s="221">
        <f t="shared" ref="X314" si="246">W313+V314/2</f>
        <v>-0.30386509760931735</v>
      </c>
      <c r="Y314" s="221"/>
      <c r="Z314" s="221">
        <f>-$V$35*(X314+Y313*((AA313+Z312/2)^2))</f>
        <v>5.1856971910772048E-3</v>
      </c>
      <c r="AA314" s="221"/>
      <c r="AB314" s="229">
        <f t="shared" ref="AB314" si="247">AA313+Z314/2</f>
        <v>-0.36459844506710837</v>
      </c>
      <c r="AC314" s="223"/>
    </row>
    <row r="315" spans="21:29" x14ac:dyDescent="0.3">
      <c r="U315" s="220">
        <f>U313+$V$28</f>
        <v>27.399999999999935</v>
      </c>
      <c r="V315" s="221"/>
      <c r="W315" s="221">
        <f>IF(W313+V314&lt;0,(W313+V314)*0.8,W313+V314)</f>
        <v>-0.26833313021732308</v>
      </c>
      <c r="X315" s="221"/>
      <c r="Y315" s="221">
        <f>Y313*(AC315/AC313)^2</f>
        <v>2.2815234580887125E-3</v>
      </c>
      <c r="Z315" s="221"/>
      <c r="AA315" s="221">
        <f>IF(AND(ABS(AA313+Z314)&gt;$G$27*0.8,(AA313+Z314)&lt;0),-$G$27*0.5,IF(AND(ABS(AA313+Z314)&gt;$G$27*0.8,(AA313+Z314)&gt;0),$G$27*0.5,AA313+Z314))</f>
        <v>-0.36200559647156977</v>
      </c>
      <c r="AB315" s="229"/>
      <c r="AC315" s="223">
        <f>$G$29*AA315</f>
        <v>-17.047091431770305</v>
      </c>
    </row>
    <row r="316" spans="21:29" x14ac:dyDescent="0.3">
      <c r="U316" s="220"/>
      <c r="V316" s="221">
        <f>(AA315+Z314/2)*$V$34</f>
        <v>-6.2211685891879601E-2</v>
      </c>
      <c r="W316" s="221"/>
      <c r="X316" s="221">
        <f t="shared" ref="X316" si="248">W315+V316/2</f>
        <v>-0.2994389731632629</v>
      </c>
      <c r="Y316" s="221"/>
      <c r="Z316" s="221">
        <f>-$V$35*(X316+Y315*((AA315+Z314/2)^2))</f>
        <v>5.1103789739994658E-3</v>
      </c>
      <c r="AA316" s="221"/>
      <c r="AB316" s="229">
        <f t="shared" ref="AB316" si="249">AA315+Z316/2</f>
        <v>-0.35945040698457004</v>
      </c>
      <c r="AC316" s="213"/>
    </row>
    <row r="317" spans="21:29" x14ac:dyDescent="0.3">
      <c r="U317" s="220">
        <f>U315+$V$28</f>
        <v>27.599999999999934</v>
      </c>
      <c r="V317" s="221"/>
      <c r="W317" s="221">
        <f>IF(W315+V316&lt;0,(W315+V316)*0.8,W315+V316)</f>
        <v>-0.26443585288736215</v>
      </c>
      <c r="X317" s="221"/>
      <c r="Y317" s="221">
        <f>Y315*(AC317/AC315)^2</f>
        <v>2.2175622803196102E-3</v>
      </c>
      <c r="Z317" s="221"/>
      <c r="AA317" s="221">
        <f>IF(AND(ABS(AA315+Z316)&gt;$G$27*0.8,(AA315+Z316)&lt;0),-$G$27*0.5,IF(AND(ABS(AA315+Z316)&gt;$G$27*0.8,(AA315+Z316)&gt;0),$G$27*0.5,AA315+Z316))</f>
        <v>-0.35689521749757031</v>
      </c>
      <c r="AB317" s="229"/>
      <c r="AC317" s="223">
        <f>$G$29*AA317</f>
        <v>-16.806440186403144</v>
      </c>
    </row>
    <row r="318" spans="21:29" x14ac:dyDescent="0.3">
      <c r="U318" s="213"/>
      <c r="V318" s="221">
        <f>(AA317+Z316/2)*$V$34</f>
        <v>-6.1333635636977732E-2</v>
      </c>
      <c r="W318" s="221"/>
      <c r="X318" s="221">
        <f t="shared" ref="X318" si="250">W317+V318/2</f>
        <v>-0.295102670705851</v>
      </c>
      <c r="Y318" s="221"/>
      <c r="Z318" s="221">
        <f>-$V$35*(X318+Y317*((AA317+Z316/2)^2))</f>
        <v>5.0365788139078108E-3</v>
      </c>
      <c r="AA318" s="221"/>
      <c r="AB318" s="229">
        <f t="shared" ref="AB318" si="251">AA317+Z318/2</f>
        <v>-0.35437692809061638</v>
      </c>
      <c r="AC318" s="213"/>
    </row>
    <row r="319" spans="21:29" x14ac:dyDescent="0.3">
      <c r="U319" s="220">
        <f>U317+$V$28</f>
        <v>27.799999999999933</v>
      </c>
      <c r="V319" s="221"/>
      <c r="W319" s="221">
        <f>IF(W317+V318&lt;0,(W317+V318)*0.8,W317+V318)</f>
        <v>-0.26061559081947194</v>
      </c>
      <c r="X319" s="221"/>
      <c r="Y319" s="221">
        <f>Y317*(AC319/AC317)^2</f>
        <v>2.1554145262708616E-3</v>
      </c>
      <c r="Z319" s="221"/>
      <c r="AA319" s="221">
        <f>IF(AND(ABS(AA317+Z318)&gt;$G$27*0.8,(AA317+Z318)&lt;0),-$G$27*0.5,IF(AND(ABS(AA317+Z318)&gt;$G$27*0.8,(AA317+Z318)&gt;0),$G$27*0.5,AA317+Z318))</f>
        <v>-0.35185863868366252</v>
      </c>
      <c r="AB319" s="229"/>
      <c r="AC319" s="223">
        <f>$G$29*AA319</f>
        <v>-16.569264241111519</v>
      </c>
    </row>
    <row r="320" spans="21:29" x14ac:dyDescent="0.3">
      <c r="U320" s="220"/>
      <c r="V320" s="221">
        <f>(AA319+Z318/2)*$V$34</f>
        <v>-6.0468228261225394E-2</v>
      </c>
      <c r="W320" s="221"/>
      <c r="X320" s="221">
        <f t="shared" ref="X320" si="252">W319+V320/2</f>
        <v>-0.29084970495008466</v>
      </c>
      <c r="Y320" s="221"/>
      <c r="Z320" s="221">
        <f>-$V$35*(X320+Y319*((AA319+Z318/2)^2))</f>
        <v>4.9641868581004264E-3</v>
      </c>
      <c r="AA320" s="221"/>
      <c r="AB320" s="221">
        <f t="shared" ref="AB320" si="253">AA319+Z320/2</f>
        <v>-0.34937654525461231</v>
      </c>
      <c r="AC320" s="224"/>
    </row>
    <row r="321" spans="21:29" x14ac:dyDescent="0.3">
      <c r="U321" s="220">
        <f>U319+$V$28</f>
        <v>27.999999999999932</v>
      </c>
      <c r="V321" s="221"/>
      <c r="W321" s="221">
        <f>IF(W319+V320&lt;0,(W319+V320)*0.8,W319+V320)</f>
        <v>-0.25686705526455789</v>
      </c>
      <c r="X321" s="221"/>
      <c r="Y321" s="221">
        <f>Y319*(AC321/AC319)^2</f>
        <v>2.0950243591489975E-3</v>
      </c>
      <c r="Z321" s="221"/>
      <c r="AA321" s="221">
        <f>IF(AND(ABS(AA319+Z320)&gt;$G$27*0.8,(AA319+Z320)&lt;0),-$G$27*0.5,IF(AND(ABS(AA319+Z320)&gt;$G$27*0.8,(AA319+Z320)&gt;0),$G$27*0.5,AA319+Z320))</f>
        <v>-0.34689445182556211</v>
      </c>
      <c r="AB321" s="221"/>
      <c r="AC321" s="223">
        <f>$G$29*AA321</f>
        <v>-16.335497282591373</v>
      </c>
    </row>
    <row r="322" spans="21:29" x14ac:dyDescent="0.3">
      <c r="U322" s="213"/>
      <c r="V322" s="221">
        <f>(AA321+Z320/2)*$V$34</f>
        <v>-5.9615229522230778E-2</v>
      </c>
      <c r="W322" s="221"/>
      <c r="X322" s="221">
        <f t="shared" ref="X322" si="254">W321+V322/2</f>
        <v>-0.28667467002567326</v>
      </c>
      <c r="Y322" s="221"/>
      <c r="Z322" s="221">
        <f>-$V$35*(X322+Y321*((AA321+Z320/2)^2))</f>
        <v>4.8931116346792071E-3</v>
      </c>
      <c r="AA322" s="221"/>
      <c r="AB322" s="221">
        <f t="shared" ref="AB322" si="255">AA321+Z322/2</f>
        <v>-0.34444789600822251</v>
      </c>
      <c r="AC322" s="213"/>
    </row>
    <row r="323" spans="21:29" x14ac:dyDescent="0.3">
      <c r="U323" s="220">
        <f>U321+$V$28</f>
        <v>28.199999999999932</v>
      </c>
      <c r="V323" s="221"/>
      <c r="W323" s="221">
        <f>IF(W321+V322&lt;0,(W321+V322)*0.8,W321+V322)</f>
        <v>-0.25318582782943094</v>
      </c>
      <c r="X323" s="221"/>
      <c r="Y323" s="221">
        <f>Y321*(AC323/AC321)^2</f>
        <v>2.0363385596759319E-3</v>
      </c>
      <c r="Z323" s="221"/>
      <c r="AA323" s="221">
        <f>IF(AND(ABS(AA321+Z322)&gt;$G$27*0.8,(AA321+Z322)&lt;0),-$G$27*0.5,IF(AND(ABS(AA321+Z322)&gt;$G$27*0.8,(AA321+Z322)&gt;0),$G$27*0.5,AA321+Z322))</f>
        <v>-0.34200134019088291</v>
      </c>
      <c r="AB323" s="221"/>
      <c r="AC323" s="223">
        <f>$G$29*AA323</f>
        <v>-16.105077305012969</v>
      </c>
    </row>
    <row r="324" spans="21:29" x14ac:dyDescent="0.3">
      <c r="U324" s="220"/>
      <c r="V324" s="221">
        <f>(AA323+Z322/2)*$V$34</f>
        <v>-5.8774419419919913E-2</v>
      </c>
      <c r="W324" s="221"/>
      <c r="X324" s="221">
        <f t="shared" ref="X324" si="256">W323+V324/2</f>
        <v>-0.28257303753939089</v>
      </c>
      <c r="Y324" s="221"/>
      <c r="Z324" s="221">
        <f>-$V$35*(X324+Y323*((AA323+Z322/2)^2))</f>
        <v>4.8232766077138728E-3</v>
      </c>
      <c r="AA324" s="221"/>
      <c r="AB324" s="221">
        <f t="shared" ref="AB324" si="257">AA323+Z324/2</f>
        <v>-0.33958970188702597</v>
      </c>
      <c r="AC324" s="213"/>
    </row>
    <row r="325" spans="21:29" x14ac:dyDescent="0.3">
      <c r="U325" s="220">
        <f>U323+$V$28</f>
        <v>28.399999999999931</v>
      </c>
      <c r="V325" s="221"/>
      <c r="W325" s="221">
        <f>IF(W323+V324&lt;0,(W323+V324)*0.8,W323+V324)</f>
        <v>-0.2495681977994807</v>
      </c>
      <c r="X325" s="221"/>
      <c r="Y325" s="221">
        <f>Y323*(AC325/AC323)^2</f>
        <v>1.9793062387697576E-3</v>
      </c>
      <c r="Z325" s="221"/>
      <c r="AA325" s="221">
        <f>IF(AND(ABS(AA323+Z324)&gt;$G$27*0.8,(AA323+Z324)&lt;0),-$G$27*0.5,IF(AND(ABS(AA323+Z324)&gt;$G$27*0.8,(AA323+Z324)&gt;0),$G$27*0.5,AA323+Z324))</f>
        <v>-0.33717806358316904</v>
      </c>
      <c r="AB325" s="221"/>
      <c r="AC325" s="223">
        <f>$G$29*AA325</f>
        <v>-15.877945906675942</v>
      </c>
    </row>
    <row r="326" spans="21:29" x14ac:dyDescent="0.3">
      <c r="U326" s="213"/>
      <c r="V326" s="221">
        <f>(AA325+Z324/2)*$V$34</f>
        <v>-5.7945589909369037E-2</v>
      </c>
      <c r="W326" s="221"/>
      <c r="X326" s="221">
        <f t="shared" ref="X326" si="258">W325+V326/2</f>
        <v>-0.27854099275416522</v>
      </c>
      <c r="Y326" s="221"/>
      <c r="Z326" s="221">
        <f>-$V$35*(X326+Y325*((AA325+Z324/2)^2))</f>
        <v>4.7546173829453612E-3</v>
      </c>
      <c r="AA326" s="221"/>
      <c r="AB326" s="221">
        <f t="shared" ref="AB326" si="259">AA325+Z326/2</f>
        <v>-0.33480075489169636</v>
      </c>
      <c r="AC326" s="213"/>
    </row>
    <row r="327" spans="21:29" x14ac:dyDescent="0.3">
      <c r="U327" s="220">
        <f>U325+$V$28</f>
        <v>28.59999999999993</v>
      </c>
      <c r="V327" s="221"/>
      <c r="W327" s="221">
        <f>IF(W325+V326&lt;0,(W325+V326)*0.8,W325+V326)</f>
        <v>-0.24601103016707981</v>
      </c>
      <c r="X327" s="221"/>
      <c r="Y327" s="221">
        <f>Y325*(AC327/AC325)^2</f>
        <v>1.9238786013656168E-3</v>
      </c>
      <c r="Z327" s="221"/>
      <c r="AA327" s="221">
        <f>IF(AND(ABS(AA325+Z326)&gt;$G$27*0.8,(AA325+Z326)&lt;0),-$G$27*0.5,IF(AND(ABS(AA325+Z326)&gt;$G$27*0.8,(AA325+Z326)&gt;0),$G$27*0.5,AA325+Z326))</f>
        <v>-0.33242344620022368</v>
      </c>
      <c r="AB327" s="221"/>
      <c r="AC327" s="223">
        <f>$G$29*AA327</f>
        <v>-15.654047718249677</v>
      </c>
    </row>
    <row r="328" spans="21:29" x14ac:dyDescent="0.3">
      <c r="U328" s="213"/>
      <c r="V328" s="221">
        <f>(AA327+Z326/2)*$V$34</f>
        <v>-5.7128543041007215E-2</v>
      </c>
      <c r="W328" s="221"/>
      <c r="X328" s="221">
        <f t="shared" ref="X328" si="260">W327+V328/2</f>
        <v>-0.27457530168758343</v>
      </c>
      <c r="Y328" s="221"/>
      <c r="Z328" s="221">
        <f>-$V$35*(X328+Y327*((AA327+Z326/2)^2))</f>
        <v>4.6870794411619527E-3</v>
      </c>
      <c r="AA328" s="221"/>
      <c r="AB328" s="221">
        <f t="shared" ref="AB328" si="261">AA327+Z328/2</f>
        <v>-0.33007990647964269</v>
      </c>
      <c r="AC328" s="213"/>
    </row>
    <row r="329" spans="21:29" x14ac:dyDescent="0.3">
      <c r="U329" s="220">
        <f>U327+$V$28</f>
        <v>28.79999999999993</v>
      </c>
      <c r="V329" s="221"/>
      <c r="W329" s="221">
        <f>IF(W327+V328&lt;0,(W327+V328)*0.8,W327+V328)</f>
        <v>-0.24251165856646964</v>
      </c>
      <c r="X329" s="221"/>
      <c r="Y329" s="221">
        <f>Y327*(AC329/AC327)^2</f>
        <v>1.8700087512879102E-3</v>
      </c>
      <c r="Z329" s="221"/>
      <c r="AA329" s="221">
        <f>IF(AND(ABS(AA327+Z328)&gt;$G$27*0.8,(AA327+Z328)&lt;0),-$G$27*0.5,IF(AND(ABS(AA327+Z328)&gt;$G$27*0.8,(AA327+Z328)&gt;0),$G$27*0.5,AA327+Z328))</f>
        <v>-0.3277363667590617</v>
      </c>
      <c r="AB329" s="221"/>
      <c r="AC329" s="223">
        <f>$G$29*AA329</f>
        <v>-15.433329937750573</v>
      </c>
    </row>
    <row r="330" spans="21:29" x14ac:dyDescent="0.3">
      <c r="U330" s="213"/>
      <c r="V330" s="221">
        <f>(AA329+Z328/2)*$V$34</f>
        <v>-5.6323089447486652E-2</v>
      </c>
      <c r="W330" s="221"/>
      <c r="X330" s="221">
        <f t="shared" ref="X330" si="262">W329+V330/2</f>
        <v>-0.27067320329021294</v>
      </c>
      <c r="Y330" s="221"/>
      <c r="Z330" s="221">
        <f>-$V$35*(X330+Y329*((AA329+Z328/2)^2))</f>
        <v>4.6206162995840912E-3</v>
      </c>
      <c r="AA330" s="221"/>
      <c r="AB330" s="221">
        <f t="shared" ref="AB330" si="263">AA329+Z330/2</f>
        <v>-0.32542605860926965</v>
      </c>
      <c r="AC330" s="213"/>
    </row>
    <row r="331" spans="21:29" x14ac:dyDescent="0.3">
      <c r="U331" s="220">
        <f>U329+$V$28</f>
        <v>28.999999999999929</v>
      </c>
      <c r="V331" s="221"/>
      <c r="W331" s="221">
        <f>IF(W329+V330&lt;0,(W329+V330)*0.8,W329+V330)</f>
        <v>-0.23906779841116502</v>
      </c>
      <c r="X331" s="221"/>
      <c r="Y331" s="221">
        <f>Y329*(AC331/AC329)^2</f>
        <v>1.817651529106648E-3</v>
      </c>
      <c r="Z331" s="221"/>
      <c r="AA331" s="221">
        <f>IF(AND(ABS(AA329+Z330)&gt;$G$27*0.8,(AA329+Z330)&lt;0),-$G$27*0.5,IF(AND(ABS(AA329+Z330)&gt;$G$27*0.8,(AA329+Z330)&gt;0),$G$27*0.5,AA329+Z330))</f>
        <v>-0.3231157504594776</v>
      </c>
      <c r="AB331" s="221"/>
      <c r="AC331" s="223">
        <f>$G$29*AA331</f>
        <v>-15.215741952100952</v>
      </c>
    </row>
    <row r="332" spans="21:29" x14ac:dyDescent="0.3">
      <c r="U332" s="213"/>
      <c r="V332" s="221">
        <f>(AA331+Z330/2)*$V$34</f>
        <v>-5.5529047111761133E-2</v>
      </c>
      <c r="W332" s="221"/>
      <c r="X332" s="221">
        <f t="shared" ref="X332" si="264">W331+V332/2</f>
        <v>-0.26683232196704559</v>
      </c>
      <c r="Y332" s="221"/>
      <c r="Z332" s="221">
        <f>-$V$35*(X332+Y331*((AA331+Z330/2)^2))</f>
        <v>4.5551880204150992E-3</v>
      </c>
      <c r="AA332" s="221"/>
      <c r="AB332" s="221">
        <f t="shared" ref="AB332" si="265">AA331+Z332/2</f>
        <v>-0.32083815644927005</v>
      </c>
      <c r="AC332" s="213"/>
    </row>
    <row r="333" spans="21:29" x14ac:dyDescent="0.3">
      <c r="U333" s="220">
        <f>U331+$V$28</f>
        <v>29.199999999999928</v>
      </c>
      <c r="V333" s="221"/>
      <c r="W333" s="221">
        <f>IF(W331+V332&lt;0,(W331+V332)*0.8,W331+V332)</f>
        <v>-0.23567747641834091</v>
      </c>
      <c r="X333" s="221"/>
      <c r="Y333" s="221">
        <f>Y331*(AC333/AC331)^2</f>
        <v>1.7667633765257997E-3</v>
      </c>
      <c r="Z333" s="221"/>
      <c r="AA333" s="221">
        <f>IF(AND(ABS(AA331+Z332)&gt;$G$27*0.8,(AA331+Z332)&lt;0),-$G$27*0.5,IF(AND(ABS(AA331+Z332)&gt;$G$27*0.8,(AA331+Z332)&gt;0),$G$27*0.5,AA331+Z332))</f>
        <v>-0.3185605624390625</v>
      </c>
      <c r="AB333" s="221"/>
      <c r="AC333" s="223">
        <f>$G$29*AA333</f>
        <v>-15.001235028921329</v>
      </c>
    </row>
    <row r="334" spans="21:29" x14ac:dyDescent="0.3">
      <c r="U334" s="213"/>
      <c r="V334" s="221">
        <f>(AA333+Z332/2)*$V$34</f>
        <v>-5.4746240363277333E-2</v>
      </c>
      <c r="W334" s="221"/>
      <c r="X334" s="221">
        <f t="shared" ref="X334" si="266">W333+V334/2</f>
        <v>-0.26305059659997959</v>
      </c>
      <c r="Y334" s="221"/>
      <c r="Z334" s="221">
        <f>-$V$35*(X334+Y333*((AA333+Z332/2)^2))</f>
        <v>4.4907600009821092E-3</v>
      </c>
      <c r="AA334" s="221"/>
      <c r="AB334" s="221">
        <f t="shared" ref="AB334" si="267">AA333+Z334/2</f>
        <v>-0.31631518243857143</v>
      </c>
      <c r="AC334" s="213"/>
    </row>
    <row r="335" spans="21:29" x14ac:dyDescent="0.3">
      <c r="U335" s="220">
        <f>U333+$V$28</f>
        <v>29.399999999999928</v>
      </c>
      <c r="V335" s="221"/>
      <c r="W335" s="221">
        <f>IF(W333+V334&lt;0,(W333+V334)*0.8,W333+V334)</f>
        <v>-0.23233897342529464</v>
      </c>
      <c r="X335" s="221"/>
      <c r="Y335" s="221">
        <f>Y333*(AC335/AC333)^2</f>
        <v>1.7173022221420708E-3</v>
      </c>
      <c r="Z335" s="221"/>
      <c r="AA335" s="221">
        <f>IF(AND(ABS(AA333+Z334)&gt;$G$27*0.8,(AA333+Z334)&lt;0),-$G$27*0.5,IF(AND(ABS(AA333+Z334)&gt;$G$27*0.8,(AA333+Z334)&gt;0),$G$27*0.5,AA333+Z334))</f>
        <v>-0.31406980243808041</v>
      </c>
      <c r="AB335" s="221"/>
      <c r="AC335" s="223">
        <f>$G$29*AA335</f>
        <v>-14.789762065295777</v>
      </c>
    </row>
    <row r="336" spans="21:29" x14ac:dyDescent="0.3">
      <c r="U336" s="213"/>
      <c r="V336" s="221">
        <f>(AA335+Z334/2)*$V$34</f>
        <v>-5.397449905921322E-2</v>
      </c>
      <c r="W336" s="221"/>
      <c r="X336" s="221">
        <f t="shared" ref="X336" si="268">W335+V336/2</f>
        <v>-0.25932622295490126</v>
      </c>
      <c r="Y336" s="221"/>
      <c r="Z336" s="221">
        <f>-$V$35*(X336+Y335*((AA335+Z334/2)^2))</f>
        <v>4.4273019922757952E-3</v>
      </c>
      <c r="AA336" s="221"/>
      <c r="AB336" s="221">
        <f t="shared" ref="AB336" si="269">AA335+Z336/2</f>
        <v>-0.31185615144194251</v>
      </c>
      <c r="AC336" s="213"/>
    </row>
    <row r="337" spans="21:29" x14ac:dyDescent="0.3">
      <c r="U337" s="220">
        <f>U335+$V$28</f>
        <v>29.599999999999927</v>
      </c>
      <c r="V337" s="221"/>
      <c r="W337" s="221">
        <f>IF(W335+V336&lt;0,(W335+V336)*0.8,W335+V336)</f>
        <v>-0.22905077798760629</v>
      </c>
      <c r="X337" s="221"/>
      <c r="Y337" s="221">
        <f>Y335*(AC337/AC335)^2</f>
        <v>1.6692273844439499E-3</v>
      </c>
      <c r="Z337" s="221"/>
      <c r="AA337" s="221">
        <f>IF(AND(ABS(AA335+Z336)&gt;$G$27*0.8,(AA335+Z336)&lt;0),-$G$27*0.5,IF(AND(ABS(AA335+Z336)&gt;$G$27*0.8,(AA335+Z336)&gt;0),$G$27*0.5,AA335+Z336))</f>
        <v>-0.3096425004458046</v>
      </c>
      <c r="AB337" s="221"/>
      <c r="AC337" s="223">
        <f>$G$29*AA337</f>
        <v>-14.581277382754932</v>
      </c>
    </row>
    <row r="338" spans="21:29" x14ac:dyDescent="0.3">
      <c r="U338" s="213"/>
      <c r="V338" s="221">
        <f>(AA337+Z336/2)*$V$34</f>
        <v>-5.3213657915832865E-2</v>
      </c>
      <c r="W338" s="221"/>
      <c r="X338" s="221">
        <f t="shared" ref="X338" si="270">W337+V338/2</f>
        <v>-0.2556576069455227</v>
      </c>
      <c r="Y338" s="221"/>
      <c r="Z338" s="221">
        <f>-$V$35*(X338+Y337*((AA337+Z336/2)^2))</f>
        <v>4.3647873027430418E-3</v>
      </c>
      <c r="AA338" s="221"/>
      <c r="AB338" s="221">
        <f t="shared" ref="AB338" si="271">AA337+Z338/2</f>
        <v>-0.30746010679443309</v>
      </c>
      <c r="AC338" s="213"/>
    </row>
    <row r="339" spans="21:29" x14ac:dyDescent="0.3">
      <c r="U339" s="220">
        <f>U337+$V$28</f>
        <v>29.799999999999926</v>
      </c>
      <c r="V339" s="221"/>
      <c r="W339" s="221">
        <f>IF(W337+V338&lt;0,(W337+V338)*0.8,W337+V338)</f>
        <v>-0.22581154872275133</v>
      </c>
      <c r="X339" s="221"/>
      <c r="Y339" s="221">
        <f>Y337*(AC339/AC337)^2</f>
        <v>1.622499488745331E-3</v>
      </c>
      <c r="Z339" s="221"/>
      <c r="AA339" s="221">
        <f>IF(AND(ABS(AA337+Z338)&gt;$G$27*0.8,(AA337+Z338)&lt;0),-$G$27*0.5,IF(AND(ABS(AA337+Z338)&gt;$G$27*0.8,(AA337+Z338)&gt;0),$G$27*0.5,AA337+Z338))</f>
        <v>-0.30527771314306157</v>
      </c>
      <c r="AB339" s="221"/>
      <c r="AC339" s="223">
        <f>$G$29*AA339</f>
        <v>-14.375736559752948</v>
      </c>
    </row>
    <row r="340" spans="21:29" x14ac:dyDescent="0.3">
      <c r="U340" s="213"/>
      <c r="V340" s="221">
        <f>(AA339+Z338/2)*$V$34</f>
        <v>-5.2463555961625941E-2</v>
      </c>
      <c r="W340" s="221"/>
      <c r="X340" s="221">
        <f t="shared" ref="X340" si="272">W339+V340/2</f>
        <v>-0.25204332670356433</v>
      </c>
      <c r="Y340" s="221"/>
      <c r="Z340" s="221">
        <f>-$V$35*(X340+Y339*((AA339+Z338/2)^2))</f>
        <v>4.3031921523353162E-3</v>
      </c>
      <c r="AA340" s="221"/>
      <c r="AB340" s="221">
        <f t="shared" ref="AB340" si="273">AA339+Z340/2</f>
        <v>-0.30312611706689391</v>
      </c>
      <c r="AC340" s="213"/>
    </row>
    <row r="341" spans="21:29" x14ac:dyDescent="0.3">
      <c r="U341" s="220">
        <f>U339+$V$28</f>
        <v>29.999999999999925</v>
      </c>
      <c r="V341" s="221"/>
      <c r="W341" s="221">
        <f>IF(W339+V340&lt;0,(W339+V340)*0.8,W339+V340)</f>
        <v>-0.22262008374750183</v>
      </c>
      <c r="X341" s="221"/>
      <c r="Y341" s="221">
        <f>Y339*(AC341/AC339)^2</f>
        <v>1.5770803954070801E-3</v>
      </c>
      <c r="Z341" s="221"/>
      <c r="AA341" s="221">
        <f>IF(AND(ABS(AA339+Z340)&gt;$G$27*0.8,(AA339+Z340)&lt;0),-$G$27*0.5,IF(AND(ABS(AA339+Z340)&gt;$G$27*0.8,(AA339+Z340)&gt;0),$G$27*0.5,AA339+Z340))</f>
        <v>-0.30097452099072625</v>
      </c>
      <c r="AB341" s="221"/>
      <c r="AC341" s="223">
        <f>$G$29*AA341</f>
        <v>-14.173096294562743</v>
      </c>
    </row>
    <row r="342" spans="21:29" x14ac:dyDescent="0.3">
      <c r="U342" s="213"/>
      <c r="V342" s="221">
        <f>(AA341+Z340/2)*$V$34</f>
        <v>-5.1724036089252488E-2</v>
      </c>
      <c r="W342" s="221"/>
      <c r="X342" s="221">
        <f t="shared" ref="X342" si="274">W341+V342/2</f>
        <v>-0.24848210179212807</v>
      </c>
      <c r="Y342" s="221"/>
      <c r="Z342" s="221">
        <f>-$V$35*(X342+Y341*((AA341+Z340/2)^2))</f>
        <v>4.2424951484253395E-3</v>
      </c>
      <c r="AA342" s="221"/>
      <c r="AB342" s="221">
        <f t="shared" ref="AB342" si="275">AA341+Z342/2</f>
        <v>-0.29885327341651358</v>
      </c>
      <c r="AC342" s="213"/>
    </row>
    <row r="343" spans="21:29" x14ac:dyDescent="0.3">
      <c r="U343" s="220">
        <f>U341+$V$28</f>
        <v>30.199999999999925</v>
      </c>
      <c r="V343" s="221"/>
      <c r="W343" s="221">
        <f>IF(W341+V342&lt;0,(W341+V342)*0.8,W341+V342)</f>
        <v>-0.21947529586940348</v>
      </c>
      <c r="X343" s="221"/>
      <c r="Y343" s="221">
        <f>Y341*(AC343/AC341)^2</f>
        <v>1.5329331372268835E-3</v>
      </c>
      <c r="Z343" s="221"/>
      <c r="AA343" s="221">
        <f>IF(AND(ABS(AA341+Z342)&gt;$G$27*0.8,(AA341+Z342)&lt;0),-$G$27*0.5,IF(AND(ABS(AA341+Z342)&gt;$G$27*0.8,(AA341+Z342)&gt;0),$G$27*0.5,AA341+Z342))</f>
        <v>-0.29673202584230091</v>
      </c>
      <c r="AB343" s="221"/>
      <c r="AC343" s="223">
        <f>$G$29*AA343</f>
        <v>-13.973314292850711</v>
      </c>
    </row>
    <row r="344" spans="21:29" x14ac:dyDescent="0.3">
      <c r="U344" s="213"/>
      <c r="V344" s="221">
        <f>(AA343+Z342/2)*$V$34</f>
        <v>-5.0994944687655537E-2</v>
      </c>
      <c r="W344" s="221"/>
      <c r="X344" s="221">
        <f t="shared" ref="X344" si="276">W343+V344/2</f>
        <v>-0.24497276821323125</v>
      </c>
      <c r="Y344" s="221"/>
      <c r="Z344" s="221">
        <f>-$V$35*(X344+Y343*((AA343+Z342/2)^2))</f>
        <v>4.1826768605662439E-3</v>
      </c>
      <c r="AA344" s="221"/>
      <c r="AB344" s="221">
        <f t="shared" ref="AB344" si="277">AA343+Z344/2</f>
        <v>-0.29464068741201777</v>
      </c>
      <c r="AC344" s="213"/>
    </row>
    <row r="345" spans="21:29" x14ac:dyDescent="0.3">
      <c r="U345" s="220">
        <f>U343+$V$28</f>
        <v>30.399999999999924</v>
      </c>
      <c r="V345" s="221"/>
      <c r="W345" s="221">
        <f>IF(W343+V344&lt;0,(W343+V344)*0.8,W343+V344)</f>
        <v>-0.21637619244564724</v>
      </c>
      <c r="X345" s="221"/>
      <c r="Y345" s="221">
        <f>Y343*(AC345/AC343)^2</f>
        <v>1.4900218642990267E-3</v>
      </c>
      <c r="Z345" s="221"/>
      <c r="AA345" s="221">
        <f>IF(AND(ABS(AA343+Z344)&gt;$G$27*0.8,(AA343+Z344)&lt;0),-$G$27*0.5,IF(AND(ABS(AA343+Z344)&gt;$G$27*0.8,(AA343+Z344)&gt;0),$G$27*0.5,AA343+Z344))</f>
        <v>-0.29254934898173468</v>
      </c>
      <c r="AB345" s="221"/>
      <c r="AC345" s="223">
        <f>$G$29*AA345</f>
        <v>-13.776349175276286</v>
      </c>
    </row>
    <row r="346" spans="21:29" x14ac:dyDescent="0.3">
      <c r="U346" s="213"/>
      <c r="V346" s="221">
        <f>(AA345+Z344/2)*$V$34</f>
        <v>-5.0276131339225143E-2</v>
      </c>
      <c r="W346" s="221"/>
      <c r="X346" s="221">
        <f t="shared" ref="X346" si="278">W345+V346/2</f>
        <v>-0.24151425811525981</v>
      </c>
      <c r="Y346" s="221"/>
      <c r="Z346" s="221">
        <f>-$V$35*(X346+Y345*((AA345+Z344/2)^2))</f>
        <v>4.1237194754164732E-3</v>
      </c>
      <c r="AA346" s="221"/>
      <c r="AB346" s="221">
        <f t="shared" ref="AB346" si="279">AA345+Z346/2</f>
        <v>-0.29048748924402645</v>
      </c>
      <c r="AC346" s="213"/>
    </row>
    <row r="347" spans="21:29" x14ac:dyDescent="0.3">
      <c r="U347" s="220">
        <f>U345+$V$28</f>
        <v>30.599999999999923</v>
      </c>
      <c r="V347" s="221"/>
      <c r="W347" s="221">
        <f>IF(W345+V346&lt;0,(W345+V346)*0.8,W345+V346)</f>
        <v>-0.21332185902789791</v>
      </c>
      <c r="X347" s="221"/>
      <c r="Y347" s="221">
        <f>Y345*(AC347/AC345)^2</f>
        <v>1.4483117949827117E-3</v>
      </c>
      <c r="Z347" s="221"/>
      <c r="AA347" s="221">
        <f>IF(AND(ABS(AA345+Z346)&gt;$G$27*0.8,(AA345+Z346)&lt;0),-$G$27*0.5,IF(AND(ABS(AA345+Z346)&gt;$G$27*0.8,(AA345+Z346)&gt;0),$G$27*0.5,AA345+Z346))</f>
        <v>-0.28842562950631823</v>
      </c>
      <c r="AB347" s="221"/>
      <c r="AC347" s="223">
        <f>$G$29*AA347</f>
        <v>-13.582160401341358</v>
      </c>
    </row>
    <row r="348" spans="21:29" x14ac:dyDescent="0.3">
      <c r="U348" s="213"/>
      <c r="V348" s="221">
        <f>(AA347+Z346/2)*$V$34</f>
        <v>-4.9567448569754438E-2</v>
      </c>
      <c r="W348" s="221"/>
      <c r="X348" s="221">
        <f t="shared" ref="X348" si="280">W347+V348/2</f>
        <v>-0.23810558331277512</v>
      </c>
      <c r="Y348" s="221"/>
      <c r="Z348" s="221">
        <f>-$V$35*(X348+Y347*((AA347+Z346/2)^2))</f>
        <v>4.0656065166814904E-3</v>
      </c>
      <c r="AA348" s="221"/>
      <c r="AB348" s="221">
        <f t="shared" ref="AB348" si="281">AA347+Z348/2</f>
        <v>-0.28639282624797746</v>
      </c>
      <c r="AC348" s="213"/>
    </row>
    <row r="349" spans="21:29" x14ac:dyDescent="0.3">
      <c r="U349" s="220">
        <f>U347+$V$28</f>
        <v>30.799999999999923</v>
      </c>
      <c r="V349" s="221"/>
      <c r="W349" s="221">
        <f>IF(W347+V348&lt;0,(W347+V348)*0.8,W347+V348)</f>
        <v>-0.21031144607812188</v>
      </c>
      <c r="X349" s="221"/>
      <c r="Y349" s="221">
        <f>Y347*(AC349/AC347)^2</f>
        <v>1.4077691718869523E-3</v>
      </c>
      <c r="Z349" s="221"/>
      <c r="AA349" s="221">
        <f>IF(AND(ABS(AA347+Z348)&gt;$G$27*0.8,(AA347+Z348)&lt;0),-$G$27*0.5,IF(AND(ABS(AA347+Z348)&gt;$G$27*0.8,(AA347+Z348)&gt;0),$G$27*0.5,AA347+Z348))</f>
        <v>-0.28436002298963675</v>
      </c>
      <c r="AB349" s="221"/>
      <c r="AC349" s="223">
        <f>$G$29*AA349</f>
        <v>-13.39070820642781</v>
      </c>
    </row>
    <row r="350" spans="21:29" x14ac:dyDescent="0.3">
      <c r="U350" s="213"/>
      <c r="V350" s="221">
        <f>(AA349+Z348/2)*$V$34</f>
        <v>-4.8868751641244684E-2</v>
      </c>
      <c r="W350" s="221"/>
      <c r="X350" s="221">
        <f t="shared" ref="X350" si="282">W349+V350/2</f>
        <v>-0.23474582189874421</v>
      </c>
      <c r="Y350" s="221"/>
      <c r="Z350" s="221">
        <f>-$V$35*(X350+Y349*((AA349+Z348/2)^2))</f>
        <v>4.0083226177848675E-3</v>
      </c>
      <c r="AA350" s="221"/>
      <c r="AB350" s="221">
        <f t="shared" ref="AB350" si="283">AA349+Z350/2</f>
        <v>-0.28235586168074434</v>
      </c>
      <c r="AC350" s="213"/>
    </row>
    <row r="351" spans="21:29" x14ac:dyDescent="0.3">
      <c r="U351" s="220">
        <f>U349+$V$28</f>
        <v>30.999999999999922</v>
      </c>
      <c r="V351" s="221"/>
      <c r="W351" s="221">
        <f>IF(W349+V350&lt;0,(W349+V350)*0.8,W349+V350)</f>
        <v>-0.20734415817549326</v>
      </c>
      <c r="X351" s="221"/>
      <c r="Y351" s="221">
        <f>Y349*(AC351/AC349)^2</f>
        <v>1.3683612219956209E-3</v>
      </c>
      <c r="Z351" s="221"/>
      <c r="AA351" s="221">
        <f>IF(AND(ABS(AA349+Z350)&gt;$G$27*0.8,(AA349+Z350)&lt;0),-$G$27*0.5,IF(AND(ABS(AA349+Z350)&gt;$G$27*0.8,(AA349+Z350)&gt;0),$G$27*0.5,AA349+Z350))</f>
        <v>-0.28035170037185186</v>
      </c>
      <c r="AB351" s="221"/>
      <c r="AC351" s="223">
        <f>$G$29*AA351</f>
        <v>-13.201953549540129</v>
      </c>
    </row>
    <row r="352" spans="21:29" x14ac:dyDescent="0.3">
      <c r="U352" s="213"/>
      <c r="V352" s="221">
        <f>(AA351+Z350/2)*$V$34</f>
        <v>-4.8179898379495788E-2</v>
      </c>
      <c r="W352" s="221"/>
      <c r="X352" s="221">
        <f t="shared" ref="X352" si="284">W351+V352/2</f>
        <v>-0.23143410736524114</v>
      </c>
      <c r="Y352" s="221"/>
      <c r="Z352" s="221">
        <f>-$V$35*(X352+Y351*((AA351+Z350/2)^2))</f>
        <v>3.9518533373024689E-3</v>
      </c>
      <c r="AA352" s="221"/>
      <c r="AB352" s="221">
        <f t="shared" ref="AB352" si="285">AA351+Z352/2</f>
        <v>-0.27837577370320066</v>
      </c>
      <c r="AC352" s="213"/>
    </row>
    <row r="353" spans="21:29" x14ac:dyDescent="0.3">
      <c r="U353" s="220">
        <f>U351+$V$28</f>
        <v>31.199999999999921</v>
      </c>
      <c r="V353" s="221"/>
      <c r="W353" s="221">
        <f>IF(W351+V352&lt;0,(W351+V352)*0.8,W351+V352)</f>
        <v>-0.20441924524399124</v>
      </c>
      <c r="X353" s="221"/>
      <c r="Y353" s="221">
        <f>Y351*(AC353/AC351)^2</f>
        <v>1.3300561202286038E-3</v>
      </c>
      <c r="Z353" s="221"/>
      <c r="AA353" s="221">
        <f>IF(AND(ABS(AA351+Z352)&gt;$G$27*0.8,(AA351+Z352)&lt;0),-$G$27*0.5,IF(AND(ABS(AA351+Z352)&gt;$G$27*0.8,(AA351+Z352)&gt;0),$G$27*0.5,AA351+Z352))</f>
        <v>-0.2763998470345494</v>
      </c>
      <c r="AB353" s="221"/>
      <c r="AC353" s="223">
        <f>$G$29*AA353</f>
        <v>-13.015858069739355</v>
      </c>
    </row>
    <row r="354" spans="21:29" x14ac:dyDescent="0.3">
      <c r="U354" s="213"/>
      <c r="V354" s="221">
        <f>(AA353+Z352/2)*$V$34</f>
        <v>-4.7500749029942724E-2</v>
      </c>
      <c r="W354" s="221"/>
      <c r="X354" s="221">
        <f t="shared" ref="X354" si="286">W353+V354/2</f>
        <v>-0.22816961975896261</v>
      </c>
      <c r="Y354" s="221"/>
      <c r="Z354" s="221">
        <f>-$V$35*(X354+Y353*((AA353+Z352/2)^2))</f>
        <v>3.8961850090762241E-3</v>
      </c>
      <c r="AA354" s="221"/>
      <c r="AB354" s="221">
        <f t="shared" ref="AB354" si="287">AA353+Z354/2</f>
        <v>-0.2744517545300113</v>
      </c>
      <c r="AC354" s="213"/>
    </row>
    <row r="355" spans="21:29" x14ac:dyDescent="0.3">
      <c r="U355" s="220">
        <f>U353+$V$28</f>
        <v>31.39999999999992</v>
      </c>
      <c r="V355" s="221"/>
      <c r="W355" s="221">
        <f>IF(W353+V354&lt;0,(W353+V354)*0.8,W353+V354)</f>
        <v>-0.20153599541914718</v>
      </c>
      <c r="X355" s="221"/>
      <c r="Y355" s="221">
        <f>Y353*(AC355/AC353)^2</f>
        <v>1.2928229558729356E-3</v>
      </c>
      <c r="Z355" s="221"/>
      <c r="AA355" s="221">
        <f>IF(AND(ABS(AA353+Z354)&gt;$G$27*0.8,(AA353+Z354)&lt;0),-$G$27*0.5,IF(AND(ABS(AA353+Z354)&gt;$G$27*0.8,(AA353+Z354)&gt;0),$G$27*0.5,AA353+Z354))</f>
        <v>-0.27250366202547316</v>
      </c>
      <c r="AB355" s="221"/>
      <c r="AC355" s="223">
        <f>$G$29*AA355</f>
        <v>-12.832384049635273</v>
      </c>
    </row>
    <row r="356" spans="21:29" x14ac:dyDescent="0.3">
      <c r="U356" s="213"/>
      <c r="V356" s="221">
        <f>(AA355+Z354/2)*$V$34</f>
        <v>-4.6831166136434906E-2</v>
      </c>
      <c r="W356" s="221"/>
      <c r="X356" s="221">
        <f t="shared" ref="X356" si="288">W355+V356/2</f>
        <v>-0.22495157848736463</v>
      </c>
      <c r="Y356" s="221"/>
      <c r="Z356" s="221">
        <f>-$V$35*(X356+Y355*((AA355+Z354/2)^2))</f>
        <v>3.841304620451146E-3</v>
      </c>
      <c r="AA356" s="221"/>
      <c r="AB356" s="221">
        <f t="shared" ref="AB356" si="289">AA355+Z356/2</f>
        <v>-0.27058300971524757</v>
      </c>
      <c r="AC356" s="213"/>
    </row>
    <row r="357" spans="21:29" x14ac:dyDescent="0.3">
      <c r="U357" s="220">
        <f>U355+$V$28</f>
        <v>31.59999999999992</v>
      </c>
      <c r="V357" s="221"/>
      <c r="W357" s="221">
        <f>IF(W355+V356&lt;0,(W355+V356)*0.8,W355+V356)</f>
        <v>-0.19869372924446568</v>
      </c>
      <c r="X357" s="221"/>
      <c r="Y357" s="221">
        <f>Y355*(AC357/AC355)^2</f>
        <v>1.2566317014281287E-3</v>
      </c>
      <c r="Z357" s="221"/>
      <c r="AA357" s="221">
        <f>IF(AND(ABS(AA355+Z356)&gt;$G$27*0.8,(AA355+Z356)&lt;0),-$G$27*0.5,IF(AND(ABS(AA355+Z356)&gt;$G$27*0.8,(AA355+Z356)&gt;0),$G$27*0.5,AA355+Z356))</f>
        <v>-0.26866235740502203</v>
      </c>
      <c r="AB357" s="221"/>
      <c r="AC357" s="223">
        <f>$G$29*AA357</f>
        <v>-12.651494384612498</v>
      </c>
    </row>
    <row r="358" spans="21:29" x14ac:dyDescent="0.3">
      <c r="U358" s="213"/>
      <c r="V358" s="221">
        <f>(AA357+Z356/2)*$V$34</f>
        <v>-4.6171014438657655E-2</v>
      </c>
      <c r="W358" s="221"/>
      <c r="X358" s="221">
        <f t="shared" ref="X358" si="290">W357+V358/2</f>
        <v>-0.22177923646379452</v>
      </c>
      <c r="Y358" s="221"/>
      <c r="Z358" s="221">
        <f>-$V$35*(X358+Y357*((AA357+Z356/2)^2))</f>
        <v>3.7871997133180303E-3</v>
      </c>
      <c r="AA358" s="221"/>
      <c r="AB358" s="221">
        <f t="shared" ref="AB358" si="291">AA357+Z358/2</f>
        <v>-0.26676875754836304</v>
      </c>
      <c r="AC358" s="213"/>
    </row>
    <row r="359" spans="21:29" x14ac:dyDescent="0.3">
      <c r="U359" s="220">
        <f>U357+$V$28</f>
        <v>31.799999999999919</v>
      </c>
      <c r="V359" s="221"/>
      <c r="W359" s="221">
        <f>IF(W357+V358&lt;0,(W357+V358)*0.8,W357+V358)</f>
        <v>-0.19589179494649867</v>
      </c>
      <c r="X359" s="221"/>
      <c r="Y359" s="221">
        <f>Y357*(AC359/AC357)^2</f>
        <v>1.2214531834982081E-3</v>
      </c>
      <c r="Z359" s="221"/>
      <c r="AA359" s="221">
        <f>IF(AND(ABS(AA357+Z358)&gt;$G$27*0.8,(AA357+Z358)&lt;0),-$G$27*0.5,IF(AND(ABS(AA357+Z358)&gt;$G$27*0.8,(AA357+Z358)&gt;0),$G$27*0.5,AA357+Z358))</f>
        <v>-0.264875157691704</v>
      </c>
      <c r="AB359" s="221"/>
      <c r="AC359" s="223">
        <f>$G$29*AA359</f>
        <v>-12.473152556716538</v>
      </c>
    </row>
    <row r="360" spans="21:29" x14ac:dyDescent="0.3">
      <c r="U360" s="213"/>
      <c r="V360" s="221">
        <f>(AA359+Z358/2)*$V$34</f>
        <v>-4.5520160784708927E-2</v>
      </c>
      <c r="W360" s="221"/>
      <c r="X360" s="221">
        <f t="shared" ref="X360" si="292">W359+V360/2</f>
        <v>-0.21865187533885314</v>
      </c>
      <c r="Y360" s="221"/>
      <c r="Z360" s="221">
        <f>-$V$35*(X360+Y359*((AA359+Z358/2)^2))</f>
        <v>3.7338583036490174E-3</v>
      </c>
      <c r="AA360" s="221"/>
      <c r="AB360" s="221">
        <f t="shared" ref="AB360" si="293">AA359+Z360/2</f>
        <v>-0.26300822853987949</v>
      </c>
      <c r="AC360" s="213"/>
    </row>
    <row r="361" spans="21:29" x14ac:dyDescent="0.3">
      <c r="U361" s="220">
        <f>U359+$V$28</f>
        <v>31.999999999999918</v>
      </c>
      <c r="V361" s="221"/>
      <c r="W361" s="221">
        <f>IF(W359+V360&lt;0,(W359+V360)*0.8,W359+V360)</f>
        <v>-0.19312956458496611</v>
      </c>
      <c r="X361" s="221"/>
      <c r="Y361" s="221">
        <f>Y359*(AC361/AC359)^2</f>
        <v>1.1872590554336416E-3</v>
      </c>
      <c r="Z361" s="221"/>
      <c r="AA361" s="221">
        <f>IF(AND(ABS(AA359+Z360)&gt;$G$27*0.8,(AA359+Z360)&lt;0),-$G$27*0.5,IF(AND(ABS(AA359+Z360)&gt;$G$27*0.8,(AA359+Z360)&gt;0),$G$27*0.5,AA359+Z360))</f>
        <v>-0.26114129938805497</v>
      </c>
      <c r="AB361" s="221"/>
      <c r="AC361" s="223">
        <f>$G$29*AA361</f>
        <v>-12.297322612328983</v>
      </c>
    </row>
    <row r="362" spans="21:29" x14ac:dyDescent="0.3">
      <c r="U362" s="213"/>
      <c r="V362" s="221">
        <f>(AA361+Z360/2)*$V$34</f>
        <v>-4.4878474056003155E-2</v>
      </c>
      <c r="W362" s="221"/>
      <c r="X362" s="221">
        <f t="shared" ref="X362" si="294">W361+V362/2</f>
        <v>-0.21556880161296768</v>
      </c>
      <c r="Y362" s="221"/>
      <c r="Z362" s="221">
        <f>-$V$35*(X362+Y361*((AA361+Z360/2)^2))</f>
        <v>3.6812688160282533E-3</v>
      </c>
      <c r="AA362" s="221"/>
      <c r="AB362" s="221">
        <f t="shared" ref="AB362" si="295">AA361+Z362/2</f>
        <v>-0.25930066498004084</v>
      </c>
      <c r="AC362" s="213"/>
    </row>
    <row r="363" spans="21:29" x14ac:dyDescent="0.3">
      <c r="U363" s="220">
        <f>U361+$V$28</f>
        <v>32.199999999999918</v>
      </c>
      <c r="V363" s="221"/>
      <c r="W363" s="221">
        <f>IF(W361+V362&lt;0,(W361+V362)*0.8,W361+V362)</f>
        <v>-0.19040643091277543</v>
      </c>
      <c r="X363" s="221"/>
      <c r="Y363" s="221">
        <f>Y361*(AC363/AC361)^2</f>
        <v>1.1540217714829223E-3</v>
      </c>
      <c r="Z363" s="221"/>
      <c r="AA363" s="221">
        <f>IF(AND(ABS(AA361+Z362)&gt;$G$27*0.8,(AA361+Z362)&lt;0),-$G$27*0.5,IF(AND(ABS(AA361+Z362)&gt;$G$27*0.8,(AA361+Z362)&gt;0),$G$27*0.5,AA361+Z362))</f>
        <v>-0.25746003057202671</v>
      </c>
      <c r="AB363" s="221"/>
      <c r="AC363" s="223">
        <f>$G$29*AA363</f>
        <v>-12.123969142925681</v>
      </c>
    </row>
    <row r="364" spans="21:29" x14ac:dyDescent="0.3">
      <c r="U364" s="213"/>
      <c r="V364" s="221">
        <f>(AA363+Z362/2)*$V$34</f>
        <v>-4.424582510220975E-2</v>
      </c>
      <c r="W364" s="221"/>
      <c r="X364" s="221">
        <f t="shared" ref="X364" si="296">W363+V364/2</f>
        <v>-0.2125293434638803</v>
      </c>
      <c r="Y364" s="221"/>
      <c r="Z364" s="221">
        <f>-$V$35*(X364+Y363*((AA363+Z362/2)^2))</f>
        <v>3.6294200303409068E-3</v>
      </c>
      <c r="AA364" s="221"/>
      <c r="AB364" s="221">
        <f t="shared" ref="AB364" si="297">AA363+Z364/2</f>
        <v>-0.25564532055685624</v>
      </c>
      <c r="AC364" s="213"/>
    </row>
    <row r="365" spans="21:29" x14ac:dyDescent="0.3">
      <c r="U365" s="220">
        <f>U363+$V$28</f>
        <v>32.39999999999992</v>
      </c>
      <c r="V365" s="221"/>
      <c r="W365" s="221">
        <f>IF(W363+V364&lt;0,(W363+V364)*0.8,W363+V364)</f>
        <v>-0.18772180481198816</v>
      </c>
      <c r="X365" s="221"/>
      <c r="Y365" s="221">
        <f>Y363*(AC365/AC363)^2</f>
        <v>1.1217145622588714E-3</v>
      </c>
      <c r="Z365" s="221"/>
      <c r="AA365" s="221">
        <f>IF(AND(ABS(AA363+Z364)&gt;$G$27*0.8,(AA363+Z364)&lt;0),-$G$27*0.5,IF(AND(ABS(AA363+Z364)&gt;$G$27*0.8,(AA363+Z364)&gt;0),$G$27*0.5,AA363+Z364))</f>
        <v>-0.25383061054168582</v>
      </c>
      <c r="AB365" s="221"/>
      <c r="AC365" s="223">
        <f>$G$29*AA365</f>
        <v>-11.953057268345368</v>
      </c>
    </row>
    <row r="366" spans="21:29" x14ac:dyDescent="0.3">
      <c r="U366" s="213"/>
      <c r="V366" s="221">
        <f>(AA365+Z364/2)*$V$34</f>
        <v>-4.3622086684366929E-2</v>
      </c>
      <c r="W366" s="221"/>
      <c r="X366" s="221">
        <f t="shared" ref="X366" si="298">W365+V366/2</f>
        <v>-0.20953284815417161</v>
      </c>
      <c r="Y366" s="221"/>
      <c r="Z366" s="221">
        <f>-$V$35*(X366+Y365*((AA365+Z364/2)^2))</f>
        <v>3.5783010383200267E-3</v>
      </c>
      <c r="AA366" s="221"/>
      <c r="AB366" s="221">
        <f t="shared" ref="AB366" si="299">AA365+Z366/2</f>
        <v>-0.25204146002252581</v>
      </c>
      <c r="AC366" s="213"/>
    </row>
    <row r="367" spans="21:29" x14ac:dyDescent="0.3">
      <c r="U367" s="220">
        <f>U365+$V$28</f>
        <v>32.599999999999923</v>
      </c>
      <c r="V367" s="221"/>
      <c r="W367" s="221">
        <f>IF(W365+V366&lt;0,(W365+V366)*0.8,W365+V366)</f>
        <v>-0.18507511319708408</v>
      </c>
      <c r="X367" s="221"/>
      <c r="Y367" s="221">
        <f>Y365*(AC367/AC365)^2</f>
        <v>1.0903114113610182E-3</v>
      </c>
      <c r="Z367" s="221"/>
      <c r="AA367" s="221">
        <f>IF(AND(ABS(AA365+Z366)&gt;$G$27*0.8,(AA365+Z366)&lt;0),-$G$27*0.5,IF(AND(ABS(AA365+Z366)&gt;$G$27*0.8,(AA365+Z366)&gt;0),$G$27*0.5,AA365+Z366))</f>
        <v>-0.2502523095033658</v>
      </c>
      <c r="AB367" s="221"/>
      <c r="AC367" s="223">
        <f>$G$29*AA367</f>
        <v>-11.784552622104545</v>
      </c>
    </row>
    <row r="368" spans="21:29" x14ac:dyDescent="0.3">
      <c r="U368" s="213"/>
      <c r="V368" s="221">
        <f>(AA367+Z366/2)*$V$34</f>
        <v>-4.3007133424663883E-2</v>
      </c>
      <c r="W368" s="221"/>
      <c r="X368" s="221">
        <f t="shared" ref="X368" si="300">W367+V368/2</f>
        <v>-0.20657867990941603</v>
      </c>
      <c r="Y368" s="221"/>
      <c r="Z368" s="221">
        <f>-$V$35*(X368+Y367*((AA367+Z366/2)^2))</f>
        <v>3.5279012080856177E-3</v>
      </c>
      <c r="AA368" s="221"/>
      <c r="AB368" s="221">
        <f t="shared" ref="AB368" si="301">AA367+Z368/2</f>
        <v>-0.248488358899323</v>
      </c>
      <c r="AC368" s="213"/>
    </row>
    <row r="369" spans="21:29" x14ac:dyDescent="0.3">
      <c r="U369" s="220">
        <f>U367+$V$28</f>
        <v>32.799999999999926</v>
      </c>
      <c r="V369" s="221"/>
      <c r="W369" s="221">
        <f>IF(W367+V368&lt;0,(W367+V368)*0.8,W367+V368)</f>
        <v>-0.1824657972973984</v>
      </c>
      <c r="X369" s="221"/>
      <c r="Y369" s="221">
        <f>Y367*(AC369/AC367)^2</f>
        <v>1.0597870330244926E-3</v>
      </c>
      <c r="Z369" s="221"/>
      <c r="AA369" s="221">
        <f>IF(AND(ABS(AA367+Z368)&gt;$G$27*0.8,(AA367+Z368)&lt;0),-$G$27*0.5,IF(AND(ABS(AA367+Z368)&gt;$G$27*0.8,(AA367+Z368)&gt;0),$G$27*0.5,AA367+Z368))</f>
        <v>-0.2467244082952802</v>
      </c>
      <c r="AB369" s="221"/>
      <c r="AC369" s="223">
        <f>$G$29*AA369</f>
        <v>-11.61842133838222</v>
      </c>
    </row>
    <row r="370" spans="21:29" x14ac:dyDescent="0.3">
      <c r="U370" s="213"/>
      <c r="V370" s="221">
        <f>(AA369+Z368/2)*$V$34</f>
        <v>-4.240084176166925E-2</v>
      </c>
      <c r="W370" s="221"/>
      <c r="X370" s="221">
        <f t="shared" ref="X370" si="302">W369+V370/2</f>
        <v>-0.20366621817823302</v>
      </c>
      <c r="Y370" s="221"/>
      <c r="Z370" s="221">
        <f>-$V$35*(X370+Y369*((AA369+Z368/2)^2))</f>
        <v>3.4782101551630619E-3</v>
      </c>
      <c r="AA370" s="221"/>
      <c r="AB370" s="221">
        <f t="shared" ref="AB370" si="303">AA369+Z370/2</f>
        <v>-0.24498530321769865</v>
      </c>
      <c r="AC370" s="213"/>
    </row>
    <row r="371" spans="21:29" x14ac:dyDescent="0.3">
      <c r="U371" s="220">
        <f>U369+$V$28</f>
        <v>32.999999999999929</v>
      </c>
      <c r="V371" s="221"/>
      <c r="W371" s="221">
        <f>IF(W369+V370&lt;0,(W369+V370)*0.8,W369+V370)</f>
        <v>-0.17989331124725413</v>
      </c>
      <c r="X371" s="221"/>
      <c r="Y371" s="221">
        <f>Y369*(AC371/AC369)^2</f>
        <v>1.0301168506891851E-3</v>
      </c>
      <c r="Z371" s="221"/>
      <c r="AA371" s="221">
        <f>IF(AND(ABS(AA369+Z370)&gt;$G$27*0.8,(AA369+Z370)&lt;0),-$G$27*0.5,IF(AND(ABS(AA369+Z370)&gt;$G$27*0.8,(AA369+Z370)&gt;0),$G$27*0.5,AA369+Z370))</f>
        <v>-0.24324619814011714</v>
      </c>
      <c r="AB371" s="221"/>
      <c r="AC371" s="223">
        <f>$G$29*AA371</f>
        <v>-11.45463004036942</v>
      </c>
    </row>
    <row r="372" spans="21:29" x14ac:dyDescent="0.3">
      <c r="U372" s="213"/>
      <c r="V372" s="221">
        <f>(AA371+Z370/2)*$V$34</f>
        <v>-4.1803089910015322E-2</v>
      </c>
      <c r="W372" s="221"/>
      <c r="X372" s="221">
        <f t="shared" ref="X372" si="304">W371+V372/2</f>
        <v>-0.20079485620226178</v>
      </c>
      <c r="Y372" s="221"/>
      <c r="Z372" s="221">
        <f>-$V$35*(X372+Y371*((AA371+Z370/2)^2))</f>
        <v>3.4292177187541409E-3</v>
      </c>
      <c r="AA372" s="221"/>
      <c r="AB372" s="221">
        <f t="shared" ref="AB372" si="305">AA371+Z372/2</f>
        <v>-0.24153158928074006</v>
      </c>
      <c r="AC372" s="213"/>
    </row>
    <row r="373" spans="21:29" x14ac:dyDescent="0.3">
      <c r="U373" s="220">
        <f>U371+$V$28</f>
        <v>33.199999999999932</v>
      </c>
      <c r="V373" s="221"/>
      <c r="W373" s="221">
        <f>IF(W371+V372&lt;0,(W371+V372)*0.8,W371+V372)</f>
        <v>-0.17735712092581557</v>
      </c>
      <c r="X373" s="221"/>
      <c r="Y373" s="221">
        <f>Y371*(AC373/AC371)^2</f>
        <v>1.0012769764016283E-3</v>
      </c>
      <c r="Z373" s="221"/>
      <c r="AA373" s="221">
        <f>IF(AND(ABS(AA371+Z372)&gt;$G$27*0.8,(AA371+Z372)&lt;0),-$G$27*0.5,IF(AND(ABS(AA371+Z372)&gt;$G$27*0.8,(AA371+Z372)&gt;0),$G$27*0.5,AA371+Z372))</f>
        <v>-0.23981698042136299</v>
      </c>
      <c r="AB373" s="221"/>
      <c r="AC373" s="223">
        <f>$G$29*AA373</f>
        <v>-11.293145829736117</v>
      </c>
    </row>
    <row r="374" spans="21:29" x14ac:dyDescent="0.3">
      <c r="U374" s="213"/>
      <c r="V374" s="221">
        <f>(AA373+Z372/2)*$V$34</f>
        <v>-4.1213757823735001E-2</v>
      </c>
      <c r="W374" s="221"/>
      <c r="X374" s="221">
        <f t="shared" ref="X374" si="306">W373+V374/2</f>
        <v>-0.19796399983768306</v>
      </c>
      <c r="Y374" s="221"/>
      <c r="Z374" s="221">
        <f>-$V$35*(X374+Y373*((AA373+Z372/2)^2))</f>
        <v>3.3809139422659373E-3</v>
      </c>
      <c r="AA374" s="221"/>
      <c r="AB374" s="221">
        <f t="shared" ref="AB374" si="307">AA373+Z374/2</f>
        <v>-0.23812652345023003</v>
      </c>
      <c r="AC374" s="213"/>
    </row>
    <row r="375" spans="21:29" x14ac:dyDescent="0.3">
      <c r="U375" s="220">
        <f>U373+$V$28</f>
        <v>33.399999999999935</v>
      </c>
      <c r="V375" s="221"/>
      <c r="W375" s="221">
        <f>IF(W373+V374&lt;0,(W373+V374)*0.8,W373+V374)</f>
        <v>-0.17485670299964046</v>
      </c>
      <c r="X375" s="221"/>
      <c r="Y375" s="221">
        <f>Y373*(AC375/AC373)^2</f>
        <v>9.7324419097707937E-4</v>
      </c>
      <c r="Z375" s="221"/>
      <c r="AA375" s="221">
        <f>IF(AND(ABS(AA373+Z374)&gt;$G$27*0.8,(AA373+Z374)&lt;0),-$G$27*0.5,IF(AND(ABS(AA373+Z374)&gt;$G$27*0.8,(AA373+Z374)&gt;0),$G$27*0.5,AA373+Z374))</f>
        <v>-0.23643606647909704</v>
      </c>
      <c r="AB375" s="221"/>
      <c r="AC375" s="223">
        <f>$G$29*AA375</f>
        <v>-11.133936277015071</v>
      </c>
    </row>
    <row r="376" spans="21:29" x14ac:dyDescent="0.3">
      <c r="U376" s="213"/>
      <c r="V376" s="221">
        <f>(AA375+Z374/2)*$V$34</f>
        <v>-4.0632727162600475E-2</v>
      </c>
      <c r="W376" s="221"/>
      <c r="X376" s="221">
        <f t="shared" ref="X376" si="308">W375+V376/2</f>
        <v>-0.19517306658094069</v>
      </c>
      <c r="Y376" s="221"/>
      <c r="Z376" s="221">
        <f>-$V$35*(X376+Y375*((AA375+Z374/2)^2))</f>
        <v>3.333289057291132E-3</v>
      </c>
      <c r="AA376" s="221"/>
      <c r="AB376" s="221">
        <f t="shared" ref="AB376" si="309">AA375+Z376/2</f>
        <v>-0.23476942195045147</v>
      </c>
      <c r="AC376" s="213"/>
    </row>
    <row r="377" spans="21:29" x14ac:dyDescent="0.3">
      <c r="U377" s="220">
        <f>U375+$V$28</f>
        <v>33.599999999999937</v>
      </c>
      <c r="V377" s="221"/>
      <c r="W377" s="221">
        <f>IF(W375+V376&lt;0,(W375+V376)*0.8,W375+V376)</f>
        <v>-0.17239154412979274</v>
      </c>
      <c r="X377" s="221"/>
      <c r="Y377" s="221">
        <f>Y375*(AC377/AC375)^2</f>
        <v>9.4599592486133274E-4</v>
      </c>
      <c r="Z377" s="221"/>
      <c r="AA377" s="221">
        <f>IF(AND(ABS(AA375+Z376)&gt;$G$27*0.8,(AA375+Z376)&lt;0),-$G$27*0.5,IF(AND(ABS(AA375+Z376)&gt;$G$27*0.8,(AA375+Z376)&gt;0),$G$27*0.5,AA375+Z376))</f>
        <v>-0.23310277742180591</v>
      </c>
      <c r="AB377" s="221"/>
      <c r="AC377" s="223">
        <f>$G$29*AA377</f>
        <v>-10.97696941274002</v>
      </c>
    </row>
    <row r="378" spans="21:29" x14ac:dyDescent="0.3">
      <c r="U378" s="213"/>
      <c r="V378" s="221">
        <f>(AA377+Z376/2)*$V$34</f>
        <v>-4.0059881260936167E-2</v>
      </c>
      <c r="W378" s="221"/>
      <c r="X378" s="221">
        <f t="shared" ref="X378" si="310">W377+V378/2</f>
        <v>-0.19242148476026083</v>
      </c>
      <c r="Y378" s="221"/>
      <c r="Z378" s="221">
        <f>-$V$35*(X378+Y377*((AA377+Z376/2)^2))</f>
        <v>3.2863334703858368E-3</v>
      </c>
      <c r="AA378" s="221"/>
      <c r="AB378" s="221">
        <f t="shared" ref="AB378" si="311">AA377+Z378/2</f>
        <v>-0.231459610686613</v>
      </c>
      <c r="AC378" s="213"/>
    </row>
    <row r="379" spans="21:29" x14ac:dyDescent="0.3">
      <c r="U379" s="220">
        <f>U377+$V$28</f>
        <v>33.79999999999994</v>
      </c>
      <c r="V379" s="221"/>
      <c r="W379" s="221">
        <f>IF(W377+V378&lt;0,(W377+V378)*0.8,W377+V378)</f>
        <v>-0.16996114031258314</v>
      </c>
      <c r="X379" s="221"/>
      <c r="Y379" s="221">
        <f>Y377*(AC379/AC377)^2</f>
        <v>9.1951023964152029E-4</v>
      </c>
      <c r="Z379" s="221"/>
      <c r="AA379" s="221">
        <f>IF(AND(ABS(AA377+Z378)&gt;$G$27*0.8,(AA377+Z378)&lt;0),-$G$27*0.5,IF(AND(ABS(AA377+Z378)&gt;$G$27*0.8,(AA377+Z378)&gt;0),$G$27*0.5,AA377+Z378))</f>
        <v>-0.22981644395142006</v>
      </c>
      <c r="AB379" s="221"/>
      <c r="AC379" s="223">
        <f>$G$29*AA379</f>
        <v>-10.822213719206554</v>
      </c>
    </row>
    <row r="380" spans="21:29" x14ac:dyDescent="0.3">
      <c r="U380" s="213"/>
      <c r="V380" s="221">
        <f>(AA379+Z378/2)*$V$34</f>
        <v>-3.9495105098478187E-2</v>
      </c>
      <c r="W380" s="221"/>
      <c r="X380" s="221">
        <f t="shared" ref="X380" si="312">W379+V380/2</f>
        <v>-0.18970869286182224</v>
      </c>
      <c r="Y380" s="221"/>
      <c r="Z380" s="221">
        <f>-$V$35*(X380+Y379*((AA379+Z378/2)^2))</f>
        <v>3.2400377521149045E-3</v>
      </c>
      <c r="AA380" s="221"/>
      <c r="AB380" s="221">
        <f t="shared" ref="AB380" si="313">AA379+Z380/2</f>
        <v>-0.22819642507536261</v>
      </c>
      <c r="AC380" s="213"/>
    </row>
    <row r="381" spans="21:29" x14ac:dyDescent="0.3">
      <c r="U381" s="220">
        <f>U379+$V$28</f>
        <v>33.999999999999943</v>
      </c>
      <c r="V381" s="221"/>
      <c r="W381" s="221">
        <f>IF(W379+V380&lt;0,(W379+V380)*0.8,W379+V380)</f>
        <v>-0.16756499632884908</v>
      </c>
      <c r="X381" s="221"/>
      <c r="Y381" s="221">
        <f>Y379*(AC381/AC379)^2</f>
        <v>8.9376581016295336E-4</v>
      </c>
      <c r="Z381" s="221"/>
      <c r="AA381" s="221">
        <f>IF(AND(ABS(AA379+Z380)&gt;$G$27*0.8,(AA379+Z380)&lt;0),-$G$27*0.5,IF(AND(ABS(AA379+Z380)&gt;$G$27*0.8,(AA379+Z380)&gt;0),$G$27*0.5,AA379+Z380))</f>
        <v>-0.22657640619930516</v>
      </c>
      <c r="AB381" s="221"/>
      <c r="AC381" s="223">
        <f>$G$29*AA381</f>
        <v>-10.669638122748811</v>
      </c>
    </row>
    <row r="382" spans="21:29" x14ac:dyDescent="0.3">
      <c r="U382" s="213"/>
      <c r="V382" s="221">
        <f>(AA381+Z380/2)*$V$34</f>
        <v>-3.8938285272933686E-2</v>
      </c>
      <c r="W382" s="221"/>
      <c r="X382" s="221">
        <f t="shared" ref="X382" si="314">W381+V382/2</f>
        <v>-0.18703413896531593</v>
      </c>
      <c r="Y382" s="221"/>
      <c r="Z382" s="221">
        <f>-$V$35*(X382+Y381*((AA381+Z380/2)^2))</f>
        <v>3.1943926279350558E-3</v>
      </c>
      <c r="AA382" s="221"/>
      <c r="AB382" s="221">
        <f t="shared" ref="AB382" si="315">AA381+Z382/2</f>
        <v>-0.22497920988533762</v>
      </c>
      <c r="AC382" s="213"/>
    </row>
    <row r="383" spans="21:29" x14ac:dyDescent="0.3">
      <c r="U383" s="220">
        <f>U381+$V$28</f>
        <v>34.199999999999946</v>
      </c>
      <c r="V383" s="221"/>
      <c r="W383" s="221">
        <f>IF(W381+V382&lt;0,(W381+V382)*0.8,W381+V382)</f>
        <v>-0.16520262528142624</v>
      </c>
      <c r="X383" s="221"/>
      <c r="Y383" s="221">
        <f>Y381*(AC383/AC381)^2</f>
        <v>8.6874190721538248E-4</v>
      </c>
      <c r="Z383" s="221"/>
      <c r="AA383" s="221">
        <f>IF(AND(ABS(AA381+Z382)&gt;$G$27*0.8,(AA381+Z382)&lt;0),-$G$27*0.5,IF(AND(ABS(AA381+Z382)&gt;$G$27*0.8,(AA381+Z382)&gt;0),$G$27*0.5,AA381+Z382))</f>
        <v>-0.22338201357137011</v>
      </c>
      <c r="AB383" s="221"/>
      <c r="AC383" s="223">
        <f>$G$29*AA383</f>
        <v>-10.519211986445534</v>
      </c>
    </row>
    <row r="384" spans="21:29" x14ac:dyDescent="0.3">
      <c r="U384" s="213"/>
      <c r="V384" s="221">
        <f>(AA383+Z382/2)*$V$34</f>
        <v>-3.8389309973959312E-2</v>
      </c>
      <c r="W384" s="221"/>
      <c r="X384" s="221">
        <f t="shared" ref="X384" si="316">W383+V384/2</f>
        <v>-0.18439728026840591</v>
      </c>
      <c r="Y384" s="221"/>
      <c r="Z384" s="221">
        <f>-$V$35*(X384+Y383*((AA383+Z382/2)^2))</f>
        <v>3.1493889705675811E-3</v>
      </c>
      <c r="AA384" s="221"/>
      <c r="AB384" s="221">
        <f t="shared" ref="AB384" si="317">AA383+Z384/2</f>
        <v>-0.22180731908608631</v>
      </c>
      <c r="AC384" s="213"/>
    </row>
    <row r="385" spans="21:29" x14ac:dyDescent="0.3">
      <c r="U385" s="220">
        <f>U383+$V$28</f>
        <v>34.399999999999949</v>
      </c>
      <c r="V385" s="221"/>
      <c r="W385" s="221">
        <f>IF(W383+V384&lt;0,(W383+V384)*0.8,W383+V384)</f>
        <v>-0.16287354820430844</v>
      </c>
      <c r="X385" s="221"/>
      <c r="Y385" s="221">
        <f>Y383*(AC385/AC383)^2</f>
        <v>8.4441838075713989E-4</v>
      </c>
      <c r="Z385" s="221"/>
      <c r="AA385" s="221">
        <f>IF(AND(ABS(AA383+Z384)&gt;$G$27*0.8,(AA383+Z384)&lt;0),-$G$27*0.5,IF(AND(ABS(AA383+Z384)&gt;$G$27*0.8,(AA383+Z384)&gt;0),$G$27*0.5,AA383+Z384))</f>
        <v>-0.22023262460080253</v>
      </c>
      <c r="AB385" s="221"/>
      <c r="AC385" s="223">
        <f>$G$29*AA385</f>
        <v>-10.37090510318526</v>
      </c>
    </row>
    <row r="386" spans="21:29" x14ac:dyDescent="0.3">
      <c r="U386" s="213"/>
      <c r="V386" s="221">
        <f>(AA385+Z384/2)*$V$34</f>
        <v>-3.7848068958330865E-2</v>
      </c>
      <c r="W386" s="221"/>
      <c r="X386" s="221">
        <f t="shared" ref="X386" si="318">W385+V386/2</f>
        <v>-0.18179758268347387</v>
      </c>
      <c r="Y386" s="221"/>
      <c r="Z386" s="221">
        <f>-$V$35*(X386+Y385*((AA385+Z384/2)^2))</f>
        <v>3.1050177935783929E-3</v>
      </c>
      <c r="AA386" s="221"/>
      <c r="AB386" s="221">
        <f t="shared" ref="AB386" si="319">AA385+Z386/2</f>
        <v>-0.21868011570401333</v>
      </c>
      <c r="AC386" s="213"/>
    </row>
    <row r="387" spans="21:29" x14ac:dyDescent="0.3">
      <c r="U387" s="220">
        <f>U385+$V$28</f>
        <v>34.599999999999952</v>
      </c>
      <c r="V387" s="221"/>
      <c r="W387" s="221">
        <f>IF(W385+V386&lt;0,(W385+V386)*0.8,W385+V386)</f>
        <v>-0.16057729373011145</v>
      </c>
      <c r="X387" s="221"/>
      <c r="Y387" s="221">
        <f>Y385*(AC387/AC385)^2</f>
        <v>8.2077564364976948E-4</v>
      </c>
      <c r="Z387" s="221"/>
      <c r="AA387" s="221">
        <f>IF(AND(ABS(AA385+Z386)&gt;$G$27*0.8,(AA385+Z386)&lt;0),-$G$27*0.5,IF(AND(ABS(AA385+Z386)&gt;$G$27*0.8,(AA385+Z386)&gt;0),$G$27*0.5,AA385+Z386))</f>
        <v>-0.21712760680722415</v>
      </c>
      <c r="AB387" s="221"/>
      <c r="AC387" s="223">
        <f>$G$29*AA387</f>
        <v>-10.224687689033871</v>
      </c>
    </row>
    <row r="388" spans="21:29" x14ac:dyDescent="0.3">
      <c r="U388" s="213"/>
      <c r="V388" s="221">
        <f>(AA387+Z386/2)*$V$34</f>
        <v>-3.7314453526119777E-2</v>
      </c>
      <c r="W388" s="221"/>
      <c r="X388" s="221">
        <f t="shared" ref="X388" si="320">W387+V388/2</f>
        <v>-0.17923452049317135</v>
      </c>
      <c r="Y388" s="221"/>
      <c r="Z388" s="221">
        <f>-$V$35*(X388+Y387*((AA387+Z386/2)^2))</f>
        <v>3.0612702459367615E-3</v>
      </c>
      <c r="AA388" s="221"/>
      <c r="AB388" s="221">
        <f t="shared" ref="AB388" si="321">AA387+Z388/2</f>
        <v>-0.21559697168425576</v>
      </c>
      <c r="AC388" s="213"/>
    </row>
    <row r="389" spans="21:29" x14ac:dyDescent="0.3">
      <c r="U389" s="220">
        <f>U387+$V$28</f>
        <v>34.799999999999955</v>
      </c>
      <c r="V389" s="221"/>
      <c r="W389" s="221">
        <f>IF(W387+V388&lt;0,(W387+V388)*0.8,W387+V388)</f>
        <v>-0.15831339780498499</v>
      </c>
      <c r="X389" s="221"/>
      <c r="Y389" s="221">
        <f>Y387*(AC389/AC387)^2</f>
        <v>7.9779465587909268E-4</v>
      </c>
      <c r="Z389" s="221"/>
      <c r="AA389" s="221">
        <f>IF(AND(ABS(AA387+Z388)&gt;$G$27*0.8,(AA387+Z388)&lt;0),-$G$27*0.5,IF(AND(ABS(AA387+Z388)&gt;$G$27*0.8,(AA387+Z388)&gt;0),$G$27*0.5,AA387+Z388))</f>
        <v>-0.2140663365612874</v>
      </c>
      <c r="AB389" s="221"/>
      <c r="AC389" s="223">
        <f>$G$29*AA389</f>
        <v>-10.08053037685834</v>
      </c>
    </row>
    <row r="390" spans="21:29" x14ac:dyDescent="0.3">
      <c r="U390" s="213"/>
      <c r="V390" s="221">
        <f>(AA389+Z388/2)*$V$34</f>
        <v>-3.6788356497726722E-2</v>
      </c>
      <c r="W390" s="221"/>
      <c r="X390" s="221">
        <f t="shared" ref="X390" si="322">W389+V390/2</f>
        <v>-0.17670757605384835</v>
      </c>
      <c r="Y390" s="221"/>
      <c r="Z390" s="221">
        <f>-$V$35*(X390+Y389*((AA389+Z388/2)^2))</f>
        <v>3.0181376073674534E-3</v>
      </c>
      <c r="AA390" s="221"/>
      <c r="AB390" s="221">
        <f t="shared" ref="AB390" si="323">AA389+Z390/2</f>
        <v>-0.21255726775760367</v>
      </c>
      <c r="AC390" s="213"/>
    </row>
    <row r="391" spans="21:29" x14ac:dyDescent="0.3">
      <c r="U391" s="220">
        <f>U389+$V$28</f>
        <v>34.999999999999957</v>
      </c>
      <c r="V391" s="221"/>
      <c r="W391" s="221">
        <f>IF(W389+V390&lt;0,(W389+V390)*0.8,W389+V390)</f>
        <v>-0.15608140344216936</v>
      </c>
      <c r="X391" s="221"/>
      <c r="Y391" s="221">
        <f>Y389*(AC391/AC389)^2</f>
        <v>7.7545690924140829E-4</v>
      </c>
      <c r="Z391" s="221"/>
      <c r="AA391" s="221">
        <f>IF(AND(ABS(AA389+Z390)&gt;$G$27*0.8,(AA389+Z390)&lt;0),-$G$27*0.5,IF(AND(ABS(AA389+Z390)&gt;$G$27*0.8,(AA389+Z390)&gt;0),$G$27*0.5,AA389+Z390))</f>
        <v>-0.21104819895391994</v>
      </c>
      <c r="AB391" s="221"/>
      <c r="AC391" s="223">
        <f>$G$29*AA391</f>
        <v>-9.9384042101693701</v>
      </c>
    </row>
    <row r="392" spans="21:29" x14ac:dyDescent="0.3">
      <c r="U392" s="213"/>
      <c r="V392" s="221">
        <f>(AA391+Z390/2)*$V$34</f>
        <v>-3.6269672191651038E-2</v>
      </c>
      <c r="W392" s="221"/>
      <c r="X392" s="221">
        <f t="shared" ref="X392" si="324">W391+V392/2</f>
        <v>-0.17421623953799489</v>
      </c>
      <c r="Y392" s="221"/>
      <c r="Z392" s="221">
        <f>-$V$35*(X392+Y391*((AA391+Z390/2)^2))</f>
        <v>2.9756112843462149E-3</v>
      </c>
      <c r="AA392" s="221"/>
      <c r="AB392" s="221">
        <f t="shared" ref="AB392" si="325">AA391+Z392/2</f>
        <v>-0.20956039331174683</v>
      </c>
      <c r="AC392" s="213"/>
    </row>
    <row r="393" spans="21:29" x14ac:dyDescent="0.3">
      <c r="U393" s="220">
        <f>U391+$V$28</f>
        <v>35.19999999999996</v>
      </c>
      <c r="V393" s="221"/>
      <c r="W393" s="221">
        <f>IF(W391+V392&lt;0,(W391+V392)*0.8,W391+V392)</f>
        <v>-0.15388086050705632</v>
      </c>
      <c r="X393" s="221"/>
      <c r="Y393" s="221">
        <f>Y391*(AC393/AC391)^2</f>
        <v>7.5374441247575156E-4</v>
      </c>
      <c r="Z393" s="221"/>
      <c r="AA393" s="221">
        <f>IF(AND(ABS(AA391+Z392)&gt;$G$27*0.8,(AA391+Z392)&lt;0),-$G$27*0.5,IF(AND(ABS(AA391+Z392)&gt;$G$27*0.8,(AA391+Z392)&gt;0),$G$27*0.5,AA391+Z392))</f>
        <v>-0.20807258766957373</v>
      </c>
      <c r="AB393" s="221"/>
      <c r="AC393" s="223">
        <f>$G$29*AA393</f>
        <v>-9.798280637152617</v>
      </c>
    </row>
    <row r="394" spans="21:29" x14ac:dyDescent="0.3">
      <c r="U394" s="213"/>
      <c r="V394" s="221">
        <f>(AA393+Z392/2)*$V$34</f>
        <v>-3.5758296402897696E-2</v>
      </c>
      <c r="W394" s="221"/>
      <c r="X394" s="221">
        <f t="shared" ref="X394" si="326">W393+V394/2</f>
        <v>-0.17176000870850516</v>
      </c>
      <c r="Y394" s="221"/>
      <c r="Z394" s="221">
        <f>-$V$35*(X394+Y393*((AA393+Z392/2)^2))</f>
        <v>2.9336828066170687E-3</v>
      </c>
      <c r="AA394" s="221"/>
      <c r="AB394" s="221">
        <f t="shared" ref="AB394" si="327">AA393+Z394/2</f>
        <v>-0.20660574626626521</v>
      </c>
      <c r="AC394" s="213"/>
    </row>
    <row r="395" spans="21:29" x14ac:dyDescent="0.3">
      <c r="U395" s="220">
        <f>U393+$V$28</f>
        <v>35.399999999999963</v>
      </c>
      <c r="V395" s="221"/>
      <c r="W395" s="221">
        <f>IF(W393+V394&lt;0,(W393+V394)*0.8,W393+V394)</f>
        <v>-0.15171132552796324</v>
      </c>
      <c r="X395" s="221"/>
      <c r="Y395" s="221">
        <f>Y393*(AC395/AC393)^2</f>
        <v>7.3263967682498006E-4</v>
      </c>
      <c r="Z395" s="221"/>
      <c r="AA395" s="221">
        <f>IF(AND(ABS(AA393+Z394)&gt;$G$27*0.8,(AA393+Z394)&lt;0),-$G$27*0.5,IF(AND(ABS(AA393+Z394)&gt;$G$27*0.8,(AA393+Z394)&gt;0),$G$27*0.5,AA393+Z394))</f>
        <v>-0.20513890486295666</v>
      </c>
      <c r="AB395" s="221"/>
      <c r="AC395" s="223">
        <f>$G$29*AA395</f>
        <v>-9.6601315048638821</v>
      </c>
    </row>
    <row r="396" spans="21:29" x14ac:dyDescent="0.3">
      <c r="U396" s="213"/>
      <c r="V396" s="221">
        <f>(AA395+Z394/2)*$V$34</f>
        <v>-3.5254126381941836E-2</v>
      </c>
      <c r="W396" s="221"/>
      <c r="X396" s="221">
        <f t="shared" ref="X396" si="328">W395+V396/2</f>
        <v>-0.16933838871893414</v>
      </c>
      <c r="Y396" s="221"/>
      <c r="Z396" s="221">
        <f>-$V$35*(X396+Y395*((AA395+Z394/2)^2))</f>
        <v>2.8923438241330274E-3</v>
      </c>
      <c r="AA396" s="221"/>
      <c r="AB396" s="221">
        <f t="shared" ref="AB396" si="329">AA395+Z396/2</f>
        <v>-0.20369273295089016</v>
      </c>
      <c r="AC396" s="213"/>
    </row>
    <row r="397" spans="21:29" x14ac:dyDescent="0.3">
      <c r="U397" s="220">
        <f>U395+$V$28</f>
        <v>35.599999999999966</v>
      </c>
      <c r="V397" s="221"/>
      <c r="W397" s="221">
        <f>IF(W395+V396&lt;0,(W395+V396)*0.8,W395+V396)</f>
        <v>-0.14957236152792405</v>
      </c>
      <c r="X397" s="221"/>
      <c r="Y397" s="221">
        <f>Y395*(AC397/AC395)^2</f>
        <v>7.1212570200997996E-4</v>
      </c>
      <c r="Z397" s="221"/>
      <c r="AA397" s="221">
        <f>IF(AND(ABS(AA395+Z396)&gt;$G$27*0.8,(AA395+Z396)&lt;0),-$G$27*0.5,IF(AND(ABS(AA395+Z396)&gt;$G$27*0.8,(AA395+Z396)&gt;0),$G$27*0.5,AA395+Z396))</f>
        <v>-0.20224656103882363</v>
      </c>
      <c r="AB397" s="221"/>
      <c r="AC397" s="223">
        <f>$G$29*AA397</f>
        <v>-9.5239290535683967</v>
      </c>
    </row>
    <row r="398" spans="21:29" x14ac:dyDescent="0.3">
      <c r="U398" s="213"/>
      <c r="V398" s="221">
        <f>(AA397+Z396/2)*$V$34</f>
        <v>-3.4757060814186266E-2</v>
      </c>
      <c r="W398" s="221"/>
      <c r="X398" s="221">
        <f t="shared" ref="X398" si="330">W397+V398/2</f>
        <v>-0.16695089193501719</v>
      </c>
      <c r="Y398" s="221"/>
      <c r="Z398" s="221">
        <f>-$V$35*(X398+Y397*((AA397+Z396/2)^2))</f>
        <v>2.8515861043405815E-3</v>
      </c>
      <c r="AA398" s="221"/>
      <c r="AB398" s="221">
        <f t="shared" ref="AB398" si="331">AA397+Z398/2</f>
        <v>-0.20082076798665333</v>
      </c>
      <c r="AC398" s="213"/>
    </row>
    <row r="399" spans="21:29" x14ac:dyDescent="0.3">
      <c r="U399" s="220">
        <f>U397+$V$28</f>
        <v>35.799999999999969</v>
      </c>
      <c r="V399" s="221"/>
      <c r="W399" s="221">
        <f>IF(W397+V398&lt;0,(W397+V398)*0.8,W397+V398)</f>
        <v>-0.14746353787368824</v>
      </c>
      <c r="X399" s="221"/>
      <c r="Y399" s="221">
        <f>Y397*(AC399/AC397)^2</f>
        <v>6.9218596260254433E-4</v>
      </c>
      <c r="Z399" s="221"/>
      <c r="AA399" s="221">
        <f>IF(AND(ABS(AA397+Z398)&gt;$G$27*0.8,(AA397+Z398)&lt;0),-$G$27*0.5,IF(AND(ABS(AA397+Z398)&gt;$G$27*0.8,(AA397+Z398)&gt;0),$G$27*0.5,AA397+Z398))</f>
        <v>-0.19939497493448305</v>
      </c>
      <c r="AB399" s="221"/>
      <c r="AC399" s="223">
        <f>$G$29*AA399</f>
        <v>-9.38964591120798</v>
      </c>
    </row>
    <row r="400" spans="21:29" x14ac:dyDescent="0.3">
      <c r="U400" s="213"/>
      <c r="V400" s="221">
        <f>(AA399+Z398/2)*$V$34</f>
        <v>-3.4266999799859248E-2</v>
      </c>
      <c r="W400" s="221"/>
      <c r="X400" s="221">
        <f t="shared" ref="X400" si="332">W399+V400/2</f>
        <v>-0.16459703777361787</v>
      </c>
      <c r="Y400" s="221"/>
      <c r="Z400" s="221">
        <f>-$V$35*(X400+Y399*((AA399+Z398/2)^2))</f>
        <v>2.8114015297435232E-3</v>
      </c>
      <c r="AA400" s="221"/>
      <c r="AB400" s="221">
        <f t="shared" ref="AB400" si="333">AA399+Z400/2</f>
        <v>-0.19798927416961129</v>
      </c>
      <c r="AC400" s="213"/>
    </row>
    <row r="401" spans="21:29" x14ac:dyDescent="0.3">
      <c r="U401" s="220">
        <f>U399+$V$28</f>
        <v>35.999999999999972</v>
      </c>
      <c r="V401" s="221"/>
      <c r="W401" s="221">
        <f>IF(W399+V400&lt;0,(W399+V400)*0.8,W399+V400)</f>
        <v>-0.14538443013883801</v>
      </c>
      <c r="X401" s="221"/>
      <c r="Y401" s="221">
        <f>Y399*(AC401/AC399)^2</f>
        <v>6.7280439478353295E-4</v>
      </c>
      <c r="Z401" s="221"/>
      <c r="AA401" s="221">
        <f>IF(AND(ABS(AA399+Z400)&gt;$G$27*0.8,(AA399+Z400)&lt;0),-$G$27*0.5,IF(AND(ABS(AA399+Z400)&gt;$G$27*0.8,(AA399+Z400)&gt;0),$G$27*0.5,AA399+Z400))</f>
        <v>-0.19658357340473953</v>
      </c>
      <c r="AB401" s="221"/>
      <c r="AC401" s="223">
        <f>$G$29*AA401</f>
        <v>-9.2572550879829016</v>
      </c>
    </row>
    <row r="402" spans="21:29" x14ac:dyDescent="0.3">
      <c r="U402" s="213"/>
      <c r="V402" s="221">
        <f>(AA401+Z400/2)*$V$34</f>
        <v>-3.3783844834309774E-2</v>
      </c>
      <c r="W402" s="221"/>
      <c r="X402" s="221">
        <f t="shared" ref="X402" si="334">W401+V402/2</f>
        <v>-0.1622763525559929</v>
      </c>
      <c r="Y402" s="221"/>
      <c r="Z402" s="221">
        <f>-$V$35*(X402+Y401*((AA401+Z400/2)^2))</f>
        <v>2.7717820956939827E-3</v>
      </c>
      <c r="AA402" s="221"/>
      <c r="AB402" s="221">
        <f t="shared" ref="AB402" si="335">AA401+Z402/2</f>
        <v>-0.19519768235689253</v>
      </c>
      <c r="AC402" s="213"/>
    </row>
    <row r="403" spans="21:29" x14ac:dyDescent="0.3">
      <c r="U403" s="220">
        <f>U401+$V$28</f>
        <v>36.199999999999974</v>
      </c>
      <c r="V403" s="221"/>
      <c r="W403" s="221">
        <f>IF(W401+V402&lt;0,(W401+V402)*0.8,W401+V402)</f>
        <v>-0.14333461997851824</v>
      </c>
      <c r="X403" s="221"/>
      <c r="Y403" s="221">
        <f>Y401*(AC403/AC401)^2</f>
        <v>6.539653834738184E-4</v>
      </c>
      <c r="Z403" s="221"/>
      <c r="AA403" s="221">
        <f>IF(AND(ABS(AA401+Z402)&gt;$G$27*0.8,(AA401+Z402)&lt;0),-$G$27*0.5,IF(AND(ABS(AA401+Z402)&gt;$G$27*0.8,(AA401+Z402)&gt;0),$G$27*0.5,AA401+Z402))</f>
        <v>-0.19381179130904555</v>
      </c>
      <c r="AB403" s="229"/>
      <c r="AC403" s="223">
        <f>$G$29*AA403</f>
        <v>-9.1267299710377827</v>
      </c>
    </row>
    <row r="404" spans="21:29" x14ac:dyDescent="0.3">
      <c r="U404" s="220"/>
      <c r="V404" s="221">
        <f>(AA403+Z402/2)*$V$34</f>
        <v>-3.3307498788665471E-2</v>
      </c>
      <c r="W404" s="221"/>
      <c r="X404" s="221">
        <f t="shared" ref="X404" si="336">W403+V404/2</f>
        <v>-0.15998836937285096</v>
      </c>
      <c r="Y404" s="221"/>
      <c r="Z404" s="221">
        <f>-$V$35*(X404+Y403*((AA403+Z402/2)^2))</f>
        <v>2.7327199083685243E-3</v>
      </c>
      <c r="AA404" s="221"/>
      <c r="AB404" s="229">
        <f t="shared" ref="AB404" si="337">AA403+Z404/2</f>
        <v>-0.19244543135486128</v>
      </c>
      <c r="AC404" s="213"/>
    </row>
    <row r="405" spans="21:29" x14ac:dyDescent="0.3">
      <c r="U405" s="220">
        <f>U403+$V$28</f>
        <v>36.399999999999977</v>
      </c>
      <c r="V405" s="221"/>
      <c r="W405" s="221">
        <f>IF(W403+V404&lt;0,(W403+V404)*0.8,W403+V404)</f>
        <v>-0.14131369501374699</v>
      </c>
      <c r="X405" s="221"/>
      <c r="Y405" s="221">
        <f>Y403*(AC405/AC403)^2</f>
        <v>6.3565374982628041E-4</v>
      </c>
      <c r="Z405" s="221"/>
      <c r="AA405" s="221">
        <f>IF(AND(ABS(AA403+Z404)&gt;$G$27*0.8,(AA403+Z404)&lt;0),-$G$27*0.5,IF(AND(ABS(AA403+Z404)&gt;$G$27*0.8,(AA403+Z404)&gt;0),$G$27*0.5,AA403+Z404))</f>
        <v>-0.19107907140067704</v>
      </c>
      <c r="AB405" s="229"/>
      <c r="AC405" s="223">
        <f>$G$29*AA405</f>
        <v>-8.9980443192427941</v>
      </c>
    </row>
    <row r="406" spans="21:29" x14ac:dyDescent="0.3">
      <c r="U406" s="213"/>
      <c r="V406" s="221">
        <f>(AA405+Z404/2)*$V$34</f>
        <v>-3.2837865890824977E-2</v>
      </c>
      <c r="W406" s="221"/>
      <c r="X406" s="221">
        <f t="shared" ref="X406" si="338">W405+V406/2</f>
        <v>-0.15773262795915949</v>
      </c>
      <c r="Y406" s="221"/>
      <c r="Z406" s="221">
        <f>-$V$35*(X406+Y405*((AA405+Z404/2)^2))</f>
        <v>2.694207182895265E-3</v>
      </c>
      <c r="AA406" s="221"/>
      <c r="AB406" s="229">
        <f t="shared" ref="AB406" si="339">AA405+Z406/2</f>
        <v>-0.18973196780922941</v>
      </c>
      <c r="AC406" s="213"/>
    </row>
    <row r="407" spans="21:29" x14ac:dyDescent="0.3">
      <c r="U407" s="220">
        <f>U405+$V$28</f>
        <v>36.59999999999998</v>
      </c>
      <c r="V407" s="221"/>
      <c r="W407" s="221">
        <f>IF(W405+V406&lt;0,(W405+V406)*0.8,W405+V406)</f>
        <v>-0.13932124872365756</v>
      </c>
      <c r="X407" s="221"/>
      <c r="Y407" s="221">
        <f>Y405*(AC407/AC405)^2</f>
        <v>6.178547390677608E-4</v>
      </c>
      <c r="Z407" s="221"/>
      <c r="AA407" s="221">
        <f>IF(AND(ABS(AA405+Z406)&gt;$G$27*0.8,(AA405+Z406)&lt;0),-$G$27*0.5,IF(AND(ABS(AA405+Z406)&gt;$G$27*0.8,(AA405+Z406)&gt;0),$G$27*0.5,AA405+Z406))</f>
        <v>-0.18838486421778178</v>
      </c>
      <c r="AB407" s="229"/>
      <c r="AC407" s="223">
        <f>$G$29*AA407</f>
        <v>-8.8711722580630585</v>
      </c>
    </row>
    <row r="408" spans="21:29" x14ac:dyDescent="0.3">
      <c r="U408" s="220"/>
      <c r="V408" s="221">
        <f>(AA407+Z406/2)*$V$34</f>
        <v>-3.2374851706761215E-2</v>
      </c>
      <c r="W408" s="221"/>
      <c r="X408" s="221">
        <f t="shared" ref="X408" si="340">W407+V408/2</f>
        <v>-0.15550867457703815</v>
      </c>
      <c r="Y408" s="221"/>
      <c r="Z408" s="221">
        <f>-$V$35*(X408+Y407*((AA407+Z406/2)^2))</f>
        <v>2.6562362416044866E-3</v>
      </c>
      <c r="AA408" s="221"/>
      <c r="AB408" s="221">
        <f t="shared" ref="AB408" si="341">AA407+Z408/2</f>
        <v>-0.18705674609697953</v>
      </c>
      <c r="AC408" s="224"/>
    </row>
    <row r="409" spans="21:29" x14ac:dyDescent="0.3">
      <c r="U409" s="220">
        <f>U407+$V$28</f>
        <v>36.799999999999983</v>
      </c>
      <c r="V409" s="221"/>
      <c r="W409" s="221">
        <f>IF(W407+V408&lt;0,(W407+V408)*0.8,W407+V408)</f>
        <v>-0.13735688034433502</v>
      </c>
      <c r="X409" s="221"/>
      <c r="Y409" s="221">
        <f>Y407*(AC409/AC407)^2</f>
        <v>6.0055400868045446E-4</v>
      </c>
      <c r="Z409" s="221"/>
      <c r="AA409" s="221">
        <f>IF(AND(ABS(AA407+Z408)&gt;$G$27*0.8,(AA407+Z408)&lt;0),-$G$27*0.5,IF(AND(ABS(AA407+Z408)&gt;$G$27*0.8,(AA407+Z408)&gt;0),$G$27*0.5,AA407+Z408))</f>
        <v>-0.18572862797617729</v>
      </c>
      <c r="AB409" s="221"/>
      <c r="AC409" s="223">
        <f>$G$29*AA409</f>
        <v>-8.7460882745104183</v>
      </c>
    </row>
    <row r="410" spans="21:29" x14ac:dyDescent="0.3">
      <c r="U410" s="213"/>
      <c r="V410" s="221">
        <f>(AA409+Z408/2)*$V$34</f>
        <v>-3.1918363122116981E-2</v>
      </c>
      <c r="W410" s="221"/>
      <c r="X410" s="221">
        <f t="shared" ref="X410" si="342">W409+V410/2</f>
        <v>-0.15331606190539351</v>
      </c>
      <c r="Y410" s="221"/>
      <c r="Z410" s="221">
        <f>-$V$35*(X410+Y409*((AA409+Z408/2)^2))</f>
        <v>2.6187995123805631E-3</v>
      </c>
      <c r="AA410" s="221"/>
      <c r="AB410" s="221">
        <f t="shared" ref="AB410" si="343">AA409+Z410/2</f>
        <v>-0.18441922821998699</v>
      </c>
      <c r="AC410" s="213"/>
    </row>
    <row r="411" spans="21:29" x14ac:dyDescent="0.3">
      <c r="U411" s="220">
        <f>U409+$V$28</f>
        <v>36.999999999999986</v>
      </c>
      <c r="V411" s="221"/>
      <c r="W411" s="221">
        <f>IF(W409+V410&lt;0,(W409+V410)*0.8,W409+V410)</f>
        <v>-0.13542019477316161</v>
      </c>
      <c r="X411" s="221"/>
      <c r="Y411" s="221">
        <f>Y409*(AC411/AC409)^2</f>
        <v>5.8373761691270904E-4</v>
      </c>
      <c r="Z411" s="221"/>
      <c r="AA411" s="221">
        <f>IF(AND(ABS(AA409+Z410)&gt;$G$27*0.8,(AA409+Z410)&lt;0),-$G$27*0.5,IF(AND(ABS(AA409+Z410)&gt;$G$27*0.8,(AA409+Z410)&gt;0),$G$27*0.5,AA409+Z410))</f>
        <v>-0.18310982846379673</v>
      </c>
      <c r="AB411" s="221"/>
      <c r="AC411" s="223">
        <f>$G$29*AA411</f>
        <v>-8.6227672121728283</v>
      </c>
    </row>
    <row r="412" spans="21:29" x14ac:dyDescent="0.3">
      <c r="U412" s="220"/>
      <c r="V412" s="221">
        <f>(AA411+Z410/2)*$V$34</f>
        <v>-3.1468308324076898E-2</v>
      </c>
      <c r="W412" s="221"/>
      <c r="X412" s="221">
        <f t="shared" ref="X412" si="344">W411+V412/2</f>
        <v>-0.15115434893520005</v>
      </c>
      <c r="Y412" s="221"/>
      <c r="Z412" s="221">
        <f>-$V$35*(X412+Y411*((AA411+Z410/2)^2))</f>
        <v>2.5818895270972721E-3</v>
      </c>
      <c r="AA412" s="221"/>
      <c r="AB412" s="221">
        <f t="shared" ref="AB412" si="345">AA411+Z412/2</f>
        <v>-0.1818188837002481</v>
      </c>
      <c r="AC412" s="213"/>
    </row>
    <row r="413" spans="21:29" x14ac:dyDescent="0.3">
      <c r="U413" s="220">
        <f>U411+$V$28</f>
        <v>37.199999999999989</v>
      </c>
      <c r="V413" s="221"/>
      <c r="W413" s="221">
        <f>IF(W411+V412&lt;0,(W411+V412)*0.8,W411+V412)</f>
        <v>-0.13351080247779082</v>
      </c>
      <c r="X413" s="221"/>
      <c r="Y413" s="221">
        <f>Y411*(AC413/AC411)^2</f>
        <v>5.673920116096386E-4</v>
      </c>
      <c r="Z413" s="221"/>
      <c r="AA413" s="221">
        <f>IF(AND(ABS(AA411+Z412)&gt;$G$27*0.8,(AA411+Z412)&lt;0),-$G$27*0.5,IF(AND(ABS(AA411+Z412)&gt;$G$27*0.8,(AA411+Z412)&gt;0),$G$27*0.5,AA411+Z412))</f>
        <v>-0.18052793893669947</v>
      </c>
      <c r="AB413" s="221"/>
      <c r="AC413" s="223">
        <f>$G$29*AA413</f>
        <v>-8.5011842663174217</v>
      </c>
    </row>
    <row r="414" spans="21:29" x14ac:dyDescent="0.3">
      <c r="U414" s="213"/>
      <c r="V414" s="221">
        <f>(AA413+Z412/2)*$V$34</f>
        <v>-3.1024596783503066E-2</v>
      </c>
      <c r="W414" s="221"/>
      <c r="X414" s="221">
        <f t="shared" ref="X414" si="346">W413+V414/2</f>
        <v>-0.14902310086954235</v>
      </c>
      <c r="Y414" s="221"/>
      <c r="Z414" s="221">
        <f>-$V$35*(X414+Y413*((AA413+Z412/2)^2))</f>
        <v>2.5454989201220716E-3</v>
      </c>
      <c r="AA414" s="221"/>
      <c r="AB414" s="221">
        <f t="shared" ref="AB414" si="347">AA413+Z414/2</f>
        <v>-0.17925518947663843</v>
      </c>
      <c r="AC414" s="213"/>
    </row>
    <row r="415" spans="21:29" x14ac:dyDescent="0.3">
      <c r="U415" s="220">
        <f>U413+$V$28</f>
        <v>37.399999999999991</v>
      </c>
      <c r="V415" s="221"/>
      <c r="W415" s="221">
        <f>IF(W413+V414&lt;0,(W413+V414)*0.8,W413+V414)</f>
        <v>-0.1316283194090351</v>
      </c>
      <c r="X415" s="221"/>
      <c r="Y415" s="221">
        <f>Y413*(AC415/AC413)^2</f>
        <v>5.5150401935434416E-4</v>
      </c>
      <c r="Z415" s="221"/>
      <c r="AA415" s="221">
        <f>IF(AND(ABS(AA413+Z414)&gt;$G$27*0.8,(AA413+Z414)&lt;0),-$G$27*0.5,IF(AND(ABS(AA413+Z414)&gt;$G$27*0.8,(AA413+Z414)&gt;0),$G$27*0.5,AA413+Z414))</f>
        <v>-0.1779824400165774</v>
      </c>
      <c r="AB415" s="221"/>
      <c r="AC415" s="223">
        <f>$G$29*AA415</f>
        <v>-8.3813149790640082</v>
      </c>
    </row>
    <row r="416" spans="21:29" x14ac:dyDescent="0.3">
      <c r="U416" s="213"/>
      <c r="V416" s="221">
        <f>(AA415+Z414/2)*$V$34</f>
        <v>-3.0587139237323577E-2</v>
      </c>
      <c r="W416" s="221"/>
      <c r="X416" s="221">
        <f t="shared" ref="X416" si="348">W415+V416/2</f>
        <v>-0.1469218890276969</v>
      </c>
      <c r="Y416" s="221"/>
      <c r="Z416" s="221">
        <f>-$V$35*(X416+Y415*((AA415+Z414/2)^2))</f>
        <v>2.5096204268777187E-3</v>
      </c>
      <c r="AA416" s="221"/>
      <c r="AB416" s="221">
        <f t="shared" ref="AB416" si="349">AA415+Z416/2</f>
        <v>-0.17672762980313853</v>
      </c>
      <c r="AC416" s="213"/>
    </row>
    <row r="417" spans="21:29" x14ac:dyDescent="0.3">
      <c r="U417" s="220">
        <f>U415+$V$28</f>
        <v>37.599999999999994</v>
      </c>
      <c r="V417" s="221"/>
      <c r="W417" s="221">
        <f>IF(W415+V416&lt;0,(W415+V416)*0.8,W415+V416)</f>
        <v>-0.12977236691708693</v>
      </c>
      <c r="X417" s="221"/>
      <c r="Y417" s="221">
        <f>Y415*(AC417/AC415)^2</f>
        <v>5.3606083491089453E-4</v>
      </c>
      <c r="Z417" s="221"/>
      <c r="AA417" s="221">
        <f>IF(AND(ABS(AA415+Z416)&gt;$G$27*0.8,(AA415+Z416)&lt;0),-$G$27*0.5,IF(AND(ABS(AA415+Z416)&gt;$G$27*0.8,(AA415+Z416)&gt;0),$G$27*0.5,AA415+Z416))</f>
        <v>-0.17547281958969968</v>
      </c>
      <c r="AB417" s="221"/>
      <c r="AC417" s="223">
        <f>$G$29*AA417</f>
        <v>-8.263135234626322</v>
      </c>
    </row>
    <row r="418" spans="21:29" x14ac:dyDescent="0.3">
      <c r="U418" s="213"/>
      <c r="V418" s="221">
        <f>(AA417+Z416/2)*$V$34</f>
        <v>-3.0155847671165126E-2</v>
      </c>
      <c r="W418" s="221"/>
      <c r="X418" s="221">
        <f t="shared" ref="X418" si="350">W417+V418/2</f>
        <v>-0.1448502907526695</v>
      </c>
      <c r="Y418" s="221"/>
      <c r="Z418" s="221">
        <f>-$V$35*(X418+Y417*((AA417+Z416/2)^2))</f>
        <v>2.4742468824518801E-3</v>
      </c>
      <c r="AA418" s="221"/>
      <c r="AB418" s="221">
        <f t="shared" ref="AB418" si="351">AA417+Z418/2</f>
        <v>-0.17423569614847373</v>
      </c>
      <c r="AC418" s="213"/>
    </row>
    <row r="419" spans="21:29" x14ac:dyDescent="0.3">
      <c r="U419" s="220">
        <f>U417+$V$28</f>
        <v>37.799999999999997</v>
      </c>
      <c r="V419" s="221"/>
      <c r="W419" s="221">
        <f>IF(W417+V418&lt;0,(W417+V418)*0.8,W417+V418)</f>
        <v>-0.12794257167060166</v>
      </c>
      <c r="X419" s="221"/>
      <c r="Y419" s="221">
        <f>Y417*(AC419/AC417)^2</f>
        <v>5.2105001096052362E-4</v>
      </c>
      <c r="Z419" s="221"/>
      <c r="AA419" s="221">
        <f>IF(AND(ABS(AA417+Z418)&gt;$G$27*0.8,(AA417+Z418)&lt;0),-$G$27*0.5,IF(AND(ABS(AA417+Z418)&gt;$G$27*0.8,(AA417+Z418)&gt;0),$G$27*0.5,AA417+Z418))</f>
        <v>-0.17299857270724781</v>
      </c>
      <c r="AB419" s="221"/>
      <c r="AC419" s="223">
        <f>$G$29*AA419</f>
        <v>-8.1466212546187151</v>
      </c>
    </row>
    <row r="420" spans="21:29" x14ac:dyDescent="0.3">
      <c r="U420" s="213"/>
      <c r="V420" s="221">
        <f>(AA419+Z418/2)*$V$34</f>
        <v>-2.9730635302222051E-2</v>
      </c>
      <c r="W420" s="221"/>
      <c r="X420" s="221">
        <f t="shared" ref="X420" si="352">W419+V420/2</f>
        <v>-0.14280788932171268</v>
      </c>
      <c r="Y420" s="221"/>
      <c r="Z420" s="221">
        <f>-$V$35*(X420+Y419*((AA419+Z418/2)^2))</f>
        <v>2.4393712202472194E-3</v>
      </c>
      <c r="AA420" s="221"/>
      <c r="AB420" s="221">
        <f t="shared" ref="AB420" si="353">AA419+Z420/2</f>
        <v>-0.17177888709712419</v>
      </c>
      <c r="AC420" s="213"/>
    </row>
    <row r="421" spans="21:29" x14ac:dyDescent="0.3">
      <c r="U421" s="220">
        <f>U419+$V$28</f>
        <v>38</v>
      </c>
      <c r="V421" s="221"/>
      <c r="W421" s="221">
        <f>IF(W419+V420&lt;0,(W419+V420)*0.8,W419+V420)</f>
        <v>-0.12613856557825898</v>
      </c>
      <c r="X421" s="221"/>
      <c r="Y421" s="221">
        <f>Y419*(AC421/AC419)^2</f>
        <v>5.0645944812281599E-4</v>
      </c>
      <c r="Z421" s="221"/>
      <c r="AA421" s="221">
        <f>IF(AND(ABS(AA419+Z420)&gt;$G$27*0.8,(AA419+Z420)&lt;0),-$G$27*0.5,IF(AND(ABS(AA419+Z420)&gt;$G$27*0.8,(AA419+Z420)&gt;0),$G$27*0.5,AA419+Z420))</f>
        <v>-0.17055920148700057</v>
      </c>
      <c r="AB421" s="221"/>
      <c r="AC421" s="223">
        <f>$G$29*AA421</f>
        <v>-8.0317495934264578</v>
      </c>
    </row>
    <row r="422" spans="21:29" x14ac:dyDescent="0.3">
      <c r="U422" s="213"/>
      <c r="V422" s="221">
        <f>(AA421+Z420/2)*$V$34</f>
        <v>-2.9311416562355575E-2</v>
      </c>
      <c r="W422" s="221"/>
      <c r="X422" s="221">
        <f t="shared" ref="X422" si="354">W421+V422/2</f>
        <v>-0.14079427385943677</v>
      </c>
      <c r="Y422" s="221"/>
      <c r="Z422" s="221">
        <f>-$V$35*(X422+Y421*((AA421+Z420/2)^2))</f>
        <v>2.4049864706659485E-3</v>
      </c>
      <c r="AA422" s="221"/>
      <c r="AB422" s="221">
        <f t="shared" ref="AB422" si="355">AA421+Z422/2</f>
        <v>-0.1693567082516676</v>
      </c>
      <c r="AC422" s="213"/>
    </row>
    <row r="423" spans="21:29" x14ac:dyDescent="0.3">
      <c r="U423" s="220">
        <f>U421+$V$28</f>
        <v>38.200000000000003</v>
      </c>
      <c r="V423" s="221"/>
      <c r="W423" s="221">
        <f>IF(W421+V422&lt;0,(W421+V422)*0.8,W421+V422)</f>
        <v>-0.12435998571249166</v>
      </c>
      <c r="X423" s="221"/>
      <c r="Y423" s="221">
        <f>Y421*(AC423/AC421)^2</f>
        <v>4.9227738525390067E-4</v>
      </c>
      <c r="Z423" s="221"/>
      <c r="AA423" s="221">
        <f>IF(AND(ABS(AA421+Z422)&gt;$G$27*0.8,(AA421+Z422)&lt;0),-$G$27*0.5,IF(AND(ABS(AA421+Z422)&gt;$G$27*0.8,(AA421+Z422)&gt;0),$G$27*0.5,AA421+Z422))</f>
        <v>-0.16815421501633462</v>
      </c>
      <c r="AB423" s="221"/>
      <c r="AC423" s="223">
        <f>$G$29*AA423</f>
        <v>-7.9184971336379446</v>
      </c>
    </row>
    <row r="424" spans="21:29" x14ac:dyDescent="0.3">
      <c r="U424" s="213"/>
      <c r="V424" s="221">
        <f>(AA423+Z422/2)*$V$34</f>
        <v>-2.889810708141775E-2</v>
      </c>
      <c r="W424" s="221"/>
      <c r="X424" s="221">
        <f t="shared" ref="X424" si="356">W423+V424/2</f>
        <v>-0.13880903925320054</v>
      </c>
      <c r="Y424" s="221"/>
      <c r="Z424" s="221">
        <f>-$V$35*(X424+Y423*((AA423+Z422/2)^2))</f>
        <v>2.371085759824003E-3</v>
      </c>
      <c r="AA424" s="221"/>
      <c r="AB424" s="221">
        <f t="shared" ref="AB424" si="357">AA423+Z424/2</f>
        <v>-0.16696867213642264</v>
      </c>
      <c r="AC424" s="213"/>
    </row>
    <row r="425" spans="21:29" x14ac:dyDescent="0.3">
      <c r="U425" s="220">
        <f>U423+$V$28</f>
        <v>38.400000000000006</v>
      </c>
      <c r="V425" s="221"/>
      <c r="W425" s="221">
        <f>IF(W423+V424&lt;0,(W423+V424)*0.8,W423+V424)</f>
        <v>-0.12260647423512752</v>
      </c>
      <c r="X425" s="221"/>
      <c r="Y425" s="221">
        <f>Y423*(AC425/AC423)^2</f>
        <v>4.7849239001394737E-4</v>
      </c>
      <c r="Z425" s="221"/>
      <c r="AA425" s="221">
        <f>IF(AND(ABS(AA423+Z424)&gt;$G$27*0.8,(AA423+Z424)&lt;0),-$G$27*0.5,IF(AND(ABS(AA423+Z424)&gt;$G$27*0.8,(AA423+Z424)&gt;0),$G$27*0.5,AA423+Z424))</f>
        <v>-0.16578312925651062</v>
      </c>
      <c r="AB425" s="221"/>
      <c r="AC425" s="223">
        <f>$G$29*AA425</f>
        <v>-7.8068410815374829</v>
      </c>
    </row>
    <row r="426" spans="21:29" x14ac:dyDescent="0.3">
      <c r="U426" s="213"/>
      <c r="V426" s="221">
        <f>(AA425+Z424/2)*$V$34</f>
        <v>-2.8490623670795408E-2</v>
      </c>
      <c r="W426" s="221"/>
      <c r="X426" s="221">
        <f t="shared" ref="X426" si="358">W425+V426/2</f>
        <v>-0.13685178607052523</v>
      </c>
      <c r="Y426" s="221"/>
      <c r="Z426" s="221">
        <f>-$V$35*(X426+Y425*((AA425+Z424/2)^2))</f>
        <v>2.3376623082909873E-3</v>
      </c>
      <c r="AA426" s="221"/>
      <c r="AB426" s="221">
        <f t="shared" ref="AB426" si="359">AA425+Z426/2</f>
        <v>-0.16461429810236514</v>
      </c>
      <c r="AC426" s="213"/>
    </row>
    <row r="427" spans="21:29" x14ac:dyDescent="0.3">
      <c r="U427" s="220">
        <f>U425+$V$28</f>
        <v>38.600000000000009</v>
      </c>
      <c r="V427" s="221"/>
      <c r="W427" s="221">
        <f>IF(W425+V426&lt;0,(W425+V426)*0.8,W425+V426)</f>
        <v>-0.12087767832473835</v>
      </c>
      <c r="X427" s="221"/>
      <c r="Y427" s="221">
        <f>Y425*(AC427/AC425)^2</f>
        <v>4.6509334969648209E-4</v>
      </c>
      <c r="Z427" s="221"/>
      <c r="AA427" s="221">
        <f>IF(AND(ABS(AA425+Z426)&gt;$G$27*0.8,(AA425+Z426)&lt;0),-$G$27*0.5,IF(AND(ABS(AA425+Z426)&gt;$G$27*0.8,(AA425+Z426)&gt;0),$G$27*0.5,AA425+Z426))</f>
        <v>-0.16344546694821963</v>
      </c>
      <c r="AB427" s="221"/>
      <c r="AC427" s="223">
        <f>$G$29*AA427</f>
        <v>-7.6967589626573965</v>
      </c>
    </row>
    <row r="428" spans="21:29" x14ac:dyDescent="0.3">
      <c r="U428" s="213"/>
      <c r="V428" s="221">
        <f>(AA427+Z426/2)*$V$34</f>
        <v>-2.8088884307169965E-2</v>
      </c>
      <c r="W428" s="221"/>
      <c r="X428" s="221">
        <f t="shared" ref="X428" si="360">W427+V428/2</f>
        <v>-0.13492212047832333</v>
      </c>
      <c r="Y428" s="221"/>
      <c r="Z428" s="221">
        <f>-$V$35*(X428+Y427*((AA427+Z426/2)^2))</f>
        <v>2.3047094298528133E-3</v>
      </c>
      <c r="AA428" s="221"/>
      <c r="AB428" s="221">
        <f t="shared" ref="AB428" si="361">AA427+Z428/2</f>
        <v>-0.16229311223329321</v>
      </c>
      <c r="AC428" s="213"/>
    </row>
    <row r="429" spans="21:29" x14ac:dyDescent="0.3">
      <c r="U429" s="220">
        <f>U427+$V$28</f>
        <v>38.800000000000011</v>
      </c>
      <c r="V429" s="221"/>
      <c r="W429" s="221">
        <f>IF(W427+V428&lt;0,(W427+V428)*0.8,W427+V428)</f>
        <v>-0.11917325010552667</v>
      </c>
      <c r="X429" s="221"/>
      <c r="Y429" s="221">
        <f>Y427*(AC429/AC427)^2</f>
        <v>4.5206946231227444E-4</v>
      </c>
      <c r="Z429" s="221"/>
      <c r="AA429" s="221">
        <f>IF(AND(ABS(AA427+Z428)&gt;$G$27*0.8,(AA427+Z428)&lt;0),-$G$27*0.5,IF(AND(ABS(AA427+Z428)&gt;$G$27*0.8,(AA427+Z428)&gt;0),$G$27*0.5,AA427+Z428))</f>
        <v>-0.16114075751836682</v>
      </c>
      <c r="AB429" s="221"/>
      <c r="AC429" s="223">
        <f>$G$29*AA429</f>
        <v>-7.5882286173884124</v>
      </c>
    </row>
    <row r="430" spans="21:29" x14ac:dyDescent="0.3">
      <c r="U430" s="213"/>
      <c r="V430" s="221">
        <f>(AA429+Z428/2)*$V$34</f>
        <v>-2.7692808116489484E-2</v>
      </c>
      <c r="W430" s="221"/>
      <c r="X430" s="221">
        <f t="shared" ref="X430" si="362">W429+V430/2</f>
        <v>-0.1330196541637714</v>
      </c>
      <c r="Y430" s="221"/>
      <c r="Z430" s="221">
        <f>-$V$35*(X430+Y429*((AA429+Z428/2)^2))</f>
        <v>2.2722205302945597E-3</v>
      </c>
      <c r="AA430" s="221"/>
      <c r="AB430" s="221">
        <f t="shared" ref="AB430" si="363">AA429+Z430/2</f>
        <v>-0.16000464725321953</v>
      </c>
      <c r="AC430" s="213"/>
    </row>
    <row r="431" spans="21:29" x14ac:dyDescent="0.3">
      <c r="U431" s="220">
        <f>U429+$V$28</f>
        <v>39.000000000000014</v>
      </c>
      <c r="V431" s="221"/>
      <c r="W431" s="221">
        <f>IF(W429+V430&lt;0,(W429+V430)*0.8,W429+V430)</f>
        <v>-0.11749284657761293</v>
      </c>
      <c r="X431" s="221"/>
      <c r="Y431" s="221">
        <f>Y429*(AC431/AC429)^2</f>
        <v>4.3941022792075437E-4</v>
      </c>
      <c r="Z431" s="221"/>
      <c r="AA431" s="221">
        <f>IF(AND(ABS(AA429+Z430)&gt;$G$27*0.8,(AA429+Z430)&lt;0),-$G$27*0.5,IF(AND(ABS(AA429+Z430)&gt;$G$27*0.8,(AA429+Z430)&gt;0),$G$27*0.5,AA429+Z430))</f>
        <v>-0.15886853698807227</v>
      </c>
      <c r="AB431" s="221"/>
      <c r="AC431" s="223">
        <f>$G$29*AA431</f>
        <v>-7.4812281966473515</v>
      </c>
    </row>
    <row r="432" spans="21:29" x14ac:dyDescent="0.3">
      <c r="U432" s="213"/>
      <c r="V432" s="221">
        <f>(AA431+Z430/2)*$V$34</f>
        <v>-2.7302315358149625E-2</v>
      </c>
      <c r="W432" s="221"/>
      <c r="X432" s="221">
        <f t="shared" ref="X432" si="364">W431+V432/2</f>
        <v>-0.13114400425668774</v>
      </c>
      <c r="Y432" s="221"/>
      <c r="Z432" s="221">
        <f>-$V$35*(X432+Y431*((AA431+Z430/2)^2))</f>
        <v>2.240189106201627E-3</v>
      </c>
      <c r="AA432" s="221"/>
      <c r="AB432" s="221">
        <f t="shared" ref="AB432" si="365">AA431+Z432/2</f>
        <v>-0.15774844243497146</v>
      </c>
      <c r="AC432" s="213"/>
    </row>
    <row r="433" spans="21:29" x14ac:dyDescent="0.3">
      <c r="U433" s="220">
        <f>U431+$V$28</f>
        <v>39.200000000000017</v>
      </c>
      <c r="V433" s="221"/>
      <c r="W433" s="221">
        <f>IF(W431+V432&lt;0,(W431+V432)*0.8,W431+V432)</f>
        <v>-0.11583612954861006</v>
      </c>
      <c r="X433" s="221"/>
      <c r="Y433" s="221">
        <f>Y431*(AC433/AC431)^2</f>
        <v>4.2710544020212746E-4</v>
      </c>
      <c r="Z433" s="221"/>
      <c r="AA433" s="221">
        <f>IF(AND(ABS(AA431+Z432)&gt;$G$27*0.8,(AA431+Z432)&lt;0),-$G$27*0.5,IF(AND(ABS(AA431+Z432)&gt;$G$27*0.8,(AA431+Z432)&gt;0),$G$27*0.5,AA431+Z432))</f>
        <v>-0.15662834788187063</v>
      </c>
      <c r="AB433" s="221"/>
      <c r="AC433" s="223">
        <f>$G$29*AA433</f>
        <v>-7.3757361576012803</v>
      </c>
    </row>
    <row r="434" spans="21:29" x14ac:dyDescent="0.3">
      <c r="U434" s="213"/>
      <c r="V434" s="221">
        <f>(AA433+Z432/2)*$V$34</f>
        <v>-2.6917327409380534E-2</v>
      </c>
      <c r="W434" s="221"/>
      <c r="X434" s="221">
        <f t="shared" ref="X434" si="366">W433+V434/2</f>
        <v>-0.12929479325330032</v>
      </c>
      <c r="Y434" s="221"/>
      <c r="Z434" s="221">
        <f>-$V$35*(X434+Y433*((AA433+Z432/2)^2))</f>
        <v>2.208608743777621E-3</v>
      </c>
      <c r="AA434" s="221"/>
      <c r="AB434" s="221">
        <f t="shared" ref="AB434" si="367">AA433+Z434/2</f>
        <v>-0.15552404350998184</v>
      </c>
      <c r="AC434" s="213"/>
    </row>
    <row r="435" spans="21:29" x14ac:dyDescent="0.3">
      <c r="U435" s="220">
        <f>U433+$V$28</f>
        <v>39.40000000000002</v>
      </c>
      <c r="V435" s="221"/>
      <c r="W435" s="221">
        <f>IF(W433+V434&lt;0,(W433+V434)*0.8,W433+V434)</f>
        <v>-0.11420276556639247</v>
      </c>
      <c r="X435" s="221"/>
      <c r="Y435" s="221">
        <f>Y433*(AC435/AC433)^2</f>
        <v>4.1514517826354678E-4</v>
      </c>
      <c r="Z435" s="221"/>
      <c r="AA435" s="221">
        <f>IF(AND(ABS(AA433+Z434)&gt;$G$27*0.8,(AA433+Z434)&lt;0),-$G$27*0.5,IF(AND(ABS(AA433+Z434)&gt;$G$27*0.8,(AA433+Z434)&gt;0),$G$27*0.5,AA433+Z434))</f>
        <v>-0.15441973913809301</v>
      </c>
      <c r="AB435" s="221"/>
      <c r="AC435" s="223">
        <f>$G$29*AA435</f>
        <v>-7.2717312594473329</v>
      </c>
    </row>
    <row r="436" spans="21:29" x14ac:dyDescent="0.3">
      <c r="U436" s="213"/>
      <c r="V436" s="221">
        <f>(AA435+Z434/2)*$V$34</f>
        <v>-2.6537766749836905E-2</v>
      </c>
      <c r="W436" s="221"/>
      <c r="X436" s="221">
        <f t="shared" ref="X436" si="368">W435+V436/2</f>
        <v>-0.12747164894131091</v>
      </c>
      <c r="Y436" s="221"/>
      <c r="Z436" s="221">
        <f>-$V$35*(X436+Y435*((AA435+Z434/2)^2))</f>
        <v>2.1774731176777539E-3</v>
      </c>
      <c r="AA436" s="221"/>
      <c r="AB436" s="221">
        <f t="shared" ref="AB436" si="369">AA435+Z436/2</f>
        <v>-0.15333100257925414</v>
      </c>
      <c r="AC436" s="213"/>
    </row>
    <row r="437" spans="21:29" x14ac:dyDescent="0.3">
      <c r="U437" s="220">
        <f>U435+$V$28</f>
        <v>39.600000000000023</v>
      </c>
      <c r="V437" s="221"/>
      <c r="W437" s="221">
        <f>IF(W435+V436&lt;0,(W435+V436)*0.8,W435+V436)</f>
        <v>-0.11259242585298351</v>
      </c>
      <c r="X437" s="221"/>
      <c r="Y437" s="221">
        <f>Y435*(AC437/AC435)^2</f>
        <v>4.0351979867288881E-4</v>
      </c>
      <c r="Z437" s="221"/>
      <c r="AA437" s="221">
        <f>IF(AND(ABS(AA435+Z436)&gt;$G$27*0.8,(AA435+Z436)&lt;0),-$G$27*0.5,IF(AND(ABS(AA435+Z436)&gt;$G$27*0.8,(AA435+Z436)&gt;0),$G$27*0.5,AA435+Z436))</f>
        <v>-0.15224226602041527</v>
      </c>
      <c r="AB437" s="221"/>
      <c r="AC437" s="223">
        <f>$G$29*AA437</f>
        <v>-7.1691925592474606</v>
      </c>
    </row>
    <row r="438" spans="21:29" x14ac:dyDescent="0.3">
      <c r="U438" s="213"/>
      <c r="V438" s="221">
        <f>(AA437+Z436/2)*$V$34</f>
        <v>-2.6163556946388628E-2</v>
      </c>
      <c r="W438" s="221"/>
      <c r="X438" s="221">
        <f t="shared" ref="X438" si="370">W437+V438/2</f>
        <v>-0.12567420432617782</v>
      </c>
      <c r="Y438" s="221"/>
      <c r="Z438" s="221">
        <f>-$V$35*(X438+Y437*((AA437+Z436/2)^2))</f>
        <v>2.1467759898568055E-3</v>
      </c>
      <c r="AA438" s="221"/>
      <c r="AB438" s="221">
        <f t="shared" ref="AB438" si="371">AA437+Z438/2</f>
        <v>-0.15116887802548687</v>
      </c>
      <c r="AC438" s="213"/>
    </row>
    <row r="439" spans="21:29" x14ac:dyDescent="0.3">
      <c r="U439" s="220">
        <f>U437+$V$28</f>
        <v>39.800000000000026</v>
      </c>
      <c r="V439" s="221"/>
      <c r="W439" s="221">
        <f>IF(W437+V438&lt;0,(W437+V438)*0.8,W437+V438)</f>
        <v>-0.11100478623949772</v>
      </c>
      <c r="X439" s="221"/>
      <c r="Y439" s="221">
        <f>Y437*(AC439/AC437)^2</f>
        <v>3.9221992771386078E-4</v>
      </c>
      <c r="Z439" s="221"/>
      <c r="AA439" s="221">
        <f>IF(AND(ABS(AA437+Z438)&gt;$G$27*0.8,(AA437+Z438)&lt;0),-$G$27*0.5,IF(AND(ABS(AA437+Z438)&gt;$G$27*0.8,(AA437+Z438)&gt;0),$G$27*0.5,AA437+Z438))</f>
        <v>-0.15009549003055847</v>
      </c>
      <c r="AB439" s="221"/>
      <c r="AC439" s="223">
        <f>$G$29*AA439</f>
        <v>-7.0680994078174324</v>
      </c>
    </row>
    <row r="440" spans="21:29" x14ac:dyDescent="0.3">
      <c r="U440" s="213"/>
      <c r="V440" s="221">
        <f>(AA439+Z438/2)*$V$34</f>
        <v>-2.5794622638109596E-2</v>
      </c>
      <c r="W440" s="221"/>
      <c r="X440" s="221">
        <f t="shared" ref="X440" si="372">W439+V440/2</f>
        <v>-0.12390209755855253</v>
      </c>
      <c r="Y440" s="221"/>
      <c r="Z440" s="221">
        <f>-$V$35*(X440+Y439*((AA439+Z438/2)^2))</f>
        <v>2.1165112084308726E-3</v>
      </c>
      <c r="AA440" s="221"/>
      <c r="AB440" s="221">
        <f t="shared" ref="AB440" si="373">AA439+Z440/2</f>
        <v>-0.14903723442634303</v>
      </c>
      <c r="AC440" s="213"/>
    </row>
    <row r="441" spans="21:29" x14ac:dyDescent="0.3">
      <c r="U441" s="220">
        <f>U439+$V$28</f>
        <v>40.000000000000028</v>
      </c>
      <c r="V441" s="221"/>
      <c r="W441" s="221">
        <f>IF(W439+V440&lt;0,(W439+V440)*0.8,W439+V440)</f>
        <v>-0.10943952710208588</v>
      </c>
      <c r="X441" s="221"/>
      <c r="Y441" s="221">
        <f>Y439*(AC441/AC439)^2</f>
        <v>3.812364538563438E-4</v>
      </c>
      <c r="Z441" s="221"/>
      <c r="AA441" s="221">
        <f>IF(AND(ABS(AA439+Z440)&gt;$G$27*0.8,(AA439+Z440)&lt;0),-$G$27*0.5,IF(AND(ABS(AA439+Z440)&gt;$G$27*0.8,(AA439+Z440)&gt;0),$G$27*0.5,AA439+Z440))</f>
        <v>-0.1479789788221276</v>
      </c>
      <c r="AB441" s="221"/>
      <c r="AC441" s="223">
        <f>$G$29*AA441</f>
        <v>-6.9684314456694461</v>
      </c>
    </row>
    <row r="442" spans="21:29" x14ac:dyDescent="0.3">
      <c r="U442" s="213"/>
      <c r="V442" s="221">
        <f>(AA441+Z440/2)*$V$34</f>
        <v>-2.5430889521462306E-2</v>
      </c>
      <c r="W442" s="221"/>
      <c r="X442" s="221">
        <f t="shared" ref="X442" si="374">W441+V442/2</f>
        <v>-0.12215497186281703</v>
      </c>
      <c r="Y442" s="221"/>
      <c r="Z442" s="221">
        <f>-$V$35*(X442+Y441*((AA441+Z440/2)^2))</f>
        <v>2.0866727065523352E-3</v>
      </c>
      <c r="AA442" s="221"/>
      <c r="AB442" s="221">
        <f t="shared" ref="AB442" si="375">AA441+Z442/2</f>
        <v>-0.14693564246885144</v>
      </c>
      <c r="AC442" s="213"/>
    </row>
    <row r="443" spans="21:29" x14ac:dyDescent="0.3">
      <c r="U443" s="220">
        <f>U441+$V$28</f>
        <v>40.200000000000031</v>
      </c>
      <c r="V443" s="221"/>
      <c r="W443" s="221">
        <f>IF(W441+V442&lt;0,(W441+V442)*0.8,W441+V442)</f>
        <v>-0.10789633329883855</v>
      </c>
      <c r="X443" s="221"/>
      <c r="Y443" s="221">
        <f>Y441*(AC443/AC441)^2</f>
        <v>3.7056052043603718E-4</v>
      </c>
      <c r="Z443" s="221"/>
      <c r="AA443" s="221">
        <f>IF(AND(ABS(AA441+Z442)&gt;$G$27*0.8,(AA441+Z442)&lt;0),-$G$27*0.5,IF(AND(ABS(AA441+Z442)&gt;$G$27*0.8,(AA441+Z442)&gt;0),$G$27*0.5,AA441+Z442))</f>
        <v>-0.14589230611557527</v>
      </c>
      <c r="AB443" s="221"/>
      <c r="AC443" s="223">
        <f>$G$29*AA443</f>
        <v>-6.870168599007707</v>
      </c>
    </row>
    <row r="444" spans="21:29" x14ac:dyDescent="0.3">
      <c r="U444" s="213"/>
      <c r="V444" s="221">
        <f>(AA443+Z442/2)*$V$34</f>
        <v>-2.5072284335676098E-2</v>
      </c>
      <c r="W444" s="221"/>
      <c r="X444" s="221">
        <f t="shared" ref="X444" si="376">W443+V444/2</f>
        <v>-0.1204324754666766</v>
      </c>
      <c r="Y444" s="221"/>
      <c r="Z444" s="221">
        <f>-$V$35*(X444+Y443*((AA443+Z442/2)^2))</f>
        <v>2.0572545012975682E-3</v>
      </c>
      <c r="AA444" s="221"/>
      <c r="AB444" s="221">
        <f t="shared" ref="AB444" si="377">AA443+Z444/2</f>
        <v>-0.14486367886492649</v>
      </c>
      <c r="AC444" s="213"/>
    </row>
    <row r="445" spans="21:29" x14ac:dyDescent="0.3">
      <c r="U445" s="220">
        <f>U443+$V$28</f>
        <v>40.400000000000034</v>
      </c>
      <c r="V445" s="221"/>
      <c r="W445" s="221">
        <f>IF(W443+V444&lt;0,(W443+V444)*0.8,W443+V444)</f>
        <v>-0.10637489410761172</v>
      </c>
      <c r="X445" s="221"/>
      <c r="Y445" s="221">
        <f>Y443*(AC445/AC443)^2</f>
        <v>3.6018351853763978E-4</v>
      </c>
      <c r="Z445" s="221"/>
      <c r="AA445" s="221">
        <f>IF(AND(ABS(AA443+Z444)&gt;$G$27*0.8,(AA443+Z444)&lt;0),-$G$27*0.5,IF(AND(ABS(AA443+Z444)&gt;$G$27*0.8,(AA443+Z444)&gt;0),$G$27*0.5,AA443+Z444))</f>
        <v>-0.1438350516142777</v>
      </c>
      <c r="AB445" s="221"/>
      <c r="AC445" s="223">
        <f>$G$29*AA445</f>
        <v>-6.7732910757763918</v>
      </c>
    </row>
    <row r="446" spans="21:29" x14ac:dyDescent="0.3">
      <c r="U446" s="213"/>
      <c r="V446" s="221">
        <f>(AA445+Z444/2)*$V$34</f>
        <v>-2.4718734848316781E-2</v>
      </c>
      <c r="W446" s="221"/>
      <c r="X446" s="221">
        <f t="shared" ref="X446" si="378">W445+V446/2</f>
        <v>-0.11873426153177011</v>
      </c>
      <c r="Y446" s="221"/>
      <c r="Z446" s="221">
        <f>-$V$35*(X446+Y445*((AA445+Z444/2)^2))</f>
        <v>2.0282506925670464E-3</v>
      </c>
      <c r="AA446" s="221"/>
      <c r="AB446" s="221">
        <f t="shared" ref="AB446" si="379">AA445+Z446/2</f>
        <v>-0.14282092626799417</v>
      </c>
      <c r="AC446" s="213"/>
    </row>
    <row r="447" spans="21:29" x14ac:dyDescent="0.3">
      <c r="U447" s="220">
        <f>U445+$V$28</f>
        <v>40.600000000000037</v>
      </c>
      <c r="V447" s="221"/>
      <c r="W447" s="221">
        <f>IF(W445+V446&lt;0,(W445+V446)*0.8,W445+V446)</f>
        <v>-0.10487490316474279</v>
      </c>
      <c r="X447" s="221"/>
      <c r="Y447" s="221">
        <f>Y445*(AC447/AC445)^2</f>
        <v>3.5009708007595678E-4</v>
      </c>
      <c r="Z447" s="221"/>
      <c r="AA447" s="221">
        <f>IF(AND(ABS(AA445+Z446)&gt;$G$27*0.8,(AA445+Z446)&lt;0),-$G$27*0.5,IF(AND(ABS(AA445+Z446)&gt;$G$27*0.8,(AA445+Z446)&gt;0),$G$27*0.5,AA445+Z446))</f>
        <v>-0.14180680092171066</v>
      </c>
      <c r="AB447" s="221"/>
      <c r="AC447" s="223">
        <f>$G$29*AA447</f>
        <v>-6.677779361759403</v>
      </c>
    </row>
    <row r="448" spans="21:29" x14ac:dyDescent="0.3">
      <c r="U448" s="213"/>
      <c r="V448" s="221">
        <f>(AA447+Z446/2)*$V$34</f>
        <v>-2.4370169841045602E-2</v>
      </c>
      <c r="W448" s="221"/>
      <c r="X448" s="221">
        <f t="shared" ref="X448" si="380">W447+V448/2</f>
        <v>-0.11705998808526559</v>
      </c>
      <c r="Y448" s="221"/>
      <c r="Z448" s="221">
        <f>-$V$35*(X448+Y447*((AA447+Z446/2)^2))</f>
        <v>1.9996554619975586E-3</v>
      </c>
      <c r="AA448" s="221"/>
      <c r="AB448" s="221">
        <f t="shared" ref="AB448" si="381">AA447+Z448/2</f>
        <v>-0.14080697319071189</v>
      </c>
      <c r="AC448" s="213"/>
    </row>
    <row r="449" spans="21:29" x14ac:dyDescent="0.3">
      <c r="U449" s="220">
        <f>U447+$V$28</f>
        <v>40.80000000000004</v>
      </c>
      <c r="V449" s="221"/>
      <c r="W449" s="221">
        <f>IF(W447+V448&lt;0,(W447+V448)*0.8,W447+V448)</f>
        <v>-0.10339605840463072</v>
      </c>
      <c r="X449" s="221"/>
      <c r="Y449" s="221">
        <f>Y447*(AC449/AC447)^2</f>
        <v>3.4029307106947623E-4</v>
      </c>
      <c r="Z449" s="221"/>
      <c r="AA449" s="221">
        <f>IF(AND(ABS(AA447+Z448)&gt;$G$27*0.8,(AA447+Z448)&lt;0),-$G$27*0.5,IF(AND(ABS(AA447+Z448)&gt;$G$27*0.8,(AA447+Z448)&gt;0),$G$27*0.5,AA447+Z448))</f>
        <v>-0.13980714545971309</v>
      </c>
      <c r="AB449" s="221"/>
      <c r="AC449" s="223">
        <f>$G$29*AA449</f>
        <v>-6.5836142167313527</v>
      </c>
    </row>
    <row r="450" spans="21:29" x14ac:dyDescent="0.3">
      <c r="U450" s="213"/>
      <c r="V450" s="221">
        <f>(AA449+Z448/2)*$V$34</f>
        <v>-2.402651909556543E-2</v>
      </c>
      <c r="W450" s="221"/>
      <c r="X450" s="221">
        <f t="shared" ref="X450" si="382">W449+V450/2</f>
        <v>-0.11540931795241344</v>
      </c>
      <c r="Y450" s="221"/>
      <c r="Z450" s="221">
        <f>-$V$35*(X450+Y449*((AA449+Z448/2)^2))</f>
        <v>1.9714630718863321E-3</v>
      </c>
      <c r="AA450" s="221"/>
      <c r="AB450" s="221">
        <f t="shared" ref="AB450" si="383">AA449+Z450/2</f>
        <v>-0.13882141392376993</v>
      </c>
      <c r="AC450" s="213"/>
    </row>
    <row r="451" spans="21:29" x14ac:dyDescent="0.3">
      <c r="U451" s="220">
        <f>U449+$V$28</f>
        <v>41.000000000000043</v>
      </c>
      <c r="V451" s="221"/>
      <c r="W451" s="221">
        <f>IF(W449+V450&lt;0,(W449+V450)*0.8,W449+V450)</f>
        <v>-0.10193806200015693</v>
      </c>
      <c r="X451" s="221"/>
      <c r="Y451" s="221">
        <f>Y449*(AC451/AC449)^2</f>
        <v>3.30763585101106E-4</v>
      </c>
      <c r="Z451" s="221"/>
      <c r="AA451" s="221">
        <f>IF(AND(ABS(AA449+Z450)&gt;$G$27*0.8,(AA449+Z450)&lt;0),-$G$27*0.5,IF(AND(ABS(AA449+Z450)&gt;$G$27*0.8,(AA449+Z450)&gt;0),$G$27*0.5,AA449+Z450))</f>
        <v>-0.13783568238782676</v>
      </c>
      <c r="AB451" s="221"/>
      <c r="AC451" s="223">
        <f>$G$29*AA451</f>
        <v>-6.4907766706592032</v>
      </c>
    </row>
    <row r="452" spans="21:29" x14ac:dyDescent="0.3">
      <c r="U452" s="213"/>
      <c r="V452" s="221">
        <f>(AA451+Z450/2)*$V$34</f>
        <v>-2.3687713379752132E-2</v>
      </c>
      <c r="W452" s="221"/>
      <c r="X452" s="221">
        <f t="shared" ref="X452" si="384">W451+V452/2</f>
        <v>-0.11378191869003298</v>
      </c>
      <c r="Y452" s="221"/>
      <c r="Z452" s="221">
        <f>-$V$35*(X452+Y451*((AA451+Z450/2)^2))</f>
        <v>1.9436678641268836E-3</v>
      </c>
      <c r="AA452" s="221"/>
      <c r="AB452" s="221">
        <f t="shared" ref="AB452" si="385">AA451+Z452/2</f>
        <v>-0.13686384845576333</v>
      </c>
      <c r="AC452" s="213"/>
    </row>
    <row r="453" spans="21:29" x14ac:dyDescent="0.3">
      <c r="U453" s="220">
        <f>U451+$V$28</f>
        <v>41.200000000000045</v>
      </c>
      <c r="V453" s="221"/>
      <c r="W453" s="221">
        <f>IF(W451+V452&lt;0,(W451+V452)*0.8,W451+V452)</f>
        <v>-0.10050062030392724</v>
      </c>
      <c r="X453" s="221"/>
      <c r="Y453" s="221">
        <f>Y451*(AC453/AC451)^2</f>
        <v>3.2150093696090926E-4</v>
      </c>
      <c r="Z453" s="221"/>
      <c r="AA453" s="221">
        <f>IF(AND(ABS(AA451+Z452)&gt;$G$27*0.8,(AA451+Z452)&lt;0),-$G$27*0.5,IF(AND(ABS(AA451+Z452)&gt;$G$27*0.8,(AA451+Z452)&gt;0),$G$27*0.5,AA451+Z452))</f>
        <v>-0.13589201452369987</v>
      </c>
      <c r="AB453" s="221"/>
      <c r="AC453" s="223">
        <f>$G$29*AA453</f>
        <v>-6.3992480199540287</v>
      </c>
    </row>
    <row r="454" spans="21:29" x14ac:dyDescent="0.3">
      <c r="U454" s="213"/>
      <c r="V454" s="221">
        <f>(AA453+Z452/2)*$V$34</f>
        <v>-2.3353684433969176E-2</v>
      </c>
      <c r="W454" s="221"/>
      <c r="X454" s="221">
        <f t="shared" ref="X454" si="386">W453+V454/2</f>
        <v>-0.11217746252091183</v>
      </c>
      <c r="Y454" s="221"/>
      <c r="Z454" s="221">
        <f>-$V$35*(X454+Y453*((AA453+Z452/2)^2))</f>
        <v>1.9162642591564886E-3</v>
      </c>
      <c r="AA454" s="221"/>
      <c r="AB454" s="221">
        <f t="shared" ref="AB454" si="387">AA453+Z454/2</f>
        <v>-0.13493388239412163</v>
      </c>
      <c r="AC454" s="213"/>
    </row>
    <row r="455" spans="21:29" x14ac:dyDescent="0.3">
      <c r="U455" s="220">
        <f>U453+$V$28</f>
        <v>41.400000000000048</v>
      </c>
      <c r="V455" s="221"/>
      <c r="W455" s="221">
        <f>IF(W453+V454&lt;0,(W453+V454)*0.8,W453+V454)</f>
        <v>-9.9083443790317138E-2</v>
      </c>
      <c r="X455" s="221"/>
      <c r="Y455" s="221">
        <f>Y453*(AC455/AC453)^2</f>
        <v>3.1249765646581271E-4</v>
      </c>
      <c r="Z455" s="221"/>
      <c r="AA455" s="221">
        <f>IF(AND(ABS(AA453+Z454)&gt;$G$27*0.8,(AA453+Z454)&lt;0),-$G$27*0.5,IF(AND(ABS(AA453+Z454)&gt;$G$27*0.8,(AA453+Z454)&gt;0),$G$27*0.5,AA453+Z454))</f>
        <v>-0.13397575026454339</v>
      </c>
      <c r="AB455" s="221"/>
      <c r="AC455" s="223">
        <f>$G$29*AA455</f>
        <v>-6.3090098237723309</v>
      </c>
    </row>
    <row r="456" spans="21:29" x14ac:dyDescent="0.3">
      <c r="U456" s="213"/>
      <c r="V456" s="221">
        <f>(AA455+Z454/2)*$V$34</f>
        <v>-2.302436495756334E-2</v>
      </c>
      <c r="W456" s="221"/>
      <c r="X456" s="221">
        <f t="shared" ref="X456" si="388">W455+V456/2</f>
        <v>-0.1105956262690988</v>
      </c>
      <c r="Y456" s="221"/>
      <c r="Z456" s="221">
        <f>-$V$35*(X456+Y455*((AA455+Z454/2)^2))</f>
        <v>1.889246754915156E-3</v>
      </c>
      <c r="AA456" s="221"/>
      <c r="AB456" s="221">
        <f t="shared" ref="AB456" si="389">AA455+Z456/2</f>
        <v>-0.13303112688708582</v>
      </c>
      <c r="AC456" s="213"/>
    </row>
    <row r="457" spans="21:29" x14ac:dyDescent="0.3">
      <c r="U457" s="220">
        <f>U455+$V$28</f>
        <v>41.600000000000051</v>
      </c>
      <c r="V457" s="221"/>
      <c r="W457" s="221">
        <f>IF(W455+V456&lt;0,(W455+V456)*0.8,W455+V456)</f>
        <v>-9.7686246998304388E-2</v>
      </c>
      <c r="X457" s="221"/>
      <c r="Y457" s="221">
        <f>Y455*(AC457/AC455)^2</f>
        <v>3.0374648245140291E-4</v>
      </c>
      <c r="Z457" s="221"/>
      <c r="AA457" s="221">
        <f>IF(AND(ABS(AA455+Z456)&gt;$G$27*0.8,(AA455+Z456)&lt;0),-$G$27*0.5,IF(AND(ABS(AA455+Z456)&gt;$G$27*0.8,(AA455+Z456)&gt;0),$G$27*0.5,AA455+Z456))</f>
        <v>-0.13208650350962822</v>
      </c>
      <c r="AB457" s="221"/>
      <c r="AC457" s="223">
        <f>$G$29*AA457</f>
        <v>-6.2200439003663828</v>
      </c>
    </row>
    <row r="458" spans="21:29" x14ac:dyDescent="0.3">
      <c r="U458" s="213"/>
      <c r="V458" s="221">
        <f>(AA457+Z456/2)*$V$34</f>
        <v>-2.269968859553969E-2</v>
      </c>
      <c r="W458" s="221"/>
      <c r="X458" s="221">
        <f t="shared" ref="X458" si="390">W457+V458/2</f>
        <v>-0.10903609129607424</v>
      </c>
      <c r="Y458" s="221"/>
      <c r="Z458" s="221">
        <f>-$V$35*(X458+Y457*((AA457+Z456/2)^2))</f>
        <v>1.8626099258160374E-3</v>
      </c>
      <c r="AA458" s="221"/>
      <c r="AB458" s="221">
        <f t="shared" ref="AB458" si="391">AA457+Z458/2</f>
        <v>-0.1311551985467202</v>
      </c>
      <c r="AC458" s="213"/>
    </row>
    <row r="459" spans="21:29" x14ac:dyDescent="0.3">
      <c r="U459" s="220">
        <f>U457+$V$28</f>
        <v>41.800000000000054</v>
      </c>
      <c r="V459" s="221"/>
      <c r="W459" s="221">
        <f>IF(W457+V458&lt;0,(W457+V458)*0.8,W457+V458)</f>
        <v>-9.630874847507527E-2</v>
      </c>
      <c r="X459" s="221"/>
      <c r="Y459" s="221">
        <f>Y457*(AC459/AC457)^2</f>
        <v>2.9524035693105584E-4</v>
      </c>
      <c r="Z459" s="221"/>
      <c r="AA459" s="221">
        <f>IF(AND(ABS(AA457+Z458)&gt;$G$27*0.8,(AA457+Z458)&lt;0),-$G$27*0.5,IF(AND(ABS(AA457+Z458)&gt;$G$27*0.8,(AA457+Z458)&gt;0),$G$27*0.5,AA457+Z458))</f>
        <v>-0.13022389358381217</v>
      </c>
      <c r="AB459" s="221"/>
      <c r="AC459" s="223">
        <f>$G$29*AA459</f>
        <v>-6.1323323234830598</v>
      </c>
    </row>
    <row r="460" spans="21:29" x14ac:dyDescent="0.3">
      <c r="U460" s="213"/>
      <c r="V460" s="221">
        <f>(AA459+Z458/2)*$V$34</f>
        <v>-2.2379589925413741E-2</v>
      </c>
      <c r="W460" s="221"/>
      <c r="X460" s="221">
        <f t="shared" ref="X460" si="392">W459+V460/2</f>
        <v>-0.10749854343778215</v>
      </c>
      <c r="Y460" s="221"/>
      <c r="Z460" s="221">
        <f>-$V$35*(X460+Y459*((AA459+Z458/2)^2))</f>
        <v>1.8363484217272042E-3</v>
      </c>
      <c r="AA460" s="221"/>
      <c r="AB460" s="221">
        <f t="shared" ref="AB460" si="393">AA459+Z460/2</f>
        <v>-0.12930571937294857</v>
      </c>
      <c r="AC460" s="213"/>
    </row>
    <row r="461" spans="21:29" x14ac:dyDescent="0.3">
      <c r="U461" s="220">
        <f>U459+$V$28</f>
        <v>42.000000000000057</v>
      </c>
      <c r="V461" s="221"/>
      <c r="W461" s="221">
        <f>IF(W459+V460&lt;0,(W459+V460)*0.8,W459+V460)</f>
        <v>-9.4950670720391206E-2</v>
      </c>
      <c r="X461" s="221"/>
      <c r="Y461" s="221">
        <f>Y459*(AC461/AC459)^2</f>
        <v>2.8697241941777463E-4</v>
      </c>
      <c r="Z461" s="221"/>
      <c r="AA461" s="221">
        <f>IF(AND(ABS(AA459+Z460)&gt;$G$27*0.8,(AA459+Z460)&lt;0),-$G$27*0.5,IF(AND(ABS(AA459+Z460)&gt;$G$27*0.8,(AA459+Z460)&gt;0),$G$27*0.5,AA459+Z460))</f>
        <v>-0.12838754516208498</v>
      </c>
      <c r="AB461" s="221"/>
      <c r="AC461" s="223">
        <f>$G$29*AA461</f>
        <v>-6.0458574188106153</v>
      </c>
    </row>
    <row r="462" spans="21:29" x14ac:dyDescent="0.3">
      <c r="U462" s="213"/>
      <c r="V462" s="221">
        <f>(AA461+Z460/2)*$V$34</f>
        <v>-2.2064004444238901E-2</v>
      </c>
      <c r="W462" s="221"/>
      <c r="X462" s="221">
        <f t="shared" ref="X462" si="394">W461+V462/2</f>
        <v>-0.10598267294251065</v>
      </c>
      <c r="Y462" s="221"/>
      <c r="Z462" s="221">
        <f>-$V$35*(X462+Y461*((AA461+Z460/2)^2))</f>
        <v>1.8104569669647442E-3</v>
      </c>
      <c r="AA462" s="221"/>
      <c r="AB462" s="221">
        <f t="shared" ref="AB462" si="395">AA461+Z462/2</f>
        <v>-0.1274823166786026</v>
      </c>
      <c r="AC462" s="213"/>
    </row>
    <row r="463" spans="21:29" x14ac:dyDescent="0.3">
      <c r="U463" s="220">
        <f>U461+$V$28</f>
        <v>42.20000000000006</v>
      </c>
      <c r="V463" s="221"/>
      <c r="W463" s="221">
        <f>IF(W461+V462&lt;0,(W461+V462)*0.8,W461+V462)</f>
        <v>-9.3611740131704091E-2</v>
      </c>
      <c r="X463" s="221"/>
      <c r="Y463" s="221">
        <f>Y461*(AC463/AC461)^2</f>
        <v>2.7893600140423591E-4</v>
      </c>
      <c r="Z463" s="221"/>
      <c r="AA463" s="221">
        <f>IF(AND(ABS(AA461+Z462)&gt;$G$27*0.8,(AA461+Z462)&lt;0),-$G$27*0.5,IF(AND(ABS(AA461+Z462)&gt;$G$27*0.8,(AA461+Z462)&gt;0),$G$27*0.5,AA461+Z462))</f>
        <v>-0.12657708819512023</v>
      </c>
      <c r="AB463" s="221"/>
      <c r="AC463" s="223">
        <f>$G$29*AA463</f>
        <v>-5.9606017604728647</v>
      </c>
    </row>
    <row r="464" spans="21:29" x14ac:dyDescent="0.3">
      <c r="U464" s="213"/>
      <c r="V464" s="221">
        <f>(AA463+Z462/2)*$V$34</f>
        <v>-2.1752868555807183E-2</v>
      </c>
      <c r="W464" s="221"/>
      <c r="X464" s="221">
        <f t="shared" ref="X464" si="396">W463+V464/2</f>
        <v>-0.10448817440960768</v>
      </c>
      <c r="Y464" s="221"/>
      <c r="Z464" s="221">
        <f>-$V$35*(X464+Y463*((AA463+Z462/2)^2))</f>
        <v>1.7849303592971304E-3</v>
      </c>
      <c r="AA464" s="221"/>
      <c r="AB464" s="221">
        <f t="shared" ref="AB464" si="397">AA463+Z464/2</f>
        <v>-0.12568462301547167</v>
      </c>
      <c r="AC464" s="213"/>
    </row>
    <row r="465" spans="21:29" x14ac:dyDescent="0.3">
      <c r="U465" s="220">
        <f>U463+$V$28</f>
        <v>42.400000000000063</v>
      </c>
      <c r="V465" s="221"/>
      <c r="W465" s="221">
        <f>IF(W463+V464&lt;0,(W463+V464)*0.8,W463+V464)</f>
        <v>-9.2291686950009028E-2</v>
      </c>
      <c r="X465" s="221"/>
      <c r="Y465" s="221">
        <f>Y463*(AC465/AC463)^2</f>
        <v>2.7112462099667084E-4</v>
      </c>
      <c r="Z465" s="221"/>
      <c r="AA465" s="221">
        <f>IF(AND(ABS(AA463+Z464)&gt;$G$27*0.8,(AA463+Z464)&lt;0),-$G$27*0.5,IF(AND(ABS(AA463+Z464)&gt;$G$27*0.8,(AA463+Z464)&gt;0),$G$27*0.5,AA463+Z464))</f>
        <v>-0.12479215783582311</v>
      </c>
      <c r="AB465" s="221"/>
      <c r="AC465" s="223">
        <f>$G$29*AA465</f>
        <v>-5.8765481675702747</v>
      </c>
    </row>
    <row r="466" spans="21:29" x14ac:dyDescent="0.3">
      <c r="U466" s="213"/>
      <c r="V466" s="221">
        <f>(AA465+Z464/2)*$V$34</f>
        <v>-2.1446119558021361E-2</v>
      </c>
      <c r="W466" s="221"/>
      <c r="X466" s="221">
        <f t="shared" ref="X466" si="398">W465+V466/2</f>
        <v>-0.10301474672901971</v>
      </c>
      <c r="Y466" s="221"/>
      <c r="Z466" s="221">
        <f>-$V$35*(X466+Y465*((AA465+Z464/2)^2))</f>
        <v>1.7597634689608202E-3</v>
      </c>
      <c r="AA466" s="221"/>
      <c r="AB466" s="221">
        <f t="shared" ref="AB466" si="399">AA465+Z466/2</f>
        <v>-0.1239122761013427</v>
      </c>
      <c r="AC466" s="213"/>
    </row>
    <row r="467" spans="21:29" x14ac:dyDescent="0.3">
      <c r="U467" s="220">
        <f>U465+$V$28</f>
        <v>42.600000000000065</v>
      </c>
      <c r="V467" s="221"/>
      <c r="W467" s="221">
        <f>IF(W465+V466&lt;0,(W465+V466)*0.8,W465+V466)</f>
        <v>-9.0990245206424319E-2</v>
      </c>
      <c r="X467" s="221"/>
      <c r="Y467" s="221">
        <f>Y465*(AC467/AC465)^2</f>
        <v>2.6353197769831918E-4</v>
      </c>
      <c r="Z467" s="221"/>
      <c r="AA467" s="221">
        <f>IF(AND(ABS(AA465+Z466)&gt;$G$27*0.8,(AA465+Z466)&lt;0),-$G$27*0.5,IF(AND(ABS(AA465+Z466)&gt;$G$27*0.8,(AA465+Z466)&gt;0),$G$27*0.5,AA465+Z466))</f>
        <v>-0.12303239436686228</v>
      </c>
      <c r="AB467" s="221"/>
      <c r="AC467" s="223">
        <f>$G$29*AA467</f>
        <v>-5.7936797007673855</v>
      </c>
    </row>
    <row r="468" spans="21:29" x14ac:dyDescent="0.3">
      <c r="U468" s="213"/>
      <c r="V468" s="221">
        <f>(AA467+Z466/2)*$V$34</f>
        <v>-2.1143695630436447E-2</v>
      </c>
      <c r="W468" s="221"/>
      <c r="X468" s="221">
        <f t="shared" ref="X468" si="400">W467+V468/2</f>
        <v>-0.10156209302164254</v>
      </c>
      <c r="Y468" s="221"/>
      <c r="Z468" s="221">
        <f>-$V$35*(X468+Y467*((AA467+Z466/2)^2))</f>
        <v>1.7349512376870495E-3</v>
      </c>
      <c r="AA468" s="221"/>
      <c r="AB468" s="221">
        <f t="shared" ref="AB468" si="401">AA467+Z468/2</f>
        <v>-0.12216491874801876</v>
      </c>
      <c r="AC468" s="213"/>
    </row>
    <row r="469" spans="21:29" x14ac:dyDescent="0.3">
      <c r="U469" s="220">
        <f>U467+$V$28</f>
        <v>42.800000000000068</v>
      </c>
      <c r="V469" s="221"/>
      <c r="W469" s="221">
        <f>IF(W467+V468&lt;0,(W467+V468)*0.8,W467+V468)</f>
        <v>-8.9707152669488616E-2</v>
      </c>
      <c r="X469" s="221"/>
      <c r="Y469" s="221">
        <f>Y467*(AC469/AC467)^2</f>
        <v>2.5615194733831856E-4</v>
      </c>
      <c r="Z469" s="221"/>
      <c r="AA469" s="221">
        <f>IF(AND(ABS(AA467+Z468)&gt;$G$27*0.8,(AA467+Z468)&lt;0),-$G$27*0.5,IF(AND(ABS(AA467+Z468)&gt;$G$27*0.8,(AA467+Z468)&gt;0),$G$27*0.5,AA467+Z468))</f>
        <v>-0.12129744312917523</v>
      </c>
      <c r="AB469" s="221"/>
      <c r="AC469" s="223">
        <f>$G$29*AA469</f>
        <v>-5.7119796589260794</v>
      </c>
    </row>
    <row r="470" spans="21:29" x14ac:dyDescent="0.3">
      <c r="U470" s="213"/>
      <c r="V470" s="221">
        <f>(AA469+Z468/2)*$V$34</f>
        <v>-2.0845535821968728E-2</v>
      </c>
      <c r="W470" s="221"/>
      <c r="X470" s="221">
        <f t="shared" ref="X470" si="402">W469+V470/2</f>
        <v>-0.10012992058047299</v>
      </c>
      <c r="Y470" s="221"/>
      <c r="Z470" s="221">
        <f>-$V$35*(X470+Y469*((AA469+Z468/2)^2))</f>
        <v>1.7104886777397829E-3</v>
      </c>
      <c r="AA470" s="221"/>
      <c r="AB470" s="221">
        <f t="shared" ref="AB470" si="403">AA469+Z470/2</f>
        <v>-0.12044219879030534</v>
      </c>
      <c r="AC470" s="213"/>
    </row>
    <row r="471" spans="21:29" x14ac:dyDescent="0.3">
      <c r="U471" s="220">
        <f>U469+$V$28</f>
        <v>43.000000000000071</v>
      </c>
      <c r="V471" s="221"/>
      <c r="W471" s="221">
        <f>IF(W469+V470&lt;0,(W469+V470)*0.8,W469+V470)</f>
        <v>-8.8442150793165877E-2</v>
      </c>
      <c r="X471" s="221"/>
      <c r="Y471" s="221">
        <f>Y469*(AC471/AC469)^2</f>
        <v>2.4897857714199843E-4</v>
      </c>
      <c r="Z471" s="221"/>
      <c r="AA471" s="221">
        <f>IF(AND(ABS(AA469+Z470)&gt;$G$27*0.8,(AA469+Z470)&lt;0),-$G$27*0.5,IF(AND(ABS(AA469+Z470)&gt;$G$27*0.8,(AA469+Z470)&gt;0),$G$27*0.5,AA469+Z470))</f>
        <v>-0.11958695445143545</v>
      </c>
      <c r="AB471" s="221"/>
      <c r="AC471" s="223">
        <f>$G$29*AA471</f>
        <v>-5.631431575784144</v>
      </c>
    </row>
    <row r="472" spans="21:29" x14ac:dyDescent="0.3">
      <c r="U472" s="213"/>
      <c r="V472" s="221">
        <f>(AA471+Z470/2)*$V$34</f>
        <v>-2.0551580038770324E-2</v>
      </c>
      <c r="W472" s="221"/>
      <c r="X472" s="221">
        <f t="shared" ref="X472" si="404">W471+V472/2</f>
        <v>-9.8717940812551044E-2</v>
      </c>
      <c r="Y472" s="221"/>
      <c r="Z472" s="221">
        <f>-$V$35*(X472+Y471*((AA471+Z470/2)^2))</f>
        <v>1.6863708709647797E-3</v>
      </c>
      <c r="AA472" s="221"/>
      <c r="AB472" s="221">
        <f t="shared" ref="AB472" si="405">AA471+Z472/2</f>
        <v>-0.11874376901595306</v>
      </c>
      <c r="AC472" s="213"/>
    </row>
    <row r="473" spans="21:29" x14ac:dyDescent="0.3">
      <c r="U473" s="220">
        <f>U471+$V$28</f>
        <v>43.200000000000074</v>
      </c>
      <c r="V473" s="221"/>
      <c r="W473" s="221">
        <f>IF(W471+V472&lt;0,(W471+V472)*0.8,W471+V472)</f>
        <v>-8.7194984665548966E-2</v>
      </c>
      <c r="X473" s="221"/>
      <c r="Y473" s="221">
        <f>Y471*(AC473/AC471)^2</f>
        <v>2.4200608093866025E-4</v>
      </c>
      <c r="Z473" s="221"/>
      <c r="AA473" s="221">
        <f>IF(AND(ABS(AA471+Z472)&gt;$G$27*0.8,(AA471+Z472)&lt;0),-$G$27*0.5,IF(AND(ABS(AA471+Z472)&gt;$G$27*0.8,(AA471+Z472)&gt;0),$G$27*0.5,AA471+Z472))</f>
        <v>-0.11790058358047067</v>
      </c>
      <c r="AB473" s="221"/>
      <c r="AC473" s="223">
        <f>$G$29*AA473</f>
        <v>-5.5520192166786169</v>
      </c>
    </row>
    <row r="474" spans="21:29" x14ac:dyDescent="0.3">
      <c r="U474" s="213"/>
      <c r="V474" s="221">
        <f>(AA473+Z472/2)*$V$34</f>
        <v>-2.0261769032267406E-2</v>
      </c>
      <c r="W474" s="221"/>
      <c r="X474" s="221">
        <f t="shared" ref="X474" si="406">W473+V474/2</f>
        <v>-9.7325869181682664E-2</v>
      </c>
      <c r="Y474" s="221"/>
      <c r="Z474" s="221">
        <f>-$V$35*(X474+Y473*((AA473+Z472/2)^2))</f>
        <v>1.6625929678497388E-3</v>
      </c>
      <c r="AA474" s="221"/>
      <c r="AB474" s="221">
        <f t="shared" ref="AB474" si="407">AA473+Z474/2</f>
        <v>-0.11706928709654581</v>
      </c>
      <c r="AC474" s="213"/>
    </row>
    <row r="475" spans="21:29" x14ac:dyDescent="0.3">
      <c r="U475" s="220">
        <f>U473+$V$28</f>
        <v>43.400000000000077</v>
      </c>
      <c r="V475" s="221"/>
      <c r="W475" s="221">
        <f>IF(W473+V474&lt;0,(W473+V474)*0.8,W473+V474)</f>
        <v>-8.5965402958253112E-2</v>
      </c>
      <c r="X475" s="221"/>
      <c r="Y475" s="221">
        <f>Y473*(AC475/AC473)^2</f>
        <v>2.3522883450303311E-4</v>
      </c>
      <c r="Z475" s="221"/>
      <c r="AA475" s="221">
        <f>IF(AND(ABS(AA473+Z474)&gt;$G$27*0.8,(AA473+Z474)&lt;0),-$G$27*0.5,IF(AND(ABS(AA473+Z474)&gt;$G$27*0.8,(AA473+Z474)&gt;0),$G$27*0.5,AA473+Z474))</f>
        <v>-0.11623799061262094</v>
      </c>
      <c r="AB475" s="221"/>
      <c r="AC475" s="223">
        <f>$G$29*AA475</f>
        <v>-5.4737265753133926</v>
      </c>
    </row>
    <row r="476" spans="21:29" x14ac:dyDescent="0.3">
      <c r="U476" s="213"/>
      <c r="V476" s="221">
        <f>(AA475+Z474/2)*$V$34</f>
        <v>-1.9976044387360108E-2</v>
      </c>
      <c r="W476" s="221"/>
      <c r="X476" s="221">
        <f t="shared" ref="X476" si="408">W475+V476/2</f>
        <v>-9.5953425151933169E-2</v>
      </c>
      <c r="Y476" s="221"/>
      <c r="Z476" s="221">
        <f>-$V$35*(X476+Y475*((AA475+Z474/2)^2))</f>
        <v>1.6391501865954741E-3</v>
      </c>
      <c r="AA476" s="221"/>
      <c r="AB476" s="221">
        <f t="shared" ref="AB476" si="409">AA475+Z476/2</f>
        <v>-0.11541841551932321</v>
      </c>
      <c r="AC476" s="213"/>
    </row>
    <row r="477" spans="21:29" x14ac:dyDescent="0.3">
      <c r="U477" s="220">
        <f>U475+$V$28</f>
        <v>43.60000000000008</v>
      </c>
      <c r="V477" s="221"/>
      <c r="W477" s="221">
        <f>IF(W475+V476&lt;0,(W475+V476)*0.8,W475+V476)</f>
        <v>-8.4753157876490584E-2</v>
      </c>
      <c r="X477" s="221"/>
      <c r="Y477" s="221">
        <f>Y475*(AC477/AC475)^2</f>
        <v>2.2864137102669612E-4</v>
      </c>
      <c r="Z477" s="221"/>
      <c r="AA477" s="221">
        <f>IF(AND(ABS(AA475+Z476)&gt;$G$27*0.8,(AA475+Z476)&lt;0),-$G$27*0.5,IF(AND(ABS(AA475+Z476)&gt;$G$27*0.8,(AA475+Z476)&gt;0),$G$27*0.5,AA475+Z476))</f>
        <v>-0.11459884042602547</v>
      </c>
      <c r="AB477" s="221"/>
      <c r="AC477" s="223">
        <f>$G$29*AA477</f>
        <v>-5.3965378705705618</v>
      </c>
    </row>
    <row r="478" spans="21:29" x14ac:dyDescent="0.3">
      <c r="U478" s="213"/>
      <c r="V478" s="221">
        <f>(AA477+Z476/2)*$V$34</f>
        <v>-1.9694348510782288E-2</v>
      </c>
      <c r="W478" s="221"/>
      <c r="X478" s="221">
        <f t="shared" ref="X478" si="410">W477+V478/2</f>
        <v>-9.4600332131881723E-2</v>
      </c>
      <c r="Y478" s="221"/>
      <c r="Z478" s="221">
        <f>-$V$35*(X478+Y477*((AA477+Z476/2)^2))</f>
        <v>1.6160378121980823E-3</v>
      </c>
      <c r="AA478" s="221"/>
      <c r="AB478" s="221">
        <f t="shared" ref="AB478" si="411">AA477+Z478/2</f>
        <v>-0.11379082151992644</v>
      </c>
      <c r="AC478" s="213"/>
    </row>
    <row r="479" spans="21:29" x14ac:dyDescent="0.3">
      <c r="U479" s="220">
        <f>U477+$V$28</f>
        <v>43.800000000000082</v>
      </c>
      <c r="V479" s="221"/>
      <c r="W479" s="221">
        <f>IF(W477+V478&lt;0,(W477+V478)*0.8,W477+V478)</f>
        <v>-8.3558005109818312E-2</v>
      </c>
      <c r="X479" s="221"/>
      <c r="Y479" s="221">
        <f>Y477*(AC479/AC477)^2</f>
        <v>2.2223837671586286E-4</v>
      </c>
      <c r="Z479" s="221"/>
      <c r="AA479" s="221">
        <f>IF(AND(ABS(AA477+Z478)&gt;$G$27*0.8,(AA477+Z478)&lt;0),-$G$27*0.5,IF(AND(ABS(AA477+Z478)&gt;$G$27*0.8,(AA477+Z478)&gt;0),$G$27*0.5,AA477+Z478))</f>
        <v>-0.11298280261382738</v>
      </c>
      <c r="AB479" s="221"/>
      <c r="AC479" s="223">
        <f>$G$29*AA479</f>
        <v>-5.3204375433649789</v>
      </c>
    </row>
    <row r="480" spans="21:29" x14ac:dyDescent="0.3">
      <c r="U480" s="213"/>
      <c r="V480" s="221">
        <f>(AA479+Z478/2)*$V$34</f>
        <v>-1.9416624619619186E-2</v>
      </c>
      <c r="W480" s="221"/>
      <c r="X480" s="221">
        <f t="shared" ref="X480" si="412">W479+V480/2</f>
        <v>-9.3266317419627903E-2</v>
      </c>
      <c r="Y480" s="221"/>
      <c r="Z480" s="221">
        <f>-$V$35*(X480+Y479*((AA479+Z478/2)^2))</f>
        <v>1.5932511955420497E-3</v>
      </c>
      <c r="AA480" s="221"/>
      <c r="AB480" s="221">
        <f t="shared" ref="AB480" si="413">AA479+Z480/2</f>
        <v>-0.11218617701605636</v>
      </c>
      <c r="AC480" s="213"/>
    </row>
    <row r="481" spans="21:29" x14ac:dyDescent="0.3">
      <c r="U481" s="220">
        <f>U479+$V$28</f>
        <v>44.000000000000085</v>
      </c>
      <c r="V481" s="221"/>
      <c r="W481" s="221">
        <f>IF(W479+V480&lt;0,(W479+V480)*0.8,W479+V480)</f>
        <v>-8.2379703783550001E-2</v>
      </c>
      <c r="X481" s="221"/>
      <c r="Y481" s="221">
        <f>Y479*(AC481/AC479)^2</f>
        <v>2.1601468651201946E-4</v>
      </c>
      <c r="Z481" s="221"/>
      <c r="AA481" s="221">
        <f>IF(AND(ABS(AA479+Z480)&gt;$G$27*0.8,(AA479+Z480)&lt;0),-$G$27*0.5,IF(AND(ABS(AA479+Z480)&gt;$G$27*0.8,(AA479+Z480)&gt;0),$G$27*0.5,AA479+Z480))</f>
        <v>-0.11138955141828534</v>
      </c>
      <c r="AB481" s="221"/>
      <c r="AC481" s="223">
        <f>$G$29*AA481</f>
        <v>-5.2454102535415306</v>
      </c>
    </row>
    <row r="482" spans="21:29" x14ac:dyDescent="0.3">
      <c r="U482" s="213"/>
      <c r="V482" s="221">
        <f>(AA481+Z480/2)*$V$34</f>
        <v>-1.9142816729981128E-2</v>
      </c>
      <c r="W482" s="221"/>
      <c r="X482" s="221">
        <f t="shared" ref="X482" si="414">W481+V482/2</f>
        <v>-9.195111214854057E-2</v>
      </c>
      <c r="Y482" s="221"/>
      <c r="Z482" s="221">
        <f>-$V$35*(X482+Y481*((AA481+Z480/2)^2))</f>
        <v>1.5707857525042461E-3</v>
      </c>
      <c r="AA482" s="221"/>
      <c r="AB482" s="221">
        <f t="shared" ref="AB482" si="415">AA481+Z482/2</f>
        <v>-0.11060415854203322</v>
      </c>
      <c r="AC482" s="213"/>
    </row>
    <row r="483" spans="21:29" x14ac:dyDescent="0.3">
      <c r="U483" s="220">
        <f>U481+$V$28</f>
        <v>44.200000000000088</v>
      </c>
      <c r="V483" s="221"/>
      <c r="W483" s="221">
        <f>IF(W481+V482&lt;0,(W481+V482)*0.8,W481+V482)</f>
        <v>-8.1218016410824906E-2</v>
      </c>
      <c r="X483" s="221"/>
      <c r="Y483" s="221">
        <f>Y481*(AC483/AC481)^2</f>
        <v>2.0996527993200612E-4</v>
      </c>
      <c r="Z483" s="221"/>
      <c r="AA483" s="221">
        <f>IF(AND(ABS(AA481+Z482)&gt;$G$27*0.8,(AA481+Z482)&lt;0),-$G$27*0.5,IF(AND(ABS(AA481+Z482)&gt;$G$27*0.8,(AA481+Z482)&gt;0),$G$27*0.5,AA481+Z482))</f>
        <v>-0.1098187656657811</v>
      </c>
      <c r="AB483" s="221"/>
      <c r="AC483" s="223">
        <f>$G$29*AA483</f>
        <v>-5.1714408768146027</v>
      </c>
    </row>
    <row r="484" spans="21:29" x14ac:dyDescent="0.3">
      <c r="U484" s="213"/>
      <c r="V484" s="221">
        <f>(AA483+Z482/2)*$V$34</f>
        <v>-1.8872869645831361E-2</v>
      </c>
      <c r="W484" s="221"/>
      <c r="X484" s="221">
        <f t="shared" ref="X484" si="416">W483+V484/2</f>
        <v>-9.0654451233740579E-2</v>
      </c>
      <c r="Y484" s="221"/>
      <c r="Z484" s="221">
        <f>-$V$35*(X484+Y483*((AA483+Z482/2)^2))</f>
        <v>1.5486369630687545E-3</v>
      </c>
      <c r="AA484" s="221"/>
      <c r="AB484" s="221">
        <f t="shared" ref="AB484" si="417">AA483+Z484/2</f>
        <v>-0.10904444718424672</v>
      </c>
      <c r="AC484" s="213"/>
    </row>
    <row r="485" spans="21:29" x14ac:dyDescent="0.3">
      <c r="U485" s="220">
        <f>U483+$V$28</f>
        <v>44.400000000000091</v>
      </c>
      <c r="V485" s="221"/>
      <c r="W485" s="221">
        <f>IF(W483+V484&lt;0,(W483+V484)*0.8,W483+V484)</f>
        <v>-8.0072708845325025E-2</v>
      </c>
      <c r="X485" s="221"/>
      <c r="Y485" s="221">
        <f>Y483*(AC485/AC483)^2</f>
        <v>2.040852770242231E-4</v>
      </c>
      <c r="Z485" s="221"/>
      <c r="AA485" s="221">
        <f>IF(AND(ABS(AA483+Z484)&gt;$G$27*0.8,(AA483+Z484)&lt;0),-$G$27*0.5,IF(AND(ABS(AA483+Z484)&gt;$G$27*0.8,(AA483+Z484)&gt;0),$G$27*0.5,AA483+Z484))</f>
        <v>-0.10827012870271234</v>
      </c>
      <c r="AB485" s="221"/>
      <c r="AC485" s="223">
        <f>$G$29*AA485</f>
        <v>-5.0985145017492224</v>
      </c>
    </row>
    <row r="486" spans="21:29" x14ac:dyDescent="0.3">
      <c r="U486" s="213"/>
      <c r="V486" s="221">
        <f>(AA485+Z484/2)*$V$34</f>
        <v>-1.8606728947966195E-2</v>
      </c>
      <c r="W486" s="221"/>
      <c r="X486" s="221">
        <f t="shared" ref="X486" si="418">W485+V486/2</f>
        <v>-8.9376073319308122E-2</v>
      </c>
      <c r="Y486" s="221"/>
      <c r="Z486" s="221">
        <f>-$V$35*(X486+Y485*((AA485+Z484/2)^2))</f>
        <v>1.5268003704524739E-3</v>
      </c>
      <c r="AA486" s="221"/>
      <c r="AB486" s="221">
        <f t="shared" ref="AB486" si="419">AA485+Z486/2</f>
        <v>-0.10750672851748611</v>
      </c>
      <c r="AC486" s="213"/>
    </row>
    <row r="487" spans="21:29" x14ac:dyDescent="0.3">
      <c r="U487" s="220">
        <f>U485+$V$28</f>
        <v>44.600000000000094</v>
      </c>
      <c r="V487" s="221"/>
      <c r="W487" s="221">
        <f>IF(W485+V486&lt;0,(W485+V486)*0.8,W485+V486)</f>
        <v>-7.8943550234632981E-2</v>
      </c>
      <c r="X487" s="221"/>
      <c r="Y487" s="221">
        <f>Y485*(AC487/AC485)^2</f>
        <v>1.9836993443773682E-4</v>
      </c>
      <c r="Z487" s="221"/>
      <c r="AA487" s="221">
        <f>IF(AND(ABS(AA485+Z486)&gt;$G$27*0.8,(AA485+Z486)&lt;0),-$G$27*0.5,IF(AND(ABS(AA485+Z486)&gt;$G$27*0.8,(AA485+Z486)&gt;0),$G$27*0.5,AA485+Z486))</f>
        <v>-0.10674332833225987</v>
      </c>
      <c r="AB487" s="221"/>
      <c r="AC487" s="223">
        <f>$G$29*AA487</f>
        <v>-5.0266164267833897</v>
      </c>
    </row>
    <row r="488" spans="21:29" x14ac:dyDescent="0.3">
      <c r="U488" s="213"/>
      <c r="V488" s="221">
        <f>(AA487+Z486/2)*$V$34</f>
        <v>-1.8344340983145521E-2</v>
      </c>
      <c r="W488" s="221"/>
      <c r="X488" s="221">
        <f t="shared" ref="X488" si="420">W487+V488/2</f>
        <v>-8.8115720726205743E-2</v>
      </c>
      <c r="Y488" s="221"/>
      <c r="Z488" s="221">
        <f>-$V$35*(X488+Y487*((AA487+Z486/2)^2))</f>
        <v>1.505271580241432E-3</v>
      </c>
      <c r="AA488" s="221"/>
      <c r="AB488" s="221">
        <f t="shared" ref="AB488" si="421">AA487+Z488/2</f>
        <v>-0.10599069254213915</v>
      </c>
      <c r="AC488" s="213"/>
    </row>
    <row r="489" spans="21:29" x14ac:dyDescent="0.3">
      <c r="U489" s="220">
        <f>U487+$V$28</f>
        <v>44.800000000000097</v>
      </c>
      <c r="V489" s="221"/>
      <c r="W489" s="221">
        <f>IF(W487+V488&lt;0,(W487+V488)*0.8,W487+V488)</f>
        <v>-7.7830312974222812E-2</v>
      </c>
      <c r="X489" s="221"/>
      <c r="Y489" s="221">
        <f>Y487*(AC489/AC487)^2</f>
        <v>1.9281464160114526E-4</v>
      </c>
      <c r="Z489" s="221"/>
      <c r="AA489" s="221">
        <f>IF(AND(ABS(AA487+Z488)&gt;$G$27*0.8,(AA487+Z488)&lt;0),-$G$27*0.5,IF(AND(ABS(AA487+Z488)&gt;$G$27*0.8,(AA487+Z488)&gt;0),$G$27*0.5,AA487+Z488))</f>
        <v>-0.10523805675201844</v>
      </c>
      <c r="AB489" s="221"/>
      <c r="AC489" s="223">
        <f>$G$29*AA489</f>
        <v>-4.955732157291064</v>
      </c>
    </row>
    <row r="490" spans="21:29" x14ac:dyDescent="0.3">
      <c r="U490" s="213"/>
      <c r="V490" s="221">
        <f>(AA489+Z488/2)*$V$34</f>
        <v>-1.8085652853371943E-2</v>
      </c>
      <c r="W490" s="221"/>
      <c r="X490" s="221">
        <f t="shared" ref="X490" si="422">W489+V490/2</f>
        <v>-8.687313940090878E-2</v>
      </c>
      <c r="Y490" s="221"/>
      <c r="Z490" s="221">
        <f>-$V$35*(X490+Y489*((AA489+Z488/2)^2))</f>
        <v>1.4840462595377517E-3</v>
      </c>
      <c r="AA490" s="221"/>
      <c r="AB490" s="221">
        <f t="shared" ref="AB490" si="423">AA489+Z490/2</f>
        <v>-0.10449603362224957</v>
      </c>
      <c r="AC490" s="213"/>
    </row>
    <row r="491" spans="21:29" x14ac:dyDescent="0.3">
      <c r="U491" s="220">
        <f>U489+$V$28</f>
        <v>45.000000000000099</v>
      </c>
      <c r="V491" s="221"/>
      <c r="W491" s="221">
        <f>W489+V490</f>
        <v>-9.5915965827594762E-2</v>
      </c>
      <c r="X491" s="221"/>
      <c r="Y491" s="221">
        <f>Y489*(AC491/AC489)^2</f>
        <v>1.8741491700815363E-4</v>
      </c>
      <c r="Z491" s="221"/>
      <c r="AA491" s="221">
        <f>AA489+Z490</f>
        <v>-0.10375401049248069</v>
      </c>
      <c r="AB491" s="229"/>
      <c r="AC491" s="223">
        <f>$G$29*AA491</f>
        <v>-4.8858474026853331</v>
      </c>
    </row>
    <row r="492" spans="21:29" x14ac:dyDescent="0.3">
      <c r="U492" s="220"/>
      <c r="V492" s="221">
        <f>(AA491+Z490/2)*$V$34</f>
        <v>-1.7830612405316627E-2</v>
      </c>
      <c r="W492" s="221"/>
      <c r="X492" s="221">
        <f>W491+V492/2</f>
        <v>-0.10483127203025308</v>
      </c>
      <c r="Y492" s="221"/>
      <c r="Z492" s="221">
        <f>-$V$35*(X492+Y491*((AA491+Z490/2)^2))</f>
        <v>1.7908328916806649E-3</v>
      </c>
      <c r="AA492" s="221"/>
      <c r="AB492" s="221">
        <f>AA491+Z492/2</f>
        <v>-0.10285859404664036</v>
      </c>
      <c r="AC492" s="213"/>
    </row>
    <row r="493" spans="21:29" x14ac:dyDescent="0.3">
      <c r="U493" s="220">
        <f>U491+$V$28</f>
        <v>45.200000000000102</v>
      </c>
      <c r="V493" s="221"/>
      <c r="W493" s="221">
        <f>IF(W491+V492&lt;0,(W491+V492)*0.8,W491+V492)</f>
        <v>-9.099726258632912E-2</v>
      </c>
      <c r="X493" s="221"/>
      <c r="Y493" s="221">
        <f>Y491*(AC493/AC491)^2</f>
        <v>1.8100104910812921E-4</v>
      </c>
      <c r="Z493" s="221"/>
      <c r="AA493" s="221">
        <f>IF(AND(ABS(AA491+Z492)&gt;$G$27*0.8,(AA491+Z492)&lt;0),-$G$27*0.5,IF(AND(ABS(AA491+Z492)&gt;$G$27*0.8,(AA491+Z492)&gt;0),$G$27*0.5,AA491+Z492))</f>
        <v>-0.10196317760080002</v>
      </c>
      <c r="AB493" s="229"/>
      <c r="AC493" s="223">
        <f>$G$29*AA493</f>
        <v>-4.8015158554908703</v>
      </c>
    </row>
    <row r="494" spans="21:29" x14ac:dyDescent="0.3">
      <c r="U494" s="220"/>
      <c r="V494" s="221">
        <f>(AA493+Z492/2)*$V$34</f>
        <v>-1.7494081242039262E-2</v>
      </c>
      <c r="W494" s="221"/>
      <c r="X494" s="221">
        <f>W493+V494/2</f>
        <v>-9.9744303207348756E-2</v>
      </c>
      <c r="Y494" s="221"/>
      <c r="Z494" s="221">
        <f>-$V$35*(X494+Y493*((AA493+Z492/2)^2))</f>
        <v>1.7039329310565433E-3</v>
      </c>
      <c r="AA494" s="221"/>
      <c r="AB494" s="229">
        <f>AA493+Z494/2</f>
        <v>-0.10111121113527174</v>
      </c>
      <c r="AC494" s="224"/>
    </row>
    <row r="495" spans="21:29" x14ac:dyDescent="0.3">
      <c r="U495" s="220">
        <f>U493+$V$28</f>
        <v>45.400000000000105</v>
      </c>
      <c r="V495" s="221"/>
      <c r="W495" s="221">
        <f>IF(W493+V494&lt;0,(W493+V494)*0.8,W493+V494)</f>
        <v>-8.6793075062694708E-2</v>
      </c>
      <c r="X495" s="221"/>
      <c r="Y495" s="221">
        <f>Y493*(AC495/AC493)^2</f>
        <v>1.7500208624015852E-4</v>
      </c>
      <c r="Z495" s="221"/>
      <c r="AA495" s="221">
        <f>IF(AND(ABS(AA493+Z494)&gt;$G$27*0.8,(AA493+Z494)&lt;0),-$G$27*0.5,IF(AND(ABS(AA493+Z494)&gt;$G$27*0.8,(AA493+Z494)&gt;0),$G$27*0.5,AA493+Z494))</f>
        <v>-0.10025924466974348</v>
      </c>
      <c r="AB495" s="229"/>
      <c r="AC495" s="223">
        <f>$G$29*AA495</f>
        <v>-4.7212764869494874</v>
      </c>
    </row>
    <row r="496" spans="21:29" x14ac:dyDescent="0.3">
      <c r="U496" s="220"/>
      <c r="V496" s="221">
        <f>(AA495+Z494/2)*$V$34</f>
        <v>-1.7206663935972619E-2</v>
      </c>
      <c r="W496" s="221"/>
      <c r="X496" s="221">
        <f t="shared" ref="X496" si="424">W495+V496/2</f>
        <v>-9.5396407030681016E-2</v>
      </c>
      <c r="Y496" s="221"/>
      <c r="Z496" s="221">
        <f>-$V$35*(X496+Y495*((AA495+Z494/2)^2))</f>
        <v>1.6296584423354788E-3</v>
      </c>
      <c r="AA496" s="221"/>
      <c r="AB496" s="229">
        <f t="shared" ref="AB496" si="425">AA495+Z496/2</f>
        <v>-9.944441544857574E-2</v>
      </c>
      <c r="AC496" s="213"/>
    </row>
    <row r="497" spans="21:29" x14ac:dyDescent="0.3">
      <c r="U497" s="220">
        <f>U495+$V$28</f>
        <v>45.600000000000108</v>
      </c>
      <c r="V497" s="221"/>
      <c r="W497" s="221">
        <f>IF(W495+V496&lt;0,(W495+V496)*0.8,W495+V496)</f>
        <v>-8.3199791198933865E-2</v>
      </c>
      <c r="X497" s="221"/>
      <c r="Y497" s="221">
        <f>Y495*(AC497/AC495)^2</f>
        <v>1.6935919922173284E-4</v>
      </c>
      <c r="Z497" s="221"/>
      <c r="AA497" s="221">
        <f>IF(AND(ABS(AA495+Z496)&gt;$G$27*0.8,(AA495+Z496)&lt;0),-$G$27*0.5,IF(AND(ABS(AA495+Z496)&gt;$G$27*0.8,(AA495+Z496)&gt;0),$G$27*0.5,AA495+Z496))</f>
        <v>-9.8629586227408E-2</v>
      </c>
      <c r="AB497" s="229"/>
      <c r="AC497" s="223">
        <f>$G$29*AA497</f>
        <v>-4.6445347549436091</v>
      </c>
    </row>
    <row r="498" spans="21:29" x14ac:dyDescent="0.3">
      <c r="U498" s="220"/>
      <c r="V498" s="221">
        <f>(AA497+Z496/2)*$V$34</f>
        <v>-1.6931010306183315E-2</v>
      </c>
      <c r="W498" s="221"/>
      <c r="X498" s="221">
        <f t="shared" ref="X498" si="426">W497+V498/2</f>
        <v>-9.1665296352025527E-2</v>
      </c>
      <c r="Y498" s="221"/>
      <c r="Z498" s="221">
        <f>-$V$35*(X498+Y497*((AA497+Z496/2)^2))</f>
        <v>1.5659205210441891E-3</v>
      </c>
      <c r="AA498" s="221"/>
      <c r="AB498" s="229">
        <f t="shared" ref="AB498" si="427">AA497+Z498/2</f>
        <v>-9.7846625966885911E-2</v>
      </c>
      <c r="AC498" s="224"/>
    </row>
    <row r="499" spans="21:29" x14ac:dyDescent="0.3">
      <c r="U499" s="220">
        <f>U497+$V$28</f>
        <v>45.800000000000111</v>
      </c>
      <c r="V499" s="221"/>
      <c r="W499" s="221">
        <f>IF(W497+V498&lt;0,(W497+V498)*0.8,W497+V498)</f>
        <v>-8.0104641204093746E-2</v>
      </c>
      <c r="X499" s="221"/>
      <c r="Y499" s="221">
        <f>Y497*(AC499/AC497)^2</f>
        <v>1.6402413152099448E-4</v>
      </c>
      <c r="Z499" s="221"/>
      <c r="AA499" s="221">
        <f>IF(AND(ABS(AA497+Z498)&gt;$G$27*0.8,(AA497+Z498)&lt;0),-$G$27*0.5,IF(AND(ABS(AA497+Z498)&gt;$G$27*0.8,(AA497+Z498)&gt;0),$G$27*0.5,AA497+Z498))</f>
        <v>-9.7063665706363808E-2</v>
      </c>
      <c r="AB499" s="229"/>
      <c r="AC499" s="223">
        <f>$G$29*AA499</f>
        <v>-4.5707944852977445</v>
      </c>
    </row>
    <row r="500" spans="21:29" x14ac:dyDescent="0.3">
      <c r="U500" s="220"/>
      <c r="V500" s="221">
        <f>(AA499+Z498/2)*$V$34</f>
        <v>-1.6665477337802406E-2</v>
      </c>
      <c r="W500" s="221"/>
      <c r="X500" s="221">
        <f t="shared" ref="X500" si="428">W499+V500/2</f>
        <v>-8.8437379872994951E-2</v>
      </c>
      <c r="Y500" s="221"/>
      <c r="Z500" s="221">
        <f>-$V$35*(X500+Y499*((AA499+Z498/2)^2))</f>
        <v>1.5107786756802151E-3</v>
      </c>
      <c r="AA500" s="221"/>
      <c r="AB500" s="229">
        <f t="shared" ref="AB500" si="429">AA499+Z500/2</f>
        <v>-9.6308276368523696E-2</v>
      </c>
      <c r="AC500" s="213"/>
    </row>
    <row r="501" spans="21:29" x14ac:dyDescent="0.3">
      <c r="U501" s="220">
        <f>U499+$V$28</f>
        <v>46.000000000000114</v>
      </c>
      <c r="V501" s="221"/>
      <c r="W501" s="221">
        <f>IF(W499+V500&lt;0,(W499+V500)*0.8,W499+V500)</f>
        <v>-7.7416094833516927E-2</v>
      </c>
      <c r="X501" s="221"/>
      <c r="Y501" s="221">
        <f>Y499*(AC501/AC499)^2</f>
        <v>1.5895785580201925E-4</v>
      </c>
      <c r="Z501" s="221"/>
      <c r="AA501" s="221">
        <f>IF(AND(ABS(AA499+Z500)&gt;$G$27*0.8,(AA499+Z500)&lt;0),-$G$27*0.5,IF(AND(ABS(AA499+Z500)&gt;$G$27*0.8,(AA499+Z500)&gt;0),$G$27*0.5,AA499+Z500))</f>
        <v>-9.5552887030683598E-2</v>
      </c>
      <c r="AB501" s="229"/>
      <c r="AC501" s="223">
        <f>$G$29*AA501</f>
        <v>-4.4996508829100614</v>
      </c>
    </row>
    <row r="502" spans="21:29" x14ac:dyDescent="0.3">
      <c r="U502" s="220"/>
      <c r="V502" s="221">
        <f>(AA501+Z500/2)*$V$34</f>
        <v>-1.6408745056081132E-2</v>
      </c>
      <c r="W502" s="221"/>
      <c r="X502" s="221">
        <f t="shared" ref="X502" si="430">W501+V502/2</f>
        <v>-8.5620467361557498E-2</v>
      </c>
      <c r="Y502" s="221"/>
      <c r="Z502" s="221">
        <f>-$V$35*(X502+Y501*((AA501+Z500/2)^2))</f>
        <v>1.4626580109354994E-3</v>
      </c>
      <c r="AA502" s="221"/>
      <c r="AB502" s="229">
        <f t="shared" ref="AB502" si="431">AA501+Z502/2</f>
        <v>-9.4821558025215844E-2</v>
      </c>
      <c r="AC502" s="213"/>
    </row>
    <row r="503" spans="21:29" x14ac:dyDescent="0.3">
      <c r="U503" s="220">
        <f>U501+$V$28</f>
        <v>46.200000000000117</v>
      </c>
      <c r="V503" s="221"/>
      <c r="W503" s="221">
        <f>IF(W501+V502&lt;0,(W501+V502)*0.8,W501+V502)</f>
        <v>-7.5059871911678455E-2</v>
      </c>
      <c r="X503" s="221"/>
      <c r="Y503" s="221">
        <f>Y501*(AC503/AC501)^2</f>
        <v>1.5412866632089799E-4</v>
      </c>
      <c r="Z503" s="221"/>
      <c r="AA503" s="221">
        <f>IF(AND(ABS(AA501+Z502)&gt;$G$27*0.8,(AA501+Z502)&lt;0),-$G$27*0.5,IF(AND(ABS(AA501+Z502)&gt;$G$27*0.8,(AA501+Z502)&gt;0),$G$27*0.5,AA501+Z502))</f>
        <v>-9.4090229019748103E-2</v>
      </c>
      <c r="AB503" s="229"/>
      <c r="AC503" s="223">
        <f>$G$29*AA503</f>
        <v>-4.4307733155772402</v>
      </c>
    </row>
    <row r="504" spans="21:29" x14ac:dyDescent="0.3">
      <c r="U504" s="220"/>
      <c r="V504" s="221">
        <f>(AA503+Z502/2)*$V$34</f>
        <v>-1.6159734447992107E-2</v>
      </c>
      <c r="W504" s="221"/>
      <c r="X504" s="221">
        <f t="shared" ref="X504" si="432">W503+V504/2</f>
        <v>-8.3139739135674504E-2</v>
      </c>
      <c r="Y504" s="221"/>
      <c r="Z504" s="221">
        <f>-$V$35*(X504+Y503*((AA503+Z502/2)^2))</f>
        <v>1.4202803743462332E-3</v>
      </c>
      <c r="AA504" s="221"/>
      <c r="AB504" s="229">
        <f t="shared" ref="AB504" si="433">AA503+Z504/2</f>
        <v>-9.3380088832574981E-2</v>
      </c>
      <c r="AC504" s="224"/>
    </row>
    <row r="505" spans="21:29" x14ac:dyDescent="0.3">
      <c r="U505" s="220">
        <f>U503+$V$28</f>
        <v>46.400000000000119</v>
      </c>
      <c r="V505" s="221"/>
      <c r="W505" s="221">
        <f>IF(W503+V504&lt;0,(W503+V504)*0.8,W503+V504)</f>
        <v>-7.2975685087736455E-2</v>
      </c>
      <c r="X505" s="221"/>
      <c r="Y505" s="221">
        <f>Y503*(AC505/AC503)^2</f>
        <v>1.4951067902796146E-4</v>
      </c>
      <c r="Z505" s="221"/>
      <c r="AA505" s="221">
        <f>IF(AND(ABS(AA503+Z504)&gt;$G$27*0.8,(AA503+Z504)&lt;0),-$G$27*0.5,IF(AND(ABS(AA503+Z504)&gt;$G$27*0.8,(AA503+Z504)&gt;0),$G$27*0.5,AA503+Z504))</f>
        <v>-9.2669948645401873E-2</v>
      </c>
      <c r="AB505" s="229"/>
      <c r="AC505" s="223">
        <f>$G$29*AA505</f>
        <v>-4.363891340170734</v>
      </c>
    </row>
    <row r="506" spans="21:29" x14ac:dyDescent="0.3">
      <c r="U506" s="220"/>
      <c r="V506" s="221">
        <f>(AA505+Z504/2)*$V$34</f>
        <v>-1.5917562057242395E-2</v>
      </c>
      <c r="W506" s="221"/>
      <c r="X506" s="221">
        <f t="shared" ref="X506" si="434">W505+V506/2</f>
        <v>-8.0934466116357656E-2</v>
      </c>
      <c r="Y506" s="221"/>
      <c r="Z506" s="221">
        <f>-$V$35*(X506+Y505*((AA505+Z504/2)^2))</f>
        <v>1.3826083247772964E-3</v>
      </c>
      <c r="AA506" s="221"/>
      <c r="AB506" s="229">
        <f t="shared" ref="AB506" si="435">AA505+Z506/2</f>
        <v>-9.1978644483013225E-2</v>
      </c>
      <c r="AC506" s="213"/>
    </row>
    <row r="507" spans="21:29" x14ac:dyDescent="0.3">
      <c r="U507" s="220">
        <f>U505+$V$28</f>
        <v>46.600000000000122</v>
      </c>
      <c r="V507" s="221"/>
      <c r="W507" s="221">
        <f>IF(W505+V506&lt;0,(W505+V506)*0.8,W505+V506)</f>
        <v>-7.111459771598308E-2</v>
      </c>
      <c r="X507" s="221"/>
      <c r="Y507" s="221">
        <f>Y505*(AC507/AC505)^2</f>
        <v>1.4508264920400801E-4</v>
      </c>
      <c r="Z507" s="221"/>
      <c r="AA507" s="221">
        <f>IF(AND(ABS(AA505+Z506)&gt;$G$27*0.8,(AA505+Z506)&lt;0),-$G$27*0.5,IF(AND(ABS(AA505+Z506)&gt;$G$27*0.8,(AA505+Z506)&gt;0),$G$27*0.5,AA505+Z506))</f>
        <v>-9.1287340320624577E-2</v>
      </c>
      <c r="AB507" s="229"/>
      <c r="AC507" s="223">
        <f>$G$29*AA507</f>
        <v>-4.2987833673754672</v>
      </c>
    </row>
    <row r="508" spans="21:29" x14ac:dyDescent="0.3">
      <c r="U508" s="220"/>
      <c r="V508" s="221">
        <f>(AA507+Z506/2)*$V$34</f>
        <v>-1.5681503168244768E-2</v>
      </c>
      <c r="W508" s="221"/>
      <c r="X508" s="221">
        <f t="shared" ref="X508" si="436">W507+V508/2</f>
        <v>-7.8955349300105462E-2</v>
      </c>
      <c r="Y508" s="221"/>
      <c r="Z508" s="221">
        <f>-$V$35*(X508+Y507*((AA507+Z506/2)^2))</f>
        <v>1.3487996824337939E-3</v>
      </c>
      <c r="AA508" s="221"/>
      <c r="AB508" s="229">
        <f t="shared" ref="AB508" si="437">AA507+Z508/2</f>
        <v>-9.0612940479407683E-2</v>
      </c>
      <c r="AC508" s="213"/>
    </row>
    <row r="509" spans="21:29" x14ac:dyDescent="0.3">
      <c r="U509" s="220">
        <f>U507+$V$28</f>
        <v>46.800000000000125</v>
      </c>
      <c r="V509" s="221"/>
      <c r="W509" s="221">
        <f>IF(W507+V508&lt;0,(W507+V508)*0.8,W507+V508)</f>
        <v>-6.9436880707382284E-2</v>
      </c>
      <c r="X509" s="221"/>
      <c r="Y509" s="221">
        <f>Y507*(AC509/AC507)^2</f>
        <v>1.4082703701803507E-4</v>
      </c>
      <c r="Z509" s="221"/>
      <c r="AA509" s="221">
        <f>IF(AND(ABS(AA507+Z508)&gt;$G$27*0.8,(AA507+Z508)&lt;0),-$G$27*0.5,IF(AND(ABS(AA507+Z508)&gt;$G$27*0.8,(AA507+Z508)&gt;0),$G$27*0.5,AA507+Z508))</f>
        <v>-8.9938540638190789E-2</v>
      </c>
      <c r="AB509" s="229"/>
      <c r="AC509" s="223">
        <f>$G$29*AA509</f>
        <v>-4.2352674666996126</v>
      </c>
    </row>
    <row r="510" spans="21:29" x14ac:dyDescent="0.3">
      <c r="U510" s="220"/>
      <c r="V510" s="221">
        <f>(AA509+Z508/2)*$V$34</f>
        <v>-1.5450961941353546E-2</v>
      </c>
      <c r="W510" s="221"/>
      <c r="X510" s="221">
        <f t="shared" ref="X510" si="438">W509+V510/2</f>
        <v>-7.7162361678059052E-2</v>
      </c>
      <c r="Y510" s="221"/>
      <c r="Z510" s="221">
        <f>-$V$35*(X510+Y509*((AA509+Z508/2)^2))</f>
        <v>1.3181706621732813E-3</v>
      </c>
      <c r="AA510" s="221"/>
      <c r="AB510" s="229">
        <f t="shared" ref="AB510" si="439">AA509+Z510/2</f>
        <v>-8.9279455307104155E-2</v>
      </c>
      <c r="AC510" s="213"/>
    </row>
    <row r="511" spans="21:29" x14ac:dyDescent="0.3">
      <c r="U511" s="220">
        <f>U509+$V$28</f>
        <v>47.000000000000128</v>
      </c>
      <c r="V511" s="221"/>
      <c r="W511" s="221">
        <f>IF(W509+V510&lt;0,(W509+V510)*0.8,W509+V510)</f>
        <v>-6.7910274118988673E-2</v>
      </c>
      <c r="X511" s="221"/>
      <c r="Y511" s="221">
        <f>Y509*(AC511/AC509)^2</f>
        <v>1.3672926739759147E-4</v>
      </c>
      <c r="Z511" s="221"/>
      <c r="AA511" s="221">
        <f>IF(AND(ABS(AA509+Z510)&gt;$G$27*0.8,(AA509+Z510)&lt;0),-$G$27*0.5,IF(AND(ABS(AA509+Z510)&gt;$G$27*0.8,(AA509+Z510)&gt;0),$G$27*0.5,AA509+Z510))</f>
        <v>-8.8620369976017507E-2</v>
      </c>
      <c r="AB511" s="229"/>
      <c r="AC511" s="223">
        <f>$G$29*AA511</f>
        <v>-4.1731939075619442</v>
      </c>
    </row>
    <row r="512" spans="21:29" x14ac:dyDescent="0.3">
      <c r="U512" s="220"/>
      <c r="V512" s="221">
        <f>(AA511+Z510/2)*$V$34</f>
        <v>-1.5225447186598214E-2</v>
      </c>
      <c r="W512" s="221"/>
      <c r="X512" s="221">
        <f t="shared" ref="X512" si="440">W511+V512/2</f>
        <v>-7.5522997712287779E-2</v>
      </c>
      <c r="Y512" s="221"/>
      <c r="Z512" s="221">
        <f>-$V$35*(X512+Y511*((AA511+Z510/2)^2))</f>
        <v>1.2901659691293053E-3</v>
      </c>
      <c r="AA512" s="221"/>
      <c r="AB512" s="229">
        <f t="shared" ref="AB512" si="441">AA511+Z512/2</f>
        <v>-8.797528699145285E-2</v>
      </c>
      <c r="AC512" s="213"/>
    </row>
    <row r="513" spans="21:29" x14ac:dyDescent="0.3">
      <c r="U513" s="220">
        <f>U511+$V$28</f>
        <v>47.200000000000131</v>
      </c>
      <c r="V513" s="221"/>
      <c r="W513" s="221">
        <f>IF(W511+V512&lt;0,(W511+V512)*0.8,W511+V512)</f>
        <v>-6.6508577044469511E-2</v>
      </c>
      <c r="X513" s="221"/>
      <c r="Y513" s="221">
        <f>Y511*(AC513/AC511)^2</f>
        <v>1.3277714269639695E-4</v>
      </c>
      <c r="Z513" s="221"/>
      <c r="AA513" s="221">
        <f>IF(AND(ABS(AA511+Z512)&gt;$G$27*0.8,(AA511+Z512)&lt;0),-$G$27*0.5,IF(AND(ABS(AA511+Z512)&gt;$G$27*0.8,(AA511+Z512)&gt;0),$G$27*0.5,AA511+Z512))</f>
        <v>-8.7330204006888207E-2</v>
      </c>
      <c r="AB513" s="229"/>
      <c r="AC513" s="223">
        <f>$G$29*AA513</f>
        <v>-4.1124391085967487</v>
      </c>
    </row>
    <row r="514" spans="21:29" x14ac:dyDescent="0.3">
      <c r="U514" s="213"/>
      <c r="V514" s="221">
        <f>(AA513+Z512/2)*$V$34</f>
        <v>-1.5004552711080962E-2</v>
      </c>
      <c r="W514" s="221"/>
      <c r="X514" s="221">
        <f t="shared" ref="X514" si="442">W513+V514/2</f>
        <v>-7.4010853400009985E-2</v>
      </c>
      <c r="Y514" s="221"/>
      <c r="Z514" s="221">
        <f>-$V$35*(X514+Y513*((AA513+Z512/2)^2))</f>
        <v>1.2643345417860765E-3</v>
      </c>
      <c r="AA514" s="221"/>
      <c r="AB514" s="229">
        <f t="shared" ref="AB514" si="443">AA513+Z514/2</f>
        <v>-8.6698036735995174E-2</v>
      </c>
      <c r="AC514" s="224"/>
    </row>
    <row r="515" spans="21:29" x14ac:dyDescent="0.3">
      <c r="U515" s="220">
        <f>U513+$V$28</f>
        <v>47.400000000000134</v>
      </c>
      <c r="V515" s="221"/>
      <c r="W515" s="221">
        <f>IF(W513+V514&lt;0,(W513+V514)*0.8,W513+V514)</f>
        <v>-6.5210503804440378E-2</v>
      </c>
      <c r="X515" s="221"/>
      <c r="Y515" s="221">
        <f>Y513*(AC515/AC513)^2</f>
        <v>1.2896037585121209E-4</v>
      </c>
      <c r="Z515" s="221"/>
      <c r="AA515" s="221">
        <f>IF(AND(ABS(AA513+Z514)&gt;$G$27*0.8,(AA513+Z514)&lt;0),-$G$27*0.5,IF(AND(ABS(AA513+Z514)&gt;$G$27*0.8,(AA513+Z514)&gt;0),$G$27*0.5,AA513+Z514))</f>
        <v>-8.6065869465102127E-2</v>
      </c>
      <c r="AB515" s="229"/>
      <c r="AC515" s="223">
        <f>$G$29*AA515</f>
        <v>-4.052900729233972</v>
      </c>
    </row>
    <row r="516" spans="21:29" x14ac:dyDescent="0.3">
      <c r="U516" s="220"/>
      <c r="V516" s="221">
        <f>(AA515+Z514/2)*$V$34</f>
        <v>-1.4787941376302448E-2</v>
      </c>
      <c r="W516" s="221"/>
      <c r="X516" s="221">
        <f t="shared" ref="X516" si="444">W515+V516/2</f>
        <v>-7.2604474492591609E-2</v>
      </c>
      <c r="Y516" s="221"/>
      <c r="Z516" s="221">
        <f>-$V$35*(X516+Y515*((AA515+Z514/2)^2))</f>
        <v>1.2403098759602379E-3</v>
      </c>
      <c r="AA516" s="221"/>
      <c r="AB516" s="229">
        <f t="shared" ref="AB516" si="445">AA515+Z516/2</f>
        <v>-8.5445714527122005E-2</v>
      </c>
      <c r="AC516" s="213"/>
    </row>
    <row r="517" spans="21:29" x14ac:dyDescent="0.3">
      <c r="U517" s="220">
        <f>U515+$V$28</f>
        <v>47.600000000000136</v>
      </c>
      <c r="V517" s="221"/>
      <c r="W517" s="221">
        <f>IF(W515+V516&lt;0,(W515+V516)*0.8,W515+V516)</f>
        <v>-6.3998756144594257E-2</v>
      </c>
      <c r="X517" s="221"/>
      <c r="Y517" s="221">
        <f>Y515*(AC517/AC515)^2</f>
        <v>1.2527021877785735E-4</v>
      </c>
      <c r="Z517" s="221"/>
      <c r="AA517" s="221">
        <f>IF(AND(ABS(AA515+Z516)&gt;$G$27*0.8,(AA515+Z516)&lt;0),-$G$27*0.5,IF(AND(ABS(AA515+Z516)&gt;$G$27*0.8,(AA515+Z516)&gt;0),$G$27*0.5,AA515+Z516))</f>
        <v>-8.4825559589141883E-2</v>
      </c>
      <c r="AB517" s="229"/>
      <c r="AC517" s="223">
        <f>$G$29*AA517</f>
        <v>-3.9944936878365263</v>
      </c>
    </row>
    <row r="518" spans="21:29" x14ac:dyDescent="0.3">
      <c r="U518" s="213"/>
      <c r="V518" s="221">
        <f>(AA517+Z516/2)*$V$34</f>
        <v>-1.4575332164800064E-2</v>
      </c>
      <c r="W518" s="221"/>
      <c r="X518" s="221">
        <f t="shared" ref="X518" si="446">W517+V518/2</f>
        <v>-7.1286422226994287E-2</v>
      </c>
      <c r="Y518" s="221"/>
      <c r="Z518" s="221">
        <f>-$V$35*(X518+Y517*((AA517+Z516/2)^2))</f>
        <v>1.2177940645666826E-3</v>
      </c>
      <c r="AA518" s="221"/>
      <c r="AB518" s="229">
        <f t="shared" ref="AB518" si="447">AA517+Z518/2</f>
        <v>-8.4216662556858543E-2</v>
      </c>
      <c r="AC518" s="224"/>
    </row>
    <row r="519" spans="21:29" x14ac:dyDescent="0.3">
      <c r="U519" s="220">
        <f>U517+$V$28</f>
        <v>47.800000000000139</v>
      </c>
      <c r="V519" s="221"/>
      <c r="W519" s="221">
        <f>IF(W517+V518&lt;0,(W517+V518)*0.8,W517+V518)</f>
        <v>-6.2859270647515453E-2</v>
      </c>
      <c r="X519" s="221"/>
      <c r="Y519" s="221">
        <f>Y517*(AC519/AC517)^2</f>
        <v>1.2169916619970945E-4</v>
      </c>
      <c r="Z519" s="221"/>
      <c r="AA519" s="221">
        <f>IF(AND(ABS(AA517+Z518)&gt;$G$27*0.8,(AA517+Z518)&lt;0),-$G$27*0.5,IF(AND(ABS(AA517+Z518)&gt;$G$27*0.8,(AA517+Z518)&gt;0),$G$27*0.5,AA517+Z518))</f>
        <v>-8.3607765524575203E-2</v>
      </c>
      <c r="AB519" s="229"/>
      <c r="AC519" s="223">
        <f>$G$29*AA519</f>
        <v>-3.9371469314159642</v>
      </c>
    </row>
    <row r="520" spans="21:29" x14ac:dyDescent="0.3">
      <c r="U520" s="220"/>
      <c r="V520" s="221">
        <f>(AA519+Z518/2)*$V$34</f>
        <v>-1.4366489687797277E-2</v>
      </c>
      <c r="W520" s="221"/>
      <c r="X520" s="221">
        <f t="shared" ref="X520" si="448">W519+V520/2</f>
        <v>-7.004251549141409E-2</v>
      </c>
      <c r="Y520" s="221"/>
      <c r="Z520" s="221">
        <f>-$V$35*(X520+Y519*((AA519+Z518/2)^2))</f>
        <v>1.1965448514274001E-3</v>
      </c>
      <c r="AA520" s="221"/>
      <c r="AB520" s="229">
        <f t="shared" ref="AB520" si="449">AA519+Z520/2</f>
        <v>-8.3009493098861506E-2</v>
      </c>
      <c r="AC520" s="213"/>
    </row>
    <row r="521" spans="21:29" x14ac:dyDescent="0.3">
      <c r="U521" s="220">
        <f>U519+$V$28</f>
        <v>48.000000000000142</v>
      </c>
      <c r="V521" s="221"/>
      <c r="W521" s="221">
        <f>IF(W519+V520&lt;0,(W519+V520)*0.8,W519+V520)</f>
        <v>-6.1780608268250187E-2</v>
      </c>
      <c r="X521" s="221"/>
      <c r="Y521" s="221">
        <f>Y519*(AC521/AC519)^2</f>
        <v>1.1824071932300458E-4</v>
      </c>
      <c r="Z521" s="221"/>
      <c r="AA521" s="221">
        <f>IF(AND(ABS(AA519+Z520)&gt;$G$27*0.8,(AA519+Z520)&lt;0),-$G$27*0.5,IF(AND(ABS(AA519+Z520)&gt;$G$27*0.8,(AA519+Z520)&gt;0),$G$27*0.5,AA519+Z520))</f>
        <v>-8.2411220673147809E-2</v>
      </c>
      <c r="AB521" s="229"/>
      <c r="AC521" s="223">
        <f>$G$29*AA521</f>
        <v>-3.8808008149931514</v>
      </c>
    </row>
    <row r="522" spans="21:29" x14ac:dyDescent="0.3">
      <c r="U522" s="213"/>
      <c r="V522" s="221">
        <f>(AA521+Z520/2)*$V$34</f>
        <v>-1.4161215672888493E-2</v>
      </c>
      <c r="W522" s="221"/>
      <c r="X522" s="221">
        <f t="shared" ref="X522" si="450">W521+V522/2</f>
        <v>-6.8861216104694437E-2</v>
      </c>
      <c r="Y522" s="221"/>
      <c r="Z522" s="221">
        <f>-$V$35*(X522+Y521*((AA521+Z520/2)^2))</f>
        <v>1.1763651299090804E-3</v>
      </c>
      <c r="AA522" s="221"/>
      <c r="AB522" s="229">
        <f t="shared" ref="AB522" si="451">AA521+Z522/2</f>
        <v>-8.1823038108193274E-2</v>
      </c>
      <c r="AC522" s="213"/>
    </row>
    <row r="523" spans="21:29" x14ac:dyDescent="0.3">
      <c r="U523" s="220">
        <f>U521+$V$28</f>
        <v>48.200000000000145</v>
      </c>
      <c r="V523" s="221"/>
      <c r="W523" s="221">
        <f>IF(W521+V522&lt;0,(W521+V522)*0.8,W521+V522)</f>
        <v>-6.0753459152910951E-2</v>
      </c>
      <c r="X523" s="221"/>
      <c r="Y523" s="221">
        <f>Y521*(AC523/AC521)^2</f>
        <v>1.1488919706190717E-4</v>
      </c>
      <c r="Z523" s="221"/>
      <c r="AA523" s="221">
        <f>IF(AND(ABS(AA521+Z522)&gt;$G$27*0.8,(AA521+Z522)&lt;0),-$G$27*0.5,IF(AND(ABS(AA521+Z522)&gt;$G$27*0.8,(AA521+Z522)&gt;0),$G$27*0.5,AA521+Z522))</f>
        <v>-8.1234855543238726E-2</v>
      </c>
      <c r="AB523" s="229"/>
      <c r="AC523" s="223">
        <f>$G$29*AA523</f>
        <v>-3.825404975475291</v>
      </c>
    </row>
    <row r="524" spans="21:29" x14ac:dyDescent="0.3">
      <c r="U524" s="220"/>
      <c r="V524" s="221">
        <f>(AA523+Z522/2)*$V$34</f>
        <v>-1.3959342057841181E-2</v>
      </c>
      <c r="W524" s="221"/>
      <c r="X524" s="221">
        <f t="shared" ref="X524" si="452">W523+V524/2</f>
        <v>-6.7733130181831538E-2</v>
      </c>
      <c r="Y524" s="221"/>
      <c r="Z524" s="221">
        <f>-$V$35*(X524+Y523*((AA523+Z522/2)^2))</f>
        <v>1.1570944246737996E-3</v>
      </c>
      <c r="AA524" s="221"/>
      <c r="AB524" s="229">
        <f t="shared" ref="AB524" si="453">AA523+Z524/2</f>
        <v>-8.065630833090183E-2</v>
      </c>
      <c r="AC524" s="224"/>
    </row>
    <row r="525" spans="21:29" x14ac:dyDescent="0.3">
      <c r="U525" s="220">
        <f>U523+$V$28</f>
        <v>48.400000000000148</v>
      </c>
      <c r="V525" s="221"/>
      <c r="W525" s="221">
        <f>IF(W523+V524&lt;0,(W523+V524)*0.8,W523+V524)</f>
        <v>-5.9770240968601708E-2</v>
      </c>
      <c r="X525" s="221"/>
      <c r="Y525" s="221">
        <f>Y523*(AC525/AC523)^2</f>
        <v>1.1163958508903964E-4</v>
      </c>
      <c r="Z525" s="221"/>
      <c r="AA525" s="221">
        <f>IF(AND(ABS(AA523+Z524)&gt;$G$27*0.8,(AA523+Z524)&lt;0),-$G$27*0.5,IF(AND(ABS(AA523+Z524)&gt;$G$27*0.8,(AA523+Z524)&gt;0),$G$27*0.5,AA523+Z524))</f>
        <v>-8.0077761118564933E-2</v>
      </c>
      <c r="AB525" s="229"/>
      <c r="AC525" s="223">
        <f>$G$29*AA525</f>
        <v>-3.7709166066631394</v>
      </c>
    </row>
    <row r="526" spans="21:29" x14ac:dyDescent="0.3">
      <c r="U526" s="213"/>
      <c r="V526" s="221">
        <f>(AA525+Z524/2)*$V$34</f>
        <v>-1.3760725387212772E-2</v>
      </c>
      <c r="W526" s="221"/>
      <c r="X526" s="221">
        <f t="shared" ref="X526" si="454">W525+V526/2</f>
        <v>-6.6650603662208097E-2</v>
      </c>
      <c r="Y526" s="221"/>
      <c r="Z526" s="221">
        <f>-$V$35*(X526+Y525*((AA525+Z524/2)^2))</f>
        <v>1.1386019820241553E-3</v>
      </c>
      <c r="AA526" s="221"/>
      <c r="AB526" s="229">
        <f t="shared" ref="AB526" si="455">AA525+Z526/2</f>
        <v>-7.950846012755286E-2</v>
      </c>
      <c r="AC526" s="213"/>
    </row>
    <row r="527" spans="21:29" x14ac:dyDescent="0.3">
      <c r="U527" s="220">
        <f>U525+$V$28</f>
        <v>48.600000000000151</v>
      </c>
      <c r="V527" s="221"/>
      <c r="W527" s="221">
        <f>IF(W525+V526&lt;0,(W525+V526)*0.8,W525+V526)</f>
        <v>-5.8824773084651588E-2</v>
      </c>
      <c r="X527" s="221"/>
      <c r="Y527" s="221">
        <f>Y525*(AC527/AC525)^2</f>
        <v>1.084874150069723E-4</v>
      </c>
      <c r="Z527" s="221"/>
      <c r="AA527" s="221">
        <f>IF(AND(ABS(AA525+Z526)&gt;$G$27*0.8,(AA525+Z526)&lt;0),-$G$27*0.5,IF(AND(ABS(AA525+Z526)&gt;$G$27*0.8,(AA525+Z526)&gt;0),$G$27*0.5,AA525+Z526))</f>
        <v>-7.8939159136540774E-2</v>
      </c>
      <c r="AB527" s="229"/>
      <c r="AC527" s="223">
        <f>$G$29*AA527</f>
        <v>-3.7172990596386</v>
      </c>
    </row>
    <row r="528" spans="21:29" x14ac:dyDescent="0.3">
      <c r="U528" s="220"/>
      <c r="V528" s="221">
        <f>(AA527+Z526/2)*$V$34</f>
        <v>-1.3565242265759758E-2</v>
      </c>
      <c r="W528" s="221"/>
      <c r="X528" s="221">
        <f t="shared" ref="X528" si="456">W527+V528/2</f>
        <v>-6.5607394217531464E-2</v>
      </c>
      <c r="Y528" s="221"/>
      <c r="Z528" s="221">
        <f>-$V$35*(X528+Y527*((AA527+Z526/2)^2))</f>
        <v>1.1207811650537482E-3</v>
      </c>
      <c r="AA528" s="221"/>
      <c r="AB528" s="229">
        <f t="shared" ref="AB528" si="457">AA527+Z528/2</f>
        <v>-7.8378768554013906E-2</v>
      </c>
      <c r="AC528" s="213"/>
    </row>
    <row r="529" spans="21:29" x14ac:dyDescent="0.3">
      <c r="U529" s="220">
        <f>U527+$V$28</f>
        <v>48.800000000000153</v>
      </c>
      <c r="V529" s="221"/>
      <c r="W529" s="221">
        <f>IF(W527+V528&lt;0,(W527+V528)*0.8,W527+V528)</f>
        <v>-5.7912012280329078E-2</v>
      </c>
      <c r="X529" s="221"/>
      <c r="Y529" s="221">
        <f>Y527*(AC529/AC527)^2</f>
        <v>1.0542866752666733E-4</v>
      </c>
      <c r="Z529" s="221"/>
      <c r="AA529" s="221">
        <f>IF(AND(ABS(AA527+Z528)&gt;$G$27*0.8,(AA527+Z528)&lt;0),-$G$27*0.5,IF(AND(ABS(AA527+Z528)&gt;$G$27*0.8,(AA527+Z528)&gt;0),$G$27*0.5,AA527+Z528))</f>
        <v>-7.7818377971487024E-2</v>
      </c>
      <c r="AB529" s="229"/>
      <c r="AC529" s="223">
        <f>$G$29*AA529</f>
        <v>-3.6645207070885233</v>
      </c>
    </row>
    <row r="530" spans="21:29" x14ac:dyDescent="0.3">
      <c r="U530" s="213"/>
      <c r="V530" s="221">
        <f>(AA529+Z528/2)*$V$34</f>
        <v>-1.3372785669078699E-2</v>
      </c>
      <c r="W530" s="221"/>
      <c r="X530" s="221">
        <f t="shared" ref="X530" si="458">W529+V530/2</f>
        <v>-6.4598405114868432E-2</v>
      </c>
      <c r="Y530" s="221"/>
      <c r="Z530" s="221">
        <f>-$V$35*(X530+Y529*((AA529+Z528/2)^2))</f>
        <v>1.1035449071858684E-3</v>
      </c>
      <c r="AA530" s="221"/>
      <c r="AB530" s="229">
        <f t="shared" ref="AB530" si="459">AA529+Z530/2</f>
        <v>-7.7266605517894091E-2</v>
      </c>
      <c r="AC530" s="213"/>
    </row>
    <row r="531" spans="21:29" x14ac:dyDescent="0.3">
      <c r="U531" s="220">
        <f>U529+$V$28</f>
        <v>49.000000000000156</v>
      </c>
      <c r="V531" s="221"/>
      <c r="W531" s="221">
        <f>IF(W529+V530&lt;0,(W529+V530)*0.8,W529+V530)</f>
        <v>-5.7027838359526219E-2</v>
      </c>
      <c r="X531" s="221"/>
      <c r="Y531" s="221">
        <f>Y529*(AC531/AC529)^2</f>
        <v>1.0245969479451119E-4</v>
      </c>
      <c r="Z531" s="221"/>
      <c r="AA531" s="221">
        <f>IF(AND(ABS(AA529+Z530)&gt;$G$27*0.8,(AA529+Z530)&lt;0),-$G$27*0.5,IF(AND(ABS(AA529+Z530)&gt;$G$27*0.8,(AA529+Z530)&gt;0),$G$27*0.5,AA529+Z530))</f>
        <v>-7.6714833064301158E-2</v>
      </c>
      <c r="AB531" s="229"/>
      <c r="AC531" s="223">
        <f>$G$29*AA531</f>
        <v>-3.6125540217244771</v>
      </c>
    </row>
    <row r="532" spans="21:29" x14ac:dyDescent="0.3">
      <c r="U532" s="220"/>
      <c r="V532" s="221">
        <f>(AA531+Z530/2)*$V$34</f>
        <v>-1.3183261949606421E-2</v>
      </c>
      <c r="W532" s="221"/>
      <c r="X532" s="221">
        <f t="shared" ref="X532" si="460">W531+V532/2</f>
        <v>-6.3619469334329423E-2</v>
      </c>
      <c r="Y532" s="221"/>
      <c r="Z532" s="221">
        <f>-$V$35*(X532+Y531*((AA531+Z530/2)^2))</f>
        <v>1.0868220242202427E-3</v>
      </c>
      <c r="AA532" s="221"/>
      <c r="AB532" s="229">
        <f t="shared" ref="AB532" si="461">AA531+Z532/2</f>
        <v>-7.6171422052191032E-2</v>
      </c>
      <c r="AC532" s="213"/>
    </row>
    <row r="533" spans="21:29" x14ac:dyDescent="0.3">
      <c r="U533" s="220">
        <f>U531+$V$28</f>
        <v>49.200000000000159</v>
      </c>
      <c r="V533" s="221"/>
      <c r="W533" s="221">
        <f>IF(W531+V532&lt;0,(W531+V532)*0.8,W531+V532)</f>
        <v>-5.6168880247306111E-2</v>
      </c>
      <c r="X533" s="221"/>
      <c r="Y533" s="221">
        <f>Y531*(AC533/AC531)^2</f>
        <v>9.9577158003003719E-5</v>
      </c>
      <c r="Z533" s="221"/>
      <c r="AA533" s="221">
        <f>IF(AND(ABS(AA531+Z532)&gt;$G$27*0.8,(AA531+Z532)&lt;0),-$G$27*0.5,IF(AND(ABS(AA531+Z532)&gt;$G$27*0.8,(AA531+Z532)&gt;0),$G$27*0.5,AA531+Z532))</f>
        <v>-7.562801104008092E-2</v>
      </c>
      <c r="AB533" s="229"/>
      <c r="AC533" s="223">
        <f>$G$29*AA533</f>
        <v>-3.561374828370766</v>
      </c>
    </row>
    <row r="534" spans="21:29" x14ac:dyDescent="0.3">
      <c r="U534" s="213"/>
      <c r="V534" s="221">
        <f>(AA533+Z532/2)*$V$34</f>
        <v>-1.2996588406676954E-2</v>
      </c>
      <c r="W534" s="221"/>
      <c r="X534" s="221">
        <f t="shared" ref="X534" si="462">W533+V534/2</f>
        <v>-6.2667174450644583E-2</v>
      </c>
      <c r="Y534" s="221"/>
      <c r="Z534" s="221">
        <f>-$V$35*(X534+Y533*((AA533+Z532/2)^2))</f>
        <v>1.0705542227559964E-3</v>
      </c>
      <c r="AA534" s="221"/>
      <c r="AB534" s="229">
        <f t="shared" ref="AB534" si="463">AA533+Z534/2</f>
        <v>-7.5092733928702915E-2</v>
      </c>
      <c r="AC534" s="224"/>
    </row>
    <row r="535" spans="21:29" x14ac:dyDescent="0.3">
      <c r="U535" s="220">
        <f>U533+$V$28</f>
        <v>49.400000000000162</v>
      </c>
      <c r="V535" s="221"/>
      <c r="W535" s="221">
        <f>IF(W533+V534&lt;0,(W533+V534)*0.8,W533+V534)</f>
        <v>-5.5332374923186461E-2</v>
      </c>
      <c r="X535" s="221"/>
      <c r="Y535" s="221">
        <f>Y533*(AC535/AC533)^2</f>
        <v>9.6777977207579448E-5</v>
      </c>
      <c r="Z535" s="221"/>
      <c r="AA535" s="221">
        <f>IF(AND(ABS(AA533+Z534)&gt;$G$27*0.8,(AA533+Z534)&lt;0),-$G$27*0.5,IF(AND(ABS(AA533+Z534)&gt;$G$27*0.8,(AA533+Z534)&gt;0),$G$27*0.5,AA533+Z534))</f>
        <v>-7.4557456817324924E-2</v>
      </c>
      <c r="AB535" s="229"/>
      <c r="AC535" s="223">
        <f>$G$29*AA535</f>
        <v>-3.5109616969278585</v>
      </c>
    </row>
    <row r="536" spans="21:29" x14ac:dyDescent="0.3">
      <c r="U536" s="220"/>
      <c r="V536" s="221">
        <f>(AA535+Z534/2)*$V$34</f>
        <v>-1.2812691314129484E-2</v>
      </c>
      <c r="W536" s="221"/>
      <c r="X536" s="221">
        <f t="shared" ref="X536" si="464">W535+V536/2</f>
        <v>-6.1738720580251205E-2</v>
      </c>
      <c r="Y536" s="221"/>
      <c r="Z536" s="221">
        <f>-$V$35*(X536+Y535*((AA535+Z534/2)^2))</f>
        <v>1.0546936734783248E-3</v>
      </c>
      <c r="AA536" s="221"/>
      <c r="AB536" s="229">
        <f t="shared" ref="AB536" si="465">AA535+Z536/2</f>
        <v>-7.4030109980585762E-2</v>
      </c>
      <c r="AC536" s="213"/>
    </row>
    <row r="537" spans="21:29" x14ac:dyDescent="0.3">
      <c r="U537" s="220">
        <f>U535+$V$28</f>
        <v>49.600000000000165</v>
      </c>
      <c r="V537" s="221"/>
      <c r="W537" s="221">
        <f>IF(W535+V536&lt;0,(W535+V536)*0.8,W535+V536)</f>
        <v>-5.4516052989852765E-2</v>
      </c>
      <c r="X537" s="221"/>
      <c r="Y537" s="221">
        <f>Y535*(AC537/AC535)^2</f>
        <v>9.4059290897099596E-5</v>
      </c>
      <c r="Z537" s="221"/>
      <c r="AA537" s="221">
        <f>IF(AND(ABS(AA535+Z536)&gt;$G$27*0.8,(AA535+Z536)&lt;0),-$G$27*0.5,IF(AND(ABS(AA535+Z536)&gt;$G$27*0.8,(AA535+Z536)&gt;0),$G$27*0.5,AA535+Z536))</f>
        <v>-7.35027631438466E-2</v>
      </c>
      <c r="AB537" s="229"/>
      <c r="AC537" s="223">
        <f>$G$29*AA537</f>
        <v>-3.4612954496114123</v>
      </c>
    </row>
    <row r="538" spans="21:29" x14ac:dyDescent="0.3">
      <c r="U538" s="213"/>
      <c r="V538" s="221">
        <f>(AA537+Z536/2)*$V$34</f>
        <v>-1.2631504319075598E-2</v>
      </c>
      <c r="W538" s="221"/>
      <c r="X538" s="221">
        <f t="shared" ref="X538" si="466">W537+V538/2</f>
        <v>-6.0831805149390565E-2</v>
      </c>
      <c r="Y538" s="221"/>
      <c r="Z538" s="221">
        <f>-$V$35*(X538+Y537*((AA537+Z536/2)^2))</f>
        <v>1.0392010426331214E-3</v>
      </c>
      <c r="AA538" s="221"/>
      <c r="AB538" s="229">
        <f t="shared" ref="AB538" si="467">AA537+Z538/2</f>
        <v>-7.2983162622530046E-2</v>
      </c>
      <c r="AC538" s="223"/>
    </row>
    <row r="539" spans="21:29" x14ac:dyDescent="0.3">
      <c r="U539" s="220">
        <f>U537+$V$28</f>
        <v>49.800000000000168</v>
      </c>
      <c r="V539" s="221"/>
      <c r="W539" s="221">
        <f>IF(W537+V538&lt;0,(W537+V538)*0.8,W537+V538)</f>
        <v>-5.3718045847142695E-2</v>
      </c>
      <c r="X539" s="221"/>
      <c r="Y539" s="221">
        <f>Y537*(AC539/AC537)^2</f>
        <v>9.1418423362372379E-5</v>
      </c>
      <c r="Z539" s="221"/>
      <c r="AA539" s="221">
        <f>IF(AND(ABS(AA537+Z538)&gt;$G$27*0.8,(AA537+Z538)&lt;0),-$G$27*0.5,IF(AND(ABS(AA537+Z538)&gt;$G$27*0.8,(AA537+Z538)&gt;0),$G$27*0.5,AA537+Z538))</f>
        <v>-7.2463562101213477E-2</v>
      </c>
      <c r="AB539" s="229"/>
      <c r="AC539" s="223">
        <f>$G$29*AA539</f>
        <v>-3.4123587608904988</v>
      </c>
    </row>
    <row r="540" spans="21:29" x14ac:dyDescent="0.3">
      <c r="U540" s="220"/>
      <c r="V540" s="221">
        <f>(AA539+Z538/2)*$V$34</f>
        <v>-1.2452967141749189E-2</v>
      </c>
      <c r="W540" s="221"/>
      <c r="X540" s="221">
        <f t="shared" ref="X540" si="468">W539+V540/2</f>
        <v>-5.9944529418017291E-2</v>
      </c>
      <c r="Y540" s="221"/>
      <c r="Z540" s="221">
        <f>-$V$35*(X540+Y539*((AA539+Z538/2)^2))</f>
        <v>1.0240438951600169E-3</v>
      </c>
      <c r="AA540" s="221"/>
      <c r="AB540" s="229">
        <f t="shared" ref="AB540" si="469">AA539+Z540/2</f>
        <v>-7.1951540153633475E-2</v>
      </c>
      <c r="AC540" s="213"/>
    </row>
    <row r="541" spans="21:29" x14ac:dyDescent="0.3">
      <c r="U541" s="220">
        <f>U539+$V$28</f>
        <v>50.000000000000171</v>
      </c>
      <c r="V541" s="221"/>
      <c r="W541" s="221">
        <f>IF(W539+V540&lt;0,(W539+V540)*0.8,W539+V540)</f>
        <v>-5.293681039111351E-2</v>
      </c>
      <c r="X541" s="221"/>
      <c r="Y541" s="221">
        <f>Y539*(AC541/AC539)^2</f>
        <v>8.8852858302369372E-5</v>
      </c>
      <c r="Z541" s="221"/>
      <c r="AA541" s="221">
        <f>IF(AND(ABS(AA539+Z540)&gt;$G$27*0.8,(AA539+Z540)&lt;0),-$G$27*0.5,IF(AND(ABS(AA539+Z540)&gt;$G$27*0.8,(AA539+Z540)&gt;0),$G$27*0.5,AA539+Z540))</f>
        <v>-7.1439518206053459E-2</v>
      </c>
      <c r="AB541" s="229"/>
      <c r="AC541" s="223">
        <f>$G$29*AA541</f>
        <v>-3.3641358326233939</v>
      </c>
    </row>
    <row r="542" spans="21:29" x14ac:dyDescent="0.3">
      <c r="U542" s="213"/>
      <c r="V542" s="221">
        <f>(AA541+Z540/2)*$V$34</f>
        <v>-1.2277024519596575E-2</v>
      </c>
      <c r="W542" s="221"/>
      <c r="X542" s="221">
        <f t="shared" ref="X542" si="470">W541+V542/2</f>
        <v>-5.9075322650911796E-2</v>
      </c>
      <c r="Y542" s="221"/>
      <c r="Z542" s="221">
        <f>-$V$35*(X542+Y541*((AA541+Z540/2)^2))</f>
        <v>1.009195399295787E-3</v>
      </c>
      <c r="AA542" s="221"/>
      <c r="AB542" s="229">
        <f t="shared" ref="AB542" si="471">AA541+Z542/2</f>
        <v>-7.0934920506405569E-2</v>
      </c>
      <c r="AC542" s="213"/>
    </row>
    <row r="543" spans="21:29" x14ac:dyDescent="0.3">
      <c r="U543" s="220">
        <f>U541+$V$28</f>
        <v>50.200000000000173</v>
      </c>
      <c r="V543" s="221"/>
      <c r="W543" s="221">
        <f>IF(W541+V542&lt;0,(W541+V542)*0.8,W541+V542)</f>
        <v>-5.2171067928568071E-2</v>
      </c>
      <c r="X543" s="221"/>
      <c r="Y543" s="221">
        <f>Y541*(AC543/AC541)^2</f>
        <v>8.6360217422620184E-5</v>
      </c>
      <c r="Z543" s="221"/>
      <c r="AA543" s="221">
        <f>IF(AND(ABS(AA541+Z542)&gt;$G$27*0.8,(AA541+Z542)&lt;0),-$G$27*0.5,IF(AND(ABS(AA541+Z542)&gt;$G$27*0.8,(AA541+Z542)&gt;0),$G$27*0.5,AA541+Z542))</f>
        <v>-7.0430322806757678E-2</v>
      </c>
      <c r="AB543" s="229"/>
      <c r="AC543" s="223">
        <f>$G$29*AA543</f>
        <v>-3.316612130194478</v>
      </c>
    </row>
    <row r="544" spans="21:29" x14ac:dyDescent="0.3">
      <c r="U544" s="220"/>
      <c r="V544" s="221">
        <f>(AA543+Z542/2)*$V$34</f>
        <v>-1.2103625349499027E-2</v>
      </c>
      <c r="W544" s="221"/>
      <c r="X544" s="221">
        <f t="shared" ref="X544" si="472">W543+V544/2</f>
        <v>-5.8222880603317581E-2</v>
      </c>
      <c r="Y544" s="221"/>
      <c r="Z544" s="221">
        <f>-$V$35*(X544+Y543*((AA543+Z542/2)^2))</f>
        <v>9.9463327571541857E-4</v>
      </c>
      <c r="AA544" s="221"/>
      <c r="AB544" s="221">
        <f t="shared" ref="AB544" si="473">AA543+Z544/2</f>
        <v>-6.9933006168899969E-2</v>
      </c>
      <c r="AC544" s="224"/>
    </row>
    <row r="545" spans="21:29" x14ac:dyDescent="0.3">
      <c r="U545" s="220">
        <f>U543+$V$28</f>
        <v>50.400000000000176</v>
      </c>
      <c r="V545" s="221"/>
      <c r="W545" s="221">
        <f>IF(W543+V544&lt;0,(W543+V544)*0.8,W543+V544)</f>
        <v>-5.1419754622453677E-2</v>
      </c>
      <c r="X545" s="221"/>
      <c r="Y545" s="221">
        <f>Y543*(AC545/AC543)^2</f>
        <v>8.3938243031166421E-5</v>
      </c>
      <c r="Z545" s="221"/>
      <c r="AA545" s="221">
        <f>IF(AND(ABS(AA543+Z544)&gt;$G$27*0.8,(AA543+Z544)&lt;0),-$G$27*0.5,IF(AND(ABS(AA543+Z544)&gt;$G$27*0.8,(AA543+Z544)&gt;0),$G$27*0.5,AA543+Z544))</f>
        <v>-6.9435689531042261E-2</v>
      </c>
      <c r="AB545" s="221"/>
      <c r="AC545" s="223">
        <f>$G$29*AA545</f>
        <v>-3.2697741681368013</v>
      </c>
    </row>
    <row r="546" spans="21:29" x14ac:dyDescent="0.3">
      <c r="U546" s="213"/>
      <c r="V546" s="221">
        <f>(AA545+Z544/2)*$V$34</f>
        <v>-1.1932721990727358E-2</v>
      </c>
      <c r="W546" s="221"/>
      <c r="X546" s="221">
        <f t="shared" ref="X546" si="474">W545+V546/2</f>
        <v>-5.7386115617817354E-2</v>
      </c>
      <c r="Y546" s="221"/>
      <c r="Z546" s="221">
        <f>-$V$35*(X546+Y545*((AA545+Z544/2)^2))</f>
        <v>9.8033894503013084E-4</v>
      </c>
      <c r="AA546" s="221"/>
      <c r="AB546" s="221">
        <f t="shared" ref="AB546" si="475">AA545+Z546/2</f>
        <v>-6.8945520058527193E-2</v>
      </c>
      <c r="AC546" s="213"/>
    </row>
    <row r="547" spans="21:29" x14ac:dyDescent="0.3">
      <c r="U547" s="220">
        <f>U545+$V$28</f>
        <v>50.600000000000179</v>
      </c>
      <c r="V547" s="221"/>
      <c r="W547" s="221">
        <f>IF(W545+V546&lt;0,(W545+V546)*0.8,W545+V546)</f>
        <v>-5.0681981290544832E-2</v>
      </c>
      <c r="X547" s="221"/>
      <c r="Y547" s="221">
        <f>Y545*(AC547/AC545)^2</f>
        <v>8.1584783837534752E-5</v>
      </c>
      <c r="Z547" s="221"/>
      <c r="AA547" s="221">
        <f>IF(AND(ABS(AA545+Z546)&gt;$G$27*0.8,(AA545+Z546)&lt;0),-$G$27*0.5,IF(AND(ABS(AA545+Z546)&gt;$G$27*0.8,(AA545+Z546)&gt;0),$G$27*0.5,AA545+Z546))</f>
        <v>-6.8455350586012126E-2</v>
      </c>
      <c r="AB547" s="221"/>
      <c r="AC547" s="223">
        <f>$G$29*AA547</f>
        <v>-3.2236093358995559</v>
      </c>
    </row>
    <row r="548" spans="21:29" x14ac:dyDescent="0.3">
      <c r="U548" s="220"/>
      <c r="V548" s="221">
        <f>(AA547+Z546/2)*$V$34</f>
        <v>-1.1764269698291252E-2</v>
      </c>
      <c r="W548" s="221"/>
      <c r="X548" s="221">
        <f t="shared" ref="X548" si="476">W547+V548/2</f>
        <v>-5.6564116139690458E-2</v>
      </c>
      <c r="Y548" s="221"/>
      <c r="Z548" s="221">
        <f>-$V$35*(X548+Y547*((AA547+Z546/2)^2))</f>
        <v>9.6629683618307163E-4</v>
      </c>
      <c r="AA548" s="221"/>
      <c r="AB548" s="221">
        <f t="shared" ref="AB548" si="477">AA547+Z548/2</f>
        <v>-6.797220216792059E-2</v>
      </c>
      <c r="AC548" s="213"/>
    </row>
    <row r="549" spans="21:29" x14ac:dyDescent="0.3">
      <c r="U549" s="220">
        <f>U547+$V$28</f>
        <v>50.800000000000182</v>
      </c>
      <c r="V549" s="221"/>
      <c r="W549" s="221">
        <f>IF(W547+V548&lt;0,(W547+V548)*0.8,W547+V548)</f>
        <v>-4.9957000791068872E-2</v>
      </c>
      <c r="X549" s="221"/>
      <c r="Y549" s="221">
        <f>Y547*(AC549/AC547)^2</f>
        <v>7.9297783319823024E-5</v>
      </c>
      <c r="Z549" s="221"/>
      <c r="AA549" s="221">
        <f>IF(AND(ABS(AA547+Z548)&gt;$G$27*0.8,(AA547+Z548)&lt;0),-$G$27*0.5,IF(AND(ABS(AA547+Z548)&gt;$G$27*0.8,(AA547+Z548)&gt;0),$G$27*0.5,AA547+Z548))</f>
        <v>-6.7489053749829053E-2</v>
      </c>
      <c r="AB549" s="221"/>
      <c r="AC549" s="223">
        <f>$G$29*AA549</f>
        <v>-3.1781057561836636</v>
      </c>
    </row>
    <row r="550" spans="21:29" x14ac:dyDescent="0.3">
      <c r="U550" s="213"/>
      <c r="V550" s="221">
        <f>(AA549+Z548/2)*$V$34</f>
        <v>-1.1598226162075068E-2</v>
      </c>
      <c r="W550" s="221"/>
      <c r="X550" s="221">
        <f t="shared" ref="X550" si="478">W549+V550/2</f>
        <v>-5.5756113872106404E-2</v>
      </c>
      <c r="Y550" s="221"/>
      <c r="Z550" s="221">
        <f>-$V$35*(X550+Y549*((AA549+Z548/2)^2))</f>
        <v>9.5249382535776835E-4</v>
      </c>
      <c r="AA550" s="221"/>
      <c r="AB550" s="221">
        <f t="shared" ref="AB550" si="479">AA549+Z550/2</f>
        <v>-6.7012806837150163E-2</v>
      </c>
      <c r="AC550" s="213"/>
    </row>
    <row r="551" spans="21:29" x14ac:dyDescent="0.3">
      <c r="U551" s="220">
        <f>U549+$V$28</f>
        <v>51.000000000000185</v>
      </c>
      <c r="V551" s="221"/>
      <c r="W551" s="221">
        <f>IF(W549+V550&lt;0,(W549+V550)*0.8,W549+V550)</f>
        <v>-4.9244181562515157E-2</v>
      </c>
      <c r="X551" s="221"/>
      <c r="Y551" s="221">
        <f>Y549*(AC551/AC549)^2</f>
        <v>7.7075270152413355E-5</v>
      </c>
      <c r="Z551" s="221"/>
      <c r="AA551" s="221">
        <f>IF(AND(ABS(AA549+Z550)&gt;$G$27*0.8,(AA549+Z550)&lt;0),-$G$27*0.5,IF(AND(ABS(AA549+Z550)&gt;$G$27*0.8,(AA549+Z550)&gt;0),$G$27*0.5,AA549+Z550))</f>
        <v>-6.6536559924471286E-2</v>
      </c>
      <c r="AB551" s="221"/>
      <c r="AC551" s="223">
        <f>$G$29*AA551</f>
        <v>-3.1332521696995506</v>
      </c>
    </row>
    <row r="552" spans="21:29" x14ac:dyDescent="0.3">
      <c r="U552" s="213"/>
      <c r="V552" s="221">
        <f>(AA551+Z550/2)*$V$34</f>
        <v>-1.1434551131799042E-2</v>
      </c>
      <c r="W552" s="221"/>
      <c r="X552" s="221">
        <f t="shared" ref="X552" si="480">W551+V552/2</f>
        <v>-5.496145712841468E-2</v>
      </c>
      <c r="Y552" s="221"/>
      <c r="Z552" s="221">
        <f>-$V$35*(X552+Y551*((AA551+Z550/2)^2))</f>
        <v>9.389187807527312E-4</v>
      </c>
      <c r="AA552" s="221"/>
      <c r="AB552" s="221">
        <f t="shared" ref="AB552" si="481">AA551+Z552/2</f>
        <v>-6.6067100534094925E-2</v>
      </c>
      <c r="AC552" s="213"/>
    </row>
    <row r="553" spans="21:29" x14ac:dyDescent="0.3">
      <c r="U553" s="220">
        <f>U551+$V$28</f>
        <v>51.200000000000188</v>
      </c>
      <c r="V553" s="221"/>
      <c r="W553" s="221">
        <f>IF(W551+V552&lt;0,(W551+V552)*0.8,W551+V552)</f>
        <v>-4.8542986155451363E-2</v>
      </c>
      <c r="X553" s="221"/>
      <c r="Y553" s="221">
        <f>Y551*(AC553/AC551)^2</f>
        <v>7.4915350288567572E-5</v>
      </c>
      <c r="Z553" s="221"/>
      <c r="AA553" s="221">
        <f>IF(AND(ABS(AA551+Z552)&gt;$G$27*0.8,(AA551+Z552)&lt;0),-$G$27*0.5,IF(AND(ABS(AA551+Z552)&gt;$G$27*0.8,(AA551+Z552)&gt;0),$G$27*0.5,AA551+Z552))</f>
        <v>-6.5597641143718549E-2</v>
      </c>
      <c r="AB553" s="221"/>
      <c r="AC553" s="223">
        <f>$G$29*AA553</f>
        <v>-3.0890378413617974</v>
      </c>
    </row>
    <row r="554" spans="21:29" x14ac:dyDescent="0.3">
      <c r="U554" s="213"/>
      <c r="V554" s="221">
        <f>(AA553+Z552/2)*$V$34</f>
        <v>-1.1273206111614312E-2</v>
      </c>
      <c r="W554" s="221"/>
      <c r="X554" s="221">
        <f t="shared" ref="X554" si="482">W553+V554/2</f>
        <v>-5.4179589211258518E-2</v>
      </c>
      <c r="Y554" s="221"/>
      <c r="Z554" s="221">
        <f>-$V$35*(X554+Y553*((AA553+Z552/2)^2))</f>
        <v>9.2556219323022002E-4</v>
      </c>
      <c r="AA554" s="221"/>
      <c r="AB554" s="221">
        <f t="shared" ref="AB554" si="483">AA553+Z554/2</f>
        <v>-6.5134860047103435E-2</v>
      </c>
      <c r="AC554" s="213"/>
    </row>
    <row r="555" spans="21:29" x14ac:dyDescent="0.3">
      <c r="U555" s="220">
        <f>U553+$V$28</f>
        <v>51.40000000000019</v>
      </c>
      <c r="V555" s="221"/>
      <c r="W555" s="221">
        <f>IF(W553+V554&lt;0,(W553+V554)*0.8,W553+V554)</f>
        <v>-4.7852953813652545E-2</v>
      </c>
      <c r="X555" s="221"/>
      <c r="Y555" s="221">
        <f>Y553*(AC555/AC553)^2</f>
        <v>7.2816200373422365E-5</v>
      </c>
      <c r="Z555" s="221"/>
      <c r="AA555" s="221">
        <f>IF(AND(ABS(AA553+Z554)&gt;$G$27*0.8,(AA553+Z554)&lt;0),-$G$27*0.5,IF(AND(ABS(AA553+Z554)&gt;$G$27*0.8,(AA553+Z554)&gt;0),$G$27*0.5,AA553+Z554))</f>
        <v>-6.4672078950488335E-2</v>
      </c>
      <c r="AB555" s="221"/>
      <c r="AC555" s="223">
        <f>$G$29*AA555</f>
        <v>-3.0454524838767938</v>
      </c>
    </row>
    <row r="556" spans="21:29" x14ac:dyDescent="0.3">
      <c r="U556" s="213"/>
      <c r="V556" s="221">
        <f>(AA555+Z554/2)*$V$34</f>
        <v>-1.1114154111197826E-2</v>
      </c>
      <c r="W556" s="221"/>
      <c r="X556" s="221">
        <f t="shared" ref="X556" si="484">W555+V556/2</f>
        <v>-5.341003086925146E-2</v>
      </c>
      <c r="Y556" s="221"/>
      <c r="Z556" s="221">
        <f>-$V$35*(X556+Y555*((AA555+Z554/2)^2))</f>
        <v>9.1241587662276014E-4</v>
      </c>
      <c r="AA556" s="221"/>
      <c r="AB556" s="221">
        <f t="shared" ref="AB556" si="485">AA555+Z556/2</f>
        <v>-6.4215871012176962E-2</v>
      </c>
      <c r="AC556" s="213"/>
    </row>
    <row r="557" spans="21:29" x14ac:dyDescent="0.3">
      <c r="U557" s="220">
        <f>U555+$V$28</f>
        <v>51.600000000000193</v>
      </c>
      <c r="V557" s="221"/>
      <c r="W557" s="221">
        <f>IF(W555+V556&lt;0,(W555+V556)*0.8,W555+V556)</f>
        <v>-4.7173686339880297E-2</v>
      </c>
      <c r="X557" s="221"/>
      <c r="Y557" s="221">
        <f>Y555*(AC557/AC555)^2</f>
        <v>7.0776062227822533E-5</v>
      </c>
      <c r="Z557" s="221"/>
      <c r="AA557" s="221">
        <f>IF(AND(ABS(AA555+Z556)&gt;$G$27*0.8,(AA555+Z556)&lt;0),-$G$27*0.5,IF(AND(ABS(AA555+Z556)&gt;$G$27*0.8,(AA555+Z556)&gt;0),$G$27*0.5,AA555+Z556))</f>
        <v>-6.3759663073865575E-2</v>
      </c>
      <c r="AB557" s="221"/>
      <c r="AC557" s="223">
        <f>$G$29*AA557</f>
        <v>-3.0024861954431601</v>
      </c>
    </row>
    <row r="558" spans="21:29" x14ac:dyDescent="0.3">
      <c r="U558" s="213"/>
      <c r="V558" s="221">
        <f>(AA557+Z556/2)*$V$34</f>
        <v>-1.095735944269334E-2</v>
      </c>
      <c r="W558" s="221"/>
      <c r="X558" s="221">
        <f t="shared" ref="X558" si="486">W557+V558/2</f>
        <v>-5.2652366061226967E-2</v>
      </c>
      <c r="Y558" s="221"/>
      <c r="Z558" s="221">
        <f>-$V$35*(X558+Y557*((AA557+Z556/2)^2))</f>
        <v>8.9947272454351634E-4</v>
      </c>
      <c r="AA558" s="221"/>
      <c r="AB558" s="221">
        <f t="shared" ref="AB558" si="487">AA557+Z558/2</f>
        <v>-6.3309926711593814E-2</v>
      </c>
      <c r="AC558" s="213"/>
    </row>
    <row r="559" spans="21:29" x14ac:dyDescent="0.3">
      <c r="U559" s="220">
        <f>U557+$V$28</f>
        <v>51.800000000000196</v>
      </c>
      <c r="V559" s="221"/>
      <c r="W559" s="221">
        <f>IF(W557+V558&lt;0,(W557+V558)*0.8,W557+V558)</f>
        <v>-4.6504836626058914E-2</v>
      </c>
      <c r="X559" s="221"/>
      <c r="Y559" s="221">
        <f>Y557*(AC559/AC557)^2</f>
        <v>6.8793238195308709E-5</v>
      </c>
      <c r="Z559" s="221"/>
      <c r="AA559" s="221">
        <f>IF(AND(ABS(AA557+Z558)&gt;$G$27*0.8,(AA557+Z558)&lt;0),-$G$27*0.5,IF(AND(ABS(AA557+Z558)&gt;$G$27*0.8,(AA557+Z558)&gt;0),$G$27*0.5,AA557+Z558))</f>
        <v>-6.2860190349322054E-2</v>
      </c>
      <c r="AB559" s="221"/>
      <c r="AC559" s="223">
        <f>$G$29*AA559</f>
        <v>-2.9601294089041401</v>
      </c>
    </row>
    <row r="560" spans="21:29" x14ac:dyDescent="0.3">
      <c r="U560" s="213"/>
      <c r="V560" s="221">
        <f>(AA559+Z558/2)*$V$34</f>
        <v>-1.0802787554856532E-2</v>
      </c>
      <c r="W560" s="221"/>
      <c r="X560" s="221">
        <f t="shared" ref="X560" si="488">W559+V560/2</f>
        <v>-5.1906230403487179E-2</v>
      </c>
      <c r="Y560" s="221"/>
      <c r="Z560" s="221">
        <f>-$V$35*(X560+Y559*((AA559+Z558/2)^2))</f>
        <v>8.8672651303080198E-4</v>
      </c>
      <c r="AA560" s="221"/>
      <c r="AB560" s="221">
        <f t="shared" ref="AB560" si="489">AA559+Z560/2</f>
        <v>-6.2416827092806652E-2</v>
      </c>
      <c r="AC560" s="213"/>
    </row>
    <row r="561" spans="21:29" x14ac:dyDescent="0.3">
      <c r="U561" s="220">
        <f>U559+$V$28</f>
        <v>52.000000000000199</v>
      </c>
      <c r="V561" s="221"/>
      <c r="W561" s="221">
        <f>IF(W559+V560&lt;0,(W559+V560)*0.8,W559+V560)</f>
        <v>-4.5846099344732355E-2</v>
      </c>
      <c r="X561" s="221"/>
      <c r="Y561" s="221">
        <f>Y559*(AC561/AC559)^2</f>
        <v>6.6866087186036487E-5</v>
      </c>
      <c r="Z561" s="221"/>
      <c r="AA561" s="221">
        <f>IF(AND(ABS(AA559+Z560)&gt;$G$27*0.8,(AA559+Z560)&lt;0),-$G$27*0.5,IF(AND(ABS(AA559+Z560)&gt;$G$27*0.8,(AA559+Z560)&gt;0),$G$27*0.5,AA559+Z560))</f>
        <v>-6.1973463836291251E-2</v>
      </c>
      <c r="AB561" s="221"/>
      <c r="AC561" s="223">
        <f>$G$29*AA561</f>
        <v>-2.9183728501935948</v>
      </c>
    </row>
    <row r="562" spans="21:29" x14ac:dyDescent="0.3">
      <c r="U562" s="213"/>
      <c r="V562" s="221">
        <f>(AA561+Z560/2)*$V$34</f>
        <v>-1.0650404897394158E-2</v>
      </c>
      <c r="W562" s="221"/>
      <c r="X562" s="221">
        <f t="shared" ref="X562" si="490">W561+V562/2</f>
        <v>-5.1171301793429436E-2</v>
      </c>
      <c r="Y562" s="221"/>
      <c r="Z562" s="221">
        <f>-$V$35*(X562+Y561*((AA561+Z560/2)^2))</f>
        <v>8.7417174037200966E-4</v>
      </c>
      <c r="AA562" s="221"/>
      <c r="AB562" s="221">
        <f t="shared" ref="AB562" si="491">AA561+Z562/2</f>
        <v>-6.1536377966105248E-2</v>
      </c>
      <c r="AC562" s="213"/>
    </row>
    <row r="563" spans="21:29" x14ac:dyDescent="0.3">
      <c r="U563" s="220">
        <f>U561+$V$28</f>
        <v>52.200000000000202</v>
      </c>
      <c r="V563" s="221"/>
      <c r="W563" s="221">
        <f>IF(W561+V562&lt;0,(W561+V562)*0.8,W561+V562)</f>
        <v>-4.5197203393701216E-2</v>
      </c>
      <c r="X563" s="221"/>
      <c r="Y563" s="221">
        <f>Y561*(AC563/AC561)^2</f>
        <v>6.4993021284547522E-5</v>
      </c>
      <c r="Z563" s="221"/>
      <c r="AA563" s="221">
        <f>IF(AND(ABS(AA561+Z562)&gt;$G$27*0.8,(AA561+Z562)&lt;0),-$G$27*0.5,IF(AND(ABS(AA561+Z562)&gt;$G$27*0.8,(AA561+Z562)&gt;0),$G$27*0.5,AA561+Z562))</f>
        <v>-6.1099292095919244E-2</v>
      </c>
      <c r="AB563" s="221"/>
      <c r="AC563" s="223">
        <f>$G$29*AA563</f>
        <v>-2.8772075043248004</v>
      </c>
    </row>
    <row r="564" spans="21:29" x14ac:dyDescent="0.3">
      <c r="U564" s="213"/>
      <c r="V564" s="221">
        <f>(AA563+Z562/2)*$V$34</f>
        <v>-1.0500178809810704E-2</v>
      </c>
      <c r="W564" s="221"/>
      <c r="X564" s="221">
        <f t="shared" ref="X564" si="492">W563+V564/2</f>
        <v>-5.0447292798606568E-2</v>
      </c>
      <c r="Y564" s="221"/>
      <c r="Z564" s="221">
        <f>-$V$35*(X564+Y563*((AA563+Z562/2)^2))</f>
        <v>8.6180349708671821E-4</v>
      </c>
      <c r="AA564" s="221"/>
      <c r="AB564" s="221">
        <f t="shared" ref="AB564" si="493">AA563+Z564/2</f>
        <v>-6.0668390347375888E-2</v>
      </c>
      <c r="AC564" s="213"/>
    </row>
    <row r="565" spans="21:29" x14ac:dyDescent="0.3">
      <c r="U565" s="220">
        <f>U563+$V$28</f>
        <v>52.400000000000205</v>
      </c>
      <c r="V565" s="221"/>
      <c r="W565" s="221">
        <f>IF(W563+V564&lt;0,(W563+V564)*0.8,W563+V564)</f>
        <v>-4.455790576280954E-2</v>
      </c>
      <c r="X565" s="221"/>
      <c r="Y565" s="221">
        <f>Y563*(AC565/AC563)^2</f>
        <v>6.3172502814808288E-5</v>
      </c>
      <c r="Z565" s="221"/>
      <c r="AA565" s="221">
        <f>IF(AND(ABS(AA563+Z564)&gt;$G$27*0.8,(AA563+Z564)&lt;0),-$G$27*0.5,IF(AND(ABS(AA563+Z564)&gt;$G$27*0.8,(AA563+Z564)&gt;0),$G$27*0.5,AA563+Z564))</f>
        <v>-6.0237488598832524E-2</v>
      </c>
      <c r="AB565" s="221"/>
      <c r="AC565" s="223">
        <f>$G$29*AA565</f>
        <v>-2.8366245875018268</v>
      </c>
    </row>
    <row r="566" spans="21:29" x14ac:dyDescent="0.3">
      <c r="U566" s="213"/>
      <c r="V566" s="221">
        <f>(AA565+Z564/2)*$V$34</f>
        <v>-1.0352077430149867E-2</v>
      </c>
      <c r="W566" s="221"/>
      <c r="X566" s="221">
        <f t="shared" ref="X566" si="494">W565+V566/2</f>
        <v>-4.973394447788447E-2</v>
      </c>
      <c r="Y566" s="221"/>
      <c r="Z566" s="221">
        <f>-$V$35*(X566+Y565*((AA565+Z564/2)^2))</f>
        <v>8.4961736037452351E-4</v>
      </c>
      <c r="AA566" s="221"/>
      <c r="AB566" s="221">
        <f t="shared" ref="AB566" si="495">AA565+Z566/2</f>
        <v>-5.9812679918645265E-2</v>
      </c>
      <c r="AC566" s="213"/>
    </row>
    <row r="567" spans="21:29" x14ac:dyDescent="0.3">
      <c r="U567" s="220">
        <f>U565+$V$28</f>
        <v>52.600000000000207</v>
      </c>
      <c r="V567" s="221"/>
      <c r="W567" s="221">
        <f>IF(W565+V566&lt;0,(W565+V566)*0.8,W565+V566)</f>
        <v>-4.3927986554367526E-2</v>
      </c>
      <c r="X567" s="221"/>
      <c r="Y567" s="221">
        <f>Y565*(AC567/AC565)^2</f>
        <v>6.1403041777118936E-5</v>
      </c>
      <c r="Z567" s="221"/>
      <c r="AA567" s="221">
        <f>IF(AND(ABS(AA565+Z566)&gt;$G$27*0.8,(AA565+Z566)&lt;0),-$G$27*0.5,IF(AND(ABS(AA565+Z566)&gt;$G$27*0.8,(AA565+Z566)&gt;0),$G$27*0.5,AA565+Z566))</f>
        <v>-5.9387871238457998E-2</v>
      </c>
      <c r="AB567" s="221"/>
      <c r="AC567" s="223">
        <f>$G$29*AA567</f>
        <v>-2.7966155242014441</v>
      </c>
    </row>
    <row r="568" spans="21:29" x14ac:dyDescent="0.3">
      <c r="U568" s="213"/>
      <c r="V568" s="221">
        <f>(AA567+Z566/2)*$V$34</f>
        <v>-1.0206069619888999E-2</v>
      </c>
      <c r="W568" s="221"/>
      <c r="X568" s="221">
        <f t="shared" ref="X568" si="496">W567+V568/2</f>
        <v>-4.9031021364312026E-2</v>
      </c>
      <c r="Y568" s="221"/>
      <c r="Z568" s="221">
        <f>-$V$35*(X568+Y567*((AA567+Z566/2)^2))</f>
        <v>8.3760930840855099E-4</v>
      </c>
      <c r="AA568" s="221"/>
      <c r="AB568" s="221">
        <f t="shared" ref="AB568" si="497">AA567+Z568/2</f>
        <v>-5.8969066584253722E-2</v>
      </c>
      <c r="AC568" s="213"/>
    </row>
    <row r="569" spans="21:29" x14ac:dyDescent="0.3">
      <c r="U569" s="220">
        <f>U567+$V$28</f>
        <v>52.80000000000021</v>
      </c>
      <c r="V569" s="221"/>
      <c r="W569" s="221">
        <f>IF(W567+V568&lt;0,(W567+V568)*0.8,W567+V568)</f>
        <v>-4.3307244939405222E-2</v>
      </c>
      <c r="X569" s="221"/>
      <c r="Y569" s="221">
        <f>Y567*(AC569/AC567)^2</f>
        <v>5.9683193588435664E-5</v>
      </c>
      <c r="Z569" s="221"/>
      <c r="AA569" s="221">
        <f>IF(AND(ABS(AA567+Z568)&gt;$G$27*0.8,(AA567+Z568)&lt;0),-$G$27*0.5,IF(AND(ABS(AA567+Z568)&gt;$G$27*0.8,(AA567+Z568)&gt;0),$G$27*0.5,AA567+Z568))</f>
        <v>-5.8550261930049446E-2</v>
      </c>
      <c r="AB569" s="221"/>
      <c r="AC569" s="223">
        <f>$G$29*AA569</f>
        <v>-2.7571719282910037</v>
      </c>
    </row>
    <row r="570" spans="21:29" x14ac:dyDescent="0.3">
      <c r="U570" s="213"/>
      <c r="V570" s="221">
        <f>(AA569+Z568/2)*$V$34</f>
        <v>-1.0062124901951137E-2</v>
      </c>
      <c r="W570" s="221"/>
      <c r="X570" s="221">
        <f t="shared" ref="X570" si="498">W569+V570/2</f>
        <v>-4.8338307390380794E-2</v>
      </c>
      <c r="Y570" s="221"/>
      <c r="Z570" s="221">
        <f>-$V$35*(X570+Y569*((AA569+Z568/2)^2))</f>
        <v>8.2577565072791638E-4</v>
      </c>
      <c r="AA570" s="221"/>
      <c r="AB570" s="221">
        <f t="shared" ref="AB570" si="499">AA569+Z570/2</f>
        <v>-5.8137374104685488E-2</v>
      </c>
      <c r="AC570" s="213"/>
    </row>
    <row r="571" spans="21:29" x14ac:dyDescent="0.3">
      <c r="U571" s="220">
        <f>U569+$V$28</f>
        <v>53.000000000000213</v>
      </c>
      <c r="V571" s="221"/>
      <c r="W571" s="221">
        <f>IF(W569+V570&lt;0,(W569+V570)*0.8,W569+V570)</f>
        <v>-4.269549587308509E-2</v>
      </c>
      <c r="X571" s="221"/>
      <c r="Y571" s="221">
        <f>Y569*(AC571/AC569)^2</f>
        <v>5.8011557071199714E-5</v>
      </c>
      <c r="Z571" s="221"/>
      <c r="AA571" s="221">
        <f>IF(AND(ABS(AA569+Z570)&gt;$G$27*0.8,(AA569+Z570)&lt;0),-$G$27*0.5,IF(AND(ABS(AA569+Z570)&gt;$G$27*0.8,(AA569+Z570)&gt;0),$G$27*0.5,AA569+Z570))</f>
        <v>-5.772448627932153E-2</v>
      </c>
      <c r="AB571" s="221"/>
      <c r="AC571" s="223">
        <f>$G$29*AA571</f>
        <v>-2.7182855874241882</v>
      </c>
    </row>
    <row r="572" spans="21:29" x14ac:dyDescent="0.3">
      <c r="U572" s="213"/>
      <c r="V572" s="221">
        <f>(AA571+Z570/2)*$V$34</f>
        <v>-9.9202134093722746E-3</v>
      </c>
      <c r="W572" s="221"/>
      <c r="X572" s="221">
        <f t="shared" ref="X572" si="500">W571+V572/2</f>
        <v>-4.7655602577771225E-2</v>
      </c>
      <c r="Y572" s="221"/>
      <c r="Z572" s="221">
        <f>-$V$35*(X572+Y571*((AA571+Z570/2)^2))</f>
        <v>8.1411297168997889E-4</v>
      </c>
      <c r="AA572" s="221"/>
      <c r="AB572" s="221">
        <f t="shared" ref="AB572" si="501">AA571+Z572/2</f>
        <v>-5.7317429793476538E-2</v>
      </c>
      <c r="AC572" s="213"/>
    </row>
    <row r="573" spans="21:29" x14ac:dyDescent="0.3">
      <c r="U573" s="220">
        <f>U571+$V$28</f>
        <v>53.200000000000216</v>
      </c>
      <c r="V573" s="221"/>
      <c r="W573" s="221">
        <f>IF(W571+V572&lt;0,(W571+V572)*0.8,W571+V572)</f>
        <v>-4.2092567425965899E-2</v>
      </c>
      <c r="X573" s="221"/>
      <c r="Y573" s="221">
        <f>Y571*(AC573/AC571)^2</f>
        <v>5.6386772646603604E-5</v>
      </c>
      <c r="Z573" s="221"/>
      <c r="AA573" s="221">
        <f>IF(AND(ABS(AA571+Z572)&gt;$G$27*0.8,(AA571+Z572)&lt;0),-$G$27*0.5,IF(AND(ABS(AA571+Z572)&gt;$G$27*0.8,(AA571+Z572)&gt;0),$G$27*0.5,AA571+Z572))</f>
        <v>-5.6910373307631552E-2</v>
      </c>
      <c r="AB573" s="221"/>
      <c r="AC573" s="223">
        <f>$G$29*AA573</f>
        <v>-2.6799484500996296</v>
      </c>
    </row>
    <row r="574" spans="21:29" x14ac:dyDescent="0.3">
      <c r="U574" s="213"/>
      <c r="V574" s="221">
        <f>(AA573+Z572/2)*$V$34</f>
        <v>-9.7803058426263606E-3</v>
      </c>
      <c r="W574" s="221"/>
      <c r="X574" s="221">
        <f t="shared" ref="X574" si="502">W573+V574/2</f>
        <v>-4.6982720347279079E-2</v>
      </c>
      <c r="Y574" s="221"/>
      <c r="Z574" s="221">
        <f>-$V$35*(X574+Y573*((AA573+Z572/2)^2))</f>
        <v>8.0261808451717294E-4</v>
      </c>
      <c r="AA574" s="221"/>
      <c r="AB574" s="221">
        <f t="shared" ref="AB574" si="503">AA573+Z574/2</f>
        <v>-5.6509064265372964E-2</v>
      </c>
      <c r="AC574" s="213"/>
    </row>
    <row r="575" spans="21:29" x14ac:dyDescent="0.3">
      <c r="U575" s="220">
        <f>U573+$V$28</f>
        <v>53.400000000000219</v>
      </c>
      <c r="V575" s="221"/>
      <c r="W575" s="221">
        <f>IF(W573+V574&lt;0,(W573+V574)*0.8,W573+V574)</f>
        <v>-4.1498298614873808E-2</v>
      </c>
      <c r="X575" s="221"/>
      <c r="Y575" s="221">
        <f>Y573*(AC575/AC573)^2</f>
        <v>5.4807520696895959E-5</v>
      </c>
      <c r="Z575" s="221"/>
      <c r="AA575" s="221">
        <f>IF(AND(ABS(AA573+Z574)&gt;$G$27*0.8,(AA573+Z574)&lt;0),-$G$27*0.5,IF(AND(ABS(AA573+Z574)&gt;$G$27*0.8,(AA573+Z574)&gt;0),$G$27*0.5,AA573+Z574))</f>
        <v>-5.6107755223114376E-2</v>
      </c>
      <c r="AB575" s="221"/>
      <c r="AC575" s="223">
        <f>$G$29*AA575</f>
        <v>-2.6421526148834986</v>
      </c>
    </row>
    <row r="576" spans="21:29" x14ac:dyDescent="0.3">
      <c r="U576" s="213"/>
      <c r="V576" s="221">
        <f>(AA575+Z574/2)*$V$34</f>
        <v>-9.642373433987517E-3</v>
      </c>
      <c r="W576" s="221"/>
      <c r="X576" s="221">
        <f t="shared" ref="X576" si="504">W575+V576/2</f>
        <v>-4.6319485331867569E-2</v>
      </c>
      <c r="Y576" s="221"/>
      <c r="Z576" s="221">
        <f>-$V$35*(X576+Y575*((AA575+Z574/2)^2))</f>
        <v>7.91287993938754E-4</v>
      </c>
      <c r="AA576" s="221"/>
      <c r="AB576" s="221">
        <f t="shared" ref="AB576" si="505">AA575+Z576/2</f>
        <v>-5.5712111226145E-2</v>
      </c>
      <c r="AC576" s="213"/>
    </row>
    <row r="577" spans="21:29" x14ac:dyDescent="0.3">
      <c r="U577" s="220">
        <f>U575+$V$28</f>
        <v>53.600000000000222</v>
      </c>
      <c r="V577" s="221"/>
      <c r="W577" s="221">
        <f>IF(W575+V576&lt;0,(W575+V576)*0.8,W575+V576)</f>
        <v>-4.0912537639089058E-2</v>
      </c>
      <c r="X577" s="221"/>
      <c r="Y577" s="221">
        <f>Y575*(AC577/AC575)^2</f>
        <v>5.327252006826209E-5</v>
      </c>
      <c r="Z577" s="221"/>
      <c r="AA577" s="221">
        <f>IF(AND(ABS(AA575+Z576)&gt;$G$27*0.8,(AA575+Z576)&lt;0),-$G$27*0.5,IF(AND(ABS(AA575+Z576)&gt;$G$27*0.8,(AA575+Z576)&gt;0),$G$27*0.5,AA575+Z576))</f>
        <v>-5.5316467229175624E-2</v>
      </c>
      <c r="AB577" s="221"/>
      <c r="AC577" s="223">
        <f>$G$29*AA577</f>
        <v>-2.6048903213913168</v>
      </c>
    </row>
    <row r="578" spans="21:29" x14ac:dyDescent="0.3">
      <c r="U578" s="213"/>
      <c r="V578" s="221">
        <f>(AA577+Z576/2)*$V$34</f>
        <v>-9.5063879176148607E-3</v>
      </c>
      <c r="W578" s="221"/>
      <c r="X578" s="221">
        <f t="shared" ref="X578" si="506">W577+V578/2</f>
        <v>-4.566573159789649E-2</v>
      </c>
      <c r="Y578" s="221"/>
      <c r="Z578" s="221">
        <f>-$V$35*(X578+Y577*((AA577+Z576/2)^2))</f>
        <v>7.8011986580543203E-4</v>
      </c>
      <c r="AA578" s="221"/>
      <c r="AB578" s="221">
        <f t="shared" ref="AB578" si="507">AA577+Z578/2</f>
        <v>-5.4926407296272906E-2</v>
      </c>
      <c r="AC578" s="213"/>
    </row>
    <row r="579" spans="21:29" x14ac:dyDescent="0.3">
      <c r="U579" s="220">
        <f>U577+$V$28</f>
        <v>53.800000000000225</v>
      </c>
      <c r="V579" s="221"/>
      <c r="W579" s="221">
        <f>IF(W577+V578&lt;0,(W577+V578)*0.8,W577+V578)</f>
        <v>-4.0335140445363141E-2</v>
      </c>
      <c r="X579" s="221"/>
      <c r="Y579" s="221">
        <f>Y577*(AC579/AC577)^2</f>
        <v>5.1780526691369563E-5</v>
      </c>
      <c r="Z579" s="221"/>
      <c r="AA579" s="221">
        <f>IF(AND(ABS(AA577+Z578)&gt;$G$27*0.8,(AA577+Z578)&lt;0),-$G$27*0.5,IF(AND(ABS(AA577+Z578)&gt;$G$27*0.8,(AA577+Z578)&gt;0),$G$27*0.5,AA577+Z578))</f>
        <v>-5.4536347363370194E-2</v>
      </c>
      <c r="AB579" s="221"/>
      <c r="AC579" s="223">
        <f>$G$29*AA579</f>
        <v>-2.5681539427006355</v>
      </c>
    </row>
    <row r="580" spans="21:29" x14ac:dyDescent="0.3">
      <c r="U580" s="213"/>
      <c r="V580" s="221">
        <f>(AA579+Z578/2)*$V$34</f>
        <v>-9.3723215042932958E-3</v>
      </c>
      <c r="W580" s="221"/>
      <c r="X580" s="221">
        <f t="shared" ref="X580" si="508">W579+V580/2</f>
        <v>-4.5021301197509786E-2</v>
      </c>
      <c r="Y580" s="221"/>
      <c r="Z580" s="221">
        <f>-$V$35*(X580+Y579*((AA579+Z578/2)^2))</f>
        <v>7.6911100236117067E-4</v>
      </c>
      <c r="AA580" s="221"/>
      <c r="AB580" s="221">
        <f t="shared" ref="AB580" si="509">AA579+Z580/2</f>
        <v>-5.4151791862189609E-2</v>
      </c>
      <c r="AC580" s="213"/>
    </row>
    <row r="581" spans="21:29" x14ac:dyDescent="0.3">
      <c r="U581" s="220">
        <f>U579+$V$28</f>
        <v>54.000000000000227</v>
      </c>
      <c r="V581" s="221"/>
      <c r="W581" s="221">
        <f>IF(W579+V580&lt;0,(W579+V580)*0.8,W579+V580)</f>
        <v>-3.9765969559725153E-2</v>
      </c>
      <c r="X581" s="221"/>
      <c r="Y581" s="221">
        <f>Y579*(AC581/AC579)^2</f>
        <v>5.0330332301110451E-5</v>
      </c>
      <c r="Z581" s="221"/>
      <c r="AA581" s="221">
        <f>IF(AND(ABS(AA579+Z580)&gt;$G$27*0.8,(AA579+Z580)&lt;0),-$G$27*0.5,IF(AND(ABS(AA579+Z580)&gt;$G$27*0.8,(AA579+Z580)&gt;0),$G$27*0.5,AA579+Z580))</f>
        <v>-5.3767236361009024E-2</v>
      </c>
      <c r="AB581" s="221"/>
      <c r="AC581" s="223">
        <f>$G$29*AA581</f>
        <v>-2.5319359789281854</v>
      </c>
    </row>
    <row r="582" spans="21:29" x14ac:dyDescent="0.3">
      <c r="U582" s="213"/>
      <c r="V582" s="221">
        <f>(AA581+Z580/2)*$V$34</f>
        <v>-9.2401468599649962E-3</v>
      </c>
      <c r="W582" s="221"/>
      <c r="X582" s="221">
        <f t="shared" ref="X582" si="510">W581+V582/2</f>
        <v>-4.438604298970765E-2</v>
      </c>
      <c r="Y582" s="221"/>
      <c r="Z582" s="221">
        <f>-$V$35*(X582+Y581*((AA581+Z580/2)^2))</f>
        <v>7.5825882210489885E-4</v>
      </c>
      <c r="AA582" s="221"/>
      <c r="AB582" s="221">
        <f t="shared" ref="AB582" si="511">AA581+Z582/2</f>
        <v>-5.3388106949956576E-2</v>
      </c>
      <c r="AC582" s="213"/>
    </row>
    <row r="583" spans="21:29" x14ac:dyDescent="0.3">
      <c r="U583" s="220">
        <f>U581+$V$28</f>
        <v>54.20000000000023</v>
      </c>
      <c r="V583" s="221"/>
      <c r="W583" s="221">
        <f>IF(W581+V582&lt;0,(W581+V582)*0.8,W581+V582)</f>
        <v>-3.9204893135752122E-2</v>
      </c>
      <c r="X583" s="221"/>
      <c r="Y583" s="221">
        <f>Y581*(AC583/AC581)^2</f>
        <v>4.8920763240629097E-5</v>
      </c>
      <c r="Z583" s="221"/>
      <c r="AA583" s="221">
        <f>IF(AND(ABS(AA581+Z582)&gt;$G$27*0.8,(AA581+Z582)&lt;0),-$G$27*0.5,IF(AND(ABS(AA581+Z582)&gt;$G$27*0.8,(AA581+Z582)&gt;0),$G$27*0.5,AA581+Z582))</f>
        <v>-5.3008977538904128E-2</v>
      </c>
      <c r="AB583" s="221"/>
      <c r="AC583" s="223">
        <f>$G$29*AA583</f>
        <v>-2.496229051755352</v>
      </c>
    </row>
    <row r="584" spans="21:29" x14ac:dyDescent="0.3">
      <c r="U584" s="213"/>
      <c r="V584" s="221">
        <f>(AA583+Z582/2)*$V$34</f>
        <v>-9.1098370873494237E-3</v>
      </c>
      <c r="W584" s="221"/>
      <c r="X584" s="221">
        <f t="shared" ref="X584" si="512">W583+V584/2</f>
        <v>-4.3759811679426837E-2</v>
      </c>
      <c r="Y584" s="221"/>
      <c r="Z584" s="221">
        <f>-$V$35*(X584+Y583*((AA583+Z582/2)^2))</f>
        <v>7.4756084337642586E-4</v>
      </c>
      <c r="AA584" s="221"/>
      <c r="AB584" s="221">
        <f t="shared" ref="AB584" si="513">AA583+Z584/2</f>
        <v>-5.2635197117215912E-2</v>
      </c>
      <c r="AC584" s="213"/>
    </row>
    <row r="585" spans="21:29" x14ac:dyDescent="0.3">
      <c r="U585" s="220">
        <f>U583+$V$28</f>
        <v>54.400000000000233</v>
      </c>
      <c r="V585" s="221"/>
      <c r="W585" s="221">
        <f>IF(W583+V584&lt;0,(W583+V584)*0.8,W583+V584)</f>
        <v>-3.8651784178481238E-2</v>
      </c>
      <c r="X585" s="221"/>
      <c r="Y585" s="221">
        <f>Y583*(AC585/AC583)^2</f>
        <v>4.7550679337572026E-5</v>
      </c>
      <c r="Z585" s="221"/>
      <c r="AA585" s="221">
        <f>IF(AND(ABS(AA583+Z584)&gt;$G$27*0.8,(AA583+Z584)&lt;0),-$G$27*0.5,IF(AND(ABS(AA583+Z584)&gt;$G$27*0.8,(AA583+Z584)&gt;0),$G$27*0.5,AA583+Z584))</f>
        <v>-5.2261416695527703E-2</v>
      </c>
      <c r="AB585" s="221"/>
      <c r="AC585" s="223">
        <f>$G$29*AA585</f>
        <v>-2.4610258997265957</v>
      </c>
    </row>
    <row r="586" spans="21:29" x14ac:dyDescent="0.3">
      <c r="U586" s="213"/>
      <c r="V586" s="221">
        <f>(AA585+Z584/2)*$V$34</f>
        <v>-8.9813657100821856E-3</v>
      </c>
      <c r="W586" s="221"/>
      <c r="X586" s="221">
        <f t="shared" ref="X586" si="514">W585+V586/2</f>
        <v>-4.3142467033522328E-2</v>
      </c>
      <c r="Y586" s="221"/>
      <c r="Z586" s="221">
        <f>-$V$35*(X586+Y585*((AA585+Z584/2)^2))</f>
        <v>7.3701467096432243E-4</v>
      </c>
      <c r="AA586" s="221"/>
      <c r="AB586" s="221">
        <f t="shared" ref="AB586" si="515">AA585+Z586/2</f>
        <v>-5.1892909360045543E-2</v>
      </c>
      <c r="AC586" s="213"/>
    </row>
    <row r="587" spans="21:29" x14ac:dyDescent="0.3">
      <c r="U587" s="220">
        <f>U585+$V$28</f>
        <v>54.600000000000236</v>
      </c>
      <c r="V587" s="221"/>
      <c r="W587" s="221">
        <f>IF(W585+V586&lt;0,(W585+V586)*0.8,W585+V586)</f>
        <v>-3.810651991085074E-2</v>
      </c>
      <c r="X587" s="221"/>
      <c r="Y587" s="221">
        <f>Y585*(AC587/AC585)^2</f>
        <v>4.6218972842779266E-5</v>
      </c>
      <c r="Z587" s="221"/>
      <c r="AA587" s="221">
        <f>IF(AND(ABS(AA585+Z586)&gt;$G$27*0.8,(AA585+Z586)&lt;0),-$G$27*0.5,IF(AND(ABS(AA585+Z586)&gt;$G$27*0.8,(AA585+Z586)&gt;0),$G$27*0.5,AA585+Z586))</f>
        <v>-5.1524402024563383E-2</v>
      </c>
      <c r="AB587" s="221"/>
      <c r="AC587" s="223">
        <f>$G$29*AA587</f>
        <v>-2.4263193741785254</v>
      </c>
    </row>
    <row r="588" spans="21:29" x14ac:dyDescent="0.3">
      <c r="U588" s="213"/>
      <c r="V588" s="221">
        <f>(AA587+Z586/2)*$V$34</f>
        <v>-8.8547066589104422E-3</v>
      </c>
      <c r="W588" s="221"/>
      <c r="X588" s="221">
        <f t="shared" ref="X588" si="516">W587+V588/2</f>
        <v>-4.2533873240305962E-2</v>
      </c>
      <c r="Y588" s="221"/>
      <c r="Z588" s="221">
        <f>-$V$35*(X588+Y587*((AA587+Z586/2)^2))</f>
        <v>7.2661798516614445E-4</v>
      </c>
      <c r="AA588" s="221"/>
      <c r="AB588" s="221">
        <f t="shared" ref="AB588" si="517">AA587+Z588/2</f>
        <v>-5.1161093031980312E-2</v>
      </c>
      <c r="AC588" s="213"/>
    </row>
    <row r="589" spans="21:29" x14ac:dyDescent="0.3">
      <c r="U589" s="220">
        <f>U587+$V$28</f>
        <v>54.800000000000239</v>
      </c>
      <c r="V589" s="221"/>
      <c r="W589" s="221">
        <f>IF(W587+V588&lt;0,(W587+V588)*0.8,W587+V588)</f>
        <v>-3.7568981255808952E-2</v>
      </c>
      <c r="X589" s="221"/>
      <c r="Y589" s="221">
        <f>Y587*(AC589/AC587)^2</f>
        <v>4.4924567423462938E-5</v>
      </c>
      <c r="Z589" s="221"/>
      <c r="AA589" s="221">
        <f>IF(AND(ABS(AA587+Z588)&gt;$G$27*0.8,(AA587+Z588)&lt;0),-$G$27*0.5,IF(AND(ABS(AA587+Z588)&gt;$G$27*0.8,(AA587+Z588)&gt;0),$G$27*0.5,AA587+Z588))</f>
        <v>-5.0797784039397241E-2</v>
      </c>
      <c r="AB589" s="221"/>
      <c r="AC589" s="223">
        <f>$G$29*AA589</f>
        <v>-2.3921024356841265</v>
      </c>
    </row>
    <row r="590" spans="21:29" x14ac:dyDescent="0.3">
      <c r="U590" s="213"/>
      <c r="V590" s="221">
        <f>(AA589+Z588/2)*$V$34</f>
        <v>-8.7298342595696424E-3</v>
      </c>
      <c r="W590" s="221"/>
      <c r="X590" s="221">
        <f t="shared" ref="X590" si="518">W589+V590/2</f>
        <v>-4.1933898385593776E-2</v>
      </c>
      <c r="Y590" s="221"/>
      <c r="Z590" s="221">
        <f>-$V$35*(X590+Y589*((AA589+Z588/2)^2))</f>
        <v>7.163685328389289E-4</v>
      </c>
      <c r="AA590" s="221"/>
      <c r="AB590" s="221">
        <f t="shared" ref="AB590" si="519">AA589+Z590/2</f>
        <v>-5.0439599772977774E-2</v>
      </c>
      <c r="AC590" s="213"/>
    </row>
    <row r="591" spans="21:29" x14ac:dyDescent="0.3">
      <c r="U591" s="220">
        <f>U589+$V$28</f>
        <v>55.000000000000242</v>
      </c>
      <c r="V591" s="221"/>
      <c r="W591" s="221">
        <f>IF(W589+V590&lt;0,(W589+V590)*0.8,W589+V590)</f>
        <v>-3.7039052412302875E-2</v>
      </c>
      <c r="X591" s="221"/>
      <c r="Y591" s="221">
        <f>Y589*(AC591/AC589)^2</f>
        <v>4.3666417204386122E-5</v>
      </c>
      <c r="Z591" s="221"/>
      <c r="AA591" s="221">
        <f>IF(AND(ABS(AA589+Z590)&gt;$G$27*0.8,(AA589+Z590)&lt;0),-$G$27*0.5,IF(AND(ABS(AA589+Z590)&gt;$G$27*0.8,(AA589+Z590)&gt;0),$G$27*0.5,AA589+Z590))</f>
        <v>-5.0081415506558313E-2</v>
      </c>
      <c r="AB591" s="221"/>
      <c r="AC591" s="223">
        <f>$G$29*AA591</f>
        <v>-2.3583681509184284</v>
      </c>
    </row>
    <row r="592" spans="21:29" x14ac:dyDescent="0.3">
      <c r="U592" s="213"/>
      <c r="V592" s="221">
        <f>(AA591+Z590/2)*$V$34</f>
        <v>-8.6067232220371284E-3</v>
      </c>
      <c r="W592" s="221"/>
      <c r="X592" s="221">
        <f t="shared" ref="X592" si="520">W591+V592/2</f>
        <v>-4.1342414023321436E-2</v>
      </c>
      <c r="Y592" s="221"/>
      <c r="Z592" s="221">
        <f>-$V$35*(X592+Y591*((AA591+Z590/2)^2))</f>
        <v>7.0626412006514984E-4</v>
      </c>
      <c r="AA592" s="221"/>
      <c r="AB592" s="221">
        <f t="shared" ref="AB592" si="521">AA591+Z592/2</f>
        <v>-4.9728283446525738E-2</v>
      </c>
      <c r="AC592" s="213"/>
    </row>
    <row r="593" spans="21:29" x14ac:dyDescent="0.3">
      <c r="U593" s="220">
        <f>U591+$V$28</f>
        <v>55.200000000000244</v>
      </c>
      <c r="V593" s="221"/>
      <c r="W593" s="221">
        <f>IF(W591+V592&lt;0,(W591+V592)*0.8,W591+V592)</f>
        <v>-3.6516620507472002E-2</v>
      </c>
      <c r="X593" s="221"/>
      <c r="Y593" s="221">
        <f>Y591*(AC593/AC591)^2</f>
        <v>4.2443505851729868E-5</v>
      </c>
      <c r="Z593" s="221"/>
      <c r="AA593" s="221">
        <f>IF(AND(ABS(AA591+Z592)&gt;$G$27*0.8,(AA591+Z592)&lt;0),-$G$27*0.5,IF(AND(ABS(AA591+Z592)&gt;$G$27*0.8,(AA591+Z592)&gt;0),$G$27*0.5,AA591+Z592))</f>
        <v>-4.9375151386493163E-2</v>
      </c>
      <c r="AB593" s="221"/>
      <c r="AC593" s="223">
        <f>$G$29*AA593</f>
        <v>-2.3251096898695396</v>
      </c>
    </row>
    <row r="594" spans="21:29" x14ac:dyDescent="0.3">
      <c r="U594" s="213"/>
      <c r="V594" s="221">
        <f>(AA593+Z592/2)*$V$34</f>
        <v>-8.4853486309153844E-3</v>
      </c>
      <c r="W594" s="221"/>
      <c r="X594" s="221">
        <f t="shared" ref="X594" si="522">W593+V594/2</f>
        <v>-4.0759294822929691E-2</v>
      </c>
      <c r="Y594" s="221"/>
      <c r="Z594" s="221">
        <f>-$V$35*(X594+Y593*((AA593+Z592/2)^2))</f>
        <v>6.963026061300899E-4</v>
      </c>
      <c r="AA594" s="221"/>
      <c r="AB594" s="221">
        <f t="shared" ref="AB594" si="523">AA593+Z594/2</f>
        <v>-4.902700008342812E-2</v>
      </c>
      <c r="AC594" s="213"/>
    </row>
    <row r="595" spans="21:29" x14ac:dyDescent="0.3">
      <c r="U595" s="220">
        <f>U593+$V$28</f>
        <v>55.400000000000247</v>
      </c>
      <c r="V595" s="221"/>
      <c r="W595" s="221">
        <f>IF(W593+V594&lt;0,(W593+V594)*0.8,W593+V594)</f>
        <v>-3.600157531070991E-2</v>
      </c>
      <c r="X595" s="221"/>
      <c r="Y595" s="221">
        <f>Y593*(AC595/AC593)^2</f>
        <v>4.125484569527992E-5</v>
      </c>
      <c r="Z595" s="221"/>
      <c r="AA595" s="221">
        <f>IF(AND(ABS(AA593+Z594)&gt;$G$27*0.8,(AA593+Z594)&lt;0),-$G$27*0.5,IF(AND(ABS(AA593+Z594)&gt;$G$27*0.8,(AA593+Z594)&gt;0),$G$27*0.5,AA593+Z594))</f>
        <v>-4.8678848780363076E-2</v>
      </c>
      <c r="AB595" s="221"/>
      <c r="AC595" s="223">
        <f>$G$29*AA595</f>
        <v>-2.2923203233332914</v>
      </c>
    </row>
    <row r="596" spans="21:29" x14ac:dyDescent="0.3">
      <c r="U596" s="213"/>
      <c r="V596" s="221">
        <f>(AA595+Z594/2)*$V$34</f>
        <v>-8.3656859367442563E-3</v>
      </c>
      <c r="W596" s="221"/>
      <c r="X596" s="221">
        <f t="shared" ref="X596" si="524">W595+V596/2</f>
        <v>-4.0184418279082035E-2</v>
      </c>
      <c r="Y596" s="221"/>
      <c r="Z596" s="221">
        <f>-$V$35*(X596+Y595*((AA595+Z594/2)^2))</f>
        <v>6.8648189856398403E-4</v>
      </c>
      <c r="AA596" s="221"/>
      <c r="AB596" s="221">
        <f t="shared" ref="AB596" si="525">AA595+Z596/2</f>
        <v>-4.8335607831081082E-2</v>
      </c>
      <c r="AC596" s="213"/>
    </row>
    <row r="597" spans="21:29" x14ac:dyDescent="0.3">
      <c r="U597" s="220">
        <f>U595+$V$28</f>
        <v>55.60000000000025</v>
      </c>
      <c r="V597" s="221"/>
      <c r="W597" s="221">
        <f>IF(W595+V596&lt;0,(W595+V596)*0.8,W595+V596)</f>
        <v>-3.5493808997963332E-2</v>
      </c>
      <c r="X597" s="221"/>
      <c r="Y597" s="221">
        <f>Y595*(AC597/AC595)^2</f>
        <v>4.0099476885322556E-5</v>
      </c>
      <c r="Z597" s="221"/>
      <c r="AA597" s="221">
        <f>IF(AND(ABS(AA595+Z596)&gt;$G$27*0.8,(AA595+Z596)&lt;0),-$G$27*0.5,IF(AND(ABS(AA595+Z596)&gt;$G$27*0.8,(AA595+Z596)&gt;0),$G$27*0.5,AA595+Z596))</f>
        <v>-4.7992366881799094E-2</v>
      </c>
      <c r="AB597" s="221"/>
      <c r="AC597" s="223">
        <f>$G$29*AA597</f>
        <v>-2.2599934206413477</v>
      </c>
    </row>
    <row r="598" spans="21:29" x14ac:dyDescent="0.3">
      <c r="U598" s="213"/>
      <c r="V598" s="221">
        <f>(AA597+Z596/2)*$V$34</f>
        <v>-8.2477109480791917E-3</v>
      </c>
      <c r="W598" s="221"/>
      <c r="X598" s="221">
        <f t="shared" ref="X598" si="526">W597+V598/2</f>
        <v>-3.9617664472002927E-2</v>
      </c>
      <c r="Y598" s="221"/>
      <c r="Z598" s="221">
        <f>-$V$35*(X598+Y597*((AA597+Z596/2)^2))</f>
        <v>6.7679994904886723E-4</v>
      </c>
      <c r="AA598" s="221"/>
      <c r="AB598" s="221">
        <f t="shared" ref="AB598" si="527">AA597+Z598/2</f>
        <v>-4.7653966907274657E-2</v>
      </c>
      <c r="AC598" s="213"/>
    </row>
    <row r="599" spans="21:29" x14ac:dyDescent="0.3">
      <c r="U599" s="220">
        <f>U597+$V$28</f>
        <v>55.800000000000253</v>
      </c>
      <c r="V599" s="221"/>
      <c r="W599" s="221">
        <f>IF(W597+V598&lt;0,(W597+V598)*0.8,W597+V598)</f>
        <v>-3.4993215956834016E-2</v>
      </c>
      <c r="X599" s="221"/>
      <c r="Y599" s="221">
        <f>Y597*(AC599/AC597)^2</f>
        <v>3.8976466581248925E-5</v>
      </c>
      <c r="Z599" s="221"/>
      <c r="AA599" s="221">
        <f>IF(AND(ABS(AA597+Z598)&gt;$G$27*0.8,(AA597+Z598)&lt;0),-$G$27*0.5,IF(AND(ABS(AA597+Z598)&gt;$G$27*0.8,(AA597+Z598)&gt;0),$G$27*0.5,AA597+Z598))</f>
        <v>-4.7315566932750228E-2</v>
      </c>
      <c r="AB599" s="221"/>
      <c r="AC599" s="223">
        <f>$G$29*AA599</f>
        <v>-2.2281224475820691</v>
      </c>
    </row>
    <row r="600" spans="21:29" x14ac:dyDescent="0.3">
      <c r="U600" s="213"/>
      <c r="V600" s="221">
        <f>(AA599+Z598/2)*$V$34</f>
        <v>-8.1313998242031425E-3</v>
      </c>
      <c r="W600" s="221"/>
      <c r="X600" s="221">
        <f t="shared" ref="X600" si="528">W599+V600/2</f>
        <v>-3.905891586893559E-2</v>
      </c>
      <c r="Y600" s="221"/>
      <c r="Z600" s="221">
        <f>-$V$35*(X600+Y599*((AA599+Z598/2)^2))</f>
        <v>6.6725475002782125E-4</v>
      </c>
      <c r="AA600" s="221"/>
      <c r="AB600" s="221">
        <f t="shared" ref="AB600" si="529">AA599+Z600/2</f>
        <v>-4.6981939557736316E-2</v>
      </c>
      <c r="AC600" s="213"/>
    </row>
    <row r="601" spans="21:29" x14ac:dyDescent="0.3">
      <c r="U601" s="220">
        <f>U599+$V$28</f>
        <v>56.000000000000256</v>
      </c>
      <c r="V601" s="221"/>
      <c r="W601" s="221">
        <f>IF(W599+V600&lt;0,(W599+V600)*0.8,W599+V600)</f>
        <v>-3.4499692624829728E-2</v>
      </c>
      <c r="X601" s="221"/>
      <c r="Y601" s="221">
        <f>Y599*(AC601/AC599)^2</f>
        <v>3.7884908169356834E-5</v>
      </c>
      <c r="Z601" s="221"/>
      <c r="AA601" s="221">
        <f>IF(AND(ABS(AA599+Z600)&gt;$G$27*0.8,(AA599+Z600)&lt;0),-$G$27*0.5,IF(AND(ABS(AA599+Z600)&gt;$G$27*0.8,(AA599+Z600)&gt;0),$G$27*0.5,AA599+Z600))</f>
        <v>-4.6648312182722404E-2</v>
      </c>
      <c r="AB601" s="221"/>
      <c r="AC601" s="223">
        <f>$G$29*AA601</f>
        <v>-2.1967009644810456</v>
      </c>
    </row>
    <row r="602" spans="21:29" x14ac:dyDescent="0.3">
      <c r="U602" s="213"/>
      <c r="V602" s="221">
        <f>(AA601+Z600/2)*$V$34</f>
        <v>-8.0167290683645798E-3</v>
      </c>
      <c r="W602" s="221"/>
      <c r="X602" s="221">
        <f t="shared" ref="X602" si="530">W601+V602/2</f>
        <v>-3.8508057159012017E-2</v>
      </c>
      <c r="Y602" s="221"/>
      <c r="Z602" s="221">
        <f>-$V$35*(X602+Y601*((AA601+Z600/2)^2))</f>
        <v>6.57844331884957E-4</v>
      </c>
      <c r="AA602" s="221"/>
      <c r="AB602" s="221">
        <f t="shared" ref="AB602" si="531">AA601+Z602/2</f>
        <v>-4.6319390016779927E-2</v>
      </c>
      <c r="AC602" s="213"/>
    </row>
    <row r="603" spans="21:29" x14ac:dyDescent="0.3">
      <c r="U603" s="220">
        <f>U601+$V$28</f>
        <v>56.200000000000259</v>
      </c>
      <c r="V603" s="221"/>
      <c r="W603" s="221">
        <f>IF(W601+V602&lt;0,(W601+V602)*0.8,W601+V602)</f>
        <v>-3.4013137354555446E-2</v>
      </c>
      <c r="X603" s="221"/>
      <c r="Y603" s="221">
        <f>Y601*(AC603/AC601)^2</f>
        <v>3.6823920507735231E-5</v>
      </c>
      <c r="Z603" s="221"/>
      <c r="AA603" s="221">
        <f>IF(AND(ABS(AA601+Z602)&gt;$G$27*0.8,(AA601+Z602)&lt;0),-$G$27*0.5,IF(AND(ABS(AA601+Z602)&gt;$G$27*0.8,(AA601+Z602)&gt;0),$G$27*0.5,AA601+Z602))</f>
        <v>-4.5990467850837449E-2</v>
      </c>
      <c r="AB603" s="221"/>
      <c r="AC603" s="223">
        <f>$G$29*AA603</f>
        <v>-2.1657226244144288</v>
      </c>
    </row>
    <row r="604" spans="21:29" x14ac:dyDescent="0.3">
      <c r="U604" s="213"/>
      <c r="V604" s="221">
        <f>(AA603+Z602/2)*$V$34</f>
        <v>-7.9036755214542519E-3</v>
      </c>
      <c r="W604" s="221"/>
      <c r="X604" s="221">
        <f t="shared" ref="X604" si="532">W603+V604/2</f>
        <v>-3.7964975115282573E-2</v>
      </c>
      <c r="Y604" s="221"/>
      <c r="Z604" s="221">
        <f>-$V$35*(X604+Y603*((AA603+Z602/2)^2))</f>
        <v>6.4856676058931879E-4</v>
      </c>
      <c r="AA604" s="221"/>
      <c r="AB604" s="221">
        <f t="shared" ref="AB604" si="533">AA603+Z604/2</f>
        <v>-4.5666184470542791E-2</v>
      </c>
      <c r="AC604" s="213"/>
    </row>
    <row r="605" spans="21:29" x14ac:dyDescent="0.3">
      <c r="U605" s="220">
        <f>U603+$V$28</f>
        <v>56.400000000000261</v>
      </c>
      <c r="V605" s="221"/>
      <c r="W605" s="221">
        <f>IF(W603+V604&lt;0,(W603+V604)*0.8,W603+V604)</f>
        <v>-3.353345030080776E-2</v>
      </c>
      <c r="X605" s="221"/>
      <c r="Y605" s="221">
        <f>Y603*(AC605/AC603)^2</f>
        <v>3.579264719643502E-5</v>
      </c>
      <c r="Z605" s="221"/>
      <c r="AA605" s="221">
        <f>IF(AND(ABS(AA603+Z604)&gt;$G$27*0.8,(AA603+Z604)&lt;0),-$G$27*0.5,IF(AND(ABS(AA603+Z604)&gt;$G$27*0.8,(AA603+Z604)&gt;0),$G$27*0.5,AA603+Z604))</f>
        <v>-4.5341901090248132E-2</v>
      </c>
      <c r="AB605" s="221"/>
      <c r="AC605" s="223">
        <f>$G$29*AA605</f>
        <v>-2.1351811715332123</v>
      </c>
    </row>
    <row r="606" spans="21:29" x14ac:dyDescent="0.3">
      <c r="U606" s="213"/>
      <c r="V606" s="221">
        <f>(AA605+Z604/2)*$V$34</f>
        <v>-7.7922163560496024E-3</v>
      </c>
      <c r="W606" s="221"/>
      <c r="X606" s="221">
        <f t="shared" ref="X606" si="534">W605+V606/2</f>
        <v>-3.7429558478832559E-2</v>
      </c>
      <c r="Y606" s="221"/>
      <c r="Z606" s="221">
        <f>-$V$35*(X606+Y605*((AA605+Z604/2)^2))</f>
        <v>6.3942013571605843E-4</v>
      </c>
      <c r="AA606" s="221"/>
      <c r="AB606" s="221">
        <f t="shared" ref="AB606" si="535">AA605+Z606/2</f>
        <v>-4.50221910223901E-2</v>
      </c>
      <c r="AC606" s="213"/>
    </row>
    <row r="607" spans="21:29" x14ac:dyDescent="0.3">
      <c r="U607" s="220">
        <f>U605+$V$28</f>
        <v>56.600000000000264</v>
      </c>
      <c r="V607" s="221"/>
      <c r="W607" s="221">
        <f>IF(W605+V606&lt;0,(W605+V606)*0.8,W605+V606)</f>
        <v>-3.3060533325485891E-2</v>
      </c>
      <c r="X607" s="221"/>
      <c r="Y607" s="221">
        <f>Y605*(AC607/AC605)^2</f>
        <v>3.4790255871388609E-5</v>
      </c>
      <c r="Z607" s="221"/>
      <c r="AA607" s="221">
        <f>IF(AND(ABS(AA605+Z606)&gt;$G$27*0.8,(AA605+Z606)&lt;0),-$G$27*0.5,IF(AND(ABS(AA605+Z606)&gt;$G$27*0.8,(AA605+Z606)&gt;0),$G$27*0.5,AA605+Z606))</f>
        <v>-4.4702480954532074E-2</v>
      </c>
      <c r="AB607" s="221"/>
      <c r="AC607" s="223">
        <f>$G$29*AA607</f>
        <v>-2.1050704394806963</v>
      </c>
    </row>
    <row r="608" spans="21:29" x14ac:dyDescent="0.3">
      <c r="U608" s="213"/>
      <c r="V608" s="221">
        <f>(AA607+Z606/2)*$V$34</f>
        <v>-7.682329070769058E-3</v>
      </c>
      <c r="W608" s="221"/>
      <c r="X608" s="221">
        <f t="shared" ref="X608" si="536">W607+V608/2</f>
        <v>-3.6901697860870421E-2</v>
      </c>
      <c r="Y608" s="221"/>
      <c r="Z608" s="221">
        <f>-$V$35*(X608+Y607*((AA607+Z606/2)^2))</f>
        <v>6.3040258877457658E-4</v>
      </c>
      <c r="AA608" s="221"/>
      <c r="AB608" s="221">
        <f t="shared" ref="AB608" si="537">AA607+Z608/2</f>
        <v>-4.4387279660144788E-2</v>
      </c>
      <c r="AC608" s="213"/>
    </row>
    <row r="609" spans="21:29" x14ac:dyDescent="0.3">
      <c r="U609" s="220">
        <f>U607+$V$28</f>
        <v>56.800000000000267</v>
      </c>
      <c r="V609" s="221"/>
      <c r="W609" s="221">
        <f>IF(W607+V608&lt;0,(W607+V608)*0.8,W607+V608)</f>
        <v>-3.2594289917003964E-2</v>
      </c>
      <c r="X609" s="221"/>
      <c r="Y609" s="221">
        <f>Y607*(AC609/AC607)^2</f>
        <v>3.3815937520749585E-5</v>
      </c>
      <c r="Z609" s="221"/>
      <c r="AA609" s="221">
        <f>IF(AND(ABS(AA607+Z608)&gt;$G$27*0.8,(AA607+Z608)&lt;0),-$G$27*0.5,IF(AND(ABS(AA607+Z608)&gt;$G$27*0.8,(AA607+Z608)&gt;0),$G$27*0.5,AA607+Z608))</f>
        <v>-4.4072078365757494E-2</v>
      </c>
      <c r="AB609" s="221"/>
      <c r="AC609" s="223">
        <f>$G$29*AA609</f>
        <v>-2.0753843498886839</v>
      </c>
    </row>
    <row r="610" spans="21:29" x14ac:dyDescent="0.3">
      <c r="U610" s="213"/>
      <c r="V610" s="221">
        <f>(AA609+Z608/2)*$V$34</f>
        <v>-7.5739914848891527E-3</v>
      </c>
      <c r="W610" s="221"/>
      <c r="X610" s="221">
        <f t="shared" ref="X610" si="538">W609+V610/2</f>
        <v>-3.6381285659448544E-2</v>
      </c>
      <c r="Y610" s="221"/>
      <c r="Z610" s="221">
        <f>-$V$35*(X610+Y609*((AA609+Z608/2)^2))</f>
        <v>6.215122817865938E-4</v>
      </c>
      <c r="AA610" s="221"/>
      <c r="AB610" s="221">
        <f t="shared" ref="AB610" si="539">AA609+Z610/2</f>
        <v>-4.3761322224864195E-2</v>
      </c>
      <c r="AC610" s="213"/>
    </row>
    <row r="611" spans="21:29" x14ac:dyDescent="0.3">
      <c r="U611" s="220">
        <f>U609+$V$28</f>
        <v>57.00000000000027</v>
      </c>
      <c r="V611" s="221"/>
      <c r="W611" s="221">
        <f>IF(W609+V610&lt;0,(W609+V610)*0.8,W609+V610)</f>
        <v>-3.2134625121514493E-2</v>
      </c>
      <c r="X611" s="221"/>
      <c r="Y611" s="221">
        <f>Y609*(AC611/AC609)^2</f>
        <v>3.2868905822494017E-5</v>
      </c>
      <c r="Z611" s="221"/>
      <c r="AA611" s="221">
        <f>IF(AND(ABS(AA609+Z610)&gt;$G$27*0.8,(AA609+Z610)&lt;0),-$G$27*0.5,IF(AND(ABS(AA609+Z610)&gt;$G$27*0.8,(AA609+Z610)&gt;0),$G$27*0.5,AA609+Z610))</f>
        <v>-4.3450566083970903E-2</v>
      </c>
      <c r="AB611" s="221"/>
      <c r="AC611" s="223">
        <f>$G$29*AA611</f>
        <v>-2.0461169109406336</v>
      </c>
    </row>
    <row r="612" spans="21:29" x14ac:dyDescent="0.3">
      <c r="U612" s="213"/>
      <c r="V612" s="221">
        <f>(AA611+Z610/2)*$V$34</f>
        <v>-7.4671817331861201E-3</v>
      </c>
      <c r="W612" s="221"/>
      <c r="X612" s="221">
        <f t="shared" ref="X612" si="540">W611+V612/2</f>
        <v>-3.5868215988107556E-2</v>
      </c>
      <c r="Y612" s="221"/>
      <c r="Z612" s="221">
        <f>-$V$35*(X612+Y611*((AA611+Z610/2)^2))</f>
        <v>6.1274740606787157E-4</v>
      </c>
      <c r="AA612" s="221"/>
      <c r="AB612" s="221">
        <f t="shared" ref="AB612" si="541">AA611+Z612/2</f>
        <v>-4.3144192380936967E-2</v>
      </c>
      <c r="AC612" s="213"/>
    </row>
    <row r="613" spans="21:29" x14ac:dyDescent="0.3">
      <c r="U613" s="220">
        <f>U611+$V$28</f>
        <v>57.200000000000273</v>
      </c>
      <c r="V613" s="221"/>
      <c r="W613" s="221">
        <f>IF(W611+V612&lt;0,(W611+V612)*0.8,W611+V612)</f>
        <v>-3.1681445483760493E-2</v>
      </c>
      <c r="X613" s="221"/>
      <c r="Y613" s="221">
        <f>Y611*(AC613/AC611)^2</f>
        <v>3.1948396502263741E-5</v>
      </c>
      <c r="Z613" s="221"/>
      <c r="AA613" s="221">
        <f>IF(AND(ABS(AA611+Z612)&gt;$G$27*0.8,(AA611+Z612)&lt;0),-$G$27*0.5,IF(AND(ABS(AA611+Z612)&gt;$G$27*0.8,(AA611+Z612)&gt;0),$G$27*0.5,AA611+Z612))</f>
        <v>-4.2837818677903032E-2</v>
      </c>
      <c r="AB613" s="221"/>
      <c r="AC613" s="223">
        <f>$G$29*AA613</f>
        <v>-2.0172622159921829</v>
      </c>
    </row>
    <row r="614" spans="21:29" x14ac:dyDescent="0.3">
      <c r="U614" s="213"/>
      <c r="V614" s="221">
        <f>(AA613+Z612/2)*$V$34</f>
        <v>-7.3618782609707568E-3</v>
      </c>
      <c r="W614" s="221"/>
      <c r="X614" s="221">
        <f t="shared" ref="X614" si="542">W613+V614/2</f>
        <v>-3.5362384614245873E-2</v>
      </c>
      <c r="Y614" s="221"/>
      <c r="Z614" s="221">
        <f>-$V$35*(X614+Y613*((AA613+Z612/2)^2))</f>
        <v>6.0410618117603444E-4</v>
      </c>
      <c r="AA614" s="221"/>
      <c r="AB614" s="221">
        <f t="shared" ref="AB614" si="543">AA613+Z614/2</f>
        <v>-4.2535765587315012E-2</v>
      </c>
      <c r="AC614" s="213"/>
    </row>
    <row r="615" spans="21:29" x14ac:dyDescent="0.3">
      <c r="U615" s="220">
        <f>U613+$V$28</f>
        <v>57.400000000000276</v>
      </c>
      <c r="V615" s="221"/>
      <c r="W615" s="221">
        <f>IF(W613+V614&lt;0,(W613+V614)*0.8,W613+V614)</f>
        <v>-3.1234658995784998E-2</v>
      </c>
      <c r="X615" s="221"/>
      <c r="Y615" s="221">
        <f>Y613*(AC615/AC613)^2</f>
        <v>3.1053666710545647E-5</v>
      </c>
      <c r="Z615" s="221"/>
      <c r="AA615" s="221">
        <f>IF(AND(ABS(AA613+Z614)&gt;$G$27*0.8,(AA613+Z614)&lt;0),-$G$27*0.5,IF(AND(ABS(AA613+Z614)&gt;$G$27*0.8,(AA613+Z614)&gt;0),$G$27*0.5,AA613+Z614))</f>
        <v>-4.2233712496726999E-2</v>
      </c>
      <c r="AB615" s="221"/>
      <c r="AC615" s="223">
        <f>$G$29*AA615</f>
        <v>-1.9888144422412204</v>
      </c>
    </row>
    <row r="616" spans="21:29" x14ac:dyDescent="0.3">
      <c r="U616" s="213"/>
      <c r="V616" s="221">
        <f>(AA615+Z614/2)*$V$34</f>
        <v>-7.2580598192910238E-3</v>
      </c>
      <c r="W616" s="221"/>
      <c r="X616" s="221">
        <f t="shared" ref="X616" si="544">W615+V616/2</f>
        <v>-3.4863688905430512E-2</v>
      </c>
      <c r="Y616" s="221"/>
      <c r="Z616" s="221">
        <f>-$V$35*(X616+Y615*((AA615+Z614/2)^2))</f>
        <v>5.9558685399401672E-4</v>
      </c>
      <c r="AA616" s="221"/>
      <c r="AB616" s="221">
        <f t="shared" ref="AB616" si="545">AA615+Z616/2</f>
        <v>-4.1935919069729988E-2</v>
      </c>
      <c r="AC616" s="213"/>
    </row>
    <row r="617" spans="21:29" x14ac:dyDescent="0.3">
      <c r="U617" s="220">
        <f>U615+$V$28</f>
        <v>57.600000000000279</v>
      </c>
      <c r="V617" s="221"/>
      <c r="W617" s="221">
        <f>IF(W615+V616&lt;0,(W615+V616)*0.8,W615+V616)</f>
        <v>-3.0794175052060821E-2</v>
      </c>
      <c r="X617" s="221"/>
      <c r="Y617" s="221">
        <f>Y615*(AC617/AC615)^2</f>
        <v>3.0183994418373982E-5</v>
      </c>
      <c r="Z617" s="221"/>
      <c r="AA617" s="221">
        <f>IF(AND(ABS(AA615+Z616)&gt;$G$27*0.8,(AA615+Z616)&lt;0),-$G$27*0.5,IF(AND(ABS(AA615+Z616)&gt;$G$27*0.8,(AA615+Z616)&gt;0),$G$27*0.5,AA615+Z616))</f>
        <v>-4.1638125642732983E-2</v>
      </c>
      <c r="AB617" s="221"/>
      <c r="AC617" s="223">
        <f>$G$29*AA617</f>
        <v>-1.9607678494411176</v>
      </c>
    </row>
    <row r="618" spans="21:29" x14ac:dyDescent="0.3">
      <c r="U618" s="213"/>
      <c r="V618" s="221">
        <f>(AA617+Z616/2)*$V$34</f>
        <v>-7.1557054602815638E-3</v>
      </c>
      <c r="W618" s="221"/>
      <c r="X618" s="221">
        <f t="shared" ref="X618" si="546">W617+V618/2</f>
        <v>-3.4372027782201602E-2</v>
      </c>
      <c r="Y618" s="221"/>
      <c r="Z618" s="221">
        <f>-$V$35*(X618+Y617*((AA617+Z616/2)^2))</f>
        <v>5.871876979244091E-4</v>
      </c>
      <c r="AA618" s="221"/>
      <c r="AB618" s="221">
        <f t="shared" ref="AB618" si="547">AA617+Z618/2</f>
        <v>-4.1344531793770775E-2</v>
      </c>
      <c r="AC618" s="213"/>
    </row>
    <row r="619" spans="21:29" x14ac:dyDescent="0.3">
      <c r="U619" s="220">
        <f>U617+$V$28</f>
        <v>57.800000000000281</v>
      </c>
      <c r="V619" s="221"/>
      <c r="W619" s="221">
        <f>IF(W617+V618&lt;0,(W617+V618)*0.8,W617+V618)</f>
        <v>-3.0359904409873906E-2</v>
      </c>
      <c r="X619" s="221"/>
      <c r="Y619" s="221">
        <f>Y617*(AC619/AC617)^2</f>
        <v>2.9338677830820284E-5</v>
      </c>
      <c r="Z619" s="221"/>
      <c r="AA619" s="221">
        <f>IF(AND(ABS(AA617+Z618)&gt;$G$27*0.8,(AA617+Z618)&lt;0),-$G$27*0.5,IF(AND(ABS(AA617+Z618)&gt;$G$27*0.8,(AA617+Z618)&gt;0),$G$27*0.5,AA617+Z618))</f>
        <v>-4.1050937944808574E-2</v>
      </c>
      <c r="AB619" s="221"/>
      <c r="AC619" s="223">
        <f>$G$29*AA619</f>
        <v>-1.9331167786519006</v>
      </c>
    </row>
    <row r="620" spans="21:29" x14ac:dyDescent="0.3">
      <c r="U620" s="213"/>
      <c r="V620" s="221">
        <f>(AA619+Z618/2)*$V$34</f>
        <v>-7.0547945326430725E-3</v>
      </c>
      <c r="W620" s="221"/>
      <c r="X620" s="221">
        <f t="shared" ref="X620" si="548">W619+V620/2</f>
        <v>-3.3887301676195442E-2</v>
      </c>
      <c r="Y620" s="221"/>
      <c r="Z620" s="221">
        <f>-$V$35*(X620+Y619*((AA619+Z618/2)^2))</f>
        <v>5.7890701217462928E-4</v>
      </c>
      <c r="AA620" s="221"/>
      <c r="AB620" s="221">
        <f t="shared" ref="AB620" si="549">AA619+Z620/2</f>
        <v>-4.0761484438721261E-2</v>
      </c>
      <c r="AC620" s="213"/>
    </row>
    <row r="621" spans="21:29" x14ac:dyDescent="0.3">
      <c r="U621" s="220">
        <f>U619+$V$28</f>
        <v>58.000000000000284</v>
      </c>
      <c r="V621" s="221"/>
      <c r="W621" s="221">
        <f>IF(W619+V620&lt;0,(W619+V620)*0.8,W619+V620)</f>
        <v>-2.9931759154013582E-2</v>
      </c>
      <c r="X621" s="221"/>
      <c r="Y621" s="221">
        <f>Y619*(AC621/AC619)^2</f>
        <v>2.8517034817599163E-5</v>
      </c>
      <c r="Z621" s="221"/>
      <c r="AA621" s="221">
        <f>IF(AND(ABS(AA619+Z620)&gt;$G$27*0.8,(AA619+Z620)&lt;0),-$G$27*0.5,IF(AND(ABS(AA619+Z620)&gt;$G$27*0.8,(AA619+Z620)&gt;0),$G$27*0.5,AA619+Z620))</f>
        <v>-4.0472030932633948E-2</v>
      </c>
      <c r="AB621" s="221"/>
      <c r="AC621" s="223">
        <f>$G$29*AA621</f>
        <v>-1.9058556510250826</v>
      </c>
    </row>
    <row r="622" spans="21:29" x14ac:dyDescent="0.3">
      <c r="U622" s="213"/>
      <c r="V622" s="221">
        <f>(AA621+Z620/2)*$V$34</f>
        <v>-6.9553066772375374E-3</v>
      </c>
      <c r="W622" s="221"/>
      <c r="X622" s="221">
        <f t="shared" ref="X622" si="550">W621+V622/2</f>
        <v>-3.3409412492632351E-2</v>
      </c>
      <c r="Y622" s="221"/>
      <c r="Z622" s="221">
        <f>-$V$35*(X622+Y621*((AA621+Z620/2)^2))</f>
        <v>5.7074312111662722E-4</v>
      </c>
      <c r="AA622" s="221"/>
      <c r="AB622" s="221">
        <f t="shared" ref="AB622" si="551">AA621+Z622/2</f>
        <v>-4.0186659372075634E-2</v>
      </c>
      <c r="AC622" s="213"/>
    </row>
    <row r="623" spans="21:29" x14ac:dyDescent="0.3">
      <c r="U623" s="220">
        <f>U621+$V$28</f>
        <v>58.200000000000287</v>
      </c>
      <c r="V623" s="221"/>
      <c r="W623" s="221">
        <f>IF(W621+V622&lt;0,(W621+V622)*0.8,W621+V622)</f>
        <v>-2.9509652665000899E-2</v>
      </c>
      <c r="X623" s="221"/>
      <c r="Y623" s="221">
        <f>Y621*(AC623/AC621)^2</f>
        <v>2.7718402360172041E-5</v>
      </c>
      <c r="Z623" s="221"/>
      <c r="AA623" s="221">
        <f>IF(AND(ABS(AA621+Z622)&gt;$G$27*0.8,(AA621+Z622)&lt;0),-$G$27*0.5,IF(AND(ABS(AA621+Z622)&gt;$G$27*0.8,(AA621+Z622)&gt;0),$G$27*0.5,AA621+Z622))</f>
        <v>-3.9901287811517319E-2</v>
      </c>
      <c r="AB623" s="221"/>
      <c r="AC623" s="223">
        <f>$G$29*AA623</f>
        <v>-1.8789789666186489</v>
      </c>
    </row>
    <row r="624" spans="21:29" x14ac:dyDescent="0.3">
      <c r="U624" s="213"/>
      <c r="V624" s="221">
        <f>(AA623+Z622/2)*$V$34</f>
        <v>-6.8572218227878554E-3</v>
      </c>
      <c r="W624" s="221"/>
      <c r="X624" s="221">
        <f t="shared" ref="X624" si="552">W623+V624/2</f>
        <v>-3.293826357639483E-2</v>
      </c>
      <c r="Y624" s="221"/>
      <c r="Z624" s="221">
        <f>-$V$35*(X624+Y623*((AA623+Z622/2)^2))</f>
        <v>5.6269437370789512E-4</v>
      </c>
      <c r="AA624" s="221"/>
      <c r="AB624" s="221">
        <f t="shared" ref="AB624" si="553">AA623+Z624/2</f>
        <v>-3.9619940624663369E-2</v>
      </c>
      <c r="AC624" s="213"/>
    </row>
    <row r="625" spans="21:29" x14ac:dyDescent="0.3">
      <c r="U625" s="220">
        <f>U623+$V$28</f>
        <v>58.40000000000029</v>
      </c>
      <c r="V625" s="221"/>
      <c r="W625" s="221">
        <f>IF(W623+V624&lt;0,(W623+V624)*0.8,W623+V624)</f>
        <v>-2.9093499590231005E-2</v>
      </c>
      <c r="X625" s="221"/>
      <c r="Y625" s="221">
        <f>Y623*(AC625/AC623)^2</f>
        <v>2.6942136014776052E-5</v>
      </c>
      <c r="Z625" s="221"/>
      <c r="AA625" s="221">
        <f>IF(AND(ABS(AA623+Z624)&gt;$G$27*0.8,(AA623+Z624)&lt;0),-$G$27*0.5,IF(AND(ABS(AA623+Z624)&gt;$G$27*0.8,(AA623+Z624)&gt;0),$G$27*0.5,AA623+Z624))</f>
        <v>-3.9338593437809426E-2</v>
      </c>
      <c r="AB625" s="221"/>
      <c r="AC625" s="223">
        <f>$G$29*AA625</f>
        <v>-1.8524813032393082</v>
      </c>
    </row>
    <row r="626" spans="21:29" x14ac:dyDescent="0.3">
      <c r="U626" s="213"/>
      <c r="V626" s="221">
        <f>(AA625+Z624/2)*$V$34</f>
        <v>-6.7605201816723767E-3</v>
      </c>
      <c r="W626" s="221"/>
      <c r="X626" s="221">
        <f t="shared" ref="X626" si="554">W625+V626/2</f>
        <v>-3.2473759681067194E-2</v>
      </c>
      <c r="Y626" s="221"/>
      <c r="Z626" s="221">
        <f>-$V$35*(X626+Y625*((AA625+Z624/2)^2))</f>
        <v>5.5475914296303924E-4</v>
      </c>
      <c r="AA626" s="221"/>
      <c r="AB626" s="221">
        <f t="shared" ref="AB626" si="555">AA625+Z626/2</f>
        <v>-3.9061213866327903E-2</v>
      </c>
      <c r="AC626" s="213"/>
    </row>
    <row r="627" spans="21:29" x14ac:dyDescent="0.3">
      <c r="U627" s="220">
        <f>U625+$V$28</f>
        <v>58.600000000000293</v>
      </c>
      <c r="V627" s="221"/>
      <c r="W627" s="221">
        <f>IF(W625+V626&lt;0,(W625+V626)*0.8,W625+V626)</f>
        <v>-2.8683215817522707E-2</v>
      </c>
      <c r="X627" s="221"/>
      <c r="Y627" s="221">
        <f>Y625*(AC627/AC625)^2</f>
        <v>2.6187609390843222E-5</v>
      </c>
      <c r="Z627" s="221"/>
      <c r="AA627" s="221">
        <f>IF(AND(ABS(AA625+Z626)&gt;$G$27*0.8,(AA625+Z626)&lt;0),-$G$27*0.5,IF(AND(ABS(AA625+Z626)&gt;$G$27*0.8,(AA625+Z626)&gt;0),$G$27*0.5,AA625+Z626))</f>
        <v>-3.8783834294846387E-2</v>
      </c>
      <c r="AB627" s="229"/>
      <c r="AC627" s="223">
        <f>$G$29*AA627</f>
        <v>-1.8263573153096238</v>
      </c>
    </row>
    <row r="628" spans="21:29" x14ac:dyDescent="0.3">
      <c r="U628" s="220"/>
      <c r="V628" s="221">
        <f>(AA627+Z626/2)*$V$34</f>
        <v>-6.6651822458065214E-3</v>
      </c>
      <c r="W628" s="221"/>
      <c r="X628" s="221">
        <f t="shared" ref="X628" si="556">W627+V628/2</f>
        <v>-3.2015806940425967E-2</v>
      </c>
      <c r="Y628" s="221"/>
      <c r="Z628" s="221">
        <f>-$V$35*(X628+Y627*((AA627+Z626/2)^2))</f>
        <v>5.469358254671956E-4</v>
      </c>
      <c r="AA628" s="221"/>
      <c r="AB628" s="229">
        <f t="shared" ref="AB628" si="557">AA627+Z628/2</f>
        <v>-3.851036638211279E-2</v>
      </c>
      <c r="AC628" s="213"/>
    </row>
    <row r="629" spans="21:29" x14ac:dyDescent="0.3">
      <c r="U629" s="220">
        <f>U627+$V$28</f>
        <v>58.800000000000296</v>
      </c>
      <c r="V629" s="221"/>
      <c r="W629" s="221">
        <f>IF(W627+V628&lt;0,(W627+V628)*0.8,W627+V628)</f>
        <v>-2.8278718450663383E-2</v>
      </c>
      <c r="X629" s="221"/>
      <c r="Y629" s="221">
        <f>Y627*(AC629/AC627)^2</f>
        <v>2.5454213644308347E-5</v>
      </c>
      <c r="Z629" s="221"/>
      <c r="AA629" s="221">
        <f>IF(AND(ABS(AA627+Z628)&gt;$G$27*0.8,(AA627+Z628)&lt;0),-$G$27*0.5,IF(AND(ABS(AA627+Z628)&gt;$G$27*0.8,(AA627+Z628)&gt;0),$G$27*0.5,AA627+Z628))</f>
        <v>-3.8236898469379194E-2</v>
      </c>
      <c r="AB629" s="229"/>
      <c r="AC629" s="223">
        <f>$G$29*AA629</f>
        <v>-1.8006017327580643</v>
      </c>
    </row>
    <row r="630" spans="21:29" x14ac:dyDescent="0.3">
      <c r="U630" s="213"/>
      <c r="V630" s="221">
        <f>(AA629+Z628/2)*$V$34</f>
        <v>-6.5711887826050133E-3</v>
      </c>
      <c r="W630" s="221"/>
      <c r="X630" s="221">
        <f t="shared" ref="X630" si="558">W629+V630/2</f>
        <v>-3.156431284196589E-2</v>
      </c>
      <c r="Y630" s="221"/>
      <c r="Z630" s="221">
        <f>-$V$35*(X630+Y629*((AA629+Z628/2)^2))</f>
        <v>5.3922284092419281E-4</v>
      </c>
      <c r="AA630" s="221"/>
      <c r="AB630" s="229">
        <f t="shared" ref="AB630" si="559">AA629+Z630/2</f>
        <v>-3.7967287048917095E-2</v>
      </c>
      <c r="AC630" s="213"/>
    </row>
    <row r="631" spans="21:29" x14ac:dyDescent="0.3">
      <c r="U631" s="220">
        <f>U629+$V$28</f>
        <v>59.000000000000298</v>
      </c>
      <c r="V631" s="221"/>
      <c r="W631" s="221">
        <f>IF(W629+V630&lt;0,(W629+V630)*0.8,W629+V630)</f>
        <v>-2.7879925786614718E-2</v>
      </c>
      <c r="X631" s="221"/>
      <c r="Y631" s="221">
        <f>Y629*(AC631/AC629)^2</f>
        <v>2.4741356985331767E-5</v>
      </c>
      <c r="Z631" s="221"/>
      <c r="AA631" s="221">
        <f>IF(AND(ABS(AA629+Z630)&gt;$G$27*0.8,(AA629+Z630)&lt;0),-$G$27*0.5,IF(AND(ABS(AA629+Z630)&gt;$G$27*0.8,(AA629+Z630)&gt;0),$G$27*0.5,AA629+Z630))</f>
        <v>-3.7697675628455003E-2</v>
      </c>
      <c r="AB631" s="229"/>
      <c r="AC631" s="223">
        <f>$G$29*AA631</f>
        <v>-1.7752093599303269</v>
      </c>
    </row>
    <row r="632" spans="21:29" x14ac:dyDescent="0.3">
      <c r="U632" s="220"/>
      <c r="V632" s="221">
        <f>(AA631+Z630/2)*$V$34</f>
        <v>-6.4785208310193017E-3</v>
      </c>
      <c r="W632" s="221"/>
      <c r="X632" s="221">
        <f t="shared" ref="X632" si="560">W631+V632/2</f>
        <v>-3.1119186202124369E-2</v>
      </c>
      <c r="Y632" s="221"/>
      <c r="Z632" s="221">
        <f>-$V$35*(X632+Y631*((AA631+Z630/2)^2))</f>
        <v>5.3161863173370829E-4</v>
      </c>
      <c r="AA632" s="221"/>
      <c r="AB632" s="221">
        <f t="shared" ref="AB632" si="561">AA631+Z632/2</f>
        <v>-3.7431866312588151E-2</v>
      </c>
      <c r="AC632" s="224"/>
    </row>
    <row r="633" spans="21:29" x14ac:dyDescent="0.3">
      <c r="U633" s="220">
        <f>U631+$V$28</f>
        <v>59.200000000000301</v>
      </c>
      <c r="V633" s="221"/>
      <c r="W633" s="221">
        <f>IF(W631+V632&lt;0,(W631+V632)*0.8,W631+V632)</f>
        <v>-2.7486757294107218E-2</v>
      </c>
      <c r="X633" s="221"/>
      <c r="Y633" s="221">
        <f>Y631*(AC633/AC631)^2</f>
        <v>2.4048464199988094E-5</v>
      </c>
      <c r="Z633" s="221"/>
      <c r="AA633" s="221">
        <f>IF(AND(ABS(AA631+Z632)&gt;$G$27*0.8,(AA631+Z632)&lt;0),-$G$27*0.5,IF(AND(ABS(AA631+Z632)&gt;$G$27*0.8,(AA631+Z632)&gt;0),$G$27*0.5,AA631+Z632))</f>
        <v>-3.7166056996721292E-2</v>
      </c>
      <c r="AB633" s="221"/>
      <c r="AC633" s="223">
        <f>$G$29*AA633</f>
        <v>-1.7501750745205737</v>
      </c>
    </row>
    <row r="634" spans="21:29" x14ac:dyDescent="0.3">
      <c r="U634" s="213"/>
      <c r="V634" s="221">
        <f>(AA633+Z632/2)*$V$34</f>
        <v>-6.3871596976456824E-3</v>
      </c>
      <c r="W634" s="221"/>
      <c r="X634" s="221">
        <f t="shared" ref="X634" si="562">W633+V634/2</f>
        <v>-3.0680337142930059E-2</v>
      </c>
      <c r="Y634" s="221"/>
      <c r="Z634" s="221">
        <f>-$V$35*(X634+Y633*((AA633+Z632/2)^2))</f>
        <v>5.2412166259272917E-4</v>
      </c>
      <c r="AA634" s="221"/>
      <c r="AB634" s="221">
        <f t="shared" ref="AB634" si="563">AA633+Z634/2</f>
        <v>-3.6903996165424925E-2</v>
      </c>
      <c r="AC634" s="213"/>
    </row>
    <row r="635" spans="21:29" x14ac:dyDescent="0.3">
      <c r="U635" s="220">
        <f>U633+$V$28</f>
        <v>59.400000000000304</v>
      </c>
      <c r="V635" s="221"/>
      <c r="W635" s="221">
        <f>IF(W633+V634&lt;0,(W633+V634)*0.8,W633+V634)</f>
        <v>-2.7099133593402321E-2</v>
      </c>
      <c r="X635" s="221"/>
      <c r="Y635" s="221">
        <f>Y633*(AC635/AC633)^2</f>
        <v>2.33749761854937E-5</v>
      </c>
      <c r="Z635" s="221"/>
      <c r="AA635" s="221">
        <f>IF(AND(ABS(AA633+Z634)&gt;$G$27*0.8,(AA633+Z634)&lt;0),-$G$27*0.5,IF(AND(ABS(AA633+Z634)&gt;$G$27*0.8,(AA633+Z634)&gt;0),$G$27*0.5,AA633+Z634))</f>
        <v>-3.6641935334128566E-2</v>
      </c>
      <c r="AB635" s="221"/>
      <c r="AC635" s="223">
        <f>$G$29*AA635</f>
        <v>-1.7254938265214386</v>
      </c>
    </row>
    <row r="636" spans="21:29" x14ac:dyDescent="0.3">
      <c r="U636" s="220"/>
      <c r="V636" s="221">
        <f>(AA635+Z634/2)*$V$34</f>
        <v>-6.2970869529002877E-3</v>
      </c>
      <c r="W636" s="221"/>
      <c r="X636" s="221">
        <f t="shared" ref="X636" si="564">W635+V636/2</f>
        <v>-3.0247677069852465E-2</v>
      </c>
      <c r="Y636" s="221"/>
      <c r="Z636" s="221">
        <f>-$V$35*(X636+Y635*((AA635+Z634/2)^2))</f>
        <v>5.1673042011751149E-4</v>
      </c>
      <c r="AA636" s="221"/>
      <c r="AB636" s="221">
        <f t="shared" ref="AB636" si="565">AA635+Z636/2</f>
        <v>-3.6383570124069807E-2</v>
      </c>
      <c r="AC636" s="213"/>
    </row>
    <row r="637" spans="21:29" x14ac:dyDescent="0.3">
      <c r="U637" s="220">
        <f>U635+$V$28</f>
        <v>59.600000000000307</v>
      </c>
      <c r="V637" s="221"/>
      <c r="W637" s="221">
        <f>IF(W635+V636&lt;0,(W635+V636)*0.8,W635+V636)</f>
        <v>-2.671697643704209E-2</v>
      </c>
      <c r="X637" s="221"/>
      <c r="Y637" s="221">
        <f>Y635*(AC637/AC635)^2</f>
        <v>2.2720349498564674E-5</v>
      </c>
      <c r="Z637" s="221"/>
      <c r="AA637" s="221">
        <f>IF(AND(ABS(AA635+Z636)&gt;$G$27*0.8,(AA635+Z636)&lt;0),-$G$27*0.5,IF(AND(ABS(AA635+Z636)&gt;$G$27*0.8,(AA635+Z636)&gt;0),$G$27*0.5,AA635+Z636))</f>
        <v>-3.6125204914011055E-2</v>
      </c>
      <c r="AB637" s="221"/>
      <c r="AC637" s="223">
        <f>$G$29*AA637</f>
        <v>-1.7011606371918309</v>
      </c>
    </row>
    <row r="638" spans="21:29" x14ac:dyDescent="0.3">
      <c r="U638" s="213"/>
      <c r="V638" s="221">
        <f>(AA637+Z636/2)*$V$34</f>
        <v>-6.2082844272577393E-3</v>
      </c>
      <c r="W638" s="221"/>
      <c r="X638" s="221">
        <f t="shared" ref="X638" si="566">W637+V638/2</f>
        <v>-2.9821118650670959E-2</v>
      </c>
      <c r="Y638" s="221"/>
      <c r="Z638" s="221">
        <f>-$V$35*(X638+Y637*((AA637+Z636/2)^2))</f>
        <v>5.0944341248293327E-4</v>
      </c>
      <c r="AA638" s="221"/>
      <c r="AB638" s="221">
        <f t="shared" ref="AB638" si="567">AA637+Z638/2</f>
        <v>-3.5870483207769588E-2</v>
      </c>
      <c r="AC638" s="213"/>
    </row>
    <row r="639" spans="21:29" x14ac:dyDescent="0.3">
      <c r="U639" s="220">
        <f>U637+$V$28</f>
        <v>59.80000000000031</v>
      </c>
      <c r="V639" s="221"/>
      <c r="W639" s="221">
        <f>IF(W637+V638&lt;0,(W637+V638)*0.8,W637+V638)</f>
        <v>-2.6340208691439868E-2</v>
      </c>
      <c r="X639" s="221"/>
      <c r="Y639" s="221">
        <f>Y637*(AC639/AC637)^2</f>
        <v>2.208405591651456E-5</v>
      </c>
      <c r="Z639" s="221"/>
      <c r="AA639" s="221">
        <f>IF(AND(ABS(AA637+Z638)&gt;$G$27*0.8,(AA637+Z638)&lt;0),-$G$27*0.5,IF(AND(ABS(AA637+Z638)&gt;$G$27*0.8,(AA637+Z638)&gt;0),$G$27*0.5,AA637+Z638))</f>
        <v>-3.561576150152812E-2</v>
      </c>
      <c r="AB639" s="221"/>
      <c r="AC639" s="223">
        <f>$G$29*AA639</f>
        <v>-1.6771705980417269</v>
      </c>
    </row>
    <row r="640" spans="21:29" x14ac:dyDescent="0.3">
      <c r="U640" s="213"/>
      <c r="V640" s="221">
        <f>(AA639+Z638/2)*$V$34</f>
        <v>-6.1207342075507241E-3</v>
      </c>
      <c r="W640" s="221"/>
      <c r="X640" s="221">
        <f t="shared" ref="X640" si="568">W639+V640/2</f>
        <v>-2.9400575795215229E-2</v>
      </c>
      <c r="Y640" s="221"/>
      <c r="Z640" s="221">
        <f>-$V$35*(X640+Y639*((AA639+Z638/2)^2))</f>
        <v>5.0225916907671564E-4</v>
      </c>
      <c r="AA640" s="221"/>
      <c r="AB640" s="221">
        <f t="shared" ref="AB640" si="569">AA639+Z640/2</f>
        <v>-3.5364631916989762E-2</v>
      </c>
      <c r="AC640" s="213"/>
    </row>
    <row r="641" spans="21:29" x14ac:dyDescent="0.3">
      <c r="U641" s="220">
        <f>U639+$V$28</f>
        <v>60.000000000000313</v>
      </c>
      <c r="V641" s="221"/>
      <c r="W641" s="221">
        <f>IF(W639+V640&lt;0,(W639+V640)*0.8,W639+V640)</f>
        <v>-2.5968754319192475E-2</v>
      </c>
      <c r="X641" s="221"/>
      <c r="Y641" s="221">
        <f>Y639*(AC641/AC639)^2</f>
        <v>2.1465582010716594E-5</v>
      </c>
      <c r="Z641" s="221"/>
      <c r="AA641" s="221">
        <f>IF(AND(ABS(AA639+Z640)&gt;$G$27*0.8,(AA639+Z640)&lt;0),-$G$27*0.5,IF(AND(ABS(AA639+Z640)&gt;$G$27*0.8,(AA639+Z640)&gt;0),$G$27*0.5,AA639+Z640))</f>
        <v>-3.5113502332451405E-2</v>
      </c>
      <c r="AB641" s="221"/>
      <c r="AC641" s="223">
        <f>$G$29*AA641</f>
        <v>-1.6535188698332428</v>
      </c>
    </row>
    <row r="642" spans="21:29" x14ac:dyDescent="0.3">
      <c r="U642" s="213"/>
      <c r="V642" s="221">
        <f>(AA641+Z640/2)*$V$34</f>
        <v>-6.0344186333281362E-3</v>
      </c>
      <c r="W642" s="221"/>
      <c r="X642" s="221">
        <f t="shared" ref="X642" si="570">W641+V642/2</f>
        <v>-2.8985963635856545E-2</v>
      </c>
      <c r="Y642" s="221"/>
      <c r="Z642" s="221">
        <f>-$V$35*(X642+Y641*((AA641+Z640/2)^2))</f>
        <v>4.9517624016645341E-4</v>
      </c>
      <c r="AA642" s="221"/>
      <c r="AB642" s="221">
        <f t="shared" ref="AB642" si="571">AA641+Z642/2</f>
        <v>-3.4865914212368176E-2</v>
      </c>
      <c r="AC642" s="213"/>
    </row>
    <row r="643" spans="21:29" x14ac:dyDescent="0.3">
      <c r="U643" s="220">
        <f>U641+$V$28</f>
        <v>60.200000000000315</v>
      </c>
      <c r="V643" s="221"/>
      <c r="W643" s="221">
        <f>IF(W641+V642&lt;0,(W641+V642)*0.8,W641+V642)</f>
        <v>-2.5602538362016494E-2</v>
      </c>
      <c r="X643" s="221"/>
      <c r="Y643" s="221">
        <f>Y641*(AC643/AC641)^2</f>
        <v>2.0864428732069315E-5</v>
      </c>
      <c r="Z643" s="221"/>
      <c r="AA643" s="221">
        <f>IF(AND(ABS(AA641+Z642)&gt;$G$27*0.8,(AA641+Z642)&lt;0),-$G$27*0.5,IF(AND(ABS(AA641+Z642)&gt;$G$27*0.8,(AA641+Z642)&gt;0),$G$27*0.5,AA641+Z642))</f>
        <v>-3.4618326092284948E-2</v>
      </c>
      <c r="AB643" s="221"/>
      <c r="AC643" s="223">
        <f>$G$29*AA643</f>
        <v>-1.6302006815973855</v>
      </c>
    </row>
    <row r="644" spans="21:29" x14ac:dyDescent="0.3">
      <c r="U644" s="213"/>
      <c r="V644" s="221">
        <f>(AA643+Z642/2)*$V$34</f>
        <v>-5.9493202932697385E-3</v>
      </c>
      <c r="W644" s="221"/>
      <c r="X644" s="221">
        <f t="shared" ref="X644" si="572">W643+V644/2</f>
        <v>-2.8577198508651362E-2</v>
      </c>
      <c r="Y644" s="221"/>
      <c r="Z644" s="221">
        <f>-$V$35*(X644+Y643*((AA643+Z642/2)^2))</f>
        <v>4.8819319657777207E-4</v>
      </c>
      <c r="AA644" s="221"/>
      <c r="AB644" s="221">
        <f t="shared" ref="AB644" si="573">AA643+Z644/2</f>
        <v>-3.4374229493996065E-2</v>
      </c>
      <c r="AC644" s="213"/>
    </row>
    <row r="645" spans="21:29" x14ac:dyDescent="0.3">
      <c r="U645" s="220">
        <f>U643+$V$28</f>
        <v>60.400000000000318</v>
      </c>
      <c r="V645" s="221"/>
      <c r="W645" s="221">
        <f>IF(W643+V644&lt;0,(W643+V644)*0.8,W643+V644)</f>
        <v>-2.5241486924228985E-2</v>
      </c>
      <c r="X645" s="221"/>
      <c r="Y645" s="221">
        <f>Y643*(AC645/AC643)^2</f>
        <v>2.0280111008117743E-5</v>
      </c>
      <c r="Z645" s="221"/>
      <c r="AA645" s="221">
        <f>IF(AND(ABS(AA643+Z644)&gt;$G$27*0.8,(AA643+Z644)&lt;0),-$G$27*0.5,IF(AND(ABS(AA643+Z644)&gt;$G$27*0.8,(AA643+Z644)&gt;0),$G$27*0.5,AA643+Z644))</f>
        <v>-3.4130132895707176E-2</v>
      </c>
      <c r="AB645" s="221"/>
      <c r="AC645" s="223">
        <f>$G$29*AA645</f>
        <v>-1.6072113296659629</v>
      </c>
    </row>
    <row r="646" spans="21:29" x14ac:dyDescent="0.3">
      <c r="U646" s="213"/>
      <c r="V646" s="221">
        <f>(AA645+Z644/2)*$V$34</f>
        <v>-5.8654220216555796E-3</v>
      </c>
      <c r="W646" s="221"/>
      <c r="X646" s="221">
        <f t="shared" ref="X646" si="574">W645+V646/2</f>
        <v>-2.8174197935056777E-2</v>
      </c>
      <c r="Y646" s="221"/>
      <c r="Z646" s="221">
        <f>-$V$35*(X646+Y645*((AA645+Z644/2)^2))</f>
        <v>4.8130862938223893E-4</v>
      </c>
      <c r="AA646" s="221"/>
      <c r="AB646" s="221">
        <f t="shared" ref="AB646" si="575">AA645+Z646/2</f>
        <v>-3.3889478581016055E-2</v>
      </c>
      <c r="AC646" s="213"/>
    </row>
    <row r="647" spans="21:29" x14ac:dyDescent="0.3">
      <c r="U647" s="220">
        <f>U645+$V$28</f>
        <v>60.600000000000321</v>
      </c>
      <c r="V647" s="221"/>
      <c r="W647" s="221">
        <f>IF(W645+V646&lt;0,(W645+V646)*0.8,W645+V646)</f>
        <v>-2.4885527156707651E-2</v>
      </c>
      <c r="X647" s="221"/>
      <c r="Y647" s="221">
        <f>Y645*(AC647/AC645)^2</f>
        <v>1.9712157351494112E-5</v>
      </c>
      <c r="Z647" s="221"/>
      <c r="AA647" s="221">
        <f>IF(AND(ABS(AA645+Z646)&gt;$G$27*0.8,(AA645+Z646)&lt;0),-$G$27*0.5,IF(AND(ABS(AA645+Z646)&gt;$G$27*0.8,(AA645+Z646)&gt;0),$G$27*0.5,AA645+Z646))</f>
        <v>-3.3648824266324935E-2</v>
      </c>
      <c r="AB647" s="221"/>
      <c r="AC647" s="223">
        <f>$G$29*AA647</f>
        <v>-1.5845461767181865</v>
      </c>
    </row>
    <row r="648" spans="21:29" x14ac:dyDescent="0.3">
      <c r="U648" s="213"/>
      <c r="V648" s="221">
        <f>(AA647+Z646/2)*$V$34</f>
        <v>-5.7827068948885724E-3</v>
      </c>
      <c r="W648" s="221"/>
      <c r="X648" s="221">
        <f t="shared" ref="X648" si="576">W647+V648/2</f>
        <v>-2.7776880604151937E-2</v>
      </c>
      <c r="Y648" s="221"/>
      <c r="Z648" s="221">
        <f>-$V$35*(X648+Y647*((AA647+Z646/2)^2))</f>
        <v>4.7452114959390187E-4</v>
      </c>
      <c r="AA648" s="221"/>
      <c r="AB648" s="221">
        <f t="shared" ref="AB648" si="577">AA647+Z648/2</f>
        <v>-3.3411563691527986E-2</v>
      </c>
      <c r="AC648" s="213"/>
    </row>
    <row r="649" spans="21:29" x14ac:dyDescent="0.3">
      <c r="U649" s="220">
        <f>U647+$V$28</f>
        <v>60.800000000000324</v>
      </c>
      <c r="V649" s="221"/>
      <c r="W649" s="221">
        <f>IF(W647+V648&lt;0,(W647+V648)*0.8,W647+V648)</f>
        <v>-2.4534587241276981E-2</v>
      </c>
      <c r="X649" s="221"/>
      <c r="Y649" s="221">
        <f>Y647*(AC649/AC647)^2</f>
        <v>1.9160109479353822E-5</v>
      </c>
      <c r="Z649" s="221"/>
      <c r="AA649" s="221">
        <f>IF(AND(ABS(AA647+Z648)&gt;$G$27*0.8,(AA647+Z648)&lt;0),-$G$27*0.5,IF(AND(ABS(AA647+Z648)&gt;$G$27*0.8,(AA647+Z648)&gt;0),$G$27*0.5,AA647+Z648))</f>
        <v>-3.317430311673103E-2</v>
      </c>
      <c r="AB649" s="221"/>
      <c r="AC649" s="223">
        <f>$G$29*AA649</f>
        <v>-1.5622006508415685</v>
      </c>
    </row>
    <row r="650" spans="21:29" x14ac:dyDescent="0.3">
      <c r="U650" s="213"/>
      <c r="V650" s="221">
        <f>(AA649+Z648/2)*$V$34</f>
        <v>-5.7011582280688741E-3</v>
      </c>
      <c r="W650" s="221"/>
      <c r="X650" s="221">
        <f t="shared" ref="X650" si="578">W649+V650/2</f>
        <v>-2.7385166355311418E-2</v>
      </c>
      <c r="Y650" s="221"/>
      <c r="Z650" s="221">
        <f>-$V$35*(X650+Y649*((AA649+Z648/2)^2))</f>
        <v>4.6782938787353527E-4</v>
      </c>
      <c r="AA650" s="221"/>
      <c r="AB650" s="221">
        <f t="shared" ref="AB650" si="579">AA649+Z650/2</f>
        <v>-3.2940388422794259E-2</v>
      </c>
      <c r="AC650" s="213"/>
    </row>
    <row r="651" spans="21:29" x14ac:dyDescent="0.3">
      <c r="U651" s="220">
        <f>U649+$V$28</f>
        <v>61.000000000000327</v>
      </c>
      <c r="V651" s="221"/>
      <c r="W651" s="221">
        <f>IF(W649+V650&lt;0,(W649+V650)*0.8,W649+V650)</f>
        <v>-2.4188596375476684E-2</v>
      </c>
      <c r="X651" s="221"/>
      <c r="Y651" s="221">
        <f>Y649*(AC651/AC649)^2</f>
        <v>1.8623521943492483E-5</v>
      </c>
      <c r="Z651" s="221"/>
      <c r="AA651" s="221">
        <f>IF(AND(ABS(AA649+Z650)&gt;$G$27*0.8,(AA649+Z650)&lt;0),-$G$27*0.5,IF(AND(ABS(AA649+Z650)&gt;$G$27*0.8,(AA649+Z650)&gt;0),$G$27*0.5,AA649+Z650))</f>
        <v>-3.2706473728857495E-2</v>
      </c>
      <c r="AB651" s="221"/>
      <c r="AC651" s="223">
        <f>$G$29*AA651</f>
        <v>-1.5401702446067422</v>
      </c>
    </row>
    <row r="652" spans="21:29" x14ac:dyDescent="0.3">
      <c r="U652" s="213"/>
      <c r="V652" s="221">
        <f>(AA651+Z650/2)*$V$34</f>
        <v>-5.6207595716187674E-3</v>
      </c>
      <c r="W652" s="221"/>
      <c r="X652" s="221">
        <f t="shared" ref="X652" si="580">W651+V652/2</f>
        <v>-2.6998976161286069E-2</v>
      </c>
      <c r="Y652" s="221"/>
      <c r="Z652" s="221">
        <f>-$V$35*(X652+Y651*((AA651+Z650/2)^2))</f>
        <v>4.6123199423983379E-4</v>
      </c>
      <c r="AA652" s="221"/>
      <c r="AB652" s="221">
        <f t="shared" ref="AB652" si="581">AA651+Z652/2</f>
        <v>-3.2475857731737577E-2</v>
      </c>
      <c r="AC652" s="213"/>
    </row>
    <row r="653" spans="21:29" x14ac:dyDescent="0.3">
      <c r="U653" s="220">
        <f>U651+$V$28</f>
        <v>61.20000000000033</v>
      </c>
      <c r="V653" s="221"/>
      <c r="W653" s="221">
        <f>IF(W651+V652&lt;0,(W651+V652)*0.8,W651+V652)</f>
        <v>-2.3847484757676365E-2</v>
      </c>
      <c r="X653" s="221"/>
      <c r="Y653" s="221">
        <f>Y651*(AC653/AC651)^2</f>
        <v>1.8101961770840288E-5</v>
      </c>
      <c r="Z653" s="221"/>
      <c r="AA653" s="221">
        <f>IF(AND(ABS(AA651+Z652)&gt;$G$27*0.8,(AA651+Z652)&lt;0),-$G$27*0.5,IF(AND(ABS(AA651+Z652)&gt;$G$27*0.8,(AA651+Z652)&gt;0),$G$27*0.5,AA651+Z652))</f>
        <v>-3.2245241734617659E-2</v>
      </c>
      <c r="AB653" s="221"/>
      <c r="AC653" s="223">
        <f>$G$29*AA653</f>
        <v>-1.5184505141558851</v>
      </c>
    </row>
    <row r="654" spans="21:29" x14ac:dyDescent="0.3">
      <c r="U654" s="213"/>
      <c r="V654" s="221">
        <f>(AA653+Z652/2)*$V$34</f>
        <v>-5.5414947079569545E-3</v>
      </c>
      <c r="W654" s="221"/>
      <c r="X654" s="221">
        <f t="shared" ref="X654" si="582">W653+V654/2</f>
        <v>-2.6618232111654844E-2</v>
      </c>
      <c r="Y654" s="221"/>
      <c r="Z654" s="221">
        <f>-$V$35*(X654+Y653*((AA653+Z652/2)^2))</f>
        <v>4.5472763778693084E-4</v>
      </c>
      <c r="AA654" s="221"/>
      <c r="AB654" s="221">
        <f t="shared" ref="AB654" si="583">AA653+Z654/2</f>
        <v>-3.2017877915724191E-2</v>
      </c>
      <c r="AC654" s="213"/>
    </row>
    <row r="655" spans="21:29" x14ac:dyDescent="0.3">
      <c r="U655" s="220">
        <f>U653+$V$28</f>
        <v>61.400000000000333</v>
      </c>
      <c r="V655" s="221"/>
      <c r="W655" s="221">
        <f>IF(W653+V654&lt;0,(W653+V654)*0.8,W653+V654)</f>
        <v>-2.3511183572506658E-2</v>
      </c>
      <c r="X655" s="221"/>
      <c r="Y655" s="221">
        <f>Y653*(AC655/AC653)^2</f>
        <v>1.7595008114039182E-5</v>
      </c>
      <c r="Z655" s="221"/>
      <c r="AA655" s="221">
        <f>IF(AND(ABS(AA653+Z654)&gt;$G$27*0.8,(AA653+Z654)&lt;0),-$G$27*0.5,IF(AND(ABS(AA653+Z654)&gt;$G$27*0.8,(AA653+Z654)&gt;0),$G$27*0.5,AA653+Z654))</f>
        <v>-3.179051409683073E-2</v>
      </c>
      <c r="AB655" s="221"/>
      <c r="AC655" s="223">
        <f>$G$29*AA655</f>
        <v>-1.4970370783044438</v>
      </c>
    </row>
    <row r="656" spans="21:29" x14ac:dyDescent="0.3">
      <c r="U656" s="213"/>
      <c r="V656" s="221">
        <f>(AA655+Z654/2)*$V$34</f>
        <v>-5.4633476482211759E-3</v>
      </c>
      <c r="W656" s="221"/>
      <c r="X656" s="221">
        <f t="shared" ref="X656" si="584">W655+V656/2</f>
        <v>-2.6242857396617247E-2</v>
      </c>
      <c r="Y656" s="221"/>
      <c r="Z656" s="221">
        <f>-$V$35*(X656+Y655*((AA655+Z654/2)^2))</f>
        <v>4.4831500640772398E-4</v>
      </c>
      <c r="AA656" s="221"/>
      <c r="AB656" s="221">
        <f t="shared" ref="AB656" si="585">AA655+Z656/2</f>
        <v>-3.1566356593626867E-2</v>
      </c>
      <c r="AC656" s="213"/>
    </row>
    <row r="657" spans="21:29" x14ac:dyDescent="0.3">
      <c r="U657" s="220">
        <f>U655+$V$28</f>
        <v>61.600000000000335</v>
      </c>
      <c r="V657" s="221"/>
      <c r="W657" s="221">
        <f>IF(W655+V656&lt;0,(W655+V656)*0.8,W655+V656)</f>
        <v>-2.3179624976582269E-2</v>
      </c>
      <c r="X657" s="221"/>
      <c r="Y657" s="221">
        <f>Y655*(AC657/AC655)^2</f>
        <v>1.7102251911817395E-5</v>
      </c>
      <c r="Z657" s="221"/>
      <c r="AA657" s="221">
        <f>IF(AND(ABS(AA655+Z656)&gt;$G$27*0.8,(AA655+Z656)&lt;0),-$G$27*0.5,IF(AND(ABS(AA655+Z656)&gt;$G$27*0.8,(AA655+Z656)&gt;0),$G$27*0.5,AA655+Z656))</f>
        <v>-3.1342199090423004E-2</v>
      </c>
      <c r="AB657" s="221"/>
      <c r="AC657" s="223">
        <f>$G$29*AA657</f>
        <v>-1.4759256176558859</v>
      </c>
    </row>
    <row r="658" spans="21:29" x14ac:dyDescent="0.3">
      <c r="U658" s="213"/>
      <c r="V658" s="221">
        <f>(AA657+Z656/2)*$V$34</f>
        <v>-5.3863026290382372E-3</v>
      </c>
      <c r="W658" s="221"/>
      <c r="X658" s="221">
        <f t="shared" ref="X658" si="586">W657+V658/2</f>
        <v>-2.5872776291101386E-2</v>
      </c>
      <c r="Y658" s="221"/>
      <c r="Z658" s="221">
        <f>-$V$35*(X658+Y657*((AA657+Z656/2)^2))</f>
        <v>4.4199280652258048E-4</v>
      </c>
      <c r="AA658" s="221"/>
      <c r="AB658" s="221">
        <f t="shared" ref="AB658" si="587">AA657+Z658/2</f>
        <v>-3.1121202687161714E-2</v>
      </c>
      <c r="AC658" s="213"/>
    </row>
    <row r="659" spans="21:29" x14ac:dyDescent="0.3">
      <c r="U659" s="220">
        <f>U657+$V$28</f>
        <v>61.800000000000338</v>
      </c>
      <c r="V659" s="221"/>
      <c r="W659" s="221">
        <f>IF(W657+V658&lt;0,(W657+V658)*0.8,W657+V658)</f>
        <v>-2.2852742084496405E-2</v>
      </c>
      <c r="X659" s="221"/>
      <c r="Y659" s="221">
        <f>Y657*(AC659/AC657)^2</f>
        <v>1.6623295558884624E-5</v>
      </c>
      <c r="Z659" s="221"/>
      <c r="AA659" s="221">
        <f>IF(AND(ABS(AA657+Z658)&gt;$G$27*0.8,(AA657+Z658)&lt;0),-$G$27*0.5,IF(AND(ABS(AA657+Z658)&gt;$G$27*0.8,(AA657+Z658)&gt;0),$G$27*0.5,AA657+Z658))</f>
        <v>-3.0900206283900424E-2</v>
      </c>
      <c r="AB659" s="221"/>
      <c r="AC659" s="223">
        <f>$G$29*AA659</f>
        <v>-1.4551118737292312</v>
      </c>
    </row>
    <row r="660" spans="21:29" x14ac:dyDescent="0.3">
      <c r="U660" s="213"/>
      <c r="V660" s="221">
        <f>(AA659+Z658/2)*$V$34</f>
        <v>-5.3103441093405182E-3</v>
      </c>
      <c r="W660" s="221"/>
      <c r="X660" s="221">
        <f t="shared" ref="X660" si="588">W659+V660/2</f>
        <v>-2.5507914139166664E-2</v>
      </c>
      <c r="Y660" s="221"/>
      <c r="Z660" s="221">
        <f>-$V$35*(X660+Y659*((AA659+Z658/2)^2))</f>
        <v>4.3575976281306616E-4</v>
      </c>
      <c r="AA660" s="221"/>
      <c r="AB660" s="221">
        <f t="shared" ref="AB660" si="589">AA659+Z660/2</f>
        <v>-3.0682326402493892E-2</v>
      </c>
      <c r="AC660" s="213"/>
    </row>
    <row r="661" spans="21:29" x14ac:dyDescent="0.3">
      <c r="U661" s="220">
        <f>U659+$V$28</f>
        <v>62.000000000000341</v>
      </c>
      <c r="V661" s="221"/>
      <c r="W661" s="221">
        <f>IF(W659+V660&lt;0,(W659+V660)*0.8,W659+V660)</f>
        <v>-2.2530468955069539E-2</v>
      </c>
      <c r="X661" s="221"/>
      <c r="Y661" s="221">
        <f>Y659*(AC661/AC659)^2</f>
        <v>1.6157752585079133E-5</v>
      </c>
      <c r="Z661" s="221"/>
      <c r="AA661" s="221">
        <f>IF(AND(ABS(AA659+Z660)&gt;$G$27*0.8,(AA659+Z660)&lt;0),-$G$27*0.5,IF(AND(ABS(AA659+Z660)&gt;$G$27*0.8,(AA659+Z660)&gt;0),$G$27*0.5,AA659+Z660))</f>
        <v>-3.0464446521087356E-2</v>
      </c>
      <c r="AB661" s="221"/>
      <c r="AC661" s="223">
        <f>$G$29*AA661</f>
        <v>-1.4345916480991165</v>
      </c>
    </row>
    <row r="662" spans="21:29" x14ac:dyDescent="0.3">
      <c r="U662" s="213"/>
      <c r="V662" s="221">
        <f>(AA661+Z660/2)*$V$34</f>
        <v>-5.2354567672281372E-3</v>
      </c>
      <c r="W662" s="221"/>
      <c r="X662" s="221">
        <f t="shared" ref="X662" si="590">W661+V662/2</f>
        <v>-2.5148197338683606E-2</v>
      </c>
      <c r="Y662" s="221"/>
      <c r="Z662" s="221">
        <f>-$V$35*(X662+Y661*((AA661+Z660/2)^2))</f>
        <v>4.2961461796039833E-4</v>
      </c>
      <c r="AA662" s="221"/>
      <c r="AB662" s="221">
        <f t="shared" ref="AB662" si="591">AA661+Z662/2</f>
        <v>-3.0249639212107157E-2</v>
      </c>
      <c r="AC662" s="213"/>
    </row>
    <row r="663" spans="21:29" x14ac:dyDescent="0.3">
      <c r="U663" s="220">
        <f>U661+$V$28</f>
        <v>62.200000000000344</v>
      </c>
      <c r="V663" s="221"/>
      <c r="W663" s="221">
        <f>IF(W661+V662&lt;0,(W661+V662)*0.8,W661+V662)</f>
        <v>-2.2212740577838144E-2</v>
      </c>
      <c r="X663" s="221"/>
      <c r="Y663" s="221">
        <f>Y661*(AC663/AC661)^2</f>
        <v>1.5705247343506299E-5</v>
      </c>
      <c r="Z663" s="221"/>
      <c r="AA663" s="221">
        <f>IF(AND(ABS(AA661+Z662)&gt;$G$27*0.8,(AA661+Z662)&lt;0),-$G$27*0.5,IF(AND(ABS(AA661+Z662)&gt;$G$27*0.8,(AA661+Z662)&gt;0),$G$27*0.5,AA661+Z662))</f>
        <v>-3.0034831903126957E-2</v>
      </c>
      <c r="AB663" s="221"/>
      <c r="AC663" s="223">
        <f>$G$29*AA663</f>
        <v>-1.4143608015481814</v>
      </c>
    </row>
    <row r="664" spans="21:29" x14ac:dyDescent="0.3">
      <c r="U664" s="213"/>
      <c r="V664" s="221">
        <f>(AA663+Z662/2)*$V$34</f>
        <v>-5.1616254968759852E-3</v>
      </c>
      <c r="W664" s="221"/>
      <c r="X664" s="221">
        <f t="shared" ref="X664" si="592">W663+V664/2</f>
        <v>-2.4793553326276137E-2</v>
      </c>
      <c r="Y664" s="221"/>
      <c r="Z664" s="221">
        <f>-$V$35*(X664+Y663*((AA663+Z662/2)^2))</f>
        <v>4.2355613238837197E-4</v>
      </c>
      <c r="AA664" s="221"/>
      <c r="AB664" s="221">
        <f t="shared" ref="AB664" si="593">AA663+Z664/2</f>
        <v>-2.9823053836932772E-2</v>
      </c>
      <c r="AC664" s="213"/>
    </row>
    <row r="665" spans="21:29" x14ac:dyDescent="0.3">
      <c r="U665" s="220">
        <f>U663+$V$28</f>
        <v>62.400000000000347</v>
      </c>
      <c r="V665" s="221"/>
      <c r="W665" s="221">
        <f>IF(W663+V664&lt;0,(W663+V664)*0.8,W663+V664)</f>
        <v>-2.1899492859771302E-2</v>
      </c>
      <c r="X665" s="221"/>
      <c r="Y665" s="221">
        <f>Y663*(AC665/AC663)^2</f>
        <v>1.5265414707415456E-5</v>
      </c>
      <c r="Z665" s="221"/>
      <c r="AA665" s="221">
        <f>IF(AND(ABS(AA663+Z664)&gt;$G$27*0.8,(AA663+Z664)&lt;0),-$G$27*0.5,IF(AND(ABS(AA663+Z664)&gt;$G$27*0.8,(AA663+Z664)&gt;0),$G$27*0.5,AA663+Z664))</f>
        <v>-2.9611275770738583E-2</v>
      </c>
      <c r="AB665" s="221"/>
      <c r="AC665" s="223">
        <f>$G$29*AA665</f>
        <v>-1.3944152532315586</v>
      </c>
    </row>
    <row r="666" spans="21:29" x14ac:dyDescent="0.3">
      <c r="U666" s="213"/>
      <c r="V666" s="221">
        <f>(AA665+Z664/2)*$V$34</f>
        <v>-5.0888354054848617E-3</v>
      </c>
      <c r="W666" s="221"/>
      <c r="X666" s="221">
        <f t="shared" ref="X666" si="594">W665+V666/2</f>
        <v>-2.4443910562513733E-2</v>
      </c>
      <c r="Y666" s="221"/>
      <c r="Z666" s="221">
        <f>-$V$35*(X666+Y665*((AA665+Z664/2)^2))</f>
        <v>4.1758308401054691E-4</v>
      </c>
      <c r="AA666" s="221"/>
      <c r="AB666" s="221">
        <f t="shared" ref="AB666" si="595">AA665+Z666/2</f>
        <v>-2.940248422873331E-2</v>
      </c>
      <c r="AC666" s="213"/>
    </row>
    <row r="667" spans="21:29" x14ac:dyDescent="0.3">
      <c r="U667" s="220">
        <f>U665+$V$28</f>
        <v>62.60000000000035</v>
      </c>
      <c r="V667" s="221"/>
      <c r="W667" s="221">
        <f>IF(W665+V666&lt;0,(W665+V666)*0.8,W665+V666)</f>
        <v>-2.1590662612204933E-2</v>
      </c>
      <c r="X667" s="221"/>
      <c r="Y667" s="221">
        <f>Y665*(AC667/AC665)^2</f>
        <v>1.4837899775569333E-5</v>
      </c>
      <c r="Z667" s="221"/>
      <c r="AA667" s="221">
        <f>IF(AND(ABS(AA665+Z666)&gt;$G$27*0.8,(AA665+Z666)&lt;0),-$G$27*0.5,IF(AND(ABS(AA665+Z666)&gt;$G$27*0.8,(AA665+Z666)&gt;0),$G$27*0.5,AA665+Z666))</f>
        <v>-2.9193692686728036E-2</v>
      </c>
      <c r="AB667" s="221"/>
      <c r="AC667" s="223">
        <f>$G$29*AA667</f>
        <v>-1.3747509798532671</v>
      </c>
    </row>
    <row r="668" spans="21:29" x14ac:dyDescent="0.3">
      <c r="U668" s="213"/>
      <c r="V668" s="221">
        <f>(AA667+Z666/2)*$V$34</f>
        <v>-5.0170718102760074E-3</v>
      </c>
      <c r="W668" s="221"/>
      <c r="X668" s="221">
        <f t="shared" ref="X668" si="596">W667+V668/2</f>
        <v>-2.4099198517342935E-2</v>
      </c>
      <c r="Y668" s="221"/>
      <c r="Z668" s="221">
        <f>-$V$35*(X668+Y667*((AA667+Z666/2)^2))</f>
        <v>4.1169426798151474E-4</v>
      </c>
      <c r="AA668" s="221"/>
      <c r="AB668" s="221">
        <f t="shared" ref="AB668" si="597">AA667+Z668/2</f>
        <v>-2.8987845552737278E-2</v>
      </c>
      <c r="AC668" s="213"/>
    </row>
    <row r="669" spans="21:29" x14ac:dyDescent="0.3">
      <c r="U669" s="220">
        <f>U667+$V$28</f>
        <v>62.800000000000352</v>
      </c>
      <c r="V669" s="221"/>
      <c r="W669" s="221">
        <f>IF(W667+V668&lt;0,(W667+V668)*0.8,W667+V668)</f>
        <v>-2.1286187537984752E-2</v>
      </c>
      <c r="X669" s="221"/>
      <c r="Y669" s="221">
        <f>Y667*(AC669/AC667)^2</f>
        <v>1.4422357585867565E-5</v>
      </c>
      <c r="Z669" s="221"/>
      <c r="AA669" s="221">
        <f>IF(AND(ABS(AA667+Z668)&gt;$G$27*0.8,(AA667+Z668)&lt;0),-$G$27*0.5,IF(AND(ABS(AA667+Z668)&gt;$G$27*0.8,(AA667+Z668)&gt;0),$G$27*0.5,AA667+Z668))</f>
        <v>-2.878199841874652E-2</v>
      </c>
      <c r="AB669" s="221"/>
      <c r="AC669" s="223">
        <f>$G$29*AA669</f>
        <v>-1.3553640148543218</v>
      </c>
    </row>
    <row r="670" spans="21:29" x14ac:dyDescent="0.3">
      <c r="U670" s="213"/>
      <c r="V670" s="221">
        <f>(AA669+Z668/2)*$V$34</f>
        <v>-4.946320235528337E-3</v>
      </c>
      <c r="W670" s="221"/>
      <c r="X670" s="221">
        <f t="shared" ref="X670" si="598">W669+V670/2</f>
        <v>-2.3759347655748921E-2</v>
      </c>
      <c r="Y670" s="221"/>
      <c r="Z670" s="221">
        <f>-$V$35*(X670+Y669*((AA669+Z668/2)^2))</f>
        <v>4.0588849645208791E-4</v>
      </c>
      <c r="AA670" s="221"/>
      <c r="AB670" s="221">
        <f t="shared" ref="AB670" si="599">AA669+Z670/2</f>
        <v>-2.8579054170520476E-2</v>
      </c>
      <c r="AC670" s="213"/>
    </row>
    <row r="671" spans="21:29" x14ac:dyDescent="0.3">
      <c r="U671" s="220">
        <f>U669+$V$28</f>
        <v>63.000000000000355</v>
      </c>
      <c r="V671" s="221"/>
      <c r="W671" s="221">
        <f>IF(W669+V670&lt;0,(W669+V670)*0.8,W669+V670)</f>
        <v>-2.0986006218810471E-2</v>
      </c>
      <c r="X671" s="221"/>
      <c r="Y671" s="221">
        <f>Y669*(AC671/AC669)^2</f>
        <v>1.4018452836992403E-5</v>
      </c>
      <c r="Z671" s="221"/>
      <c r="AA671" s="221">
        <f>IF(AND(ABS(AA669+Z670)&gt;$G$27*0.8,(AA669+Z670)&lt;0),-$G$27*0.5,IF(AND(ABS(AA669+Z670)&gt;$G$27*0.8,(AA669+Z670)&gt;0),$G$27*0.5,AA669+Z670))</f>
        <v>-2.8376109922294432E-2</v>
      </c>
      <c r="AB671" s="221"/>
      <c r="AC671" s="223">
        <f>$G$29*AA671</f>
        <v>-1.3362504476123691</v>
      </c>
    </row>
    <row r="672" spans="21:29" x14ac:dyDescent="0.3">
      <c r="U672" s="213"/>
      <c r="V672" s="221">
        <f>(AA671+Z670/2)*$V$34</f>
        <v>-4.8765664096577042E-3</v>
      </c>
      <c r="W672" s="221"/>
      <c r="X672" s="221">
        <f t="shared" ref="X672" si="600">W671+V672/2</f>
        <v>-2.3424289423639322E-2</v>
      </c>
      <c r="Y672" s="221"/>
      <c r="Z672" s="221">
        <f>-$V$35*(X672+Y671*((AA671+Z670/2)^2))</f>
        <v>4.0016459832827847E-4</v>
      </c>
      <c r="AA672" s="221"/>
      <c r="AB672" s="221">
        <f t="shared" ref="AB672" si="601">AA671+Z672/2</f>
        <v>-2.8176027623130293E-2</v>
      </c>
      <c r="AC672" s="213"/>
    </row>
    <row r="673" spans="21:29" x14ac:dyDescent="0.3">
      <c r="U673" s="220">
        <f>U671+$V$28</f>
        <v>63.200000000000358</v>
      </c>
      <c r="V673" s="221"/>
      <c r="W673" s="221">
        <f>IF(W671+V672&lt;0,(W671+V672)*0.8,W671+V672)</f>
        <v>-2.069005810277454E-2</v>
      </c>
      <c r="X673" s="221"/>
      <c r="Y673" s="221">
        <f>Y671*(AC673/AC671)^2</f>
        <v>1.3625859617851521E-5</v>
      </c>
      <c r="Z673" s="221"/>
      <c r="AA673" s="221">
        <f>IF(AND(ABS(AA671+Z672)&gt;$G$27*0.8,(AA671+Z672)&lt;0),-$G$27*0.5,IF(AND(ABS(AA671+Z672)&gt;$G$27*0.8,(AA671+Z672)&gt;0),$G$27*0.5,AA671+Z672))</f>
        <v>-2.7975945323966155E-2</v>
      </c>
      <c r="AB673" s="221"/>
      <c r="AC673" s="223">
        <f>$G$29*AA673</f>
        <v>-1.3174064226526734</v>
      </c>
    </row>
    <row r="674" spans="21:29" x14ac:dyDescent="0.3">
      <c r="U674" s="213"/>
      <c r="V674" s="221">
        <f>(AA673+Z672/2)*$V$34</f>
        <v>-4.8077962623375636E-3</v>
      </c>
      <c r="W674" s="221"/>
      <c r="X674" s="221">
        <f t="shared" ref="X674" si="602">W673+V674/2</f>
        <v>-2.3093956233943322E-2</v>
      </c>
      <c r="Y674" s="221"/>
      <c r="Z674" s="221">
        <f>-$V$35*(X674+Y673*((AA673+Z672/2)^2))</f>
        <v>3.9452141903394654E-4</v>
      </c>
      <c r="AA674" s="221"/>
      <c r="AB674" s="221">
        <f t="shared" ref="AB674" si="603">AA673+Z674/2</f>
        <v>-2.777868461444918E-2</v>
      </c>
      <c r="AC674" s="213"/>
    </row>
    <row r="675" spans="21:29" x14ac:dyDescent="0.3">
      <c r="U675" s="220">
        <f>U673+$V$28</f>
        <v>63.400000000000361</v>
      </c>
      <c r="V675" s="221"/>
      <c r="W675" s="221">
        <f>IF(W673+V674&lt;0,(W673+V674)*0.8,W673+V674)</f>
        <v>-2.0398283492089685E-2</v>
      </c>
      <c r="X675" s="221"/>
      <c r="Y675" s="221">
        <f>Y673*(AC675/AC673)^2</f>
        <v>1.3244261144599164E-5</v>
      </c>
      <c r="Z675" s="221"/>
      <c r="AA675" s="221">
        <f>IF(AND(ABS(AA673+Z674)&gt;$G$27*0.8,(AA673+Z674)&lt;0),-$G$27*0.5,IF(AND(ABS(AA673+Z674)&gt;$G$27*0.8,(AA673+Z674)&gt;0),$G$27*0.5,AA673+Z674))</f>
        <v>-2.7581423904932206E-2</v>
      </c>
      <c r="AB675" s="221"/>
      <c r="AC675" s="223">
        <f>$G$29*AA675</f>
        <v>-1.2988281388702798</v>
      </c>
    </row>
    <row r="676" spans="21:29" x14ac:dyDescent="0.3">
      <c r="U676" s="213"/>
      <c r="V676" s="221">
        <f>(AA675+Z674/2)*$V$34</f>
        <v>-4.7399959216603924E-3</v>
      </c>
      <c r="W676" s="221"/>
      <c r="X676" s="221">
        <f t="shared" ref="X676" si="604">W675+V676/2</f>
        <v>-2.276828145291988E-2</v>
      </c>
      <c r="Y676" s="221"/>
      <c r="Z676" s="221">
        <f>-$V$35*(X676+Y675*((AA675+Z674/2)^2))</f>
        <v>3.8895782027701536E-4</v>
      </c>
      <c r="AA676" s="221"/>
      <c r="AB676" s="221">
        <f t="shared" ref="AB676" si="605">AA675+Z676/2</f>
        <v>-2.7386944994793699E-2</v>
      </c>
      <c r="AC676" s="213"/>
    </row>
    <row r="677" spans="21:29" x14ac:dyDescent="0.3">
      <c r="U677" s="220">
        <f>U675+$V$28</f>
        <v>63.600000000000364</v>
      </c>
      <c r="V677" s="221"/>
      <c r="W677" s="221">
        <f>IF(W675+V676&lt;0,(W675+V676)*0.8,W675+V676)</f>
        <v>-2.0110623531000061E-2</v>
      </c>
      <c r="X677" s="221"/>
      <c r="Y677" s="221">
        <f>Y675*(AC677/AC675)^2</f>
        <v>1.287334950502309E-5</v>
      </c>
      <c r="Z677" s="221"/>
      <c r="AA677" s="221">
        <f>IF(AND(ABS(AA675+Z676)&gt;$G$27*0.8,(AA675+Z676)&lt;0),-$G$27*0.5,IF(AND(ABS(AA675+Z676)&gt;$G$27*0.8,(AA675+Z676)&gt;0),$G$27*0.5,AA675+Z676))</f>
        <v>-2.7192466084655191E-2</v>
      </c>
      <c r="AB677" s="221"/>
      <c r="AC677" s="223">
        <f>$G$29*AA677</f>
        <v>-1.2805118487631872</v>
      </c>
    </row>
    <row r="678" spans="21:29" x14ac:dyDescent="0.3">
      <c r="U678" s="213"/>
      <c r="V678" s="221">
        <f>(AA677+Z676/2)*$V$34</f>
        <v>-4.6731517113392735E-3</v>
      </c>
      <c r="W678" s="221"/>
      <c r="X678" s="221">
        <f t="shared" ref="X678" si="606">W677+V678/2</f>
        <v>-2.2447199386669697E-2</v>
      </c>
      <c r="Y678" s="221"/>
      <c r="Z678" s="221">
        <f>-$V$35*(X678+Y677*((AA677+Z676/2)^2))</f>
        <v>3.834726798191601E-4</v>
      </c>
      <c r="AA678" s="221"/>
      <c r="AB678" s="221">
        <f t="shared" ref="AB678" si="607">AA677+Z678/2</f>
        <v>-2.700072974474561E-2</v>
      </c>
      <c r="AC678" s="213"/>
    </row>
    <row r="679" spans="21:29" x14ac:dyDescent="0.3">
      <c r="U679" s="220">
        <f>U677+$V$28</f>
        <v>63.800000000000367</v>
      </c>
      <c r="V679" s="221"/>
      <c r="W679" s="221">
        <f>IF(W677+V678&lt;0,(W677+V678)*0.8,W677+V678)</f>
        <v>-1.9827020193871468E-2</v>
      </c>
      <c r="X679" s="221"/>
      <c r="Y679" s="221">
        <f>Y677*(AC679/AC677)^2</f>
        <v>1.2512825410090786E-5</v>
      </c>
      <c r="Z679" s="221"/>
      <c r="AA679" s="221">
        <f>IF(AND(ABS(AA677+Z678)&gt;$G$27*0.8,(AA677+Z678)&lt;0),-$G$27*0.5,IF(AND(ABS(AA677+Z678)&gt;$G$27*0.8,(AA677+Z678)&gt;0),$G$27*0.5,AA677+Z678))</f>
        <v>-2.6808993404836032E-2</v>
      </c>
      <c r="AB679" s="221"/>
      <c r="AC679" s="223">
        <f>$G$29*AA679</f>
        <v>-1.2624538576763655</v>
      </c>
    </row>
    <row r="680" spans="21:29" x14ac:dyDescent="0.3">
      <c r="U680" s="213"/>
      <c r="V680" s="221">
        <f>(AA679+Z678/2)*$V$34</f>
        <v>-4.6072501479490456E-3</v>
      </c>
      <c r="W680" s="221"/>
      <c r="X680" s="221">
        <f t="shared" ref="X680" si="608">W679+V680/2</f>
        <v>-2.2130645267845993E-2</v>
      </c>
      <c r="Y680" s="221"/>
      <c r="Z680" s="221">
        <f>-$V$35*(X680+Y679*((AA679+Z678/2)^2))</f>
        <v>3.7806489124888703E-4</v>
      </c>
      <c r="AA680" s="221"/>
      <c r="AB680" s="221">
        <f t="shared" ref="AB680" si="609">AA679+Z680/2</f>
        <v>-2.661996095921159E-2</v>
      </c>
      <c r="AC680" s="213"/>
    </row>
    <row r="681" spans="21:29" x14ac:dyDescent="0.3">
      <c r="U681" s="220">
        <f>U679+$V$28</f>
        <v>64.000000000000369</v>
      </c>
      <c r="V681" s="221"/>
      <c r="W681" s="221">
        <f>IF(W679+V680&lt;0,(W679+V680)*0.8,W679+V680)</f>
        <v>-1.9547416273456412E-2</v>
      </c>
      <c r="X681" s="221"/>
      <c r="Y681" s="221">
        <f>Y679*(AC681/AC679)^2</f>
        <v>1.2162397952454282E-5</v>
      </c>
      <c r="Z681" s="221"/>
      <c r="AA681" s="221">
        <f>IF(AND(ABS(AA679+Z680)&gt;$G$27*0.8,(AA679+Z680)&lt;0),-$G$27*0.5,IF(AND(ABS(AA679+Z680)&gt;$G$27*0.8,(AA679+Z680)&gt;0),$G$27*0.5,AA679+Z680))</f>
        <v>-2.6430928513587144E-2</v>
      </c>
      <c r="AB681" s="221"/>
      <c r="AC681" s="223">
        <f>$G$29*AA681</f>
        <v>-1.2446505230564593</v>
      </c>
    </row>
    <row r="682" spans="21:29" x14ac:dyDescent="0.3">
      <c r="U682" s="213"/>
      <c r="V682" s="221">
        <f>(AA681+Z680/2)*$V$34</f>
        <v>-4.5422779382064292E-3</v>
      </c>
      <c r="W682" s="221"/>
      <c r="X682" s="221">
        <f t="shared" ref="X682" si="610">W681+V682/2</f>
        <v>-2.1818555242559625E-2</v>
      </c>
      <c r="Y682" s="221"/>
      <c r="Z682" s="221">
        <f>-$V$35*(X682+Y681*((AA681+Z680/2)^2))</f>
        <v>3.7273336375792708E-4</v>
      </c>
      <c r="AA682" s="221"/>
      <c r="AB682" s="221">
        <f t="shared" ref="AB682" si="611">AA681+Z682/2</f>
        <v>-2.6244561831708181E-2</v>
      </c>
      <c r="AC682" s="213"/>
    </row>
    <row r="683" spans="21:29" x14ac:dyDescent="0.3">
      <c r="U683" s="220">
        <f>U681+$V$28</f>
        <v>64.200000000000372</v>
      </c>
      <c r="V683" s="221"/>
      <c r="W683" s="221">
        <f>IF(W681+V682&lt;0,(W681+V682)*0.8,W681+V682)</f>
        <v>-1.9271755369330276E-2</v>
      </c>
      <c r="X683" s="221"/>
      <c r="Y683" s="221">
        <f>Y681*(AC683/AC681)^2</f>
        <v>1.1821784371718519E-5</v>
      </c>
      <c r="Z683" s="221"/>
      <c r="AA683" s="221">
        <f>IF(AND(ABS(AA681+Z682)&gt;$G$27*0.8,(AA681+Z682)&lt;0),-$G$27*0.5,IF(AND(ABS(AA681+Z682)&gt;$G$27*0.8,(AA681+Z682)&gt;0),$G$27*0.5,AA681+Z682))</f>
        <v>-2.6058195149829218E-2</v>
      </c>
      <c r="AB683" s="221"/>
      <c r="AC683" s="223">
        <f>$G$29*AA683</f>
        <v>-1.2270982537170219</v>
      </c>
    </row>
    <row r="684" spans="21:29" x14ac:dyDescent="0.3">
      <c r="U684" s="213"/>
      <c r="V684" s="221">
        <f>(AA683+Z682/2)*$V$34</f>
        <v>-4.4782219762885813E-3</v>
      </c>
      <c r="W684" s="221"/>
      <c r="X684" s="221">
        <f t="shared" ref="X684" si="612">W683+V684/2</f>
        <v>-2.1510866357474567E-2</v>
      </c>
      <c r="Y684" s="221"/>
      <c r="Z684" s="221">
        <f>-$V$35*(X684+Y683*((AA683+Z682/2)^2))</f>
        <v>3.6747702192087598E-4</v>
      </c>
      <c r="AA684" s="221"/>
      <c r="AB684" s="221">
        <f t="shared" ref="AB684" si="613">AA683+Z684/2</f>
        <v>-2.5874456638868781E-2</v>
      </c>
      <c r="AC684" s="213"/>
    </row>
    <row r="685" spans="21:29" x14ac:dyDescent="0.3">
      <c r="U685" s="220">
        <f>U683+$V$28</f>
        <v>64.400000000000375</v>
      </c>
      <c r="V685" s="221"/>
      <c r="W685" s="221">
        <f>IF(W683+V684&lt;0,(W683+V684)*0.8,W683+V684)</f>
        <v>-1.8999981876495087E-2</v>
      </c>
      <c r="X685" s="221"/>
      <c r="Y685" s="221">
        <f>Y683*(AC685/AC683)^2</f>
        <v>1.1490709826283748E-5</v>
      </c>
      <c r="Z685" s="221"/>
      <c r="AA685" s="221">
        <f>IF(AND(ABS(AA683+Z684)&gt;$G$27*0.8,(AA683+Z684)&lt;0),-$G$27*0.5,IF(AND(ABS(AA683+Z684)&gt;$G$27*0.8,(AA683+Z684)&gt;0),$G$27*0.5,AA683+Z684))</f>
        <v>-2.5690718127908341E-2</v>
      </c>
      <c r="AB685" s="221"/>
      <c r="AC685" s="223">
        <f>$G$29*AA685</f>
        <v>-1.2097935091141252</v>
      </c>
    </row>
    <row r="686" spans="21:29" x14ac:dyDescent="0.3">
      <c r="U686" s="213"/>
      <c r="V686" s="221">
        <f>(AA685+Z684/2)*$V$34</f>
        <v>-4.4150693411895052E-3</v>
      </c>
      <c r="W686" s="221"/>
      <c r="X686" s="221">
        <f t="shared" ref="X686" si="614">W685+V686/2</f>
        <v>-2.1207516547089841E-2</v>
      </c>
      <c r="Y686" s="221"/>
      <c r="Z686" s="221">
        <f>-$V$35*(X686+Y685*((AA685+Z684/2)^2))</f>
        <v>3.6229480547801451E-4</v>
      </c>
      <c r="AA686" s="221"/>
      <c r="AB686" s="221">
        <f t="shared" ref="AB686" si="615">AA685+Z686/2</f>
        <v>-2.5509570725169333E-2</v>
      </c>
      <c r="AC686" s="213"/>
    </row>
    <row r="687" spans="21:29" x14ac:dyDescent="0.3">
      <c r="U687" s="220">
        <f>U685+$V$28</f>
        <v>64.600000000000378</v>
      </c>
      <c r="V687" s="221"/>
      <c r="W687" s="221">
        <f>IF(W685+V686&lt;0,(W685+V686)*0.8,W685+V686)</f>
        <v>-1.8732040974147674E-2</v>
      </c>
      <c r="X687" s="221"/>
      <c r="Y687" s="221">
        <f>Y685*(AC687/AC685)^2</f>
        <v>1.1168907171577758E-5</v>
      </c>
      <c r="Z687" s="221"/>
      <c r="AA687" s="221">
        <f>IF(AND(ABS(AA685+Z686)&gt;$G$27*0.8,(AA685+Z686)&lt;0),-$G$27*0.5,IF(AND(ABS(AA685+Z686)&gt;$G$27*0.8,(AA685+Z686)&gt;0),$G$27*0.5,AA685+Z686))</f>
        <v>-2.5328423322430328E-2</v>
      </c>
      <c r="AB687" s="221"/>
      <c r="AC687" s="223">
        <f>$G$29*AA687</f>
        <v>-1.1927327986321972</v>
      </c>
    </row>
    <row r="688" spans="21:29" x14ac:dyDescent="0.3">
      <c r="U688" s="213"/>
      <c r="V688" s="221">
        <f>(AA687+Z686/2)*$V$34</f>
        <v>-4.3528072941137761E-3</v>
      </c>
      <c r="W688" s="221"/>
      <c r="X688" s="221">
        <f t="shared" ref="X688" si="616">W687+V688/2</f>
        <v>-2.0908444621204562E-2</v>
      </c>
      <c r="Y688" s="221"/>
      <c r="Z688" s="221">
        <f>-$V$35*(X688+Y687*((AA687+Z686/2)^2))</f>
        <v>3.5718566912125194E-4</v>
      </c>
      <c r="AA688" s="221"/>
      <c r="AB688" s="221">
        <f t="shared" ref="AB688" si="617">AA687+Z688/2</f>
        <v>-2.5149830487869701E-2</v>
      </c>
      <c r="AC688" s="213"/>
    </row>
    <row r="689" spans="21:29" x14ac:dyDescent="0.3">
      <c r="U689" s="220">
        <f>U687+$V$28</f>
        <v>64.800000000000381</v>
      </c>
      <c r="V689" s="221"/>
      <c r="W689" s="221">
        <f>IF(W687+V688&lt;0,(W687+V688)*0.8,W687+V688)</f>
        <v>-1.8467878614609159E-2</v>
      </c>
      <c r="X689" s="221"/>
      <c r="Y689" s="221">
        <f>Y687*(AC689/AC687)^2</f>
        <v>1.0856116744498929E-5</v>
      </c>
      <c r="Z689" s="221"/>
      <c r="AA689" s="221">
        <f>IF(AND(ABS(AA687+Z688)&gt;$G$27*0.8,(AA687+Z688)&lt;0),-$G$27*0.5,IF(AND(ABS(AA687+Z688)&gt;$G$27*0.8,(AA687+Z688)&gt;0),$G$27*0.5,AA687+Z688))</f>
        <v>-2.4971237653309077E-2</v>
      </c>
      <c r="AB689" s="221"/>
      <c r="AC689" s="223">
        <f>$G$29*AA689</f>
        <v>-1.1759126808799396</v>
      </c>
    </row>
    <row r="690" spans="21:29" x14ac:dyDescent="0.3">
      <c r="U690" s="213"/>
      <c r="V690" s="221">
        <f>(AA689+Z688/2)*$V$34</f>
        <v>-4.2914232759070576E-3</v>
      </c>
      <c r="W690" s="221"/>
      <c r="X690" s="221">
        <f t="shared" ref="X690" si="618">W689+V690/2</f>
        <v>-2.0613590252562687E-2</v>
      </c>
      <c r="Y690" s="221"/>
      <c r="Z690" s="221">
        <f>-$V$35*(X690+Y689*((AA689+Z688/2)^2))</f>
        <v>3.5214858228313544E-4</v>
      </c>
      <c r="AA690" s="221"/>
      <c r="AB690" s="221">
        <f t="shared" ref="AB690" si="619">AA689+Z690/2</f>
        <v>-2.479516336216751E-2</v>
      </c>
      <c r="AC690" s="213"/>
    </row>
    <row r="691" spans="21:29" x14ac:dyDescent="0.3">
      <c r="U691" s="220">
        <f>U689+$V$28</f>
        <v>65.000000000000384</v>
      </c>
      <c r="V691" s="221"/>
      <c r="W691" s="221">
        <f>IF(W689+V690&lt;0,(W689+V690)*0.8,W689+V690)</f>
        <v>-1.8207441512412974E-2</v>
      </c>
      <c r="X691" s="221"/>
      <c r="Y691" s="221">
        <f>Y689*(AC691/AC689)^2</f>
        <v>1.0552086153896103E-5</v>
      </c>
      <c r="Z691" s="221"/>
      <c r="AA691" s="221">
        <f>IF(AND(ABS(AA689+Z690)&gt;$G$27*0.8,(AA689+Z690)&lt;0),-$G$27*0.5,IF(AND(ABS(AA689+Z690)&gt;$G$27*0.8,(AA689+Z690)&gt;0),$G$27*0.5,AA689+Z690))</f>
        <v>-2.4619089071025942E-2</v>
      </c>
      <c r="AB691" s="221"/>
      <c r="AC691" s="223">
        <f>$G$29*AA691</f>
        <v>-1.1593297629961816</v>
      </c>
    </row>
    <row r="692" spans="21:29" x14ac:dyDescent="0.3">
      <c r="U692" s="213"/>
      <c r="V692" s="221">
        <f>(AA691+Z690/2)*$V$34</f>
        <v>-4.2309049045228574E-3</v>
      </c>
      <c r="W692" s="221"/>
      <c r="X692" s="221">
        <f t="shared" ref="X692" si="620">W691+V692/2</f>
        <v>-2.0322893964674404E-2</v>
      </c>
      <c r="Y692" s="221"/>
      <c r="Z692" s="221">
        <f>-$V$35*(X692+Y691*((AA691+Z690/2)^2))</f>
        <v>3.4718252892887181E-4</v>
      </c>
      <c r="AA692" s="221"/>
      <c r="AB692" s="221">
        <f t="shared" ref="AB692" si="621">AA691+Z692/2</f>
        <v>-2.4445497806561505E-2</v>
      </c>
      <c r="AC692" s="213"/>
    </row>
    <row r="693" spans="21:29" x14ac:dyDescent="0.3">
      <c r="U693" s="220">
        <f>U691+$V$28</f>
        <v>65.200000000000387</v>
      </c>
      <c r="V693" s="221"/>
      <c r="W693" s="221">
        <f>IF(W691+V692&lt;0,(W691+V692)*0.8,W691+V692)</f>
        <v>-1.7950677133548667E-2</v>
      </c>
      <c r="X693" s="221"/>
      <c r="Y693" s="221">
        <f>Y691*(AC693/AC691)^2</f>
        <v>1.0256570076916162E-5</v>
      </c>
      <c r="Z693" s="221"/>
      <c r="AA693" s="221">
        <f>IF(AND(ABS(AA691+Z692)&gt;$G$27*0.8,(AA691+Z692)&lt;0),-$G$27*0.5,IF(AND(ABS(AA691+Z692)&gt;$G$27*0.8,(AA691+Z692)&gt;0),$G$27*0.5,AA691+Z692))</f>
        <v>-2.4271906542097071E-2</v>
      </c>
      <c r="AB693" s="221"/>
      <c r="AC693" s="223">
        <f>$G$29*AA693</f>
        <v>-1.1429806999655261</v>
      </c>
    </row>
    <row r="694" spans="21:29" x14ac:dyDescent="0.3">
      <c r="U694" s="213"/>
      <c r="V694" s="221">
        <f>(AA693+Z692/2)*$V$34</f>
        <v>-4.1712399725250381E-3</v>
      </c>
      <c r="W694" s="221"/>
      <c r="X694" s="221">
        <f t="shared" ref="X694" si="622">W693+V694/2</f>
        <v>-2.0036297119811187E-2</v>
      </c>
      <c r="Y694" s="221"/>
      <c r="Z694" s="221">
        <f>-$V$35*(X694+Y693*((AA693+Z692/2)^2))</f>
        <v>3.4228650735131327E-4</v>
      </c>
      <c r="AA694" s="221"/>
      <c r="AB694" s="221">
        <f t="shared" ref="AB694" si="623">AA693+Z694/2</f>
        <v>-2.4100763288421416E-2</v>
      </c>
      <c r="AC694" s="213"/>
    </row>
    <row r="695" spans="21:29" x14ac:dyDescent="0.3">
      <c r="U695" s="220">
        <f>U693+$V$28</f>
        <v>65.400000000000389</v>
      </c>
      <c r="V695" s="221"/>
      <c r="W695" s="221">
        <f>IF(W693+V694&lt;0,(W693+V694)*0.8,W693+V694)</f>
        <v>-1.7697533684858963E-2</v>
      </c>
      <c r="X695" s="221"/>
      <c r="Y695" s="221">
        <f>Y693*(AC695/AC693)^2</f>
        <v>9.9693300610549886E-6</v>
      </c>
      <c r="Z695" s="221"/>
      <c r="AA695" s="221">
        <f>IF(AND(ABS(AA693+Z694)&gt;$G$27*0.8,(AA693+Z694)&lt;0),-$G$27*0.5,IF(AND(ABS(AA693+Z694)&gt;$G$27*0.8,(AA693+Z694)&gt;0),$G$27*0.5,AA693+Z694))</f>
        <v>-2.3929620034745757E-2</v>
      </c>
      <c r="AB695" s="221"/>
      <c r="AC695" s="223">
        <f>$G$29*AA695</f>
        <v>-1.1268621939436518</v>
      </c>
    </row>
    <row r="696" spans="21:29" x14ac:dyDescent="0.3">
      <c r="U696" s="213"/>
      <c r="V696" s="221">
        <f>(AA695+Z694/2)*$V$34</f>
        <v>-4.1124164446255515E-3</v>
      </c>
      <c r="W696" s="221"/>
      <c r="X696" s="221">
        <f t="shared" ref="X696" si="624">W695+V696/2</f>
        <v>-1.9753741907171739E-2</v>
      </c>
      <c r="Y696" s="221"/>
      <c r="Z696" s="221">
        <f>-$V$35*(X696+Y695*((AA695+Z694/2)^2))</f>
        <v>3.3745952996885723E-4</v>
      </c>
      <c r="AA696" s="221"/>
      <c r="AB696" s="221">
        <f t="shared" ref="AB696" si="625">AA695+Z696/2</f>
        <v>-2.3760890269761328E-2</v>
      </c>
      <c r="AC696" s="213"/>
    </row>
    <row r="697" spans="21:29" x14ac:dyDescent="0.3">
      <c r="U697" s="220">
        <f>U695+$V$28</f>
        <v>65.600000000000392</v>
      </c>
      <c r="V697" s="221"/>
      <c r="W697" s="221">
        <f>IF(W695+V696&lt;0,(W695+V696)*0.8,W695+V696)</f>
        <v>-1.7447960103587613E-2</v>
      </c>
      <c r="X697" s="221"/>
      <c r="Y697" s="221">
        <f>Y695*(AC697/AC695)^2</f>
        <v>9.6901343317520245E-6</v>
      </c>
      <c r="Z697" s="221"/>
      <c r="AA697" s="221">
        <f>IF(AND(ABS(AA695+Z696)&gt;$G$27*0.8,(AA695+Z696)&lt;0),-$G$27*0.5,IF(AND(ABS(AA695+Z696)&gt;$G$27*0.8,(AA695+Z696)&gt;0),$G$27*0.5,AA695+Z696))</f>
        <v>-2.3592160504776898E-2</v>
      </c>
      <c r="AB697" s="221"/>
      <c r="AC697" s="223">
        <f>$G$29*AA697</f>
        <v>-1.1109709935921315</v>
      </c>
    </row>
    <row r="698" spans="21:29" x14ac:dyDescent="0.3">
      <c r="U698" s="213"/>
      <c r="V698" s="221">
        <f>(AA697+Z696/2)*$V$34</f>
        <v>-4.0544224552568967E-3</v>
      </c>
      <c r="W698" s="221"/>
      <c r="X698" s="221">
        <f t="shared" ref="X698" si="626">W697+V698/2</f>
        <v>-1.9475171331216061E-2</v>
      </c>
      <c r="Y698" s="221"/>
      <c r="Z698" s="221">
        <f>-$V$35*(X698+Y697*((AA697+Z696/2)^2))</f>
        <v>3.32700623126216E-4</v>
      </c>
      <c r="AA698" s="221"/>
      <c r="AB698" s="221">
        <f t="shared" ref="AB698" si="627">AA697+Z698/2</f>
        <v>-2.342581019321379E-2</v>
      </c>
      <c r="AC698" s="213"/>
    </row>
    <row r="699" spans="21:29" x14ac:dyDescent="0.3">
      <c r="U699" s="220">
        <f>U697+$V$28</f>
        <v>65.800000000000395</v>
      </c>
      <c r="V699" s="221"/>
      <c r="W699" s="221">
        <f>IF(W697+V698&lt;0,(W697+V698)*0.8,W697+V698)</f>
        <v>-1.7201906047075607E-2</v>
      </c>
      <c r="X699" s="221"/>
      <c r="Y699" s="221">
        <f>Y697*(AC699/AC697)^2</f>
        <v>9.4187576053731813E-6</v>
      </c>
      <c r="Z699" s="221"/>
      <c r="AA699" s="221">
        <f>IF(AND(ABS(AA697+Z698)&gt;$G$27*0.8,(AA697+Z698)&lt;0),-$G$27*0.5,IF(AND(ABS(AA697+Z698)&gt;$G$27*0.8,(AA697+Z698)&gt;0),$G$27*0.5,AA697+Z698))</f>
        <v>-2.3259459881650683E-2</v>
      </c>
      <c r="AB699" s="221"/>
      <c r="AC699" s="223">
        <f>$G$29*AA699</f>
        <v>-1.0953038934226318</v>
      </c>
    </row>
    <row r="700" spans="21:29" x14ac:dyDescent="0.3">
      <c r="U700" s="213"/>
      <c r="V700" s="221">
        <f>(AA699+Z698/2)*$V$34</f>
        <v>-3.9972463061788257E-3</v>
      </c>
      <c r="W700" s="221"/>
      <c r="X700" s="221">
        <f t="shared" ref="X700" si="628">W699+V700/2</f>
        <v>-1.9200529200165021E-2</v>
      </c>
      <c r="Y700" s="221"/>
      <c r="Z700" s="221">
        <f>-$V$35*(X700+Y699*((AA699+Z698/2)^2))</f>
        <v>3.2800882689800934E-4</v>
      </c>
      <c r="AA700" s="221"/>
      <c r="AB700" s="221">
        <f t="shared" ref="AB700" si="629">AA699+Z700/2</f>
        <v>-2.309545546820168E-2</v>
      </c>
      <c r="AC700" s="213"/>
    </row>
    <row r="701" spans="21:29" x14ac:dyDescent="0.3">
      <c r="U701" s="220">
        <f>U699+$V$28</f>
        <v>66.000000000000398</v>
      </c>
      <c r="V701" s="221"/>
      <c r="W701" s="221">
        <f>IF(W699+V700&lt;0,(W699+V700)*0.8,W699+V700)</f>
        <v>-1.6959321882603545E-2</v>
      </c>
      <c r="X701" s="221"/>
      <c r="Y701" s="221">
        <f>Y699*(AC701/AC699)^2</f>
        <v>9.1549809074311905E-6</v>
      </c>
      <c r="Z701" s="221"/>
      <c r="AA701" s="221">
        <f>IF(AND(ABS(AA699+Z700)&gt;$G$27*0.8,(AA699+Z700)&lt;0),-$G$27*0.5,IF(AND(ABS(AA699+Z700)&gt;$G$27*0.8,(AA699+Z700)&gt;0),$G$27*0.5,AA699+Z700))</f>
        <v>-2.2931451054752673E-2</v>
      </c>
      <c r="AB701" s="221"/>
      <c r="AC701" s="223">
        <f>$G$29*AA701</f>
        <v>-1.0798577331503632</v>
      </c>
    </row>
    <row r="702" spans="21:29" x14ac:dyDescent="0.3">
      <c r="U702" s="213"/>
      <c r="V702" s="221">
        <f>(AA701+Z700/2)*$V$34</f>
        <v>-3.940876464118794E-3</v>
      </c>
      <c r="W702" s="221"/>
      <c r="X702" s="221">
        <f t="shared" ref="X702" si="630">W701+V702/2</f>
        <v>-1.8929760114662943E-2</v>
      </c>
      <c r="Y702" s="221"/>
      <c r="Z702" s="221">
        <f>-$V$35*(X702+Y701*((AA701+Z700/2)^2))</f>
        <v>3.2338319489513926E-4</v>
      </c>
      <c r="AA702" s="221"/>
      <c r="AB702" s="221">
        <f t="shared" ref="AB702" si="631">AA701+Z702/2</f>
        <v>-2.2769759457305104E-2</v>
      </c>
      <c r="AC702" s="213"/>
    </row>
    <row r="703" spans="21:29" x14ac:dyDescent="0.3">
      <c r="U703" s="220">
        <f>U701+$V$28</f>
        <v>66.200000000000401</v>
      </c>
      <c r="V703" s="221"/>
      <c r="W703" s="221">
        <f>IF(W701+V702&lt;0,(W701+V702)*0.8,W701+V702)</f>
        <v>-1.6720158677377871E-2</v>
      </c>
      <c r="X703" s="221"/>
      <c r="Y703" s="221">
        <f>Y701*(AC703/AC701)^2</f>
        <v>8.898591395896681E-6</v>
      </c>
      <c r="Z703" s="221"/>
      <c r="AA703" s="221">
        <f>IF(AND(ABS(AA701+Z702)&gt;$G$27*0.8,(AA701+Z702)&lt;0),-$G$27*0.5,IF(AND(ABS(AA701+Z702)&gt;$G$27*0.8,(AA701+Z702)&gt;0),$G$27*0.5,AA701+Z702))</f>
        <v>-2.2608067859857535E-2</v>
      </c>
      <c r="AB703" s="221"/>
      <c r="AC703" s="223">
        <f>$G$29*AA703</f>
        <v>-1.0646293970566465</v>
      </c>
    </row>
    <row r="704" spans="21:29" x14ac:dyDescent="0.3">
      <c r="U704" s="213"/>
      <c r="V704" s="221">
        <f>(AA703+Z702/2)*$V$34</f>
        <v>-3.8853015584456889E-3</v>
      </c>
      <c r="W704" s="221"/>
      <c r="X704" s="221">
        <f t="shared" ref="X704" si="632">W703+V704/2</f>
        <v>-1.8662809456600715E-2</v>
      </c>
      <c r="Y704" s="221"/>
      <c r="Z704" s="221">
        <f>-$V$35*(X704+Y703*((AA703+Z702/2)^2))</f>
        <v>3.1882279407390382E-4</v>
      </c>
      <c r="AA704" s="221"/>
      <c r="AB704" s="221">
        <f t="shared" ref="AB704" si="633">AA703+Z704/2</f>
        <v>-2.2448656462820581E-2</v>
      </c>
      <c r="AC704" s="213"/>
    </row>
    <row r="705" spans="21:29" x14ac:dyDescent="0.3">
      <c r="U705" s="220">
        <f>U703+$V$28</f>
        <v>66.400000000000404</v>
      </c>
      <c r="V705" s="221"/>
      <c r="W705" s="221">
        <f>IF(W703+V704&lt;0,(W703+V704)*0.8,W703+V704)</f>
        <v>-1.6484368188658848E-2</v>
      </c>
      <c r="X705" s="221"/>
      <c r="Y705" s="221">
        <f>Y703*(AC705/AC703)^2</f>
        <v>8.6493821894574666E-6</v>
      </c>
      <c r="Z705" s="221"/>
      <c r="AA705" s="221">
        <f>IF(AND(ABS(AA703+Z704)&gt;$G$27*0.8,(AA703+Z704)&lt;0),-$G$27*0.5,IF(AND(ABS(AA703+Z704)&gt;$G$27*0.8,(AA703+Z704)&gt;0),$G$27*0.5,AA703+Z704))</f>
        <v>-2.2289245065783631E-2</v>
      </c>
      <c r="AB705" s="221"/>
      <c r="AC705" s="223">
        <f>$G$29*AA705</f>
        <v>-1.0496158133604698</v>
      </c>
    </row>
    <row r="706" spans="21:29" x14ac:dyDescent="0.3">
      <c r="U706" s="213"/>
      <c r="V706" s="221">
        <f>(AA705+Z704/2)*$V$34</f>
        <v>-3.8305103788763605E-3</v>
      </c>
      <c r="W706" s="221"/>
      <c r="X706" s="221">
        <f t="shared" ref="X706" si="634">W705+V706/2</f>
        <v>-1.839962337809703E-2</v>
      </c>
      <c r="Y706" s="221"/>
      <c r="Z706" s="221">
        <f>-$V$35*(X706+Y705*((AA705+Z704/2)^2))</f>
        <v>3.1432670454780933E-4</v>
      </c>
      <c r="AA706" s="221"/>
      <c r="AB706" s="221">
        <f t="shared" ref="AB706" si="635">AA705+Z706/2</f>
        <v>-2.2132081713509725E-2</v>
      </c>
      <c r="AC706" s="213"/>
    </row>
    <row r="707" spans="21:29" x14ac:dyDescent="0.3">
      <c r="U707" s="220">
        <f>U705+$V$28</f>
        <v>66.600000000000406</v>
      </c>
      <c r="V707" s="221"/>
      <c r="W707" s="221">
        <f>IF(W705+V706&lt;0,(W705+V706)*0.8,W705+V706)</f>
        <v>-1.6251902854028166E-2</v>
      </c>
      <c r="X707" s="221"/>
      <c r="Y707" s="221">
        <f>Y705*(AC707/AC705)^2</f>
        <v>8.4071522005873902E-6</v>
      </c>
      <c r="Z707" s="221"/>
      <c r="AA707" s="221">
        <f>IF(AND(ABS(AA705+Z706)&gt;$G$27*0.8,(AA705+Z706)&lt;0),-$G$27*0.5,IF(AND(ABS(AA705+Z706)&gt;$G$27*0.8,(AA705+Z706)&gt;0),$G$27*0.5,AA705+Z706))</f>
        <v>-2.1974918361235822E-2</v>
      </c>
      <c r="AB707" s="221"/>
      <c r="AC707" s="223">
        <f>$G$29*AA707</f>
        <v>-1.0348139535989056</v>
      </c>
    </row>
    <row r="708" spans="21:29" x14ac:dyDescent="0.3">
      <c r="U708" s="213"/>
      <c r="V708" s="221">
        <f>(AA707+Z706/2)*$V$34</f>
        <v>-3.7764918732144941E-3</v>
      </c>
      <c r="W708" s="221"/>
      <c r="X708" s="221">
        <f t="shared" ref="X708" si="636">W707+V708/2</f>
        <v>-1.8140148790635413E-2</v>
      </c>
      <c r="Y708" s="221"/>
      <c r="Z708" s="221">
        <f>-$V$35*(X708+Y707*((AA707+Z706/2)^2))</f>
        <v>3.098940194020414E-4</v>
      </c>
      <c r="AA708" s="221"/>
      <c r="AB708" s="221">
        <f t="shared" ref="AB708" si="637">AA707+Z708/2</f>
        <v>-2.1819971351534802E-2</v>
      </c>
      <c r="AC708" s="213"/>
    </row>
    <row r="709" spans="21:29" x14ac:dyDescent="0.3">
      <c r="U709" s="220">
        <f>U707+$V$28</f>
        <v>66.800000000000409</v>
      </c>
      <c r="V709" s="221"/>
      <c r="W709" s="221">
        <f>IF(W707+V708&lt;0,(W707+V708)*0.8,W707+V708)</f>
        <v>-1.6022715781794129E-2</v>
      </c>
      <c r="X709" s="221"/>
      <c r="Y709" s="221">
        <f>Y707*(AC709/AC707)^2</f>
        <v>8.1717059732901118E-6</v>
      </c>
      <c r="Z709" s="221"/>
      <c r="AA709" s="221">
        <f>IF(AND(ABS(AA707+Z708)&gt;$G$27*0.8,(AA707+Z708)&lt;0),-$G$27*0.5,IF(AND(ABS(AA707+Z708)&gt;$G$27*0.8,(AA707+Z708)&gt;0),$G$27*0.5,AA707+Z708))</f>
        <v>-2.1665024341833782E-2</v>
      </c>
      <c r="AB709" s="221"/>
      <c r="AC709" s="223">
        <f>$G$29*AA709</f>
        <v>-1.0202208320162665</v>
      </c>
    </row>
    <row r="710" spans="21:29" x14ac:dyDescent="0.3">
      <c r="U710" s="213"/>
      <c r="V710" s="221">
        <f>(AA709+Z708/2)*$V$34</f>
        <v>-3.7232351451213634E-3</v>
      </c>
      <c r="W710" s="221"/>
      <c r="X710" s="221">
        <f t="shared" ref="X710" si="638">W709+V710/2</f>
        <v>-1.7884333354354812E-2</v>
      </c>
      <c r="Y710" s="221"/>
      <c r="Z710" s="221">
        <f>-$V$35*(X710+Y709*((AA709+Z708/2)^2))</f>
        <v>3.0552384451055674E-4</v>
      </c>
      <c r="AA710" s="221"/>
      <c r="AB710" s="221">
        <f t="shared" ref="AB710" si="639">AA709+Z710/2</f>
        <v>-2.1512262419578505E-2</v>
      </c>
      <c r="AC710" s="213"/>
    </row>
    <row r="711" spans="21:29" x14ac:dyDescent="0.3">
      <c r="U711" s="220">
        <f>U709+$V$28</f>
        <v>67.000000000000412</v>
      </c>
      <c r="V711" s="221"/>
      <c r="W711" s="221">
        <f>IF(W709+V710&lt;0,(W709+V710)*0.8,W709+V710)</f>
        <v>-1.5796760741532394E-2</v>
      </c>
      <c r="X711" s="221"/>
      <c r="Y711" s="221">
        <f>Y709*(AC711/AC709)^2</f>
        <v>7.9428535253868438E-6</v>
      </c>
      <c r="Z711" s="221"/>
      <c r="AA711" s="221">
        <f>IF(AND(ABS(AA709+Z710)&gt;$G$27*0.8,(AA709+Z710)&lt;0),-$G$27*0.5,IF(AND(ABS(AA709+Z710)&gt;$G$27*0.8,(AA709+Z710)&gt;0),$G$27*0.5,AA709+Z710))</f>
        <v>-2.1359500497323224E-2</v>
      </c>
      <c r="AB711" s="221"/>
      <c r="AC711" s="223">
        <f>$G$29*AA711</f>
        <v>-1.0058335049618725</v>
      </c>
    </row>
    <row r="712" spans="21:29" x14ac:dyDescent="0.3">
      <c r="U712" s="213"/>
      <c r="V712" s="221">
        <f>(AA711+Z710/2)*$V$34</f>
        <v>-3.6707294519180205E-3</v>
      </c>
      <c r="W712" s="221"/>
      <c r="X712" s="221">
        <f t="shared" ref="X712" si="640">W711+V712/2</f>
        <v>-1.7632125467491405E-2</v>
      </c>
      <c r="Y712" s="221"/>
      <c r="Z712" s="221">
        <f>-$V$35*(X712+Y711*((AA711+Z710/2)^2))</f>
        <v>3.0121529835575554E-4</v>
      </c>
      <c r="AA712" s="221"/>
      <c r="AB712" s="221">
        <f t="shared" ref="AB712" si="641">AA711+Z712/2</f>
        <v>-2.1208892848145346E-2</v>
      </c>
      <c r="AC712" s="213"/>
    </row>
    <row r="713" spans="21:29" x14ac:dyDescent="0.3">
      <c r="U713" s="220">
        <f>U711+$V$28</f>
        <v>67.200000000000415</v>
      </c>
      <c r="V713" s="221"/>
      <c r="W713" s="221">
        <f>IF(W711+V712&lt;0,(W711+V712)*0.8,W711+V712)</f>
        <v>-1.5573992154760333E-2</v>
      </c>
      <c r="X713" s="221"/>
      <c r="Y713" s="221">
        <f>Y711*(AC713/AC711)^2</f>
        <v>7.7204101952208254E-6</v>
      </c>
      <c r="Z713" s="221"/>
      <c r="AA713" s="221">
        <f>IF(AND(ABS(AA711+Z712)&gt;$G$27*0.8,(AA711+Z712)&lt;0),-$G$27*0.5,IF(AND(ABS(AA711+Z712)&gt;$G$27*0.8,(AA711+Z712)&gt;0),$G$27*0.5,AA711+Z712))</f>
        <v>-2.105828519896747E-2</v>
      </c>
      <c r="AB713" s="221"/>
      <c r="AC713" s="223">
        <f>$G$29*AA713</f>
        <v>-0.99164907029631133</v>
      </c>
    </row>
    <row r="714" spans="21:29" x14ac:dyDescent="0.3">
      <c r="U714" s="213"/>
      <c r="V714" s="221">
        <f>(AA713+Z712/2)*$V$34</f>
        <v>-3.6189642024184736E-3</v>
      </c>
      <c r="W714" s="221"/>
      <c r="X714" s="221">
        <f t="shared" ref="X714" si="642">W713+V714/2</f>
        <v>-1.7383474255969571E-2</v>
      </c>
      <c r="Y714" s="221"/>
      <c r="Z714" s="221">
        <f>-$V$35*(X714+Y713*((AA713+Z712/2)^2))</f>
        <v>2.9696751185070015E-4</v>
      </c>
      <c r="AA714" s="221"/>
      <c r="AB714" s="221">
        <f t="shared" ref="AB714" si="643">AA713+Z714/2</f>
        <v>-2.0909801443042119E-2</v>
      </c>
      <c r="AC714" s="2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3553" r:id="rId4">
          <objectPr defaultSize="0" autoLine="0" autoPict="0" r:id="rId5">
            <anchor moveWithCells="1">
              <from>
                <xdr:col>8</xdr:col>
                <xdr:colOff>53340</xdr:colOff>
                <xdr:row>42</xdr:row>
                <xdr:rowOff>91440</xdr:rowOff>
              </from>
              <to>
                <xdr:col>13</xdr:col>
                <xdr:colOff>419100</xdr:colOff>
                <xdr:row>44</xdr:row>
                <xdr:rowOff>76200</xdr:rowOff>
              </to>
            </anchor>
          </objectPr>
        </oleObject>
      </mc:Choice>
      <mc:Fallback>
        <oleObject progId="Equation.2" shapeId="23553" r:id="rId4"/>
      </mc:Fallback>
    </mc:AlternateContent>
    <mc:AlternateContent xmlns:mc="http://schemas.openxmlformats.org/markup-compatibility/2006">
      <mc:Choice Requires="x14">
        <oleObject progId="Equation.2" shapeId="23554" r:id="rId6">
          <objectPr defaultSize="0" autoLine="0" autoPict="0" r:id="rId7">
            <anchor moveWithCells="1">
              <from>
                <xdr:col>8</xdr:col>
                <xdr:colOff>91440</xdr:colOff>
                <xdr:row>44</xdr:row>
                <xdr:rowOff>152400</xdr:rowOff>
              </from>
              <to>
                <xdr:col>11</xdr:col>
                <xdr:colOff>510540</xdr:colOff>
                <xdr:row>46</xdr:row>
                <xdr:rowOff>106680</xdr:rowOff>
              </to>
            </anchor>
          </objectPr>
        </oleObject>
      </mc:Choice>
      <mc:Fallback>
        <oleObject progId="Equation.2" shapeId="23554" r:id="rId6"/>
      </mc:Fallback>
    </mc:AlternateContent>
    <mc:AlternateContent xmlns:mc="http://schemas.openxmlformats.org/markup-compatibility/2006">
      <mc:Choice Requires="x14">
        <oleObject progId="Equation.2" shapeId="23555" r:id="rId8">
          <objectPr defaultSize="0" autoLine="0" autoPict="0" r:id="rId9">
            <anchor moveWithCells="1">
              <from>
                <xdr:col>8</xdr:col>
                <xdr:colOff>76200</xdr:colOff>
                <xdr:row>46</xdr:row>
                <xdr:rowOff>68580</xdr:rowOff>
              </from>
              <to>
                <xdr:col>13</xdr:col>
                <xdr:colOff>129540</xdr:colOff>
                <xdr:row>47</xdr:row>
                <xdr:rowOff>144780</xdr:rowOff>
              </to>
            </anchor>
          </objectPr>
        </oleObject>
      </mc:Choice>
      <mc:Fallback>
        <oleObject progId="Equation.2" shapeId="23555" r:id="rId8"/>
      </mc:Fallback>
    </mc:AlternateContent>
    <mc:AlternateContent xmlns:mc="http://schemas.openxmlformats.org/markup-compatibility/2006">
      <mc:Choice Requires="x14">
        <oleObject progId="Equation.2" shapeId="23556" r:id="rId10">
          <objectPr defaultSize="0" autoLine="0" autoPict="0" r:id="rId11">
            <anchor moveWithCells="1">
              <from>
                <xdr:col>8</xdr:col>
                <xdr:colOff>99060</xdr:colOff>
                <xdr:row>47</xdr:row>
                <xdr:rowOff>175260</xdr:rowOff>
              </from>
              <to>
                <xdr:col>12</xdr:col>
                <xdr:colOff>617220</xdr:colOff>
                <xdr:row>48</xdr:row>
                <xdr:rowOff>160020</xdr:rowOff>
              </to>
            </anchor>
          </objectPr>
        </oleObject>
      </mc:Choice>
      <mc:Fallback>
        <oleObject progId="Equation.2" shapeId="23556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iohsrp2</vt:lpstr>
      <vt:lpstr>hsrp2rout</vt:lpstr>
      <vt:lpstr>hsrp2intk</vt:lpstr>
      <vt:lpstr>hsrp2tunl</vt:lpstr>
      <vt:lpstr>hsrp2stnk</vt:lpstr>
      <vt:lpstr>hsrp2pwh</vt:lpstr>
      <vt:lpstr>hsrp2new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Rodolpho Sauret Cavalcanti de Albuquerque</dc:creator>
  <cp:lastModifiedBy>Luiz Rodolpho Albuquerque</cp:lastModifiedBy>
  <dcterms:created xsi:type="dcterms:W3CDTF">2017-02-02T09:51:35Z</dcterms:created>
  <dcterms:modified xsi:type="dcterms:W3CDTF">2023-01-11T16:30:58Z</dcterms:modified>
</cp:coreProperties>
</file>