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5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drawings/drawing6.xml" ContentType="application/vnd.openxmlformats-officedocument.drawing+xml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drawings/drawing7.xml" ContentType="application/vnd.openxmlformats-officedocument.drawing+xml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drawings/drawing8.xml" ContentType="application/vnd.openxmlformats-officedocument.drawing+xml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drawings/drawing9.xml" ContentType="application/vnd.openxmlformats-officedocument.drawing+xml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drawings/drawing10.xml" ContentType="application/vnd.openxmlformats-officedocument.drawing+xml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r\Documents\PSR\UHR\planilhas_io_uhr\"/>
    </mc:Choice>
  </mc:AlternateContent>
  <xr:revisionPtr revIDLastSave="0" documentId="13_ncr:1_{BD9F5C44-1AC9-4785-A081-5BF8911E4006}" xr6:coauthVersionLast="46" xr6:coauthVersionMax="46" xr10:uidLastSave="{00000000-0000-0000-0000-000000000000}"/>
  <bookViews>
    <workbookView xWindow="-120" yWindow="-120" windowWidth="20730" windowHeight="11160" tabRatio="528" xr2:uid="{00000000-000D-0000-FFFF-FFFF00000000}"/>
  </bookViews>
  <sheets>
    <sheet name="iohsrf2" sheetId="15" r:id="rId1"/>
    <sheet name="hsrf2rout" sheetId="3" r:id="rId2"/>
    <sheet name="hsrf2intk" sheetId="18" r:id="rId3"/>
    <sheet name="hsrf2tunl" sheetId="4" r:id="rId4"/>
    <sheet name="hsrf2stnk" sheetId="19" r:id="rId5"/>
    <sheet name="hsrf2pwh" sheetId="16" r:id="rId6"/>
    <sheet name="hsrf2new" sheetId="17" r:id="rId7"/>
    <sheet name="in_mi" sheetId="10" r:id="rId8"/>
    <sheet name="st_mi" sheetId="9" r:id="rId9"/>
    <sheet name="ph_mi" sheetId="11" r:id="rId10"/>
    <sheet name="tr_mi" sheetId="12" r:id="rId1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6" l="1"/>
  <c r="B4" i="16"/>
  <c r="G71" i="11"/>
  <c r="I95" i="11"/>
  <c r="I93" i="11"/>
  <c r="H95" i="11"/>
  <c r="H93" i="11"/>
  <c r="C720" i="11"/>
  <c r="B720" i="11" s="1"/>
  <c r="C701" i="11"/>
  <c r="B701" i="11" s="1"/>
  <c r="I425" i="11"/>
  <c r="F425" i="11"/>
  <c r="E425" i="11"/>
  <c r="F402" i="11"/>
  <c r="G378" i="11"/>
  <c r="C711" i="11" s="1"/>
  <c r="B711" i="11" s="1"/>
  <c r="F375" i="11"/>
  <c r="F372" i="11"/>
  <c r="E80" i="11"/>
  <c r="B82" i="11" s="1"/>
  <c r="B32" i="11"/>
  <c r="C25" i="11"/>
  <c r="I74" i="11"/>
  <c r="I71" i="11"/>
  <c r="I69" i="11"/>
  <c r="H74" i="11"/>
  <c r="H71" i="11"/>
  <c r="H69" i="11"/>
  <c r="G74" i="11"/>
  <c r="G69" i="11"/>
  <c r="G95" i="11"/>
  <c r="G93" i="11"/>
  <c r="E46" i="3"/>
  <c r="B108" i="17" l="1"/>
  <c r="I113" i="15" l="1"/>
  <c r="I10" i="15"/>
  <c r="B17" i="16"/>
  <c r="B108" i="18"/>
  <c r="B12" i="19"/>
  <c r="B11" i="19"/>
  <c r="B8" i="18"/>
  <c r="B7" i="18"/>
  <c r="B6" i="18"/>
  <c r="B5" i="18"/>
  <c r="B37" i="18" s="1"/>
  <c r="G26" i="17"/>
  <c r="B8" i="17"/>
  <c r="B7" i="17"/>
  <c r="B39" i="17" s="1"/>
  <c r="B6" i="17"/>
  <c r="G33" i="17" s="1"/>
  <c r="B5" i="17"/>
  <c r="G7" i="17"/>
  <c r="G32" i="17" l="1"/>
  <c r="B37" i="17"/>
  <c r="B39" i="18"/>
  <c r="C15" i="12"/>
  <c r="C17" i="12"/>
  <c r="C24" i="9" l="1"/>
  <c r="C20" i="10"/>
  <c r="O8" i="10"/>
  <c r="O6" i="10"/>
  <c r="J5" i="3"/>
  <c r="J3" i="3"/>
  <c r="C9" i="4" l="1"/>
  <c r="C8" i="4"/>
  <c r="I60" i="15" l="1"/>
  <c r="B126" i="16"/>
  <c r="B128" i="16" s="1"/>
  <c r="E56" i="3" l="1"/>
  <c r="B3" i="16" l="1"/>
  <c r="C6" i="16" l="1"/>
  <c r="C8" i="16" s="1"/>
  <c r="B18" i="16"/>
  <c r="B28" i="16" s="1"/>
  <c r="C18" i="16"/>
  <c r="B30" i="16"/>
  <c r="C7" i="16" l="1"/>
  <c r="B9" i="16" s="1"/>
  <c r="B10" i="16" s="1"/>
  <c r="B19" i="16"/>
  <c r="I82" i="15" l="1"/>
  <c r="I40" i="15"/>
  <c r="H11" i="16"/>
  <c r="F136" i="4"/>
  <c r="B140" i="16"/>
  <c r="D8" i="3"/>
  <c r="D7" i="3"/>
  <c r="C22" i="11" l="1"/>
  <c r="P262" i="10" l="1"/>
  <c r="P199" i="10"/>
  <c r="R273" i="10"/>
  <c r="L138" i="15" l="1"/>
  <c r="M139" i="15" l="1"/>
  <c r="D12" i="3" l="1"/>
  <c r="C18" i="11" l="1"/>
  <c r="D9" i="3" l="1"/>
  <c r="K5" i="3" l="1"/>
  <c r="K3" i="3"/>
  <c r="E65" i="3" s="1"/>
  <c r="E38" i="3" l="1"/>
  <c r="H8" i="12"/>
  <c r="H6" i="12"/>
  <c r="H8" i="11"/>
  <c r="H6" i="11"/>
  <c r="C23" i="12" l="1"/>
  <c r="C25" i="12" s="1"/>
  <c r="C27" i="12" s="1"/>
  <c r="D76" i="10"/>
  <c r="D26" i="4" l="1"/>
  <c r="L608" i="11" l="1"/>
  <c r="L638" i="11" s="1"/>
  <c r="L609" i="11"/>
  <c r="L639" i="11" s="1"/>
  <c r="E45" i="3" l="1"/>
  <c r="C7" i="4"/>
  <c r="C4" i="4"/>
  <c r="C20" i="9"/>
  <c r="C19" i="9"/>
  <c r="C15" i="10" l="1"/>
  <c r="P162" i="10" s="1"/>
  <c r="P197" i="10" l="1"/>
  <c r="C29" i="11"/>
  <c r="P507" i="11" s="1"/>
  <c r="C16" i="11"/>
  <c r="C17" i="11" s="1"/>
  <c r="C15" i="11"/>
  <c r="C14" i="11"/>
  <c r="C12" i="11"/>
  <c r="D6" i="3"/>
  <c r="D5" i="3"/>
  <c r="D11" i="3"/>
  <c r="D13" i="3" l="1"/>
  <c r="D14" i="3" s="1"/>
  <c r="P260" i="10"/>
  <c r="E23" i="4"/>
  <c r="F107" i="4" s="1"/>
  <c r="E22" i="4"/>
  <c r="F63" i="4" s="1"/>
  <c r="E21" i="4"/>
  <c r="E20" i="4"/>
  <c r="E64" i="3" l="1"/>
  <c r="E53" i="3" s="1"/>
  <c r="E73" i="3"/>
  <c r="E70" i="3" s="1"/>
  <c r="F46" i="4"/>
  <c r="F44" i="4"/>
  <c r="F45" i="4"/>
  <c r="F43" i="4" l="1"/>
  <c r="F53" i="4" l="1"/>
  <c r="E71" i="3" l="1"/>
  <c r="I7" i="15" s="1"/>
  <c r="E63" i="3"/>
  <c r="C24" i="3"/>
  <c r="C27" i="3" s="1"/>
  <c r="E69" i="3"/>
  <c r="I6" i="15" s="1"/>
  <c r="F103" i="4"/>
  <c r="F204" i="11"/>
  <c r="I31" i="15" l="1"/>
  <c r="J123" i="12" l="1"/>
  <c r="J122" i="12"/>
  <c r="J121" i="12"/>
  <c r="J119" i="12"/>
  <c r="J118" i="12"/>
  <c r="J120" i="12" l="1"/>
  <c r="D42" i="11"/>
  <c r="D38" i="11"/>
  <c r="D61" i="11"/>
  <c r="H688" i="11"/>
  <c r="H687" i="11"/>
  <c r="J674" i="11"/>
  <c r="G425" i="11"/>
  <c r="C710" i="11"/>
  <c r="B710" i="11" s="1"/>
  <c r="F177" i="11"/>
  <c r="J292" i="9"/>
  <c r="J291" i="9" s="1"/>
  <c r="J284" i="9"/>
  <c r="D46" i="11" l="1"/>
  <c r="E37" i="3" l="1"/>
  <c r="E36" i="3" s="1"/>
  <c r="I5" i="15"/>
  <c r="D50" i="11"/>
  <c r="D54" i="11"/>
  <c r="D60" i="3" l="1"/>
  <c r="I4" i="15" s="1"/>
  <c r="D33" i="3"/>
  <c r="I2" i="15" s="1"/>
  <c r="E50" i="3"/>
  <c r="E51" i="3" s="1"/>
  <c r="H149" i="11"/>
  <c r="C702" i="11"/>
  <c r="B702" i="11" s="1"/>
  <c r="F97" i="11"/>
  <c r="F76" i="11"/>
  <c r="I76" i="11" s="1"/>
  <c r="I97" i="11" l="1"/>
  <c r="C704" i="11" s="1"/>
  <c r="B704" i="11" s="1"/>
  <c r="C703" i="11"/>
  <c r="B703" i="11" s="1"/>
  <c r="G78" i="11"/>
  <c r="E47" i="3"/>
  <c r="E44" i="3" s="1"/>
  <c r="D42" i="3" s="1"/>
  <c r="C6" i="4" l="1"/>
  <c r="F59" i="4" s="1"/>
  <c r="C5" i="4"/>
  <c r="B6" i="19" s="1"/>
  <c r="C23" i="9"/>
  <c r="A5" i="9" s="1"/>
  <c r="F42" i="3"/>
  <c r="I3" i="15"/>
  <c r="G82" i="11"/>
  <c r="G98" i="11" l="1"/>
  <c r="C98" i="11"/>
  <c r="C16" i="16"/>
  <c r="B9" i="18" s="1"/>
  <c r="I85" i="15"/>
  <c r="C12" i="10"/>
  <c r="C13" i="10" s="1"/>
  <c r="D70" i="10" s="1"/>
  <c r="H676" i="11" l="1"/>
  <c r="G100" i="11"/>
  <c r="H108" i="11" s="1"/>
  <c r="D104" i="11" s="1"/>
  <c r="D112" i="11" s="1"/>
  <c r="H675" i="11"/>
  <c r="I88" i="15"/>
  <c r="G11" i="16"/>
  <c r="C100" i="16"/>
  <c r="B20" i="16"/>
  <c r="I36" i="15"/>
  <c r="I99" i="15" s="1"/>
  <c r="B173" i="16" l="1"/>
  <c r="I97" i="15" s="1"/>
  <c r="B174" i="16"/>
  <c r="I98" i="15" s="1"/>
  <c r="D132" i="11"/>
  <c r="D130" i="11" s="1"/>
  <c r="E126" i="11" s="1"/>
  <c r="I126" i="11" s="1"/>
  <c r="D613" i="11"/>
  <c r="D116" i="11"/>
  <c r="D573" i="11"/>
  <c r="O550" i="11" s="1"/>
  <c r="B16" i="16"/>
  <c r="B9" i="17" s="1"/>
  <c r="G6" i="17" s="1"/>
  <c r="B100" i="16"/>
  <c r="C16" i="12"/>
  <c r="C19" i="10"/>
  <c r="B125" i="18"/>
  <c r="I77" i="15" s="1"/>
  <c r="K20" i="16"/>
  <c r="I43" i="16"/>
  <c r="I23" i="16"/>
  <c r="K33" i="16"/>
  <c r="I27" i="16"/>
  <c r="K22" i="16"/>
  <c r="K50" i="16"/>
  <c r="K28" i="16"/>
  <c r="I46" i="16"/>
  <c r="I41" i="16"/>
  <c r="I51" i="16"/>
  <c r="I40" i="16"/>
  <c r="K41" i="16"/>
  <c r="K47" i="16"/>
  <c r="I54" i="16"/>
  <c r="I48" i="16"/>
  <c r="K37" i="16"/>
  <c r="K42" i="16"/>
  <c r="K25" i="16"/>
  <c r="I21" i="16"/>
  <c r="I30" i="16"/>
  <c r="K23" i="16"/>
  <c r="I22" i="16"/>
  <c r="I45" i="16"/>
  <c r="I38" i="16"/>
  <c r="I42" i="16"/>
  <c r="K44" i="16"/>
  <c r="K48" i="16"/>
  <c r="I20" i="16"/>
  <c r="K35" i="16"/>
  <c r="I26" i="16"/>
  <c r="K31" i="16"/>
  <c r="I24" i="16"/>
  <c r="K32" i="16"/>
  <c r="K38" i="16"/>
  <c r="K54" i="16"/>
  <c r="K30" i="16"/>
  <c r="K40" i="16"/>
  <c r="I28" i="16"/>
  <c r="I47" i="16"/>
  <c r="I36" i="16"/>
  <c r="I52" i="16"/>
  <c r="I31" i="16"/>
  <c r="I39" i="16"/>
  <c r="K21" i="16"/>
  <c r="K52" i="16"/>
  <c r="K27" i="16"/>
  <c r="I50" i="16"/>
  <c r="I44" i="16"/>
  <c r="I29" i="16"/>
  <c r="K53" i="16"/>
  <c r="K39" i="16"/>
  <c r="I33" i="16"/>
  <c r="I37" i="16"/>
  <c r="I32" i="16"/>
  <c r="I53" i="16"/>
  <c r="K29" i="16"/>
  <c r="K36" i="16"/>
  <c r="K26" i="16"/>
  <c r="K34" i="16"/>
  <c r="K46" i="16"/>
  <c r="K43" i="16"/>
  <c r="K45" i="16"/>
  <c r="K24" i="16"/>
  <c r="K51" i="16"/>
  <c r="I35" i="16"/>
  <c r="K49" i="16"/>
  <c r="I25" i="16"/>
  <c r="I34" i="16"/>
  <c r="I49" i="16"/>
  <c r="D124" i="11"/>
  <c r="H124" i="11" s="1"/>
  <c r="E137" i="11" s="1"/>
  <c r="D135" i="11" s="1"/>
  <c r="D469" i="11"/>
  <c r="C723" i="11" s="1"/>
  <c r="B723" i="11" s="1"/>
  <c r="E449" i="11"/>
  <c r="C722" i="11" s="1"/>
  <c r="B722" i="11" s="1"/>
  <c r="F42" i="4" l="1"/>
  <c r="F106" i="4" s="1"/>
  <c r="B125" i="17"/>
  <c r="I130" i="15" s="1"/>
  <c r="H5" i="16"/>
  <c r="G5" i="16"/>
  <c r="F149" i="11"/>
  <c r="D151" i="11" s="1"/>
  <c r="D155" i="11" s="1"/>
  <c r="D179" i="11" s="1"/>
  <c r="D183" i="11" s="1"/>
  <c r="O477" i="11" s="1"/>
  <c r="O551" i="11" s="1"/>
  <c r="O554" i="11" s="1"/>
  <c r="P591" i="11" s="1"/>
  <c r="J17" i="11"/>
  <c r="J16" i="11" s="1"/>
  <c r="D54" i="12"/>
  <c r="J668" i="11"/>
  <c r="J657" i="11"/>
  <c r="H16" i="11" l="1"/>
  <c r="I50" i="15" s="1"/>
  <c r="H17" i="11"/>
  <c r="I51" i="15" s="1"/>
  <c r="B35" i="16"/>
  <c r="C22" i="16"/>
  <c r="E276" i="10"/>
  <c r="C313" i="10" s="1"/>
  <c r="B313" i="10" s="1"/>
  <c r="C705" i="11"/>
  <c r="B705" i="11" s="1"/>
  <c r="O555" i="11"/>
  <c r="O556" i="11"/>
  <c r="F108" i="4"/>
  <c r="F135" i="4" s="1"/>
  <c r="F62" i="4"/>
  <c r="F39" i="4"/>
  <c r="F38" i="4"/>
  <c r="F37" i="4" s="1"/>
  <c r="F40" i="4"/>
  <c r="D187" i="11"/>
  <c r="D255" i="11"/>
  <c r="D497" i="11"/>
  <c r="F494" i="11" s="1"/>
  <c r="D571" i="11"/>
  <c r="F577" i="11" s="1"/>
  <c r="C726" i="11" s="1"/>
  <c r="B726" i="11" s="1"/>
  <c r="E611" i="11"/>
  <c r="D608" i="11" s="1"/>
  <c r="C727" i="11" s="1"/>
  <c r="B727" i="11" s="1"/>
  <c r="B103" i="16" l="1"/>
  <c r="B109" i="16" s="1"/>
  <c r="I87" i="15" s="1"/>
  <c r="B73" i="16"/>
  <c r="B74" i="16" s="1"/>
  <c r="I84" i="15" s="1"/>
  <c r="B8" i="19"/>
  <c r="B7" i="19" s="1"/>
  <c r="B10" i="18"/>
  <c r="G279" i="10"/>
  <c r="J300" i="10" s="1"/>
  <c r="B101" i="16"/>
  <c r="I43" i="15" s="1"/>
  <c r="B102" i="16"/>
  <c r="B105" i="16"/>
  <c r="B115" i="16" s="1"/>
  <c r="I42" i="15"/>
  <c r="F47" i="4"/>
  <c r="F61" i="4"/>
  <c r="F139" i="4"/>
  <c r="H37" i="3"/>
  <c r="I21" i="15"/>
  <c r="C14" i="10"/>
  <c r="C17" i="9"/>
  <c r="E104" i="9" s="1"/>
  <c r="F116" i="4"/>
  <c r="F119" i="4" s="1"/>
  <c r="F110" i="4"/>
  <c r="C724" i="11"/>
  <c r="B724" i="11" s="1"/>
  <c r="F500" i="11"/>
  <c r="I675" i="11" s="1"/>
  <c r="F579" i="11"/>
  <c r="I676" i="11" s="1"/>
  <c r="E640" i="11"/>
  <c r="E638" i="11" s="1"/>
  <c r="F206" i="11"/>
  <c r="D201" i="11" s="1"/>
  <c r="D210" i="11" s="1"/>
  <c r="D193" i="11"/>
  <c r="B120" i="16" l="1"/>
  <c r="I92" i="15" s="1"/>
  <c r="F616" i="11"/>
  <c r="B170" i="16"/>
  <c r="I94" i="15" s="1"/>
  <c r="F197" i="11"/>
  <c r="E317" i="11" s="1"/>
  <c r="C15" i="9"/>
  <c r="E106" i="9" s="1"/>
  <c r="B5" i="19"/>
  <c r="B23" i="18"/>
  <c r="B43" i="18" s="1"/>
  <c r="B15" i="18"/>
  <c r="H120" i="16"/>
  <c r="H116" i="16"/>
  <c r="H114" i="16"/>
  <c r="H119" i="16"/>
  <c r="H115" i="16"/>
  <c r="H117" i="16"/>
  <c r="H118" i="16"/>
  <c r="B106" i="16"/>
  <c r="B107" i="16" s="1"/>
  <c r="I86" i="15" s="1"/>
  <c r="F73" i="4"/>
  <c r="B9" i="19" s="1"/>
  <c r="H45" i="3" s="1"/>
  <c r="F74" i="4"/>
  <c r="P171" i="10"/>
  <c r="F64" i="4"/>
  <c r="F115" i="4" s="1"/>
  <c r="F187" i="10"/>
  <c r="E80" i="10"/>
  <c r="E84" i="10" s="1"/>
  <c r="J675" i="11"/>
  <c r="J676" i="11"/>
  <c r="F643" i="11"/>
  <c r="C728" i="11"/>
  <c r="B728" i="11" s="1"/>
  <c r="I687" i="11"/>
  <c r="E299" i="11"/>
  <c r="E385" i="11" l="1"/>
  <c r="D220" i="11"/>
  <c r="D218" i="11"/>
  <c r="I11" i="15"/>
  <c r="E277" i="11"/>
  <c r="C706" i="11"/>
  <c r="B706" i="11" s="1"/>
  <c r="E388" i="11"/>
  <c r="D224" i="11"/>
  <c r="E532" i="11" s="1"/>
  <c r="P515" i="11" s="1"/>
  <c r="D242" i="11"/>
  <c r="D222" i="11"/>
  <c r="E279" i="11" s="1"/>
  <c r="D229" i="11"/>
  <c r="E391" i="11"/>
  <c r="C715" i="11" s="1"/>
  <c r="B715" i="11" s="1"/>
  <c r="D216" i="11"/>
  <c r="D226" i="11"/>
  <c r="C284" i="11" s="1"/>
  <c r="D249" i="11"/>
  <c r="O476" i="11"/>
  <c r="B28" i="18"/>
  <c r="B29" i="18" s="1"/>
  <c r="B16" i="18"/>
  <c r="H36" i="3" s="1"/>
  <c r="B18" i="18"/>
  <c r="B24" i="18"/>
  <c r="P206" i="10"/>
  <c r="T166" i="10"/>
  <c r="T163" i="10" s="1"/>
  <c r="G7" i="10"/>
  <c r="G5" i="10" s="1"/>
  <c r="C16" i="10" s="1"/>
  <c r="I688" i="11"/>
  <c r="J688" i="11" s="1"/>
  <c r="J687" i="11"/>
  <c r="C713" i="11"/>
  <c r="B713" i="11" s="1"/>
  <c r="G423" i="11" l="1"/>
  <c r="G396" i="11"/>
  <c r="G422" i="11"/>
  <c r="C714" i="11"/>
  <c r="B714" i="11" s="1"/>
  <c r="E262" i="11"/>
  <c r="G424" i="11"/>
  <c r="D236" i="11"/>
  <c r="D274" i="11"/>
  <c r="C336" i="11" s="1"/>
  <c r="D340" i="11" s="1"/>
  <c r="C707" i="11" s="1"/>
  <c r="B707" i="11" s="1"/>
  <c r="C251" i="11"/>
  <c r="P510" i="11" s="1"/>
  <c r="D235" i="11"/>
  <c r="D534" i="11" s="1"/>
  <c r="P514" i="11" s="1"/>
  <c r="T515" i="11" s="1"/>
  <c r="O481" i="11"/>
  <c r="O480" i="11"/>
  <c r="B17" i="18"/>
  <c r="B25" i="18" s="1"/>
  <c r="I17" i="15"/>
  <c r="I8" i="15"/>
  <c r="I14" i="15"/>
  <c r="B44" i="18"/>
  <c r="B78" i="18" s="1"/>
  <c r="I12" i="15"/>
  <c r="C22" i="9"/>
  <c r="P517" i="11"/>
  <c r="T510" i="11"/>
  <c r="T201" i="10"/>
  <c r="P208" i="10"/>
  <c r="P269" i="10"/>
  <c r="P166" i="10"/>
  <c r="E353" i="11"/>
  <c r="F508" i="11" l="1"/>
  <c r="F422" i="11"/>
  <c r="E422" i="11"/>
  <c r="I422" i="11"/>
  <c r="I424" i="11"/>
  <c r="C719" i="11"/>
  <c r="B719" i="11" s="1"/>
  <c r="F424" i="11"/>
  <c r="E424" i="11"/>
  <c r="D265" i="11"/>
  <c r="D271" i="11"/>
  <c r="F400" i="11" s="1"/>
  <c r="C288" i="11"/>
  <c r="F423" i="11"/>
  <c r="C718" i="11"/>
  <c r="B718" i="11" s="1"/>
  <c r="E423" i="11"/>
  <c r="I423" i="11"/>
  <c r="G357" i="11"/>
  <c r="E531" i="11"/>
  <c r="E541" i="11" s="1"/>
  <c r="B57" i="18"/>
  <c r="B55" i="18" s="1"/>
  <c r="B73" i="18"/>
  <c r="B14" i="19"/>
  <c r="C12" i="4"/>
  <c r="I22" i="15" s="1"/>
  <c r="B27" i="18"/>
  <c r="B49" i="18" s="1"/>
  <c r="I79" i="15" s="1"/>
  <c r="I9" i="15"/>
  <c r="I13" i="15"/>
  <c r="B41" i="18"/>
  <c r="B59" i="18" s="1"/>
  <c r="H673" i="11"/>
  <c r="T511" i="11"/>
  <c r="X507" i="11" s="1"/>
  <c r="X508" i="11" s="1"/>
  <c r="P622" i="11" s="1"/>
  <c r="P592" i="11"/>
  <c r="P201" i="10"/>
  <c r="T168" i="10"/>
  <c r="F189" i="10"/>
  <c r="F185" i="10" s="1"/>
  <c r="F111" i="10"/>
  <c r="E73" i="10"/>
  <c r="C709" i="11"/>
  <c r="B709" i="11" s="1"/>
  <c r="I662" i="11"/>
  <c r="D351" i="11"/>
  <c r="F330" i="11"/>
  <c r="F332" i="11" s="1"/>
  <c r="H662" i="11" s="1"/>
  <c r="F315" i="11"/>
  <c r="D347" i="11"/>
  <c r="F366" i="11" s="1"/>
  <c r="G313" i="11"/>
  <c r="G381" i="11" l="1"/>
  <c r="G426" i="11"/>
  <c r="D310" i="11"/>
  <c r="F296" i="11"/>
  <c r="F304" i="11" s="1"/>
  <c r="H660" i="11" s="1"/>
  <c r="J660" i="11" s="1"/>
  <c r="C716" i="11"/>
  <c r="B716" i="11" s="1"/>
  <c r="E544" i="11"/>
  <c r="J677" i="11" s="1"/>
  <c r="K186" i="10"/>
  <c r="K187" i="10" s="1"/>
  <c r="E529" i="11"/>
  <c r="E526" i="11" s="1"/>
  <c r="E537" i="11" s="1"/>
  <c r="I673" i="11" s="1"/>
  <c r="I121" i="15"/>
  <c r="B30" i="18"/>
  <c r="I15" i="15" s="1"/>
  <c r="I16" i="15"/>
  <c r="B76" i="18"/>
  <c r="B80" i="18"/>
  <c r="B79" i="18" s="1"/>
  <c r="I71" i="15"/>
  <c r="I68" i="15"/>
  <c r="J662" i="11"/>
  <c r="P264" i="10"/>
  <c r="T198" i="10"/>
  <c r="T202" i="10"/>
  <c r="AB595" i="11"/>
  <c r="AB592" i="11"/>
  <c r="AB593" i="11"/>
  <c r="AB598" i="11"/>
  <c r="AB597" i="11"/>
  <c r="AB594" i="11"/>
  <c r="AB596" i="11"/>
  <c r="E108" i="10"/>
  <c r="C309" i="10"/>
  <c r="B309" i="10" s="1"/>
  <c r="E88" i="10"/>
  <c r="H133" i="10"/>
  <c r="F131" i="10" s="1"/>
  <c r="F150" i="10" s="1"/>
  <c r="G223" i="10"/>
  <c r="F226" i="10" s="1"/>
  <c r="J298" i="10" s="1"/>
  <c r="G136" i="10"/>
  <c r="F151" i="10" s="1"/>
  <c r="F322" i="11"/>
  <c r="H661" i="11" s="1"/>
  <c r="J661" i="11" s="1"/>
  <c r="E426" i="11" l="1"/>
  <c r="C721" i="11"/>
  <c r="B721" i="11" s="1"/>
  <c r="I426" i="11"/>
  <c r="F426" i="11"/>
  <c r="G427" i="11"/>
  <c r="C712" i="11"/>
  <c r="B712" i="11" s="1"/>
  <c r="C404" i="11"/>
  <c r="P170" i="10"/>
  <c r="J659" i="11"/>
  <c r="X591" i="11"/>
  <c r="G182" i="10"/>
  <c r="G252" i="10"/>
  <c r="G216" i="10"/>
  <c r="F128" i="10"/>
  <c r="D104" i="10"/>
  <c r="F119" i="10" s="1"/>
  <c r="J290" i="10" s="1"/>
  <c r="F100" i="10"/>
  <c r="H289" i="10" s="1"/>
  <c r="J289" i="10" s="1"/>
  <c r="E96" i="10"/>
  <c r="H288" i="10" s="1"/>
  <c r="J288" i="10" s="1"/>
  <c r="H150" i="10"/>
  <c r="D150" i="10"/>
  <c r="E150" i="10"/>
  <c r="H296" i="10"/>
  <c r="H297" i="10"/>
  <c r="E151" i="10"/>
  <c r="H151" i="10"/>
  <c r="D151" i="10"/>
  <c r="J673" i="11"/>
  <c r="J678" i="11" s="1"/>
  <c r="I679" i="11" s="1"/>
  <c r="J679" i="11" s="1"/>
  <c r="J672" i="11" s="1"/>
  <c r="C725" i="11"/>
  <c r="B725" i="11" s="1"/>
  <c r="C708" i="11"/>
  <c r="B708" i="11" s="1"/>
  <c r="J663" i="11"/>
  <c r="H666" i="11" l="1"/>
  <c r="C717" i="11"/>
  <c r="B717" i="11" s="1"/>
  <c r="X163" i="10"/>
  <c r="P205" i="10"/>
  <c r="T171" i="10"/>
  <c r="X162" i="10" s="1"/>
  <c r="J287" i="10"/>
  <c r="C310" i="10"/>
  <c r="B310" i="10" s="1"/>
  <c r="F192" i="10"/>
  <c r="I296" i="10" s="1"/>
  <c r="F219" i="10"/>
  <c r="I297" i="10" s="1"/>
  <c r="C311" i="10"/>
  <c r="B311" i="10" s="1"/>
  <c r="F149" i="10"/>
  <c r="F125" i="10"/>
  <c r="C312" i="10"/>
  <c r="B312" i="10" s="1"/>
  <c r="G255" i="10"/>
  <c r="I299" i="10" s="1"/>
  <c r="I689" i="11"/>
  <c r="J689" i="11" s="1"/>
  <c r="J690" i="11" s="1"/>
  <c r="I691" i="11" s="1"/>
  <c r="J691" i="11" s="1"/>
  <c r="J686" i="11" s="1"/>
  <c r="I682" i="11"/>
  <c r="J682" i="11" s="1"/>
  <c r="T206" i="10" l="1"/>
  <c r="P268" i="10"/>
  <c r="I125" i="15"/>
  <c r="J296" i="10"/>
  <c r="J297" i="10"/>
  <c r="J299" i="10"/>
  <c r="F152" i="10"/>
  <c r="H293" i="10" s="1"/>
  <c r="E149" i="10"/>
  <c r="E152" i="10" s="1"/>
  <c r="H294" i="10" s="1"/>
  <c r="J294" i="10" s="1"/>
  <c r="H149" i="10"/>
  <c r="H152" i="10" s="1"/>
  <c r="D149" i="10"/>
  <c r="D152" i="10" s="1"/>
  <c r="H292" i="10" s="1"/>
  <c r="J292" i="10" s="1"/>
  <c r="I684" i="11"/>
  <c r="J684" i="11" s="1"/>
  <c r="J683" i="11"/>
  <c r="R274" i="10" l="1"/>
  <c r="X261" i="10"/>
  <c r="X198" i="10"/>
  <c r="X199" i="10" s="1"/>
  <c r="P231" i="10" s="1"/>
  <c r="AE239" i="10" s="1"/>
  <c r="X197" i="10"/>
  <c r="J295" i="10"/>
  <c r="D154" i="10"/>
  <c r="I293" i="10" s="1"/>
  <c r="J293" i="10" s="1"/>
  <c r="J291" i="10" s="1"/>
  <c r="J681" i="11"/>
  <c r="AE238" i="10" l="1"/>
  <c r="AB237" i="10"/>
  <c r="AE243" i="10"/>
  <c r="AE241" i="10"/>
  <c r="AB238" i="10"/>
  <c r="AB236" i="10"/>
  <c r="AB234" i="10"/>
  <c r="AE237" i="10"/>
  <c r="AE240" i="10"/>
  <c r="AE242" i="10"/>
  <c r="AE236" i="10"/>
  <c r="AE234" i="10"/>
  <c r="AE233" i="10"/>
  <c r="X232" i="10" s="1"/>
  <c r="AE235" i="10"/>
  <c r="AB239" i="10"/>
  <c r="AB235" i="10"/>
  <c r="AB233" i="10"/>
  <c r="T260" i="10"/>
  <c r="X260" i="10" s="1"/>
  <c r="R275" i="10"/>
  <c r="I301" i="10"/>
  <c r="J301" i="10" s="1"/>
  <c r="J286" i="10" s="1"/>
  <c r="C14" i="4"/>
  <c r="F35" i="4"/>
  <c r="C16" i="9"/>
  <c r="X231" i="10" l="1"/>
  <c r="I18" i="15"/>
  <c r="F55" i="4" l="1"/>
  <c r="I28" i="15" s="1"/>
  <c r="I20" i="15"/>
  <c r="I19" i="15"/>
  <c r="F92" i="4" l="1"/>
  <c r="F84" i="4"/>
  <c r="F79" i="4"/>
  <c r="F85" i="4"/>
  <c r="F90" i="4"/>
  <c r="F86" i="4"/>
  <c r="F78" i="4"/>
  <c r="F80" i="4"/>
  <c r="F91" i="4"/>
  <c r="H6" i="19" l="1"/>
  <c r="B10" i="19" s="1"/>
  <c r="H46" i="3" s="1"/>
  <c r="H7" i="19"/>
  <c r="H8" i="19"/>
  <c r="K7" i="9"/>
  <c r="K6" i="9"/>
  <c r="C18" i="9" s="1"/>
  <c r="K8" i="9"/>
  <c r="F133" i="4" l="1"/>
  <c r="F140" i="4" s="1"/>
  <c r="K105" i="4"/>
  <c r="I29" i="15" l="1"/>
  <c r="I38" i="15"/>
  <c r="K135" i="4"/>
  <c r="F143" i="4" s="1"/>
  <c r="I37" i="15"/>
  <c r="H7" i="16" l="1"/>
  <c r="H9" i="16" s="1"/>
  <c r="H13" i="16"/>
  <c r="H14" i="16"/>
  <c r="B22" i="16" l="1"/>
  <c r="G7" i="16"/>
  <c r="G9" i="16" s="1"/>
  <c r="G13" i="16"/>
  <c r="G14" i="16"/>
  <c r="B26" i="16" l="1"/>
  <c r="B25" i="16"/>
  <c r="B31" i="16"/>
  <c r="B36" i="16" s="1"/>
  <c r="B32" i="16"/>
  <c r="H10" i="16" s="1"/>
  <c r="B29" i="16"/>
  <c r="B23" i="16"/>
  <c r="B24" i="16" s="1"/>
  <c r="B70" i="16" l="1"/>
  <c r="B71" i="16"/>
  <c r="B66" i="16"/>
  <c r="B60" i="16"/>
  <c r="B64" i="16"/>
  <c r="B41" i="16"/>
  <c r="B56" i="16"/>
  <c r="I58" i="15" s="1"/>
  <c r="B51" i="16"/>
  <c r="B47" i="16"/>
  <c r="B42" i="16"/>
  <c r="B59" i="16"/>
  <c r="B55" i="16"/>
  <c r="B50" i="16"/>
  <c r="B46" i="16"/>
  <c r="I57" i="15" s="1"/>
  <c r="B62" i="16"/>
  <c r="B54" i="16"/>
  <c r="B49" i="16"/>
  <c r="B45" i="16"/>
  <c r="I56" i="15" s="1"/>
  <c r="B40" i="16"/>
  <c r="B61" i="16"/>
  <c r="I59" i="15" s="1"/>
  <c r="B57" i="16"/>
  <c r="B52" i="16"/>
  <c r="B48" i="16"/>
  <c r="B44" i="16"/>
  <c r="K141" i="4" s="1"/>
  <c r="F144" i="4" s="1"/>
  <c r="G10" i="16"/>
  <c r="B33" i="16"/>
  <c r="B34" i="16" s="1"/>
  <c r="B27" i="16"/>
  <c r="G34" i="17" l="1"/>
  <c r="B68" i="16"/>
  <c r="I49" i="15" s="1"/>
  <c r="H65" i="16"/>
  <c r="F69" i="16"/>
  <c r="G69" i="16" s="1"/>
  <c r="F68" i="16"/>
  <c r="G68" i="16" s="1"/>
  <c r="B43" i="16"/>
  <c r="B91" i="16" s="1"/>
  <c r="B90" i="16"/>
  <c r="B92" i="16" s="1"/>
  <c r="B65" i="16"/>
  <c r="B131" i="16" s="1"/>
  <c r="B89" i="16"/>
  <c r="F63" i="16"/>
  <c r="F65" i="16"/>
  <c r="B82" i="16"/>
  <c r="I54" i="15" s="1"/>
  <c r="I41" i="15"/>
  <c r="B81" i="16"/>
  <c r="I83" i="15"/>
  <c r="B53" i="16"/>
  <c r="H71" i="3" s="1"/>
  <c r="B58" i="16"/>
  <c r="C21" i="9"/>
  <c r="E108" i="9" s="1"/>
  <c r="B13" i="19"/>
  <c r="H53" i="3" s="1"/>
  <c r="H63" i="3"/>
  <c r="K142" i="4"/>
  <c r="L144" i="4" s="1"/>
  <c r="I100" i="15" s="1"/>
  <c r="F122" i="4"/>
  <c r="K106" i="4"/>
  <c r="K104" i="4" s="1"/>
  <c r="K136" i="4"/>
  <c r="K134" i="4" s="1"/>
  <c r="C17" i="4"/>
  <c r="F146" i="4"/>
  <c r="I62" i="15"/>
  <c r="B132" i="16"/>
  <c r="I44" i="15"/>
  <c r="B129" i="16"/>
  <c r="B67" i="16"/>
  <c r="I55" i="15"/>
  <c r="B78" i="16"/>
  <c r="B137" i="16" l="1"/>
  <c r="I96" i="15" s="1"/>
  <c r="B79" i="16"/>
  <c r="B80" i="16"/>
  <c r="I47" i="15" s="1"/>
  <c r="I64" i="15"/>
  <c r="I65" i="15" s="1"/>
  <c r="B151" i="16"/>
  <c r="B134" i="16"/>
  <c r="B93" i="16"/>
  <c r="I103" i="15" s="1"/>
  <c r="I61" i="15"/>
  <c r="B18" i="19"/>
  <c r="B19" i="19"/>
  <c r="H51" i="3" s="1"/>
  <c r="F101" i="9"/>
  <c r="G9" i="17"/>
  <c r="B149" i="16"/>
  <c r="L145" i="4"/>
  <c r="L150" i="4" s="1"/>
  <c r="I101" i="15" s="1"/>
  <c r="I33" i="15"/>
  <c r="K108" i="4"/>
  <c r="I35" i="15"/>
  <c r="C16" i="4"/>
  <c r="I39" i="15"/>
  <c r="K138" i="4"/>
  <c r="I63" i="15"/>
  <c r="B145" i="16"/>
  <c r="B142" i="16"/>
  <c r="B147" i="16"/>
  <c r="P509" i="11"/>
  <c r="T507" i="11" s="1"/>
  <c r="I46" i="15"/>
  <c r="I53" i="15"/>
  <c r="B83" i="16"/>
  <c r="B85" i="16" s="1"/>
  <c r="B84" i="16"/>
  <c r="I48" i="15" s="1"/>
  <c r="B95" i="16" l="1"/>
  <c r="I105" i="15" s="1"/>
  <c r="B157" i="16"/>
  <c r="B158" i="16" s="1"/>
  <c r="B159" i="16" s="1"/>
  <c r="I90" i="15" s="1"/>
  <c r="B94" i="16"/>
  <c r="I104" i="15" s="1"/>
  <c r="I108" i="15"/>
  <c r="I81" i="15"/>
  <c r="B153" i="16"/>
  <c r="I95" i="15" s="1"/>
  <c r="B20" i="19"/>
  <c r="I26" i="15" s="1"/>
  <c r="B21" i="19"/>
  <c r="H47" i="3" s="1"/>
  <c r="D112" i="9"/>
  <c r="D116" i="9"/>
  <c r="B148" i="16"/>
  <c r="B154" i="16" s="1"/>
  <c r="I45" i="15"/>
  <c r="C19" i="12"/>
  <c r="D68" i="12" s="1"/>
  <c r="I66" i="15" s="1"/>
  <c r="I34" i="15"/>
  <c r="I52" i="15"/>
  <c r="B116" i="16"/>
  <c r="B118" i="16" s="1"/>
  <c r="I91" i="15" s="1"/>
  <c r="X506" i="11"/>
  <c r="B23" i="19" l="1"/>
  <c r="B24" i="19" s="1"/>
  <c r="B22" i="19"/>
  <c r="E120" i="9"/>
  <c r="G239" i="9"/>
  <c r="F160" i="9"/>
  <c r="F195" i="9" s="1"/>
  <c r="E124" i="9"/>
  <c r="C64" i="12"/>
  <c r="D72" i="12" s="1"/>
  <c r="I67" i="15" s="1"/>
  <c r="B155" i="16"/>
  <c r="B163" i="16" s="1"/>
  <c r="I89" i="15"/>
  <c r="I24" i="15" l="1"/>
  <c r="H44" i="3"/>
  <c r="I25" i="15"/>
  <c r="C15" i="4"/>
  <c r="F149" i="9"/>
  <c r="E144" i="9" s="1"/>
  <c r="G241" i="9" s="1"/>
  <c r="E140" i="9"/>
  <c r="F187" i="9" s="1"/>
  <c r="F155" i="9"/>
  <c r="B94" i="9"/>
  <c r="E155" i="9"/>
  <c r="G237" i="9"/>
  <c r="H193" i="9"/>
  <c r="F193" i="9"/>
  <c r="I285" i="9" s="1"/>
  <c r="D130" i="9"/>
  <c r="K172" i="16"/>
  <c r="K168" i="16"/>
  <c r="K164" i="16"/>
  <c r="H167" i="16"/>
  <c r="H163" i="16"/>
  <c r="K166" i="16"/>
  <c r="H165" i="16"/>
  <c r="K173" i="16"/>
  <c r="K169" i="16"/>
  <c r="K165" i="16"/>
  <c r="H164" i="16"/>
  <c r="K171" i="16"/>
  <c r="K167" i="16"/>
  <c r="K163" i="16"/>
  <c r="H166" i="16"/>
  <c r="K170" i="16"/>
  <c r="H169" i="16"/>
  <c r="H168" i="16"/>
  <c r="F90" i="12"/>
  <c r="F105" i="12" s="1"/>
  <c r="I105" i="12" s="1"/>
  <c r="F92" i="12"/>
  <c r="F107" i="12" s="1"/>
  <c r="I107" i="12" s="1"/>
  <c r="I91" i="12"/>
  <c r="I90" i="12"/>
  <c r="I92" i="12"/>
  <c r="F91" i="12"/>
  <c r="F106" i="12" s="1"/>
  <c r="I106" i="12" s="1"/>
  <c r="X622" i="11" l="1"/>
  <c r="F205" i="9"/>
  <c r="F175" i="9"/>
  <c r="D177" i="9" s="1"/>
  <c r="H283" i="9" s="1"/>
  <c r="J283" i="9" s="1"/>
  <c r="F254" i="9"/>
  <c r="D257" i="9" s="1"/>
  <c r="F216" i="9"/>
  <c r="C301" i="9"/>
  <c r="B301" i="9"/>
  <c r="C13" i="4"/>
  <c r="E134" i="9"/>
  <c r="B167" i="16"/>
  <c r="X623" i="11"/>
  <c r="B168" i="16"/>
  <c r="E96" i="12"/>
  <c r="H117" i="12" s="1"/>
  <c r="J117" i="12" s="1"/>
  <c r="E81" i="12"/>
  <c r="H116" i="12" s="1"/>
  <c r="J116" i="12" s="1"/>
  <c r="D218" i="9" l="1"/>
  <c r="D207" i="9"/>
  <c r="D256" i="9"/>
  <c r="G269" i="9" s="1"/>
  <c r="J115" i="12"/>
  <c r="J114" i="12" s="1"/>
  <c r="I23" i="15"/>
  <c r="F52" i="4"/>
  <c r="G270" i="9"/>
  <c r="I270" i="9" s="1"/>
  <c r="F270" i="9"/>
  <c r="E270" i="9"/>
  <c r="D189" i="9"/>
  <c r="H285" i="9" s="1"/>
  <c r="J285" i="9" s="1"/>
  <c r="J282" i="9" s="1"/>
  <c r="I93" i="15"/>
  <c r="F227" i="9" l="1"/>
  <c r="J286" i="9" s="1"/>
  <c r="E269" i="9"/>
  <c r="E271" i="9" s="1"/>
  <c r="H288" i="9" s="1"/>
  <c r="J288" i="9" s="1"/>
  <c r="F269" i="9"/>
  <c r="F271" i="9" s="1"/>
  <c r="H290" i="9" s="1"/>
  <c r="J290" i="9" s="1"/>
  <c r="F87" i="4"/>
  <c r="F70" i="4" s="1"/>
  <c r="D126" i="4"/>
  <c r="F123" i="4" s="1"/>
  <c r="I27" i="15"/>
  <c r="F81" i="4"/>
  <c r="F69" i="4" s="1"/>
  <c r="F68" i="4" s="1"/>
  <c r="F99" i="4" s="1"/>
  <c r="F93" i="4"/>
  <c r="F71" i="4" s="1"/>
  <c r="G271" i="9"/>
  <c r="H289" i="9" s="1"/>
  <c r="I269" i="9"/>
  <c r="I271" i="9" s="1"/>
  <c r="F149" i="4" l="1"/>
  <c r="F150" i="4"/>
  <c r="D273" i="9"/>
  <c r="I289" i="9" s="1"/>
  <c r="J289" i="9" s="1"/>
  <c r="J287" i="9" s="1"/>
  <c r="J281" i="9" s="1"/>
  <c r="D128" i="4"/>
  <c r="I30" i="15" s="1"/>
  <c r="D129" i="4"/>
  <c r="I32" i="15" s="1"/>
  <c r="I133" i="15" s="1"/>
  <c r="I102" i="15" l="1"/>
  <c r="B64" i="18" l="1"/>
  <c r="B94" i="18" s="1"/>
  <c r="B46" i="18"/>
  <c r="B82" i="18"/>
  <c r="B84" i="18" s="1"/>
  <c r="B110" i="18"/>
  <c r="B61" i="18"/>
  <c r="B63" i="18" s="1"/>
  <c r="B123" i="18"/>
  <c r="I76" i="15" s="1"/>
  <c r="I69" i="15" l="1"/>
  <c r="B66" i="18"/>
  <c r="B67" i="18" s="1"/>
  <c r="B68" i="18" s="1"/>
  <c r="I70" i="15" s="1"/>
  <c r="B85" i="18"/>
  <c r="B86" i="18" s="1"/>
  <c r="B101" i="18"/>
  <c r="B102" i="18" s="1"/>
  <c r="B103" i="18" s="1"/>
  <c r="I75" i="15" s="1"/>
  <c r="B113" i="18"/>
  <c r="B122" i="18" s="1"/>
  <c r="I78" i="15" s="1"/>
  <c r="B111" i="18"/>
  <c r="B88" i="18"/>
  <c r="B89" i="18" s="1"/>
  <c r="B90" i="18" s="1"/>
  <c r="I73" i="15" s="1"/>
  <c r="K96" i="18"/>
  <c r="K98" i="18"/>
  <c r="K103" i="18"/>
  <c r="K100" i="18"/>
  <c r="K101" i="18"/>
  <c r="H99" i="18"/>
  <c r="K95" i="18"/>
  <c r="H98" i="18"/>
  <c r="K105" i="18"/>
  <c r="H101" i="18"/>
  <c r="K97" i="18"/>
  <c r="H100" i="18"/>
  <c r="H95" i="18"/>
  <c r="H97" i="18"/>
  <c r="H96" i="18"/>
  <c r="K99" i="18"/>
  <c r="K104" i="18"/>
  <c r="K102" i="18"/>
  <c r="I72" i="15" l="1"/>
  <c r="B99" i="18"/>
  <c r="B98" i="18"/>
  <c r="I74" i="15" l="1"/>
  <c r="E427" i="11"/>
  <c r="H665" i="11"/>
  <c r="J665" i="11"/>
  <c r="I427" i="11"/>
  <c r="D429" i="11" s="1"/>
  <c r="I666" i="11" s="1"/>
  <c r="J666" i="11" s="1"/>
  <c r="F427" i="11"/>
  <c r="H667" i="11"/>
  <c r="J667" i="11"/>
  <c r="J664" i="11" l="1"/>
  <c r="J658" i="11" s="1"/>
  <c r="J669" i="11" l="1"/>
  <c r="I670" i="11" s="1"/>
  <c r="J670" i="11" s="1"/>
  <c r="J656" i="11" s="1"/>
  <c r="J693" i="11" s="1"/>
  <c r="G18" i="17"/>
  <c r="G28" i="17" s="1"/>
  <c r="G19" i="17" l="1"/>
  <c r="I106" i="15" s="1"/>
  <c r="B10" i="17"/>
  <c r="B23" i="17" s="1"/>
  <c r="I114" i="15" s="1"/>
  <c r="B28" i="17"/>
  <c r="B29" i="17" s="1"/>
  <c r="I117" i="15" s="1"/>
  <c r="I46" i="17"/>
  <c r="G29" i="17"/>
  <c r="B24" i="17" l="1"/>
  <c r="B15" i="17"/>
  <c r="B16" i="17" s="1"/>
  <c r="B43" i="17"/>
  <c r="I115" i="15"/>
  <c r="B44" i="17"/>
  <c r="B18" i="17"/>
  <c r="G30" i="17" s="1"/>
  <c r="B110" i="17"/>
  <c r="B111" i="17" s="1"/>
  <c r="I129" i="15" s="1"/>
  <c r="B82" i="17"/>
  <c r="B61" i="17"/>
  <c r="B123" i="17" l="1"/>
  <c r="I120" i="15"/>
  <c r="B17" i="17"/>
  <c r="B25" i="17" s="1"/>
  <c r="B73" i="17"/>
  <c r="B78" i="17"/>
  <c r="B57" i="17"/>
  <c r="B41" i="17" l="1"/>
  <c r="B27" i="17"/>
  <c r="I116" i="15"/>
  <c r="G10" i="17"/>
  <c r="G35" i="17"/>
  <c r="B55" i="17"/>
  <c r="I109" i="15" l="1"/>
  <c r="B30" i="17"/>
  <c r="I119" i="15"/>
  <c r="B49" i="17"/>
  <c r="I132" i="15" s="1"/>
  <c r="B113" i="17"/>
  <c r="B122" i="17" s="1"/>
  <c r="B59" i="17"/>
  <c r="B64" i="17" s="1"/>
  <c r="B80" i="17"/>
  <c r="B79" i="17" s="1"/>
  <c r="B85" i="17" s="1"/>
  <c r="B86" i="17" s="1"/>
  <c r="B76" i="17"/>
  <c r="B84" i="17" s="1"/>
  <c r="B46" i="17"/>
  <c r="B94" i="17" l="1"/>
  <c r="I122" i="15"/>
  <c r="G5" i="17"/>
  <c r="I118" i="15"/>
  <c r="B101" i="17"/>
  <c r="B102" i="17" s="1"/>
  <c r="B103" i="17" s="1"/>
  <c r="I128" i="15" s="1"/>
  <c r="B66" i="17"/>
  <c r="B67" i="17" s="1"/>
  <c r="B88" i="17"/>
  <c r="B89" i="17" s="1"/>
  <c r="B90" i="17" s="1"/>
  <c r="I126" i="15" s="1"/>
  <c r="L88" i="17"/>
  <c r="B98" i="17" s="1"/>
  <c r="L91" i="17"/>
  <c r="O94" i="17"/>
  <c r="O91" i="17"/>
  <c r="L87" i="17"/>
  <c r="O96" i="17"/>
  <c r="L92" i="17"/>
  <c r="O93" i="17"/>
  <c r="L89" i="17"/>
  <c r="L90" i="17"/>
  <c r="L93" i="17"/>
  <c r="O88" i="17"/>
  <c r="O97" i="17"/>
  <c r="O92" i="17"/>
  <c r="O90" i="17"/>
  <c r="O95" i="17"/>
  <c r="O89" i="17"/>
  <c r="O87" i="17"/>
  <c r="B63" i="17"/>
  <c r="I131" i="15" s="1"/>
  <c r="B99" i="17" l="1"/>
  <c r="I127" i="15" s="1"/>
  <c r="G41" i="17"/>
  <c r="I107" i="15"/>
  <c r="G27" i="17"/>
  <c r="G20" i="17"/>
  <c r="G31" i="17" s="1"/>
  <c r="G17" i="17"/>
  <c r="B68" i="17"/>
  <c r="I123" i="15" s="1"/>
  <c r="I124" i="15"/>
  <c r="G42" i="17" l="1"/>
  <c r="G43" i="17"/>
  <c r="I112" i="15" s="1"/>
  <c r="G44" i="17"/>
  <c r="G46" i="17" s="1"/>
  <c r="I111" i="15" s="1"/>
  <c r="L137" i="15" s="1" a="1"/>
  <c r="L137" i="15" s="1"/>
  <c r="I134" i="15" s="1"/>
  <c r="G45" i="17"/>
  <c r="I110" i="15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<sst xmlns="http://schemas.openxmlformats.org/spreadsheetml/2006/main" count="2967" uniqueCount="1596">
  <si>
    <t>m³/s</t>
  </si>
  <si>
    <t>m</t>
  </si>
  <si>
    <t>MW</t>
  </si>
  <si>
    <t>m/s</t>
  </si>
  <si>
    <t>Perda de carga total</t>
  </si>
  <si>
    <t>não revestido</t>
  </si>
  <si>
    <t>concreto projetado</t>
  </si>
  <si>
    <t>aço</t>
  </si>
  <si>
    <t>Altura</t>
  </si>
  <si>
    <t>concreto estrutural</t>
  </si>
  <si>
    <t xml:space="preserve">S </t>
  </si>
  <si>
    <t>Submergência da tomada d'água</t>
  </si>
  <si>
    <t>Espessura de solo</t>
  </si>
  <si>
    <t>Hb = queda bruta</t>
  </si>
  <si>
    <t>DEFINIÇÃO DO TRAÇADO DO TÚNEL DE ADUÇÃO</t>
  </si>
  <si>
    <t>1.1</t>
  </si>
  <si>
    <t>2.1</t>
  </si>
  <si>
    <t>Extensão</t>
  </si>
  <si>
    <t>2.2</t>
  </si>
  <si>
    <t>Diâmetro</t>
  </si>
  <si>
    <t xml:space="preserve">Seção </t>
  </si>
  <si>
    <t>Arco-retângulo</t>
  </si>
  <si>
    <t>TRECHO L1</t>
  </si>
  <si>
    <t>TRECHO P</t>
  </si>
  <si>
    <t>TRECHO L2A</t>
  </si>
  <si>
    <t>Verificação da Perda de Carga</t>
  </si>
  <si>
    <t>L1</t>
  </si>
  <si>
    <t>Circular</t>
  </si>
  <si>
    <t>Seções</t>
  </si>
  <si>
    <t>Escavação</t>
  </si>
  <si>
    <t>Hidráulica</t>
  </si>
  <si>
    <t>Altura do túnel de adução</t>
  </si>
  <si>
    <t>2.3</t>
  </si>
  <si>
    <t>1.2</t>
  </si>
  <si>
    <t>Concreto</t>
  </si>
  <si>
    <t>QUANTITATIVOS (m³)</t>
  </si>
  <si>
    <t>Blindagem</t>
  </si>
  <si>
    <t>Critério para inclusão de Chaminé de Equilíbrio</t>
  </si>
  <si>
    <t>MI, 2007:</t>
  </si>
  <si>
    <r>
      <t>v</t>
    </r>
    <r>
      <rPr>
        <vertAlign val="subscript"/>
        <sz val="10"/>
        <rFont val="Arial"/>
        <family val="2"/>
      </rPr>
      <t>ad</t>
    </r>
    <r>
      <rPr>
        <sz val="10"/>
        <rFont val="Arial"/>
        <family val="2"/>
      </rPr>
      <t xml:space="preserve"> =</t>
    </r>
  </si>
  <si>
    <t>(Velocidade média do escoamento no túnel de adução)</t>
  </si>
  <si>
    <r>
      <t>L</t>
    </r>
    <r>
      <rPr>
        <vertAlign val="subscript"/>
        <sz val="10"/>
        <rFont val="Arial"/>
        <family val="2"/>
      </rPr>
      <t>ad</t>
    </r>
    <r>
      <rPr>
        <sz val="10"/>
        <rFont val="Arial"/>
        <family val="2"/>
      </rPr>
      <t xml:space="preserve"> =</t>
    </r>
  </si>
  <si>
    <t>(Comprimento do túnel de adução)</t>
  </si>
  <si>
    <r>
      <t>D</t>
    </r>
    <r>
      <rPr>
        <vertAlign val="subscript"/>
        <sz val="10"/>
        <rFont val="Arial"/>
        <family val="2"/>
      </rPr>
      <t>ad</t>
    </r>
    <r>
      <rPr>
        <sz val="10"/>
        <rFont val="Arial"/>
        <family val="2"/>
      </rPr>
      <t xml:space="preserve"> =</t>
    </r>
  </si>
  <si>
    <t>(Diâmetro do túnel de adução)</t>
  </si>
  <si>
    <r>
      <t>h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=</t>
    </r>
  </si>
  <si>
    <t>(Perda de carga no túnel de adução)</t>
  </si>
  <si>
    <r>
      <t>NA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=</t>
    </r>
  </si>
  <si>
    <t>(Nível de água máximo normal do reservatório)</t>
  </si>
  <si>
    <r>
      <t>NA</t>
    </r>
    <r>
      <rPr>
        <vertAlign val="subscript"/>
        <sz val="10"/>
        <rFont val="Arial"/>
        <family val="2"/>
      </rPr>
      <t>min</t>
    </r>
    <r>
      <rPr>
        <sz val="10"/>
        <rFont val="Arial"/>
        <family val="2"/>
      </rPr>
      <t xml:space="preserve"> =</t>
    </r>
  </si>
  <si>
    <t>(Nível de água mínimo do reservatório)</t>
  </si>
  <si>
    <r>
      <t>El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 xml:space="preserve"> =</t>
    </r>
  </si>
  <si>
    <t>(Cota da linha de centro do distribuidor da turbina)</t>
  </si>
  <si>
    <r>
      <t>El</t>
    </r>
    <r>
      <rPr>
        <vertAlign val="subscript"/>
        <sz val="10"/>
        <rFont val="Arial"/>
        <family val="2"/>
      </rPr>
      <t>sol</t>
    </r>
    <r>
      <rPr>
        <sz val="10"/>
        <rFont val="Arial"/>
        <family val="2"/>
      </rPr>
      <t xml:space="preserve"> =</t>
    </r>
  </si>
  <si>
    <t>(Cota da soleira da tomada de água)</t>
  </si>
  <si>
    <r>
      <t>El</t>
    </r>
    <r>
      <rPr>
        <vertAlign val="subscript"/>
        <sz val="10"/>
        <rFont val="Arial"/>
        <family val="2"/>
      </rPr>
      <t>te</t>
    </r>
    <r>
      <rPr>
        <sz val="10"/>
        <rFont val="Arial"/>
        <family val="2"/>
      </rPr>
      <t xml:space="preserve"> =</t>
    </r>
  </si>
  <si>
    <t>(Cota do terreno na área da chaminé de equilíbrio)</t>
  </si>
  <si>
    <r>
      <t>e</t>
    </r>
    <r>
      <rPr>
        <vertAlign val="subscript"/>
        <sz val="10"/>
        <rFont val="Arial"/>
        <family val="2"/>
      </rPr>
      <t>te</t>
    </r>
    <r>
      <rPr>
        <sz val="10"/>
        <rFont val="Arial"/>
        <family val="2"/>
      </rPr>
      <t xml:space="preserve"> =</t>
    </r>
  </si>
  <si>
    <t>(Espessura média da camada de terra na área da chaminé)</t>
  </si>
  <si>
    <t>Dados para dimensionamento:</t>
  </si>
  <si>
    <r>
      <t>N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=</t>
    </r>
  </si>
  <si>
    <t>unidades</t>
  </si>
  <si>
    <t>(Número de unidades geradoras)</t>
  </si>
  <si>
    <r>
      <t>N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=</t>
    </r>
  </si>
  <si>
    <t>(Número de unidades geradoras por conduto ou túnel forçado, quando for o caso)</t>
  </si>
  <si>
    <r>
      <t>D</t>
    </r>
    <r>
      <rPr>
        <vertAlign val="subscript"/>
        <sz val="10"/>
        <rFont val="Arial"/>
        <family val="2"/>
      </rPr>
      <t>ab</t>
    </r>
    <r>
      <rPr>
        <sz val="10"/>
        <rFont val="Arial"/>
        <family val="2"/>
      </rPr>
      <t xml:space="preserve"> =</t>
    </r>
  </si>
  <si>
    <t>(Diâmetro interno do conduto associado à tomada de água - adutor, túnel ou conduto forçado)</t>
  </si>
  <si>
    <r>
      <t>NA</t>
    </r>
    <r>
      <rPr>
        <vertAlign val="subscript"/>
        <sz val="10"/>
        <rFont val="Arial"/>
        <family val="2"/>
      </rPr>
      <t>máx</t>
    </r>
    <r>
      <rPr>
        <sz val="10"/>
        <rFont val="Arial"/>
        <family val="2"/>
      </rPr>
      <t xml:space="preserve"> =</t>
    </r>
  </si>
  <si>
    <t>Dados para quantificação:</t>
  </si>
  <si>
    <t>(Cota média do terreno na área da estrutura)</t>
  </si>
  <si>
    <r>
      <t>Q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= </t>
    </r>
  </si>
  <si>
    <t>(Vazão turbinada máxima total)</t>
  </si>
  <si>
    <r>
      <t>e</t>
    </r>
    <r>
      <rPr>
        <vertAlign val="subscript"/>
        <sz val="10"/>
        <rFont val="Arial"/>
        <family val="2"/>
      </rPr>
      <t xml:space="preserve">te </t>
    </r>
    <r>
      <rPr>
        <sz val="10"/>
        <rFont val="Arial"/>
        <family val="2"/>
      </rPr>
      <t>=</t>
    </r>
  </si>
  <si>
    <t>(Espessura média da camada de solo na área da estrutura)</t>
  </si>
  <si>
    <t>Dados para o dimensionamento:</t>
  </si>
  <si>
    <t>P' =</t>
  </si>
  <si>
    <t>(Potência instalada inicial)</t>
  </si>
  <si>
    <r>
      <t>N</t>
    </r>
    <r>
      <rPr>
        <vertAlign val="subscript"/>
        <sz val="10"/>
        <rFont val="Arial"/>
        <family val="2"/>
      </rPr>
      <t xml:space="preserve">g </t>
    </r>
    <r>
      <rPr>
        <sz val="10"/>
        <rFont val="Arial"/>
        <family val="2"/>
      </rPr>
      <t>=</t>
    </r>
  </si>
  <si>
    <t>(Número de unidades geradoras - não o conhecendo, digitar o valor zero; será adotado o valor calculado)</t>
  </si>
  <si>
    <r>
      <t>NA</t>
    </r>
    <r>
      <rPr>
        <vertAlign val="subscript"/>
        <sz val="10"/>
        <rFont val="Arial"/>
        <family val="2"/>
      </rPr>
      <t>med</t>
    </r>
    <r>
      <rPr>
        <sz val="10"/>
        <rFont val="Arial"/>
        <family val="2"/>
      </rPr>
      <t xml:space="preserve"> =</t>
    </r>
  </si>
  <si>
    <t>(Nível de água médio do reservatório)</t>
  </si>
  <si>
    <r>
      <t>NA</t>
    </r>
    <r>
      <rPr>
        <vertAlign val="subscript"/>
        <sz val="10"/>
        <rFont val="Arial"/>
        <family val="2"/>
      </rPr>
      <t>fu</t>
    </r>
    <r>
      <rPr>
        <sz val="10"/>
        <rFont val="Arial"/>
        <family val="2"/>
      </rPr>
      <t xml:space="preserve">  =</t>
    </r>
  </si>
  <si>
    <t>(Nível de água normal do canal de fuga)</t>
  </si>
  <si>
    <r>
      <t>NA</t>
    </r>
    <r>
      <rPr>
        <vertAlign val="subscript"/>
        <sz val="10"/>
        <rFont val="Arial"/>
        <family val="2"/>
      </rPr>
      <t>nfu</t>
    </r>
    <r>
      <rPr>
        <sz val="10"/>
        <rFont val="Arial"/>
        <family val="2"/>
      </rPr>
      <t xml:space="preserve">  =</t>
    </r>
  </si>
  <si>
    <t>(Nível de água mínimo no canal de fuga)</t>
  </si>
  <si>
    <r>
      <t>h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%=</t>
    </r>
  </si>
  <si>
    <t>%</t>
  </si>
  <si>
    <r>
      <t>(Perda de carga na adução, em % de H</t>
    </r>
    <r>
      <rPr>
        <vertAlign val="subscript"/>
        <sz val="10"/>
        <rFont val="Arial"/>
        <family val="2"/>
      </rPr>
      <t>b1</t>
    </r>
    <r>
      <rPr>
        <sz val="10"/>
        <rFont val="Arial"/>
        <family val="2"/>
      </rPr>
      <t>)</t>
    </r>
  </si>
  <si>
    <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</si>
  <si>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(Fator de potência)</t>
  </si>
  <si>
    <r>
      <t>h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=</t>
    </r>
  </si>
  <si>
    <t>(Rendimento médio dos geradores)</t>
  </si>
  <si>
    <t xml:space="preserve">T = </t>
  </si>
  <si>
    <t>°C</t>
  </si>
  <si>
    <t>(Temperatura média da água no verão)</t>
  </si>
  <si>
    <t xml:space="preserve">f   =  </t>
  </si>
  <si>
    <t xml:space="preserve">Hz  </t>
  </si>
  <si>
    <t>(Freqüência do sistema elétrico)</t>
  </si>
  <si>
    <t>Dados para a quantificação</t>
  </si>
  <si>
    <t>(Cota média do terrreno na área da casa de força)</t>
  </si>
  <si>
    <t>(Espessura média da camada de terra na área da casa de força)</t>
  </si>
  <si>
    <r>
      <t>V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 xml:space="preserve"> =</t>
    </r>
  </si>
  <si>
    <t>m³</t>
  </si>
  <si>
    <t>(Acréscimo no volume de concreto devido a escavação adicional necessária por fundação deficiente)</t>
  </si>
  <si>
    <r>
      <t>V</t>
    </r>
    <r>
      <rPr>
        <vertAlign val="subscript"/>
        <sz val="10"/>
        <rFont val="Arial"/>
        <family val="2"/>
      </rPr>
      <t>cn</t>
    </r>
    <r>
      <rPr>
        <sz val="10"/>
        <rFont val="Arial"/>
        <family val="2"/>
      </rPr>
      <t xml:space="preserve"> =</t>
    </r>
  </si>
  <si>
    <t>(Acréscimo no volume de concreto devido a modificações no projeto por NAxfu muito alto)</t>
  </si>
  <si>
    <t>Tipo:</t>
  </si>
  <si>
    <t>(Tipo de casa de força: 1 - abrigada; 2 - semi-abrigada; 3 - aberta; 4 - subterrânea)</t>
  </si>
  <si>
    <r>
      <t>NA</t>
    </r>
    <r>
      <rPr>
        <vertAlign val="subscript"/>
        <sz val="10"/>
        <rFont val="Arial"/>
        <family val="2"/>
      </rPr>
      <t>xfu</t>
    </r>
    <r>
      <rPr>
        <sz val="10"/>
        <rFont val="Arial"/>
        <family val="2"/>
      </rPr>
      <t xml:space="preserve">  =</t>
    </r>
  </si>
  <si>
    <t>(Nível de água máximo do canal de fuga)</t>
  </si>
  <si>
    <t>1.  DADOS BÁSICOS:</t>
  </si>
  <si>
    <r>
      <t>L</t>
    </r>
    <r>
      <rPr>
        <vertAlign val="subscript"/>
        <sz val="10"/>
        <rFont val="Arial"/>
        <family val="2"/>
      </rPr>
      <t>tf</t>
    </r>
    <r>
      <rPr>
        <sz val="10"/>
        <rFont val="Arial"/>
        <family val="2"/>
      </rPr>
      <t xml:space="preserve"> =</t>
    </r>
  </si>
  <si>
    <t>m²</t>
  </si>
  <si>
    <r>
      <t>V</t>
    </r>
    <r>
      <rPr>
        <vertAlign val="subscript"/>
        <sz val="10"/>
        <rFont val="Arial"/>
        <family val="2"/>
      </rPr>
      <t>rcf</t>
    </r>
    <r>
      <rPr>
        <sz val="10"/>
        <rFont val="Arial"/>
        <family val="2"/>
      </rPr>
      <t xml:space="preserve"> =</t>
    </r>
  </si>
  <si>
    <t>mm</t>
  </si>
  <si>
    <t>t</t>
  </si>
  <si>
    <t xml:space="preserve">
</t>
  </si>
  <si>
    <t>MANUAL DE INVENTÁRIO HIDRELÉTRICO DE BACIAS HIDROGRÁFICAS</t>
  </si>
  <si>
    <r>
      <t xml:space="preserve">TÍTULO: CHAMINÉ DE EQUILÍBRIO   </t>
    </r>
    <r>
      <rPr>
        <sz val="9"/>
        <rFont val="Arial"/>
        <family val="2"/>
      </rPr>
      <t/>
    </r>
  </si>
  <si>
    <t>ARQUIVO</t>
  </si>
  <si>
    <t>576ch.xls</t>
  </si>
  <si>
    <t>REVISÃO.:</t>
  </si>
  <si>
    <t>1.  DADOS BÁSICOS</t>
  </si>
  <si>
    <t xml:space="preserve">                  Dados para dimensionamento e quantificação:</t>
  </si>
  <si>
    <t>2.  MENSAGENS DE VERIFICAÇÃO DO CÁLCULO</t>
  </si>
  <si>
    <r>
      <t>&gt;</t>
    </r>
    <r>
      <rPr>
        <b/>
        <sz val="10"/>
        <rFont val="Arial"/>
        <family val="2"/>
      </rPr>
      <t xml:space="preserve">  NÍVEL DE ÁGUA NA CHAMINÉ DE EQUILÍBRIO</t>
    </r>
  </si>
  <si>
    <t>3.  DIMENSIONAMENTO</t>
  </si>
  <si>
    <r>
      <t>&gt;</t>
    </r>
    <r>
      <rPr>
        <sz val="10"/>
        <rFont val="Arial"/>
        <family val="2"/>
      </rPr>
      <t xml:space="preserve">  Área da seção transversal da chaminé de equilíbrio:</t>
    </r>
  </si>
  <si>
    <t>sendo:</t>
  </si>
  <si>
    <r>
      <t>m</t>
    </r>
    <r>
      <rPr>
        <vertAlign val="superscript"/>
        <sz val="10"/>
        <rFont val="Arial"/>
        <family val="2"/>
      </rPr>
      <t>2</t>
    </r>
  </si>
  <si>
    <r>
      <t>&gt;</t>
    </r>
    <r>
      <rPr>
        <sz val="10"/>
        <rFont val="Arial"/>
        <family val="2"/>
      </rPr>
      <t xml:space="preserve">  Diâmetro interno da chaminé de equilíbrio:</t>
    </r>
  </si>
  <si>
    <r>
      <t>&gt;</t>
    </r>
    <r>
      <rPr>
        <sz val="10"/>
        <rFont val="Arial"/>
        <family val="2"/>
      </rPr>
      <t xml:space="preserve">  Oscilação máxima na chaminé de equilíbrio:</t>
    </r>
  </si>
  <si>
    <r>
      <t>&gt;</t>
    </r>
    <r>
      <rPr>
        <sz val="10"/>
        <rFont val="Arial"/>
        <family val="2"/>
      </rPr>
      <t xml:space="preserve">  Nível de água máximo na chaminé de equilíbrio:</t>
    </r>
  </si>
  <si>
    <r>
      <t>&gt;</t>
    </r>
    <r>
      <rPr>
        <sz val="10"/>
        <rFont val="Arial"/>
        <family val="2"/>
      </rPr>
      <t xml:space="preserve">  Nível de água mínimo na chaminé de equilíbrio:</t>
    </r>
  </si>
  <si>
    <r>
      <t>&gt;</t>
    </r>
    <r>
      <rPr>
        <sz val="10"/>
        <rFont val="Arial"/>
        <family val="2"/>
      </rPr>
      <t xml:space="preserve">  Cota do fundo da chaminé:</t>
    </r>
  </si>
  <si>
    <t>Assim:</t>
  </si>
  <si>
    <r>
      <t>El</t>
    </r>
    <r>
      <rPr>
        <vertAlign val="subscript"/>
        <sz val="10"/>
        <rFont val="Arial"/>
        <family val="2"/>
      </rPr>
      <t>ch</t>
    </r>
    <r>
      <rPr>
        <sz val="10"/>
        <rFont val="Arial"/>
        <family val="2"/>
      </rPr>
      <t xml:space="preserve"> =</t>
    </r>
  </si>
  <si>
    <r>
      <t>&gt;</t>
    </r>
    <r>
      <rPr>
        <sz val="10"/>
        <rFont val="Arial"/>
        <family val="2"/>
      </rPr>
      <t xml:space="preserve">  Altura da chaminé de equilíbrio:</t>
    </r>
  </si>
  <si>
    <r>
      <t>&gt;</t>
    </r>
    <r>
      <rPr>
        <sz val="10"/>
        <rFont val="Arial"/>
        <family val="2"/>
      </rPr>
      <t xml:space="preserve">  Altura da chaminé acima do topo da rocha:</t>
    </r>
  </si>
  <si>
    <r>
      <t>&gt;</t>
    </r>
    <r>
      <rPr>
        <sz val="10"/>
        <rFont val="Arial"/>
        <family val="2"/>
      </rPr>
      <t xml:space="preserve">  Espessura adicional de concreto na base do contraforte:</t>
    </r>
  </si>
  <si>
    <t>onde:</t>
  </si>
  <si>
    <r>
      <t>s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=</t>
    </r>
  </si>
  <si>
    <t>kg/cm²     (Resistência do concreto à tração)</t>
  </si>
  <si>
    <r>
      <t>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(Pressão de serviço)</t>
    </r>
  </si>
  <si>
    <r>
      <t>&gt;</t>
    </r>
    <r>
      <rPr>
        <sz val="10"/>
        <rFont val="Arial"/>
        <family val="2"/>
      </rPr>
      <t xml:space="preserve">  Profundidade média de rocha acima do topo da chaminé de equilíbrio:</t>
    </r>
  </si>
  <si>
    <r>
      <t>&gt;</t>
    </r>
    <r>
      <rPr>
        <sz val="10"/>
        <rFont val="Arial"/>
        <family val="2"/>
      </rPr>
      <t xml:space="preserve">  Espessura do revestimento de concreto:</t>
    </r>
  </si>
  <si>
    <t>4.  QUANTIFICAÇÃO E CUSTOS</t>
  </si>
  <si>
    <t>a) ESCAVAÇÃO</t>
  </si>
  <si>
    <r>
      <t>&gt;</t>
    </r>
    <r>
      <rPr>
        <sz val="10"/>
        <rFont val="Arial"/>
        <family val="2"/>
      </rPr>
      <t xml:space="preserve"> ESCAVAÇÃO COMUM</t>
    </r>
  </si>
  <si>
    <t>Volume de escavação comum:</t>
  </si>
  <si>
    <r>
      <t>Assim, para este aproveitamento, com H</t>
    </r>
    <r>
      <rPr>
        <vertAlign val="subscript"/>
        <sz val="10"/>
        <rFont val="Arial"/>
        <family val="2"/>
      </rPr>
      <t>chc</t>
    </r>
    <r>
      <rPr>
        <sz val="10"/>
        <rFont val="Arial"/>
        <family val="2"/>
      </rPr>
      <t xml:space="preserve"> =</t>
    </r>
  </si>
  <si>
    <t>m,     tem-se:</t>
  </si>
  <si>
    <r>
      <t>V</t>
    </r>
    <r>
      <rPr>
        <vertAlign val="subscript"/>
        <sz val="10"/>
        <rFont val="Arial"/>
        <family val="2"/>
      </rPr>
      <t>tch</t>
    </r>
    <r>
      <rPr>
        <sz val="10"/>
        <rFont val="Arial"/>
        <family val="2"/>
      </rPr>
      <t xml:space="preserve"> =</t>
    </r>
  </si>
  <si>
    <r>
      <t>&gt;</t>
    </r>
    <r>
      <rPr>
        <sz val="10"/>
        <rFont val="Arial"/>
        <family val="2"/>
      </rPr>
      <t xml:space="preserve"> ESCAVAÇÃO SUBTERRÂNEA EM ROCHA</t>
    </r>
  </si>
  <si>
    <t>Volume:</t>
  </si>
  <si>
    <r>
      <t>V</t>
    </r>
    <r>
      <rPr>
        <vertAlign val="subscript"/>
        <sz val="10"/>
        <rFont val="Arial"/>
        <family val="2"/>
      </rPr>
      <t>sch</t>
    </r>
    <r>
      <rPr>
        <sz val="10"/>
        <rFont val="Arial"/>
        <family val="2"/>
      </rPr>
      <t xml:space="preserve"> =</t>
    </r>
  </si>
  <si>
    <t>Custo unitário de escavação subterrânea em rocha</t>
  </si>
  <si>
    <r>
      <t>$ = 474,08 A</t>
    </r>
    <r>
      <rPr>
        <vertAlign val="subscript"/>
        <sz val="12"/>
        <rFont val="Times New Roman"/>
        <family val="1"/>
      </rPr>
      <t>se</t>
    </r>
    <r>
      <rPr>
        <vertAlign val="superscript"/>
        <sz val="12"/>
        <rFont val="Times New Roman"/>
        <family val="1"/>
      </rPr>
      <t>-0,3987</t>
    </r>
    <r>
      <rPr>
        <sz val="12"/>
        <rFont val="Times New Roman"/>
        <family val="1"/>
      </rPr>
      <t xml:space="preserve"> para 4 ≤ A</t>
    </r>
    <r>
      <rPr>
        <vertAlign val="subscript"/>
        <sz val="12"/>
        <rFont val="Times New Roman"/>
        <family val="1"/>
      </rPr>
      <t>se</t>
    </r>
    <r>
      <rPr>
        <sz val="12"/>
        <rFont val="Times New Roman"/>
        <family val="1"/>
      </rPr>
      <t xml:space="preserve"> ≤ 300 m</t>
    </r>
    <r>
      <rPr>
        <vertAlign val="superscript"/>
        <sz val="12"/>
        <rFont val="Times New Roman"/>
        <family val="1"/>
      </rPr>
      <t>2</t>
    </r>
  </si>
  <si>
    <t>R$/m³</t>
  </si>
  <si>
    <t>m²       (Área da seção transversal da chaminé)</t>
  </si>
  <si>
    <r>
      <t>&gt;</t>
    </r>
    <r>
      <rPr>
        <sz val="10"/>
        <color indexed="8"/>
        <rFont val="Arial"/>
        <family val="2"/>
      </rPr>
      <t xml:space="preserve"> LIMPEZA E TRATAMENTO DE FUNDAÇÃO</t>
    </r>
  </si>
  <si>
    <t>Área de Limpeza da Fundação:</t>
  </si>
  <si>
    <r>
      <t>A</t>
    </r>
    <r>
      <rPr>
        <vertAlign val="subscript"/>
        <sz val="10"/>
        <rFont val="Arial"/>
        <family val="2"/>
      </rPr>
      <t>lf</t>
    </r>
    <r>
      <rPr>
        <sz val="10"/>
        <rFont val="Arial"/>
        <family val="2"/>
      </rPr>
      <t xml:space="preserve"> =</t>
    </r>
  </si>
  <si>
    <t>Comprimento de injeção de contato e consolidação:</t>
  </si>
  <si>
    <t>Custo Total de Limpeza e Tratamento de Fundação:</t>
  </si>
  <si>
    <r>
      <t>C</t>
    </r>
    <r>
      <rPr>
        <vertAlign val="subscript"/>
        <sz val="10"/>
        <rFont val="Arial"/>
        <family val="2"/>
      </rPr>
      <t>lf</t>
    </r>
    <r>
      <rPr>
        <sz val="11"/>
        <color theme="1"/>
        <rFont val="Calibri"/>
        <family val="2"/>
        <scheme val="minor"/>
      </rPr>
      <t xml:space="preserve"> =</t>
    </r>
  </si>
  <si>
    <t>R$/m²</t>
  </si>
  <si>
    <t>(Custo unitário de limpeza de superfície em rocha)</t>
  </si>
  <si>
    <r>
      <t>C</t>
    </r>
    <r>
      <rPr>
        <vertAlign val="subscript"/>
        <sz val="10"/>
        <rFont val="Arial"/>
        <family val="2"/>
      </rPr>
      <t>tf</t>
    </r>
    <r>
      <rPr>
        <sz val="10"/>
        <rFont val="Arial"/>
        <family val="2"/>
      </rPr>
      <t xml:space="preserve"> =</t>
    </r>
  </si>
  <si>
    <t>R$/m</t>
  </si>
  <si>
    <t>(Custo unitário de furo roto-percussivo)</t>
  </si>
  <si>
    <r>
      <t>C</t>
    </r>
    <r>
      <rPr>
        <vertAlign val="subscript"/>
        <sz val="10"/>
        <rFont val="Arial"/>
        <family val="2"/>
      </rPr>
      <t>ic</t>
    </r>
    <r>
      <rPr>
        <sz val="10"/>
        <rFont val="Arial"/>
        <family val="2"/>
      </rPr>
      <t xml:space="preserve"> =</t>
    </r>
  </si>
  <si>
    <t>(Custo unitário de injeção com calda de cimento)</t>
  </si>
  <si>
    <t>R$</t>
  </si>
  <si>
    <t>b) CONCRETO</t>
  </si>
  <si>
    <t>Volume de concreto estrutural:</t>
  </si>
  <si>
    <t>Volume de concreto projetado:</t>
  </si>
  <si>
    <r>
      <t>V</t>
    </r>
    <r>
      <rPr>
        <vertAlign val="subscript"/>
        <sz val="10"/>
        <rFont val="Arial"/>
        <family val="2"/>
      </rPr>
      <t>cch</t>
    </r>
    <r>
      <rPr>
        <sz val="10"/>
        <rFont val="Arial"/>
        <family val="2"/>
      </rPr>
      <t xml:space="preserve"> =</t>
    </r>
  </si>
  <si>
    <r>
      <t>V</t>
    </r>
    <r>
      <rPr>
        <vertAlign val="subscript"/>
        <sz val="10"/>
        <rFont val="Arial"/>
        <family val="2"/>
      </rPr>
      <t>cp</t>
    </r>
    <r>
      <rPr>
        <sz val="10"/>
        <rFont val="Arial"/>
        <family val="2"/>
      </rPr>
      <t xml:space="preserve"> =</t>
    </r>
  </si>
  <si>
    <t>Taxas de cimento e armadura:</t>
  </si>
  <si>
    <t>Cimento</t>
  </si>
  <si>
    <t>Armadura</t>
  </si>
  <si>
    <r>
      <t>(kg/m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</si>
  <si>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Concreto convencional</t>
  </si>
  <si>
    <t>Concreto projetado</t>
  </si>
  <si>
    <t>Totais:</t>
  </si>
  <si>
    <t>CSC</t>
  </si>
  <si>
    <t>Volume</t>
  </si>
  <si>
    <t>C. unitário</t>
  </si>
  <si>
    <t>C. total</t>
  </si>
  <si>
    <t>(t)</t>
  </si>
  <si>
    <t>(m³)</t>
  </si>
  <si>
    <t>(R$/m³)</t>
  </si>
  <si>
    <t>(R$)</t>
  </si>
  <si>
    <t>TOTAL</t>
  </si>
  <si>
    <t>-</t>
  </si>
  <si>
    <t>Custo unitário médio:      $ =</t>
  </si>
  <si>
    <t>(C. total/Volume)</t>
  </si>
  <si>
    <t>5.  EXTRATO DO ORÇAMENTO PADRÃO</t>
  </si>
  <si>
    <t xml:space="preserve">  Preços de DEZ/06</t>
  </si>
  <si>
    <t>PREÇO UNITÁRIO</t>
  </si>
  <si>
    <t>CUSTO</t>
  </si>
  <si>
    <t>CONTA</t>
  </si>
  <si>
    <t>ITEM</t>
  </si>
  <si>
    <t>UN.</t>
  </si>
  <si>
    <t>QUANT.</t>
  </si>
  <si>
    <t>10³ R$</t>
  </si>
  <si>
    <t>.12.19.33</t>
  </si>
  <si>
    <t xml:space="preserve">          CHAMINÉ DE EQUILÍBRIO</t>
  </si>
  <si>
    <t>.12.19.33.12</t>
  </si>
  <si>
    <t xml:space="preserve">               Escavação</t>
  </si>
  <si>
    <t>gl</t>
  </si>
  <si>
    <t>.12.19.33.12.10</t>
  </si>
  <si>
    <t xml:space="preserve">                    Comum</t>
  </si>
  <si>
    <t>.12.19.33.12.11</t>
  </si>
  <si>
    <t xml:space="preserve">                    Em rocha a céu aberto</t>
  </si>
  <si>
    <t>.12.19.33.12.12</t>
  </si>
  <si>
    <t xml:space="preserve">                    Subterrânea em rocha</t>
  </si>
  <si>
    <t>.12.19.33.13</t>
  </si>
  <si>
    <t xml:space="preserve">               Limpeza e tratamento de fundação</t>
  </si>
  <si>
    <t>.12.19.33.14</t>
  </si>
  <si>
    <t xml:space="preserve">               Concreto</t>
  </si>
  <si>
    <t>.12.19.33.14.13</t>
  </si>
  <si>
    <t xml:space="preserve">                     Cimento</t>
  </si>
  <si>
    <t>.12.19.33.14.14</t>
  </si>
  <si>
    <t xml:space="preserve">                     Concreto sem cimento</t>
  </si>
  <si>
    <t>.12.19.33.14.15</t>
  </si>
  <si>
    <t xml:space="preserve">                     Armadura</t>
  </si>
  <si>
    <t>.12.19.33.23</t>
  </si>
  <si>
    <t xml:space="preserve">               Equipamento</t>
  </si>
  <si>
    <t>.12.19.33.23.23</t>
  </si>
  <si>
    <t xml:space="preserve">                     Revestimento metálico</t>
  </si>
  <si>
    <t>.12.19.33.17</t>
  </si>
  <si>
    <t xml:space="preserve">               Outros custos</t>
  </si>
  <si>
    <t>6.  RELATÓRIO DE OCORRÊNCIAS</t>
  </si>
  <si>
    <t>LINHA</t>
  </si>
  <si>
    <t>COMENTÁRIO</t>
  </si>
  <si>
    <r>
      <t xml:space="preserve">TÍTULO: TOMADA D'ÁGUA A GRAVIDADE     </t>
    </r>
    <r>
      <rPr>
        <sz val="9"/>
        <rFont val="Arial"/>
        <family val="2"/>
      </rPr>
      <t/>
    </r>
  </si>
  <si>
    <t>576tg.xls</t>
  </si>
  <si>
    <t>1. DADOS BÁSICOS</t>
  </si>
  <si>
    <t>2. DIMENSIONAMENTO</t>
  </si>
  <si>
    <r>
      <t>&gt;</t>
    </r>
    <r>
      <rPr>
        <sz val="10"/>
        <rFont val="Arial"/>
        <family val="2"/>
      </rPr>
      <t xml:space="preserve"> NÚMERO DE ABERTURAS NA TOMADA DE ÁGUA</t>
    </r>
  </si>
  <si>
    <r>
      <t>&gt;</t>
    </r>
    <r>
      <rPr>
        <sz val="10"/>
        <rFont val="Arial"/>
        <family val="2"/>
      </rPr>
      <t xml:space="preserve"> ALTURA DA TOMADA DE ÁGUA</t>
    </r>
  </si>
  <si>
    <r>
      <t>H</t>
    </r>
    <r>
      <rPr>
        <vertAlign val="subscript"/>
        <sz val="10"/>
        <rFont val="Arial"/>
        <family val="2"/>
      </rPr>
      <t>bl</t>
    </r>
    <r>
      <rPr>
        <sz val="10"/>
        <rFont val="Arial"/>
        <family val="2"/>
      </rPr>
      <t xml:space="preserve"> =</t>
    </r>
  </si>
  <si>
    <t>m   (altura de borda livre)</t>
  </si>
  <si>
    <r>
      <t>&gt;</t>
    </r>
    <r>
      <rPr>
        <sz val="10"/>
        <rFont val="Arial"/>
        <family val="2"/>
      </rPr>
      <t xml:space="preserve"> LARGURA DO BLOCO DA UNIDADE NO SENTIDO TRANSVERSAL AO FLUXO</t>
    </r>
  </si>
  <si>
    <r>
      <t>&gt;</t>
    </r>
    <r>
      <rPr>
        <sz val="10"/>
        <rFont val="Arial"/>
        <family val="2"/>
      </rPr>
      <t xml:space="preserve"> LARGURA TOTAL</t>
    </r>
  </si>
  <si>
    <r>
      <t>&gt;</t>
    </r>
    <r>
      <rPr>
        <sz val="10"/>
        <rFont val="Arial"/>
        <family val="2"/>
      </rPr>
      <t xml:space="preserve"> COMPRIMENTO DA TOMADA DE ÁGUA NA BASE</t>
    </r>
  </si>
  <si>
    <t>3. QUANTIFICAÇÃO E CUSTOS</t>
  </si>
  <si>
    <t>a)</t>
  </si>
  <si>
    <t>ESCAVAÇÃO</t>
  </si>
  <si>
    <r>
      <t xml:space="preserve">&gt; </t>
    </r>
    <r>
      <rPr>
        <sz val="10"/>
        <rFont val="Arial"/>
        <family val="2"/>
      </rPr>
      <t>ESCAVAÇÃO COMUM</t>
    </r>
  </si>
  <si>
    <r>
      <t>&gt;</t>
    </r>
    <r>
      <rPr>
        <sz val="10"/>
        <rFont val="Arial"/>
        <family val="2"/>
      </rPr>
      <t xml:space="preserve"> ESCAVAÇÃO EM ROCHA A CÉU ABERTO</t>
    </r>
  </si>
  <si>
    <r>
      <t>&gt;</t>
    </r>
    <r>
      <rPr>
        <sz val="10"/>
        <rFont val="Arial"/>
        <family val="2"/>
      </rPr>
      <t xml:space="preserve"> LIMPEZA E TRATAMENTO DE FUNDAÇÃO</t>
    </r>
  </si>
  <si>
    <t>Área de fundação:</t>
  </si>
  <si>
    <r>
      <t>m</t>
    </r>
    <r>
      <rPr>
        <b/>
        <vertAlign val="superscript"/>
        <sz val="10"/>
        <rFont val="Arial"/>
        <family val="2"/>
      </rPr>
      <t>2</t>
    </r>
  </si>
  <si>
    <t>Comprimento de perfuração:</t>
  </si>
  <si>
    <t>m       (Comprimento de um furo de injeção de cimento  -  máximo 40 m)</t>
  </si>
  <si>
    <t>Custo total de Limpeza e Tratamento de Fundação:</t>
  </si>
  <si>
    <r>
      <t>C</t>
    </r>
    <r>
      <rPr>
        <vertAlign val="subscript"/>
        <sz val="10"/>
        <rFont val="Arial"/>
        <family val="2"/>
      </rPr>
      <t xml:space="preserve">lf </t>
    </r>
    <r>
      <rPr>
        <sz val="10"/>
        <rFont val="Arial"/>
        <family val="2"/>
      </rPr>
      <t>=</t>
    </r>
  </si>
  <si>
    <r>
      <t>R$/m</t>
    </r>
    <r>
      <rPr>
        <vertAlign val="superscript"/>
        <sz val="10"/>
        <rFont val="Arial"/>
        <family val="2"/>
      </rPr>
      <t>2</t>
    </r>
  </si>
  <si>
    <r>
      <t>C</t>
    </r>
    <r>
      <rPr>
        <vertAlign val="subscript"/>
        <sz val="10"/>
        <rFont val="Arial"/>
        <family val="2"/>
      </rPr>
      <t xml:space="preserve">tf </t>
    </r>
    <r>
      <rPr>
        <sz val="10"/>
        <rFont val="Arial"/>
        <family val="2"/>
      </rPr>
      <t>=</t>
    </r>
  </si>
  <si>
    <r>
      <t>C</t>
    </r>
    <r>
      <rPr>
        <vertAlign val="subscript"/>
        <sz val="10"/>
        <rFont val="Arial"/>
        <family val="2"/>
      </rPr>
      <t xml:space="preserve">ic </t>
    </r>
    <r>
      <rPr>
        <sz val="10"/>
        <rFont val="Arial"/>
        <family val="2"/>
      </rPr>
      <t>=</t>
    </r>
  </si>
  <si>
    <t>b)</t>
  </si>
  <si>
    <t>CONCRETO</t>
  </si>
  <si>
    <r>
      <t>&gt;</t>
    </r>
    <r>
      <rPr>
        <sz val="10"/>
        <rFont val="Arial"/>
        <family val="2"/>
      </rPr>
      <t xml:space="preserve"> VOLUME</t>
    </r>
  </si>
  <si>
    <r>
      <t>m</t>
    </r>
    <r>
      <rPr>
        <b/>
        <vertAlign val="superscript"/>
        <sz val="10"/>
        <rFont val="Arial"/>
        <family val="2"/>
      </rPr>
      <t>3</t>
    </r>
  </si>
  <si>
    <t>Volume de concreto das paredes externas:</t>
  </si>
  <si>
    <t>Volume de concreto do bloco da unidade:</t>
  </si>
  <si>
    <t>Volume de concreto do contraforte a jusante:</t>
  </si>
  <si>
    <t>Parede externa</t>
  </si>
  <si>
    <t>Bloco</t>
  </si>
  <si>
    <t>Contraforte</t>
  </si>
  <si>
    <t>c)</t>
  </si>
  <si>
    <t>EQUIPAMENTOS</t>
  </si>
  <si>
    <r>
      <t xml:space="preserve">&gt; </t>
    </r>
    <r>
      <rPr>
        <sz val="10"/>
        <rFont val="Arial"/>
        <family val="2"/>
      </rPr>
      <t>COMPORTA VAGÃO COM RODAS</t>
    </r>
  </si>
  <si>
    <r>
      <t xml:space="preserve">   </t>
    </r>
    <r>
      <rPr>
        <sz val="10"/>
        <rFont val="MT Extra"/>
        <family val="1"/>
        <charset val="2"/>
      </rPr>
      <t>&gt;</t>
    </r>
    <r>
      <rPr>
        <sz val="10"/>
        <rFont val="Arial"/>
        <family val="2"/>
      </rPr>
      <t xml:space="preserve"> O custo de aquisição de cada comporta é obtido através do gráfico B.23 e independe da localização do</t>
    </r>
  </si>
  <si>
    <t xml:space="preserve">       aproveitamento.</t>
  </si>
  <si>
    <t>Equação da curva do gráfico B.23:</t>
  </si>
  <si>
    <t xml:space="preserve">   sendo:</t>
  </si>
  <si>
    <r>
      <t>m</t>
    </r>
    <r>
      <rPr>
        <vertAlign val="superscript"/>
        <sz val="10"/>
        <rFont val="Arial"/>
        <family val="2"/>
      </rPr>
      <t>4</t>
    </r>
  </si>
  <si>
    <t xml:space="preserve">Custos de transporte e seguros (5%), de montagem e testes (8%) e de impostos e taxas (28%): </t>
  </si>
  <si>
    <t>R$/unidade</t>
  </si>
  <si>
    <t>Custo da comporta instalada:</t>
  </si>
  <si>
    <r>
      <t>&gt;</t>
    </r>
    <r>
      <rPr>
        <sz val="10"/>
        <rFont val="Arial"/>
        <family val="2"/>
      </rPr>
      <t xml:space="preserve"> COMPORTA ENSECADEIRA</t>
    </r>
  </si>
  <si>
    <r>
      <t xml:space="preserve">   </t>
    </r>
    <r>
      <rPr>
        <sz val="10"/>
        <rFont val="MT Extra"/>
        <family val="1"/>
        <charset val="2"/>
      </rPr>
      <t>&gt;</t>
    </r>
    <r>
      <rPr>
        <sz val="10"/>
        <rFont val="Arial"/>
        <family val="2"/>
      </rPr>
      <t xml:space="preserve"> O custo de aquisição de cada comporta da tomada de água é obtido no gráfico B.25 e independe da localização do</t>
    </r>
  </si>
  <si>
    <t xml:space="preserve">     aproveitamento.</t>
  </si>
  <si>
    <t>Equação da curva do gráfico B.25:</t>
  </si>
  <si>
    <r>
      <t xml:space="preserve">   </t>
    </r>
    <r>
      <rPr>
        <sz val="10"/>
        <rFont val="MT Extra"/>
        <family val="1"/>
        <charset val="2"/>
      </rPr>
      <t>&gt;</t>
    </r>
    <r>
      <rPr>
        <sz val="10"/>
        <rFont val="Arial"/>
        <family val="2"/>
      </rPr>
      <t xml:space="preserve"> Custo global de aquisição de guias e partes fixas embutidas no concreto extras da tomada de água independe da localização do</t>
    </r>
  </si>
  <si>
    <t xml:space="preserve">      aproveitamento.</t>
  </si>
  <si>
    <t>Custo das guias e partes fixas instaladas:</t>
  </si>
  <si>
    <r>
      <t>&gt;</t>
    </r>
    <r>
      <rPr>
        <sz val="10"/>
        <rFont val="Arial"/>
        <family val="2"/>
      </rPr>
      <t xml:space="preserve"> GUINDASTE</t>
    </r>
  </si>
  <si>
    <r>
      <t xml:space="preserve">   </t>
    </r>
    <r>
      <rPr>
        <sz val="10"/>
        <rFont val="MT Extra"/>
        <family val="1"/>
        <charset val="2"/>
      </rPr>
      <t>&gt;</t>
    </r>
    <r>
      <rPr>
        <sz val="10"/>
        <rFont val="Arial"/>
        <family val="2"/>
      </rPr>
      <t xml:space="preserve"> Custo de aquisição do pórtico rolante da tomada de água é obtido no gráfico B.27 e independe da localização do</t>
    </r>
  </si>
  <si>
    <t>Equação da curva do gráfico B.27:</t>
  </si>
  <si>
    <t>Custo do pórtico rolante instalado:</t>
  </si>
  <si>
    <r>
      <t xml:space="preserve">&gt; </t>
    </r>
    <r>
      <rPr>
        <sz val="10"/>
        <rFont val="Arial"/>
        <family val="2"/>
      </rPr>
      <t>GRADES E LIMPA GRADES</t>
    </r>
  </si>
  <si>
    <t>Equação da curva do gráfico B.28:</t>
  </si>
  <si>
    <t>Custo das grades instaladas:</t>
  </si>
  <si>
    <t>4.  EXTRATO DO ORÇAMENTO PADRÃO</t>
  </si>
  <si>
    <t>Preços de DEZ/06</t>
  </si>
  <si>
    <t>.12.19.30</t>
  </si>
  <si>
    <t xml:space="preserve">     TOMADA DE ÁGUA</t>
  </si>
  <si>
    <t>.12.19.30.12</t>
  </si>
  <si>
    <t xml:space="preserve">          Escavação</t>
  </si>
  <si>
    <t>.12.19.30.12.10</t>
  </si>
  <si>
    <t xml:space="preserve">               Comum</t>
  </si>
  <si>
    <t>.12.19.30.12.11</t>
  </si>
  <si>
    <t xml:space="preserve">               Em rocha a céu aberto</t>
  </si>
  <si>
    <t>.12.19.30.13</t>
  </si>
  <si>
    <t xml:space="preserve">          Limpeza e tratamento de fundação</t>
  </si>
  <si>
    <t>.12.19.30.14</t>
  </si>
  <si>
    <t xml:space="preserve">          Concreto</t>
  </si>
  <si>
    <t>.12.19.30.14.13</t>
  </si>
  <si>
    <t xml:space="preserve">               Cimento</t>
  </si>
  <si>
    <t>.12.19.30.14.14</t>
  </si>
  <si>
    <t xml:space="preserve">               Concreto sem cimento</t>
  </si>
  <si>
    <t>.12.19.30.14.15</t>
  </si>
  <si>
    <t xml:space="preserve">               Armadura</t>
  </si>
  <si>
    <t>.12.19.30.23</t>
  </si>
  <si>
    <t xml:space="preserve">          Equipamento</t>
  </si>
  <si>
    <t>.12.19.30.23.16</t>
  </si>
  <si>
    <t xml:space="preserve">               Comp.guinchos</t>
  </si>
  <si>
    <t>un</t>
  </si>
  <si>
    <t>.12.19.30.23.17</t>
  </si>
  <si>
    <t xml:space="preserve">               Comporta ensecadeira</t>
  </si>
  <si>
    <t>.12.19.30.23.56</t>
  </si>
  <si>
    <t xml:space="preserve">               Peças fixas extras</t>
  </si>
  <si>
    <t>.12.19.30.23.20</t>
  </si>
  <si>
    <t xml:space="preserve">               Guindaste</t>
  </si>
  <si>
    <t>.12.19.30.23.21</t>
  </si>
  <si>
    <t xml:space="preserve">               Grades  /  Limpa-grades</t>
  </si>
  <si>
    <t>.12.19.30.17</t>
  </si>
  <si>
    <t xml:space="preserve">          Outros custos</t>
  </si>
  <si>
    <t>5.  RELATÓRIO DE OCORRÊNCIAS</t>
  </si>
  <si>
    <r>
      <t xml:space="preserve">TÍTULO: CASA DE FORÇA -TURBINAS FRANCIS EIXO VERTICAL    </t>
    </r>
    <r>
      <rPr>
        <sz val="9"/>
        <rFont val="Arial"/>
        <family val="2"/>
      </rPr>
      <t/>
    </r>
  </si>
  <si>
    <t>572fv.xls</t>
  </si>
  <si>
    <t>Mensagens:</t>
  </si>
  <si>
    <t>2.  QUEDAS</t>
  </si>
  <si>
    <t>Queda bruta máxima</t>
  </si>
  <si>
    <r>
      <t xml:space="preserve">      H</t>
    </r>
    <r>
      <rPr>
        <vertAlign val="subscript"/>
        <sz val="10"/>
        <rFont val="Arial"/>
        <family val="2"/>
      </rPr>
      <t>b1</t>
    </r>
    <r>
      <rPr>
        <sz val="10"/>
        <rFont val="Arial"/>
        <family val="2"/>
      </rPr>
      <t xml:space="preserve"> = NA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- NA</t>
    </r>
    <r>
      <rPr>
        <vertAlign val="subscript"/>
        <sz val="10"/>
        <rFont val="Arial"/>
        <family val="2"/>
      </rPr>
      <t>fu</t>
    </r>
    <r>
      <rPr>
        <sz val="10"/>
        <rFont val="Arial"/>
        <family val="2"/>
      </rPr>
      <t xml:space="preserve">    =</t>
    </r>
  </si>
  <si>
    <t>Queda bruta média</t>
  </si>
  <si>
    <r>
      <t xml:space="preserve">      H</t>
    </r>
    <r>
      <rPr>
        <vertAlign val="subscript"/>
        <sz val="10"/>
        <rFont val="Arial"/>
        <family val="2"/>
      </rPr>
      <t>b2</t>
    </r>
    <r>
      <rPr>
        <sz val="10"/>
        <rFont val="Arial"/>
        <family val="2"/>
      </rPr>
      <t xml:space="preserve"> = NA</t>
    </r>
    <r>
      <rPr>
        <vertAlign val="subscript"/>
        <sz val="10"/>
        <rFont val="Arial"/>
        <family val="2"/>
      </rPr>
      <t>med</t>
    </r>
    <r>
      <rPr>
        <sz val="10"/>
        <rFont val="Arial"/>
        <family val="2"/>
      </rPr>
      <t xml:space="preserve"> - NA</t>
    </r>
    <r>
      <rPr>
        <vertAlign val="subscript"/>
        <sz val="10"/>
        <rFont val="Arial"/>
        <family val="2"/>
      </rPr>
      <t>fu</t>
    </r>
    <r>
      <rPr>
        <sz val="10"/>
        <rFont val="Arial"/>
        <family val="2"/>
      </rPr>
      <t xml:space="preserve">    =</t>
    </r>
  </si>
  <si>
    <t>d)</t>
  </si>
  <si>
    <t>Queda líquida máxima</t>
  </si>
  <si>
    <r>
      <t xml:space="preserve">      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H</t>
    </r>
    <r>
      <rPr>
        <vertAlign val="subscript"/>
        <sz val="10"/>
        <rFont val="Arial"/>
        <family val="2"/>
      </rPr>
      <t>b1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</si>
  <si>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e)</t>
  </si>
  <si>
    <t>Queda líquida média</t>
  </si>
  <si>
    <r>
      <t xml:space="preserve">     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 H</t>
    </r>
    <r>
      <rPr>
        <vertAlign val="subscript"/>
        <sz val="10"/>
        <rFont val="Arial"/>
        <family val="2"/>
      </rPr>
      <t>b2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</si>
  <si>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3.  NÚMERO DE UNIDADES E POTÊNCIA</t>
  </si>
  <si>
    <t>Potência total do conjunto das turbinas</t>
  </si>
  <si>
    <t>kW</t>
  </si>
  <si>
    <t>Número de unidades geradoras</t>
  </si>
  <si>
    <r>
      <t xml:space="preserve">     Sendo P</t>
    </r>
    <r>
      <rPr>
        <vertAlign val="subscript"/>
        <sz val="10"/>
        <rFont val="Arial"/>
        <family val="2"/>
      </rPr>
      <t>1x</t>
    </r>
    <r>
      <rPr>
        <sz val="10"/>
        <rFont val="Arial"/>
        <family val="2"/>
      </rPr>
      <t xml:space="preserve"> a potência máxima da turbina para a queda disponível, calculada abaixo:</t>
    </r>
  </si>
  <si>
    <r>
      <t xml:space="preserve"> Assim, para este aproveitamento, com 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</t>
    </r>
  </si>
  <si>
    <t>m,    tem-se:</t>
  </si>
  <si>
    <r>
      <t>P</t>
    </r>
    <r>
      <rPr>
        <vertAlign val="subscript"/>
        <sz val="10"/>
        <rFont val="Arial"/>
        <family val="2"/>
      </rPr>
      <t>1xt</t>
    </r>
    <r>
      <rPr>
        <sz val="10"/>
        <rFont val="Arial"/>
        <family val="2"/>
      </rPr>
      <t xml:space="preserve"> =</t>
    </r>
  </si>
  <si>
    <t>E para o número mínimo de unidades geradoras temos</t>
  </si>
  <si>
    <t xml:space="preserve">       Observação:  O número de unidades geradoras deve ser, de preferência, maior ou igual a dois.</t>
  </si>
  <si>
    <t>(Valor calculado)</t>
  </si>
  <si>
    <t>Potência inicial de uma unidade geradora</t>
  </si>
  <si>
    <r>
      <t xml:space="preserve">     Sendo P</t>
    </r>
    <r>
      <rPr>
        <vertAlign val="subscript"/>
        <sz val="10"/>
        <rFont val="Arial"/>
        <family val="2"/>
      </rPr>
      <t xml:space="preserve">1n </t>
    </r>
    <r>
      <rPr>
        <sz val="10"/>
        <rFont val="Arial"/>
        <family val="2"/>
      </rPr>
      <t>a potência mínima da turbina para a queda disponível, calculada abaixo:</t>
    </r>
  </si>
  <si>
    <r>
      <t>Assim, para este aproveitamento, com 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</t>
    </r>
  </si>
  <si>
    <t>m,        tem-se:</t>
  </si>
  <si>
    <r>
      <t>P</t>
    </r>
    <r>
      <rPr>
        <vertAlign val="subscript"/>
        <sz val="10"/>
        <rFont val="Arial"/>
        <family val="2"/>
      </rPr>
      <t>1nt</t>
    </r>
    <r>
      <rPr>
        <sz val="10"/>
        <rFont val="Arial"/>
        <family val="2"/>
      </rPr>
      <t xml:space="preserve"> =</t>
    </r>
  </si>
  <si>
    <t>E para a potência inicial de uma unidade geradora:</t>
  </si>
  <si>
    <r>
      <t>P'</t>
    </r>
    <r>
      <rPr>
        <vertAlign val="subscript"/>
        <sz val="10"/>
        <rFont val="Arial"/>
        <family val="2"/>
      </rPr>
      <t xml:space="preserve">1 </t>
    </r>
    <r>
      <rPr>
        <sz val="10"/>
        <rFont val="Arial"/>
        <family val="2"/>
      </rPr>
      <t>=</t>
    </r>
  </si>
  <si>
    <t>Potência de uma unidade geradora</t>
  </si>
  <si>
    <r>
      <t>k</t>
    </r>
    <r>
      <rPr>
        <vertAlign val="subscript"/>
        <sz val="10"/>
        <rFont val="Arial"/>
        <family val="2"/>
      </rPr>
      <t>p</t>
    </r>
  </si>
  <si>
    <t>Para</t>
  </si>
  <si>
    <t>Neste aproveitamento:</t>
  </si>
  <si>
    <r>
      <t>k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</si>
  <si>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Potência instalada</t>
  </si>
  <si>
    <t>f)</t>
  </si>
  <si>
    <t>Potência de uma turbina</t>
  </si>
  <si>
    <t>4.  DIMENSIONAMENTO DA TURBINA</t>
  </si>
  <si>
    <t>Velocidades</t>
  </si>
  <si>
    <r>
      <t>&gt;</t>
    </r>
    <r>
      <rPr>
        <sz val="10"/>
        <rFont val="Arial"/>
        <family val="2"/>
      </rPr>
      <t xml:space="preserve">  Vazão turbinada máxima de cada turbina:</t>
    </r>
  </si>
  <si>
    <t>m³/s             ===&gt;</t>
  </si>
  <si>
    <t xml:space="preserve">             (Coeficiente inicial)</t>
  </si>
  <si>
    <t xml:space="preserve">            (Rendimento da turbina inicial)</t>
  </si>
  <si>
    <r>
      <t>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/s</t>
    </r>
  </si>
  <si>
    <t>com:</t>
  </si>
  <si>
    <r>
      <t>&gt;</t>
    </r>
    <r>
      <rPr>
        <sz val="10"/>
        <rFont val="Arial"/>
        <family val="2"/>
      </rPr>
      <t xml:space="preserve">  Velocidade específica inicial:   (do Gráfico 5.8.2.04)</t>
    </r>
  </si>
  <si>
    <r>
      <t>Assim, para este aproveitamento, com 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</t>
    </r>
  </si>
  <si>
    <r>
      <t>m³/s   e   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</t>
    </r>
  </si>
  <si>
    <t xml:space="preserve">m,  </t>
  </si>
  <si>
    <t>tem-se para a velocidade específica inicial:</t>
  </si>
  <si>
    <r>
      <t>n'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=</t>
    </r>
  </si>
  <si>
    <r>
      <t>&gt;</t>
    </r>
    <r>
      <rPr>
        <sz val="10"/>
        <rFont val="Arial"/>
        <family val="2"/>
      </rPr>
      <t xml:space="preserve">  Velocidade inicial:</t>
    </r>
  </si>
  <si>
    <t>rpm</t>
  </si>
  <si>
    <r>
      <t>&gt;</t>
    </r>
    <r>
      <rPr>
        <sz val="10"/>
        <rFont val="Arial"/>
        <family val="2"/>
      </rPr>
      <t xml:space="preserve">  Número de pólos do gerador:</t>
    </r>
  </si>
  <si>
    <t>Assim, para este aproveitamento, com f =</t>
  </si>
  <si>
    <t>Hz, tem-se para o número de pólos do gerador :</t>
  </si>
  <si>
    <t>p =</t>
  </si>
  <si>
    <t>pólos</t>
  </si>
  <si>
    <r>
      <t>&gt;</t>
    </r>
    <r>
      <rPr>
        <sz val="10"/>
        <rFont val="Arial"/>
        <family val="2"/>
      </rPr>
      <t xml:space="preserve">  Velocidade síncrona:</t>
    </r>
  </si>
  <si>
    <r>
      <t>&gt;</t>
    </r>
    <r>
      <rPr>
        <sz val="10"/>
        <rFont val="Arial"/>
        <family val="2"/>
      </rPr>
      <t xml:space="preserve">  Velocidade específica:</t>
    </r>
  </si>
  <si>
    <t>Diâmetro e posição do rotor da turbina</t>
  </si>
  <si>
    <r>
      <t>&gt;</t>
    </r>
    <r>
      <rPr>
        <sz val="10"/>
        <rFont val="Arial"/>
        <family val="2"/>
      </rPr>
      <t xml:space="preserve">  Coeficiente de velocidade periférica:</t>
    </r>
  </si>
  <si>
    <r>
      <t>&gt;</t>
    </r>
    <r>
      <rPr>
        <sz val="10"/>
        <rFont val="Arial"/>
        <family val="2"/>
      </rPr>
      <t xml:space="preserve">  Diâmetro do rotor da turbina:</t>
    </r>
  </si>
  <si>
    <r>
      <t>&gt;</t>
    </r>
    <r>
      <rPr>
        <sz val="10"/>
        <rFont val="Arial"/>
        <family val="2"/>
      </rPr>
      <t xml:space="preserve">  Altura de sucção:</t>
    </r>
  </si>
  <si>
    <t>m     (Altura de pressão)</t>
  </si>
  <si>
    <t xml:space="preserve">        (Coeficiente de Thoma)</t>
  </si>
  <si>
    <r>
      <t>&gt;</t>
    </r>
    <r>
      <rPr>
        <sz val="10"/>
        <rFont val="Arial"/>
        <family val="2"/>
      </rPr>
      <t xml:space="preserve">  Cota da linha de centro do distribuidor da turbina:</t>
    </r>
  </si>
  <si>
    <t>Dimensões da turbina, da caixa espiral, do gerador e do tubo de sucção</t>
  </si>
  <si>
    <t/>
  </si>
  <si>
    <t>U =</t>
  </si>
  <si>
    <r>
      <t>N</t>
    </r>
    <r>
      <rPr>
        <vertAlign val="subscript"/>
        <sz val="10"/>
        <rFont val="Arial"/>
        <family val="2"/>
      </rPr>
      <t>vs</t>
    </r>
    <r>
      <rPr>
        <sz val="10"/>
        <rFont val="Arial"/>
        <family val="2"/>
      </rPr>
      <t xml:space="preserve"> =</t>
    </r>
  </si>
  <si>
    <r>
      <t>H'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</si>
  <si>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N =</t>
  </si>
  <si>
    <r>
      <t>&gt;</t>
    </r>
    <r>
      <rPr>
        <sz val="10"/>
        <color indexed="8"/>
        <rFont val="Arial"/>
        <family val="2"/>
      </rPr>
      <t xml:space="preserve">  Diâmetro estimado do poço do gerador:</t>
    </r>
  </si>
  <si>
    <t>Dimensões da casa de força</t>
  </si>
  <si>
    <r>
      <t>&gt;</t>
    </r>
    <r>
      <rPr>
        <sz val="10"/>
        <color indexed="8"/>
        <rFont val="Arial"/>
        <family val="2"/>
      </rPr>
      <t xml:space="preserve">  Largura do bloco da unidade:</t>
    </r>
  </si>
  <si>
    <r>
      <t>&gt;</t>
    </r>
    <r>
      <rPr>
        <sz val="10"/>
        <color indexed="8"/>
        <rFont val="Arial"/>
        <family val="2"/>
      </rPr>
      <t xml:space="preserve">  Largura total da casa de força:</t>
    </r>
  </si>
  <si>
    <r>
      <t>&gt;</t>
    </r>
    <r>
      <rPr>
        <sz val="10"/>
        <color indexed="8"/>
        <rFont val="Arial"/>
        <family val="2"/>
      </rPr>
      <t xml:space="preserve">  Largura da área de montagem dos equipamentos:</t>
    </r>
  </si>
  <si>
    <t xml:space="preserve">     Assim:</t>
  </si>
  <si>
    <r>
      <t>B</t>
    </r>
    <r>
      <rPr>
        <vertAlign val="subscript"/>
        <sz val="10"/>
        <color indexed="8"/>
        <rFont val="Arial"/>
        <family val="2"/>
      </rPr>
      <t>am</t>
    </r>
    <r>
      <rPr>
        <sz val="10"/>
        <color indexed="8"/>
        <rFont val="Arial"/>
        <family val="2"/>
      </rPr>
      <t xml:space="preserve"> =</t>
    </r>
  </si>
  <si>
    <r>
      <t>&gt;</t>
    </r>
    <r>
      <rPr>
        <sz val="10"/>
        <color indexed="8"/>
        <rFont val="Arial"/>
        <family val="2"/>
      </rPr>
      <t xml:space="preserve">  Comprimento da superestrutura:</t>
    </r>
  </si>
  <si>
    <r>
      <t>m</t>
    </r>
    <r>
      <rPr>
        <sz val="10"/>
        <color indexed="8"/>
        <rFont val="Arial"/>
        <family val="2"/>
      </rPr>
      <t xml:space="preserve">   (Distância entre a face externa da parede de montante e a linha central</t>
    </r>
  </si>
  <si>
    <t xml:space="preserve">       das unidades geradoras)</t>
  </si>
  <si>
    <r>
      <t>m</t>
    </r>
    <r>
      <rPr>
        <sz val="10"/>
        <color indexed="8"/>
        <rFont val="Arial"/>
        <family val="2"/>
      </rPr>
      <t xml:space="preserve">   (Distância entre a linha central das unidades geradoras e a face externa</t>
    </r>
  </si>
  <si>
    <t xml:space="preserve">       da parede de jusante)</t>
  </si>
  <si>
    <r>
      <t>&gt;</t>
    </r>
    <r>
      <rPr>
        <sz val="10"/>
        <color indexed="8"/>
        <rFont val="Arial"/>
        <family val="2"/>
      </rPr>
      <t xml:space="preserve">  Comprimento da casa de força:</t>
    </r>
  </si>
  <si>
    <r>
      <t>&gt;</t>
    </r>
    <r>
      <rPr>
        <sz val="10"/>
        <color indexed="8"/>
        <rFont val="Arial"/>
        <family val="2"/>
      </rPr>
      <t xml:space="preserve">  Comprimento da área de montagem:</t>
    </r>
  </si>
  <si>
    <t>5.  QUANTIFICAÇÃO E CUSTOS</t>
  </si>
  <si>
    <r>
      <t>&gt;</t>
    </r>
    <r>
      <rPr>
        <sz val="10"/>
        <color indexed="8"/>
        <rFont val="Arial"/>
        <family val="2"/>
      </rPr>
      <t xml:space="preserve">  Escavação comum</t>
    </r>
  </si>
  <si>
    <t>Casa de força externa (tipos 1, 2 e 3):</t>
  </si>
  <si>
    <t>Casa de força subterrânea (tipo 4):</t>
  </si>
  <si>
    <r>
      <t>V</t>
    </r>
    <r>
      <rPr>
        <vertAlign val="subscript"/>
        <sz val="10"/>
        <rFont val="Arial"/>
        <family val="2"/>
      </rPr>
      <t>tcf</t>
    </r>
    <r>
      <rPr>
        <sz val="10"/>
        <rFont val="Arial"/>
        <family val="2"/>
      </rPr>
      <t xml:space="preserve"> =</t>
    </r>
  </si>
  <si>
    <t xml:space="preserve">Para este aproveitamento tem-se: </t>
  </si>
  <si>
    <r>
      <t>&gt;</t>
    </r>
    <r>
      <rPr>
        <sz val="10"/>
        <color indexed="8"/>
        <rFont val="Arial"/>
        <family val="2"/>
      </rPr>
      <t xml:space="preserve">  Escavação em rocha</t>
    </r>
  </si>
  <si>
    <r>
      <t>&gt;</t>
    </r>
    <r>
      <rPr>
        <sz val="10"/>
        <color indexed="8"/>
        <rFont val="Arial"/>
        <family val="2"/>
      </rPr>
      <t xml:space="preserve">  Escavação subterrânea em rocha</t>
    </r>
  </si>
  <si>
    <r>
      <t>V</t>
    </r>
    <r>
      <rPr>
        <vertAlign val="subscript"/>
        <sz val="10"/>
        <rFont val="Arial"/>
        <family val="2"/>
      </rPr>
      <t>scf</t>
    </r>
    <r>
      <rPr>
        <sz val="10"/>
        <rFont val="Arial"/>
        <family val="2"/>
      </rPr>
      <t xml:space="preserve"> =</t>
    </r>
  </si>
  <si>
    <t>Área da seção de escavação:</t>
  </si>
  <si>
    <t>Custo unitário de escavação subterrânea em rocha:</t>
  </si>
  <si>
    <t>Limpeza e tratamento de fundação</t>
  </si>
  <si>
    <r>
      <t>&gt;</t>
    </r>
    <r>
      <rPr>
        <sz val="10"/>
        <color indexed="8"/>
        <rFont val="Arial"/>
        <family val="2"/>
      </rPr>
      <t xml:space="preserve">  Área de limpeza da fundação:</t>
    </r>
  </si>
  <si>
    <r>
      <t>&gt;</t>
    </r>
    <r>
      <rPr>
        <sz val="10"/>
        <color indexed="8"/>
        <rFont val="Arial"/>
        <family val="2"/>
      </rPr>
      <t xml:space="preserve">  Comprimento da injeção de cimento:</t>
    </r>
  </si>
  <si>
    <t>m       (Comprimento de um furo de injeção de cimento  -  máximo: 40 m)</t>
  </si>
  <si>
    <r>
      <t>&gt;</t>
    </r>
    <r>
      <rPr>
        <sz val="10"/>
        <color indexed="8"/>
        <rFont val="Arial"/>
        <family val="2"/>
      </rPr>
      <t xml:space="preserve">  Comprimento da malha de chumbadores (</t>
    </r>
    <r>
      <rPr>
        <b/>
        <sz val="10"/>
        <color indexed="8"/>
        <rFont val="Arial"/>
        <family val="2"/>
      </rPr>
      <t>somente para casa de força subterrânea: tipo 4</t>
    </r>
    <r>
      <rPr>
        <sz val="10"/>
        <color indexed="8"/>
        <rFont val="Arial"/>
        <family val="2"/>
      </rPr>
      <t>)</t>
    </r>
  </si>
  <si>
    <t xml:space="preserve">     Custo de limpeza e tratamento de fundação</t>
  </si>
  <si>
    <r>
      <t>C</t>
    </r>
    <r>
      <rPr>
        <vertAlign val="subscript"/>
        <sz val="10"/>
        <rFont val="Arial"/>
        <family val="2"/>
      </rPr>
      <t>lf</t>
    </r>
    <r>
      <rPr>
        <sz val="10"/>
        <rFont val="Arial"/>
        <family val="2"/>
      </rPr>
      <t xml:space="preserve"> =</t>
    </r>
  </si>
  <si>
    <t>(Custo unitário de injeção de cimento)</t>
  </si>
  <si>
    <r>
      <t>C</t>
    </r>
    <r>
      <rPr>
        <vertAlign val="subscript"/>
        <sz val="10"/>
        <rFont val="Arial"/>
        <family val="2"/>
      </rPr>
      <t>tfc</t>
    </r>
    <r>
      <rPr>
        <sz val="10"/>
        <rFont val="Arial"/>
        <family val="2"/>
      </rPr>
      <t xml:space="preserve"> =</t>
    </r>
  </si>
  <si>
    <t>(Custo unitário de chumbador)</t>
  </si>
  <si>
    <t>I ) Casa de força abrigada</t>
  </si>
  <si>
    <t>II ) Casa de força semi-abrigada</t>
  </si>
  <si>
    <t>III ) Casa de força aberta</t>
  </si>
  <si>
    <t>IV ) Casa de força subterrânea</t>
  </si>
  <si>
    <t>Volume de concreto da infra-estrutura:</t>
  </si>
  <si>
    <t>Volume de concreto da superestrutura:</t>
  </si>
  <si>
    <t>Volume de concreto das paredes em cada uma das extremidades:</t>
  </si>
  <si>
    <t>Volume de concreto da área de montagem (integrado à superestrutura):</t>
  </si>
  <si>
    <r>
      <t>Assim:    V</t>
    </r>
    <r>
      <rPr>
        <vertAlign val="subscript"/>
        <sz val="10"/>
        <rFont val="Arial"/>
        <family val="2"/>
      </rPr>
      <t>ca</t>
    </r>
    <r>
      <rPr>
        <sz val="10"/>
        <rFont val="Arial"/>
        <family val="2"/>
      </rPr>
      <t xml:space="preserve"> =</t>
    </r>
  </si>
  <si>
    <t>Volume de concreto projetado (somente para casa de força subterrânea)</t>
  </si>
  <si>
    <t>Assim, para este aproveitamento, com casa de força</t>
  </si>
  <si>
    <t>tem-se para o volume de concreto:</t>
  </si>
  <si>
    <r>
      <t>V</t>
    </r>
    <r>
      <rPr>
        <vertAlign val="subscript"/>
        <sz val="10"/>
        <rFont val="Arial"/>
        <family val="2"/>
      </rPr>
      <t>ccf</t>
    </r>
    <r>
      <rPr>
        <sz val="10"/>
        <rFont val="Arial"/>
        <family val="2"/>
      </rPr>
      <t xml:space="preserve"> =</t>
    </r>
  </si>
  <si>
    <t>(kg/m³)</t>
  </si>
  <si>
    <t>Infra-estrutura</t>
  </si>
  <si>
    <t>Superestrutura</t>
  </si>
  <si>
    <t>Parede extrema</t>
  </si>
  <si>
    <t>Dental</t>
  </si>
  <si>
    <t>Benfeitorias na área da usina</t>
  </si>
  <si>
    <t>Equação da curva ajustada no gráfico B.19 (aqui já multiplicada pela Potência Instalada):</t>
  </si>
  <si>
    <t>Instalações e acabamentos</t>
  </si>
  <si>
    <t>Equação da curva ajustada no gráfico B.20 (aqui já multiplicada pela Potência Instalada):</t>
  </si>
  <si>
    <t>Equipamentos</t>
  </si>
  <si>
    <r>
      <t>&gt;</t>
    </r>
    <r>
      <rPr>
        <sz val="10"/>
        <rFont val="Arial"/>
        <family val="2"/>
      </rPr>
      <t xml:space="preserve"> TURBINAS</t>
    </r>
  </si>
  <si>
    <t>Equação da curva ajustada no gráfico B.10:</t>
  </si>
  <si>
    <t>$ = -0,0011(kW/rpm)² + 18,162(kW/rpm) + 3279,8 =</t>
  </si>
  <si>
    <t>kW/rpm</t>
  </si>
  <si>
    <t>Custo da turbina instalada:</t>
  </si>
  <si>
    <r>
      <t>&gt;</t>
    </r>
    <r>
      <rPr>
        <sz val="10"/>
        <rFont val="Arial"/>
        <family val="2"/>
      </rPr>
      <t xml:space="preserve"> COMPORTA ENSECADEIRA DO TUBO DE SUCÇÃO</t>
    </r>
  </si>
  <si>
    <t>Quantidade de comportas ensecadeiras:</t>
  </si>
  <si>
    <r>
      <t>Assim, para este aproveitamento tem-se:  N</t>
    </r>
    <r>
      <rPr>
        <vertAlign val="subscript"/>
        <sz val="10"/>
        <rFont val="Arial"/>
        <family val="2"/>
      </rPr>
      <t>sl</t>
    </r>
    <r>
      <rPr>
        <sz val="10"/>
        <rFont val="Arial"/>
        <family val="2"/>
      </rPr>
      <t xml:space="preserve"> =</t>
    </r>
  </si>
  <si>
    <t>comportas</t>
  </si>
  <si>
    <t>Custo de aquisição:</t>
  </si>
  <si>
    <t>Equação da curva ajustada no gráfico B.25:</t>
  </si>
  <si>
    <r>
      <t>H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= Na</t>
    </r>
    <r>
      <rPr>
        <vertAlign val="subscript"/>
        <sz val="10"/>
        <rFont val="Arial"/>
        <family val="2"/>
      </rPr>
      <t>xfu</t>
    </r>
    <r>
      <rPr>
        <sz val="10"/>
        <rFont val="Arial"/>
        <family val="2"/>
      </rPr>
      <t xml:space="preserve"> - El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 xml:space="preserve"> + Y =</t>
    </r>
  </si>
  <si>
    <r>
      <t>H</t>
    </r>
    <r>
      <rPr>
        <vertAlign val="subscript"/>
        <sz val="10"/>
        <rFont val="Arial"/>
        <family val="2"/>
      </rPr>
      <t>cp</t>
    </r>
    <r>
      <rPr>
        <sz val="10"/>
        <rFont val="Arial"/>
        <family val="2"/>
      </rPr>
      <t xml:space="preserve"> = R =</t>
    </r>
  </si>
  <si>
    <t>Preço global de aquisição de guias e partes fixas:</t>
  </si>
  <si>
    <r>
      <t>&gt;</t>
    </r>
    <r>
      <rPr>
        <sz val="10"/>
        <rFont val="Arial"/>
        <family val="2"/>
      </rPr>
      <t xml:space="preserve"> GERADORES:</t>
    </r>
  </si>
  <si>
    <t>Equação da curva ajustada no gráfico B16:</t>
  </si>
  <si>
    <r>
      <t>$ = 32775,451 [(MVA/rpm)-0,023]</t>
    </r>
    <r>
      <rPr>
        <vertAlign val="superscript"/>
        <sz val="10"/>
        <rFont val="Arial"/>
        <family val="2"/>
      </rPr>
      <t>0,5279</t>
    </r>
    <r>
      <rPr>
        <sz val="10"/>
        <rFont val="Arial"/>
        <family val="2"/>
      </rPr>
      <t>, para 0,0329 ≤ (MVA/rpm) ≤ 1,9834</t>
    </r>
  </si>
  <si>
    <t>MVA/rpm</t>
  </si>
  <si>
    <t>MVA</t>
  </si>
  <si>
    <t>Tem-se para o custo de um hidrogerador vertical:</t>
  </si>
  <si>
    <t>$ =</t>
  </si>
  <si>
    <t>Custo do gerador instalado:</t>
  </si>
  <si>
    <r>
      <t>&gt;</t>
    </r>
    <r>
      <rPr>
        <sz val="10"/>
        <rFont val="Arial"/>
        <family val="2"/>
      </rPr>
      <t xml:space="preserve"> EQUIPAMENTO ELÉTRICO ACESSÓRIO</t>
    </r>
  </si>
  <si>
    <t>Deve ser considerado como igual a  18% do custo global da Conta .13 - Turbinas e Geradores.</t>
  </si>
  <si>
    <r>
      <t>&gt;</t>
    </r>
    <r>
      <rPr>
        <sz val="10"/>
        <rFont val="Arial"/>
        <family val="2"/>
      </rPr>
      <t xml:space="preserve"> GUINDASTE E PONTE ROLANTE</t>
    </r>
  </si>
  <si>
    <t>Ponte rolante:</t>
  </si>
  <si>
    <t>Equação da curva ajustada no gráfico B.17:</t>
  </si>
  <si>
    <r>
      <t>$ = 25,12 (kVA/rpm)</t>
    </r>
    <r>
      <rPr>
        <vertAlign val="superscript"/>
        <sz val="10"/>
        <rFont val="Arial"/>
        <family val="2"/>
      </rPr>
      <t>0,6961</t>
    </r>
    <r>
      <rPr>
        <sz val="10"/>
        <rFont val="Arial"/>
        <family val="2"/>
      </rPr>
      <t xml:space="preserve"> = </t>
    </r>
  </si>
  <si>
    <t>kVA/rpm</t>
  </si>
  <si>
    <t>Custo da ponte rolante instalada:</t>
  </si>
  <si>
    <t>Pórtico rolante:</t>
  </si>
  <si>
    <t>Equação da curva ajustada no gráfico B.18:</t>
  </si>
  <si>
    <r>
      <t>$ = 59,506 (kVA/rpm)</t>
    </r>
    <r>
      <rPr>
        <vertAlign val="superscript"/>
        <sz val="10"/>
        <rFont val="Arial"/>
        <family val="2"/>
      </rPr>
      <t>0,6621</t>
    </r>
    <r>
      <rPr>
        <sz val="10"/>
        <rFont val="Arial"/>
        <family val="2"/>
      </rPr>
      <t xml:space="preserve"> = </t>
    </r>
  </si>
  <si>
    <t>Sendo:</t>
  </si>
  <si>
    <t>kVA/rpm =</t>
  </si>
  <si>
    <r>
      <t>&gt;</t>
    </r>
    <r>
      <rPr>
        <sz val="10"/>
        <rFont val="Arial"/>
        <family val="2"/>
      </rPr>
      <t xml:space="preserve"> EQUIPAMENTOS DIVERSOS</t>
    </r>
  </si>
  <si>
    <t>Deve ser considerado como igual a  6% do custo global da Conta .13 - Turbinas e Geradores.</t>
  </si>
  <si>
    <t>6.  EXTRATO DO O.P.E.</t>
  </si>
  <si>
    <t>.11</t>
  </si>
  <si>
    <t>ESTRUTURAS E OUTRAS BENFEITORIAS</t>
  </si>
  <si>
    <t>.11.12</t>
  </si>
  <si>
    <t xml:space="preserve">     BENFEITORIAS NA ÁREA DA USINA</t>
  </si>
  <si>
    <t>.11.13</t>
  </si>
  <si>
    <t xml:space="preserve">     CASA DE FORÇA</t>
  </si>
  <si>
    <t>.11.13.00.12</t>
  </si>
  <si>
    <t>.11.13.00.12.10</t>
  </si>
  <si>
    <t>.11.13.00.12.11</t>
  </si>
  <si>
    <t xml:space="preserve">               Rocha a céu aberto</t>
  </si>
  <si>
    <t>.11.13.00.12.12</t>
  </si>
  <si>
    <t xml:space="preserve">               Subterrânea em rocha</t>
  </si>
  <si>
    <t xml:space="preserve">.11.13.00.13   </t>
  </si>
  <si>
    <t xml:space="preserve">          Limpeza e tratamento de fundação </t>
  </si>
  <si>
    <t>.11.13.00.14</t>
  </si>
  <si>
    <t>.11.13.00.14.13</t>
  </si>
  <si>
    <t>.11.13.00.14.14</t>
  </si>
  <si>
    <t>.11.13.00.14.15</t>
  </si>
  <si>
    <t>.11.13.00.15</t>
  </si>
  <si>
    <t xml:space="preserve">          Instalações e acabamentos</t>
  </si>
  <si>
    <t xml:space="preserve">     Subtotal da conta .11</t>
  </si>
  <si>
    <t>.11.27</t>
  </si>
  <si>
    <t xml:space="preserve">     EVENTUAIS DA CONTA .11</t>
  </si>
  <si>
    <t>.13</t>
  </si>
  <si>
    <t>TURBINAS E GERADORES</t>
  </si>
  <si>
    <t>.13.13.00.23.17</t>
  </si>
  <si>
    <t xml:space="preserve">     Comportas ensecadeiras</t>
  </si>
  <si>
    <t>.13.13.00.23.20</t>
  </si>
  <si>
    <t xml:space="preserve">     Guindaste</t>
  </si>
  <si>
    <t>.13.13.00.23.28</t>
  </si>
  <si>
    <t xml:space="preserve">     Turbina tipo Francis</t>
  </si>
  <si>
    <t>.13.13.00.23.29</t>
  </si>
  <si>
    <t xml:space="preserve">     Gerador</t>
  </si>
  <si>
    <t>.13.13.00.23.56</t>
  </si>
  <si>
    <t xml:space="preserve">     Peças fixas extras</t>
  </si>
  <si>
    <t xml:space="preserve">     Subtotal      .13</t>
  </si>
  <si>
    <t>.13.27</t>
  </si>
  <si>
    <t xml:space="preserve">     EVENTUAIS  .13</t>
  </si>
  <si>
    <t>.14</t>
  </si>
  <si>
    <t>EQUIPAMENTO ELÉTRICO ACESSÓRIO</t>
  </si>
  <si>
    <t>.14.00.00.23</t>
  </si>
  <si>
    <t xml:space="preserve">     Equipamento</t>
  </si>
  <si>
    <t xml:space="preserve">     Subtotal      .14</t>
  </si>
  <si>
    <t>.14.27</t>
  </si>
  <si>
    <t xml:space="preserve">     EVENTUAIS  .14</t>
  </si>
  <si>
    <t>.15</t>
  </si>
  <si>
    <t>DIVERSOS EQUIPAMENTOS DA USINA</t>
  </si>
  <si>
    <t>.15.13.00.23.20</t>
  </si>
  <si>
    <t xml:space="preserve">     Ponte rolante</t>
  </si>
  <si>
    <t xml:space="preserve">     Pórtico rolante </t>
  </si>
  <si>
    <t>.15.00.00.23.31</t>
  </si>
  <si>
    <t xml:space="preserve">     Equipamentos diversos</t>
  </si>
  <si>
    <t xml:space="preserve">     Subtotal    15.</t>
  </si>
  <si>
    <t>.15.27</t>
  </si>
  <si>
    <t xml:space="preserve">     EVENTUAIS 15.</t>
  </si>
  <si>
    <t>TOTAL DA ESTRUTURA</t>
  </si>
  <si>
    <t>7.  RELATÓRIO DE OCORRÊNCIAS</t>
  </si>
  <si>
    <t>arbitrário</t>
  </si>
  <si>
    <t>TÍTULO: CANAL DE FUGA</t>
  </si>
  <si>
    <t>576fu.xls</t>
  </si>
  <si>
    <t>REVISÃO :</t>
  </si>
  <si>
    <t xml:space="preserve">                  Dados para dimensionamento:</t>
  </si>
  <si>
    <r>
      <t>L</t>
    </r>
    <r>
      <rPr>
        <vertAlign val="subscript"/>
        <sz val="10"/>
        <rFont val="Arial"/>
        <family val="2"/>
      </rPr>
      <t xml:space="preserve">fu </t>
    </r>
    <r>
      <rPr>
        <sz val="10"/>
        <rFont val="Arial"/>
        <family val="2"/>
      </rPr>
      <t>=</t>
    </r>
  </si>
  <si>
    <t>(Comprimento médio do canal de fuga)</t>
  </si>
  <si>
    <r>
      <t>Q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=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</si>
  <si>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</t>
    </r>
  </si>
  <si>
    <r>
      <t>NA</t>
    </r>
    <r>
      <rPr>
        <vertAlign val="subscript"/>
        <sz val="10"/>
        <rFont val="Arial"/>
        <family val="2"/>
      </rPr>
      <t>nfu</t>
    </r>
    <r>
      <rPr>
        <sz val="10"/>
        <rFont val="Arial"/>
        <family val="2"/>
      </rPr>
      <t xml:space="preserve"> =</t>
    </r>
  </si>
  <si>
    <t>m =</t>
  </si>
  <si>
    <t>(Inclinação média do talude lateral, distância horizontal para um desnível de 1,0 m)</t>
  </si>
  <si>
    <r>
      <t>B</t>
    </r>
    <r>
      <rPr>
        <vertAlign val="subscript"/>
        <sz val="10"/>
        <rFont val="Arial"/>
        <family val="2"/>
      </rPr>
      <t>cf</t>
    </r>
    <r>
      <rPr>
        <sz val="10"/>
        <rFont val="Arial"/>
        <family val="2"/>
      </rPr>
      <t>=</t>
    </r>
  </si>
  <si>
    <t>(Largura da casa de força, exceto para a equipada com turbinas Pelton)</t>
  </si>
  <si>
    <r>
      <t>v</t>
    </r>
    <r>
      <rPr>
        <vertAlign val="subscript"/>
        <sz val="10"/>
        <rFont val="Arial"/>
        <family val="2"/>
      </rPr>
      <t>fu</t>
    </r>
    <r>
      <rPr>
        <sz val="10"/>
        <rFont val="Arial"/>
        <family val="2"/>
      </rPr>
      <t>=</t>
    </r>
  </si>
  <si>
    <t>(Velocidade média do escoamento no canal de fuga, preferivelmente inferior a 1,5 m/s)</t>
  </si>
  <si>
    <t xml:space="preserve">                  Dados para quantificação:</t>
  </si>
  <si>
    <r>
      <t>El</t>
    </r>
    <r>
      <rPr>
        <vertAlign val="subscript"/>
        <sz val="10"/>
        <rFont val="Arial"/>
        <family val="2"/>
      </rPr>
      <t>tf0</t>
    </r>
    <r>
      <rPr>
        <sz val="10"/>
        <rFont val="Arial"/>
        <family val="2"/>
      </rPr>
      <t xml:space="preserve"> =</t>
    </r>
  </si>
  <si>
    <t>(Cota média do terreno na seção 0 transversal ao eixo longitudinal do canal de fuga, junto à casa de força)</t>
  </si>
  <si>
    <r>
      <t>e</t>
    </r>
    <r>
      <rPr>
        <vertAlign val="subscript"/>
        <sz val="10"/>
        <rFont val="Arial"/>
        <family val="2"/>
      </rPr>
      <t xml:space="preserve">te0 </t>
    </r>
    <r>
      <rPr>
        <sz val="10"/>
        <rFont val="Arial"/>
        <family val="2"/>
      </rPr>
      <t>=</t>
    </r>
  </si>
  <si>
    <t>(Espessura da camada de solo na seção 0)</t>
  </si>
  <si>
    <r>
      <t>El</t>
    </r>
    <r>
      <rPr>
        <vertAlign val="subscript"/>
        <sz val="10"/>
        <rFont val="Arial"/>
        <family val="2"/>
      </rPr>
      <t>tf1</t>
    </r>
    <r>
      <rPr>
        <sz val="10"/>
        <rFont val="Arial"/>
        <family val="2"/>
      </rPr>
      <t xml:space="preserve"> =</t>
    </r>
  </si>
  <si>
    <t>(Cota média do terreno na seção 1 transversal ao eixo longitudinal do canal de fuga no primeiro terço)</t>
  </si>
  <si>
    <r>
      <t>e</t>
    </r>
    <r>
      <rPr>
        <vertAlign val="subscript"/>
        <sz val="10"/>
        <rFont val="Arial"/>
        <family val="2"/>
      </rPr>
      <t xml:space="preserve">te1 </t>
    </r>
    <r>
      <rPr>
        <sz val="10"/>
        <rFont val="Arial"/>
        <family val="2"/>
      </rPr>
      <t>=</t>
    </r>
  </si>
  <si>
    <t>(Espessura da camada de solo na seção 1)</t>
  </si>
  <si>
    <r>
      <t>El</t>
    </r>
    <r>
      <rPr>
        <vertAlign val="subscript"/>
        <sz val="10"/>
        <rFont val="Arial"/>
        <family val="2"/>
      </rPr>
      <t>tf2</t>
    </r>
    <r>
      <rPr>
        <sz val="10"/>
        <rFont val="Arial"/>
        <family val="2"/>
      </rPr>
      <t xml:space="preserve"> =</t>
    </r>
  </si>
  <si>
    <t>(Cota média do terreno na seção 2 transversal ao eixo longitudinal do canal de fuga no segundo terço)</t>
  </si>
  <si>
    <r>
      <t>e</t>
    </r>
    <r>
      <rPr>
        <vertAlign val="subscript"/>
        <sz val="10"/>
        <rFont val="Arial"/>
        <family val="2"/>
      </rPr>
      <t xml:space="preserve">te2 </t>
    </r>
    <r>
      <rPr>
        <sz val="10"/>
        <rFont val="Arial"/>
        <family val="2"/>
      </rPr>
      <t>=</t>
    </r>
  </si>
  <si>
    <t>(Espessura da camada de solo na seção 2)</t>
  </si>
  <si>
    <t>2.  DIMENSIONAMENTO</t>
  </si>
  <si>
    <r>
      <t>&gt;</t>
    </r>
    <r>
      <rPr>
        <sz val="10"/>
        <rFont val="Arial"/>
        <family val="2"/>
      </rPr>
      <t xml:space="preserve">  Área da seção de escoamento:</t>
    </r>
  </si>
  <si>
    <r>
      <t>&gt;</t>
    </r>
    <r>
      <rPr>
        <sz val="10"/>
        <rFont val="Arial"/>
        <family val="2"/>
      </rPr>
      <t xml:space="preserve">  Profundidade de escoamento do canal:</t>
    </r>
  </si>
  <si>
    <t xml:space="preserve">           Assim:</t>
  </si>
  <si>
    <r>
      <t>y</t>
    </r>
    <r>
      <rPr>
        <vertAlign val="subscript"/>
        <sz val="10"/>
        <rFont val="MS Sans Serif"/>
        <family val="2"/>
      </rPr>
      <t>f</t>
    </r>
    <r>
      <rPr>
        <sz val="11"/>
        <color theme="1"/>
        <rFont val="Calibri"/>
        <family val="2"/>
        <scheme val="minor"/>
      </rPr>
      <t>=</t>
    </r>
  </si>
  <si>
    <r>
      <t>&gt;</t>
    </r>
    <r>
      <rPr>
        <sz val="10"/>
        <rFont val="Arial"/>
        <family val="2"/>
      </rPr>
      <t xml:space="preserve">  Largura do fundo do canal:</t>
    </r>
  </si>
  <si>
    <r>
      <t>&gt;</t>
    </r>
    <r>
      <rPr>
        <sz val="10"/>
        <rFont val="Arial"/>
        <family val="2"/>
      </rPr>
      <t xml:space="preserve">  Cota do fundo do canal:</t>
    </r>
  </si>
  <si>
    <t>3.  QUANTIFICAÇÃO E CUSTOS</t>
  </si>
  <si>
    <t>Volume de escavação comum por metro na seção i do canal:</t>
  </si>
  <si>
    <t>(Profundidade de escavação em rocha na seção i do canal)</t>
  </si>
  <si>
    <t>seção 0:</t>
  </si>
  <si>
    <r>
      <t>h</t>
    </r>
    <r>
      <rPr>
        <vertAlign val="subscript"/>
        <sz val="10"/>
        <rFont val="Arial"/>
        <family val="2"/>
      </rPr>
      <t>r0</t>
    </r>
    <r>
      <rPr>
        <sz val="10"/>
        <rFont val="Arial"/>
        <family val="2"/>
      </rPr>
      <t xml:space="preserve"> =</t>
    </r>
  </si>
  <si>
    <t>===&gt;</t>
  </si>
  <si>
    <r>
      <t>V</t>
    </r>
    <r>
      <rPr>
        <vertAlign val="subscript"/>
        <sz val="10"/>
        <rFont val="Arial"/>
        <family val="2"/>
      </rPr>
      <t>tf0</t>
    </r>
    <r>
      <rPr>
        <sz val="11"/>
        <color theme="1"/>
        <rFont val="Calibri"/>
        <family val="2"/>
        <scheme val="minor"/>
      </rPr>
      <t xml:space="preserve"> =</t>
    </r>
  </si>
  <si>
    <t>seção 1:</t>
  </si>
  <si>
    <r>
      <t>h</t>
    </r>
    <r>
      <rPr>
        <vertAlign val="subscript"/>
        <sz val="10"/>
        <rFont val="Arial"/>
        <family val="2"/>
      </rPr>
      <t>r1</t>
    </r>
    <r>
      <rPr>
        <sz val="10"/>
        <rFont val="Arial"/>
        <family val="2"/>
      </rPr>
      <t xml:space="preserve"> =</t>
    </r>
  </si>
  <si>
    <r>
      <t>V</t>
    </r>
    <r>
      <rPr>
        <vertAlign val="subscript"/>
        <sz val="10"/>
        <rFont val="Arial"/>
        <family val="2"/>
      </rPr>
      <t>tf1</t>
    </r>
    <r>
      <rPr>
        <sz val="11"/>
        <color theme="1"/>
        <rFont val="Calibri"/>
        <family val="2"/>
        <scheme val="minor"/>
      </rPr>
      <t xml:space="preserve"> =</t>
    </r>
  </si>
  <si>
    <t>seção 2:</t>
  </si>
  <si>
    <r>
      <t>h</t>
    </r>
    <r>
      <rPr>
        <vertAlign val="subscript"/>
        <sz val="10"/>
        <rFont val="Arial"/>
        <family val="2"/>
      </rPr>
      <t>r2</t>
    </r>
    <r>
      <rPr>
        <sz val="10"/>
        <rFont val="Arial"/>
        <family val="2"/>
      </rPr>
      <t xml:space="preserve"> =</t>
    </r>
  </si>
  <si>
    <r>
      <t>V</t>
    </r>
    <r>
      <rPr>
        <vertAlign val="subscript"/>
        <sz val="10"/>
        <rFont val="Arial"/>
        <family val="2"/>
      </rPr>
      <t>tf2</t>
    </r>
    <r>
      <rPr>
        <sz val="11"/>
        <color theme="1"/>
        <rFont val="Calibri"/>
        <family val="2"/>
        <scheme val="minor"/>
      </rPr>
      <t xml:space="preserve"> =</t>
    </r>
  </si>
  <si>
    <t>PREÇO UNITÁRIO.</t>
  </si>
  <si>
    <t>.12.19.35</t>
  </si>
  <si>
    <t xml:space="preserve">          CANAL DE FUGA</t>
  </si>
  <si>
    <t>.12.19.35.12</t>
  </si>
  <si>
    <t>.12.19.35.12.10</t>
  </si>
  <si>
    <t>.12.19.35.12.11</t>
  </si>
  <si>
    <t>.12.19.35.12.12</t>
  </si>
  <si>
    <t>.12.19.35.13</t>
  </si>
  <si>
    <t>.12.19.35.14</t>
  </si>
  <si>
    <t>.12.19.35.14.13</t>
  </si>
  <si>
    <t>.12.19.35.14.14</t>
  </si>
  <si>
    <t>.12.19.35.14.15</t>
  </si>
  <si>
    <t>1.3</t>
  </si>
  <si>
    <t>LC</t>
  </si>
  <si>
    <t>Linha de centro da turbina</t>
  </si>
  <si>
    <t>L0</t>
  </si>
  <si>
    <t>arredondar para cima</t>
  </si>
  <si>
    <t>Custo da válvula instalada:</t>
  </si>
  <si>
    <t>Dados Iniciais</t>
  </si>
  <si>
    <t>Vazão turbinada máxima (m³/s)</t>
  </si>
  <si>
    <t>Borda livre</t>
  </si>
  <si>
    <t>Nível d'água máximo na chaminé</t>
  </si>
  <si>
    <t>Perda de carga na entrada da TA</t>
  </si>
  <si>
    <t>Perda de carga no túnel de adução</t>
  </si>
  <si>
    <t>Oscilação máxima na chaminé</t>
  </si>
  <si>
    <t>Lad</t>
  </si>
  <si>
    <t>Área do túnel de adução</t>
  </si>
  <si>
    <t>Área da chaminé de equilíbrio</t>
  </si>
  <si>
    <t>Altura estática mínima</t>
  </si>
  <si>
    <t>Comparação com valores calculados nas planilhas:</t>
  </si>
  <si>
    <t>P</t>
  </si>
  <si>
    <t>Hb</t>
  </si>
  <si>
    <t>TÚNEL DE ADUÇÃO</t>
  </si>
  <si>
    <t>TÚNEL FORÇADO</t>
  </si>
  <si>
    <t>Lad/Hb</t>
  </si>
  <si>
    <t>Perda de carga máxima no circuito (m)</t>
  </si>
  <si>
    <t>Queda bruta (m)</t>
  </si>
  <si>
    <t>Potência Instalada (MW)</t>
  </si>
  <si>
    <t>restrição não inserida nesta planilha</t>
  </si>
  <si>
    <t>c = coeficiente, considerando aproximação do escoamento assimétrica</t>
  </si>
  <si>
    <t>Verificação da necessidade de Chaminé</t>
  </si>
  <si>
    <t>DIMENSIONAMENTO</t>
  </si>
  <si>
    <t>DIMENSIONAMENTO DO CIRCUITO DE ADUÇÃO</t>
  </si>
  <si>
    <t>Válvula Borboleta</t>
  </si>
  <si>
    <t xml:space="preserve">Transporte e seguros (5%), de montagem e testes (8%) e de impostos e taxas (28%): </t>
  </si>
  <si>
    <t>P &lt; 100 MW, Ltotal &gt; 4 Hb</t>
  </si>
  <si>
    <t>P &gt; = 100 MW, Ltotal &gt; 6 Hb</t>
  </si>
  <si>
    <t>L2B,  para valor maior entre 0,8.Hb na vertical e 2.Hb na horizontal</t>
  </si>
  <si>
    <t>Alternativa 1: Rocha de boa qualidade</t>
  </si>
  <si>
    <t>Qualidade da rocha</t>
  </si>
  <si>
    <t>(MI, 2007)</t>
  </si>
  <si>
    <t>Verificação da Perda de Carga (entrada da TA e atrito)</t>
  </si>
  <si>
    <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número de Manning para revestimento em aço (MI 2007)</t>
    </r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</si>
  <si>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número de Manning para trecho sem revestimento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</si>
  <si>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número de Manning para revestimento com concreto projetado</t>
    </r>
  </si>
  <si>
    <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número de Manning para revestimento com concreto convencional</t>
    </r>
  </si>
  <si>
    <t>Velocidade (m/s)</t>
  </si>
  <si>
    <t>Máx</t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</si>
  <si>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velocidade admissível no túnel, ponderada cf revestimento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</si>
  <si>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= velocidade admissível no conduto forçado em aço</t>
    </r>
  </si>
  <si>
    <t>Adm *</t>
  </si>
  <si>
    <t>* Velocidade Admissível = 80% Velocidade Máxima</t>
  </si>
  <si>
    <t>EMBOQUE - Cálculo da elevação correspondente à curva de nível 1 - CN1</t>
  </si>
  <si>
    <t>CHAMINÉ - Cálculo da elevação correspondente à curva de nível 2 - CN2</t>
  </si>
  <si>
    <t>DESEMBOQUE - Cálculo da elevação correspondente à curva de nível 3 - CN3</t>
  </si>
  <si>
    <t>considerando i = 0,5%</t>
  </si>
  <si>
    <t>El final (ch)</t>
  </si>
  <si>
    <t>El final (i)</t>
  </si>
  <si>
    <t>menor dos valores abaixo</t>
  </si>
  <si>
    <r>
      <t>S = c . v</t>
    </r>
    <r>
      <rPr>
        <vertAlign val="subscript"/>
        <sz val="11"/>
        <color theme="4"/>
        <rFont val="Calibri"/>
        <family val="2"/>
        <scheme val="minor"/>
      </rPr>
      <t>1</t>
    </r>
    <r>
      <rPr>
        <sz val="11"/>
        <color theme="4"/>
        <rFont val="Calibri"/>
        <family val="2"/>
        <scheme val="minor"/>
      </rPr>
      <t>. Hta</t>
    </r>
    <r>
      <rPr>
        <vertAlign val="superscript"/>
        <sz val="11"/>
        <color theme="4"/>
        <rFont val="Calibri"/>
        <family val="2"/>
        <scheme val="minor"/>
      </rPr>
      <t>0,5</t>
    </r>
  </si>
  <si>
    <r>
      <t>v</t>
    </r>
    <r>
      <rPr>
        <vertAlign val="subscript"/>
        <sz val="11"/>
        <color theme="4"/>
        <rFont val="Calibri"/>
        <family val="2"/>
        <scheme val="minor"/>
      </rPr>
      <t>1</t>
    </r>
    <r>
      <rPr>
        <sz val="11"/>
        <color theme="4"/>
        <rFont val="Calibri"/>
        <family val="2"/>
        <scheme val="minor"/>
      </rPr>
      <t xml:space="preserve"> = velocidade na comporta</t>
    </r>
  </si>
  <si>
    <t>LP = El final (L1) - El inicial (L2)</t>
  </si>
  <si>
    <t xml:space="preserve">calculada cf dimensões desta planilha </t>
  </si>
  <si>
    <t>Circuito com chaminé</t>
  </si>
  <si>
    <t>Circuito sem chaminé</t>
  </si>
  <si>
    <t>Circuito de Adução Curto, Túnel sem Chaminé</t>
  </si>
  <si>
    <t>Circuito de Adução Longo, Túnel com Chaminé</t>
  </si>
  <si>
    <t>Inicial (para definição do traçado)</t>
  </si>
  <si>
    <t>Queda bruta</t>
  </si>
  <si>
    <t>Alternativas de Circuito de Adução</t>
  </si>
  <si>
    <t>Extensão inicial entre o eixo e o canal de fuga (m)</t>
  </si>
  <si>
    <t>=&gt;</t>
  </si>
  <si>
    <t>cálculos intencionalmente conservadores</t>
  </si>
  <si>
    <t>Extensões</t>
  </si>
  <si>
    <t>Elevações (piso)</t>
  </si>
  <si>
    <t>El inicial (L1)</t>
  </si>
  <si>
    <t>El final (L1)</t>
  </si>
  <si>
    <t>El inicial (L2)</t>
  </si>
  <si>
    <t>El final (L2)</t>
  </si>
  <si>
    <r>
      <t>v</t>
    </r>
    <r>
      <rPr>
        <vertAlign val="subscript"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= velocidade admissível para túnel revestido com concreto convencional</t>
    </r>
  </si>
  <si>
    <t>tirei a parcela 10 x m</t>
  </si>
  <si>
    <t xml:space="preserve">nova fórmula: (Bfu + 4 + hri + (etei . m(solo))) </t>
  </si>
  <si>
    <t>considerei m (solo) fixo e igual a 2</t>
  </si>
  <si>
    <t>Lfu = L3 - Lcd - Lcf; L3 ver C7, Lcd (comprimento do conduto aparente) ver F117 em planilha Túneis e Lcf (comprimento da Casa de Força) ver em D284, em 572fv.xls ou se L3 &lt; Lcd + Lcf + 5, igual a 5m)</t>
  </si>
  <si>
    <t>L2A</t>
  </si>
  <si>
    <t>L2B</t>
  </si>
  <si>
    <t>~IN</t>
  </si>
  <si>
    <t>~OUT</t>
  </si>
  <si>
    <t>P'</t>
  </si>
  <si>
    <t>S</t>
  </si>
  <si>
    <t>R</t>
  </si>
  <si>
    <t>dado de entrada</t>
  </si>
  <si>
    <t>valor padrão</t>
  </si>
  <si>
    <t>Na para Qmin (curva-chave); na falta de curva-chave, Nafu - 1</t>
  </si>
  <si>
    <t>valor padrão, aqui arbitrário</t>
  </si>
  <si>
    <t>NA para QTR10000 (curva-chave)</t>
  </si>
  <si>
    <t>NA revistos</t>
  </si>
  <si>
    <t xml:space="preserve">qmaxturb = </t>
  </si>
  <si>
    <t>opção conservadora, igual à planilha de condutos do MI,2007</t>
  </si>
  <si>
    <t>calculado na planilha da casa de força = cfv2cforca</t>
  </si>
  <si>
    <r>
      <t>he = 0,2. v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/2g</t>
    </r>
  </si>
  <si>
    <r>
      <t>v</t>
    </r>
    <r>
      <rPr>
        <vertAlign val="subscript"/>
        <sz val="11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</si>
  <si>
    <t>limite inferior 0.13 modificado de para 0</t>
  </si>
  <si>
    <t>limite inferior 0.16 modificado de para 0</t>
  </si>
  <si>
    <t>limite modificado para uma unidade geradora</t>
  </si>
  <si>
    <t xml:space="preserve">sem limite superior e para P &lt; 30 MW, custo constante; </t>
  </si>
  <si>
    <t xml:space="preserve">limite superior de 6000 modificado para </t>
  </si>
  <si>
    <t>limites mantidos</t>
  </si>
  <si>
    <t xml:space="preserve">limite superior de 1.9834 modificado para </t>
  </si>
  <si>
    <t xml:space="preserve">limite inferior de 68.9 modificado para </t>
  </si>
  <si>
    <t xml:space="preserve">limite superior de 4582 modificado para </t>
  </si>
  <si>
    <t xml:space="preserve">limite inferior de 0.0329 modificado para </t>
  </si>
  <si>
    <t>revestimento</t>
  </si>
  <si>
    <t>rocha tipo</t>
  </si>
  <si>
    <t>Alternativa 2: Rocha de média qualidade</t>
  </si>
  <si>
    <t>Alternativa 3: Rocha de má qualidade</t>
  </si>
  <si>
    <t>projet.</t>
  </si>
  <si>
    <t>estrut.</t>
  </si>
  <si>
    <t>(1-boa; 2-média, 3-má)</t>
  </si>
  <si>
    <t>Verificação da Sobrepressão</t>
  </si>
  <si>
    <t>Sobrepressão máxima</t>
  </si>
  <si>
    <t>Sobrepressão calculada</t>
  </si>
  <si>
    <r>
      <t>= 2 . (LP . v</t>
    </r>
    <r>
      <rPr>
        <vertAlign val="subscript"/>
        <sz val="11"/>
        <color theme="1"/>
        <rFont val="Calibri"/>
        <family val="2"/>
        <scheme val="minor"/>
      </rPr>
      <t>LP</t>
    </r>
    <r>
      <rPr>
        <sz val="11"/>
        <color theme="1"/>
        <rFont val="Calibri"/>
        <family val="2"/>
        <scheme val="minor"/>
      </rPr>
      <t xml:space="preserve"> + L2A . v</t>
    </r>
    <r>
      <rPr>
        <vertAlign val="subscript"/>
        <sz val="11"/>
        <color theme="1"/>
        <rFont val="Calibri"/>
        <family val="2"/>
        <scheme val="minor"/>
      </rPr>
      <t>L2A</t>
    </r>
    <r>
      <rPr>
        <sz val="11"/>
        <color theme="1"/>
        <rFont val="Calibri"/>
        <family val="2"/>
        <scheme val="minor"/>
      </rPr>
      <t xml:space="preserve"> + L2B . v</t>
    </r>
    <r>
      <rPr>
        <vertAlign val="subscript"/>
        <sz val="11"/>
        <color theme="1"/>
        <rFont val="Calibri"/>
        <family val="2"/>
        <scheme val="minor"/>
      </rPr>
      <t>L2B</t>
    </r>
    <r>
      <rPr>
        <sz val="11"/>
        <color theme="1"/>
        <rFont val="Calibri"/>
        <family val="2"/>
        <scheme val="minor"/>
      </rPr>
      <t>) / (g . Ts)</t>
    </r>
  </si>
  <si>
    <t>s, para túneis longos</t>
  </si>
  <si>
    <t>s, para túneis curtos</t>
  </si>
  <si>
    <t>L / H =</t>
  </si>
  <si>
    <t>tempo de fechamento da válvula ou distribuidor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</si>
  <si>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=</t>
    </r>
  </si>
  <si>
    <t xml:space="preserve">se </t>
  </si>
  <si>
    <t>posição do circuito</t>
  </si>
  <si>
    <t>espessura do solo</t>
  </si>
  <si>
    <t>l</t>
  </si>
  <si>
    <t>r</t>
  </si>
  <si>
    <t>geo_qual_rock_x</t>
  </si>
  <si>
    <t>geo_soil_lbnk_th</t>
  </si>
  <si>
    <t>geo_soil_rbnk_th</t>
  </si>
  <si>
    <t>enr_inst_cpcy_p</t>
  </si>
  <si>
    <t>enr_loss_max0_pc</t>
  </si>
  <si>
    <t>rtc_trce_zero_wl</t>
  </si>
  <si>
    <t>rtc_trce_a0cf_k</t>
  </si>
  <si>
    <t>rtc_trce_b0cf_k</t>
  </si>
  <si>
    <t>dam_crst_0000_el</t>
  </si>
  <si>
    <t>lay_hsy0_lctn_x</t>
  </si>
  <si>
    <t>lay_dam0_trce_l</t>
  </si>
  <si>
    <t>lay_chan_intk_l</t>
  </si>
  <si>
    <t>hsy_tunl_totl_l</t>
  </si>
  <si>
    <t>hsy_tunp_conc_l</t>
  </si>
  <si>
    <t>hsy_tunp_stee_l</t>
  </si>
  <si>
    <t>lay_pstk_trce_l</t>
  </si>
  <si>
    <t>hsy_tunl_uter_el</t>
  </si>
  <si>
    <t>hsy_stnk_cter_el</t>
  </si>
  <si>
    <t>hsy_tunp_dter_el</t>
  </si>
  <si>
    <t>hsy_intk_chan_el</t>
  </si>
  <si>
    <t>hsy_intk_gate_n</t>
  </si>
  <si>
    <t>hsy_intk_gate_w</t>
  </si>
  <si>
    <t>hsy_intk_gate_h</t>
  </si>
  <si>
    <t>hsy_intk_sill_el</t>
  </si>
  <si>
    <t>hsy_intk_totl_w</t>
  </si>
  <si>
    <t>hsy_intk_totl_l</t>
  </si>
  <si>
    <t>hsy_tunl_shot_l</t>
  </si>
  <si>
    <t>hsy_tunl_conc_l</t>
  </si>
  <si>
    <t>hsy_tunl_0000_d</t>
  </si>
  <si>
    <t>hsy_tunl_upst_el</t>
  </si>
  <si>
    <t>hsy_tunl_dwst_el</t>
  </si>
  <si>
    <t>hsy_stnk_max0_wl</t>
  </si>
  <si>
    <t>hsy_stnk_min0_wl</t>
  </si>
  <si>
    <t>hsy_stnk_0000_d</t>
  </si>
  <si>
    <t>hsy_tunp_vert_l</t>
  </si>
  <si>
    <t>hsy_tunp_vert_d</t>
  </si>
  <si>
    <t>hsy_tunp_0000_d</t>
  </si>
  <si>
    <t>hsy_tunp_stee_d</t>
  </si>
  <si>
    <t>hsy_tunp_upst_el</t>
  </si>
  <si>
    <t>hsy_tunp_dwst_el</t>
  </si>
  <si>
    <t>hsy_pstk_brch_n</t>
  </si>
  <si>
    <t>hsy_pstk_brch_d</t>
  </si>
  <si>
    <t>hsy_pstk_brch_l</t>
  </si>
  <si>
    <t>pwh_strc_blck_n</t>
  </si>
  <si>
    <t>pwh_turb_rotr_d</t>
  </si>
  <si>
    <t>pwh_turb_clin_el</t>
  </si>
  <si>
    <t>pwh_strc_totl_w</t>
  </si>
  <si>
    <t>pwh_ably_area_w</t>
  </si>
  <si>
    <t>pwh_strc_totl_l</t>
  </si>
  <si>
    <t>pwh_strc_deck_el</t>
  </si>
  <si>
    <t>hsy_trce_max0_wl</t>
  </si>
  <si>
    <t>hsy_trce_min0_wl</t>
  </si>
  <si>
    <t>pwh_ably_area_l</t>
  </si>
  <si>
    <t>pwh_strc_upcl_l</t>
  </si>
  <si>
    <t>pwh_turb_dtub_l</t>
  </si>
  <si>
    <t>pwh_dtub_gate_n</t>
  </si>
  <si>
    <t>pwh_dtub_gate_w</t>
  </si>
  <si>
    <t>pwh_dtub_gate_h</t>
  </si>
  <si>
    <t>pwh_strc_min2_el</t>
  </si>
  <si>
    <t>pwh_strc_min1_el</t>
  </si>
  <si>
    <t>pwh_strc_min3_el</t>
  </si>
  <si>
    <t>hsy_trce_chan_w</t>
  </si>
  <si>
    <t>hsy_trce_chan_el</t>
  </si>
  <si>
    <t>hsy_intk_fwgt_n</t>
  </si>
  <si>
    <t>hsy_intk_fwgt_ct</t>
  </si>
  <si>
    <t>hsy_intk_slog_n</t>
  </si>
  <si>
    <t>hsy_intk_slog_ct</t>
  </si>
  <si>
    <t>hsy_intk_cran_ct</t>
  </si>
  <si>
    <t>hsy_intk_rack_ct</t>
  </si>
  <si>
    <t>hsy_intk_embp_ct</t>
  </si>
  <si>
    <t>hsy_stnk_stee_t</t>
  </si>
  <si>
    <t>hsy_pstk_stee_t</t>
  </si>
  <si>
    <t>pwh_turb_totl_n</t>
  </si>
  <si>
    <t>pwh_turb_0000_ct</t>
  </si>
  <si>
    <t>pwh_genr_totl_n</t>
  </si>
  <si>
    <t>pwh_genr_0000_ct</t>
  </si>
  <si>
    <t>pwh_dtub_slog_n</t>
  </si>
  <si>
    <t>pwh_dtub_slog_ct</t>
  </si>
  <si>
    <t>pwh_strc_brdg_ct</t>
  </si>
  <si>
    <t>pwh_dtub_gtry_ct</t>
  </si>
  <si>
    <t>pwh_dtub_embp_ct</t>
  </si>
  <si>
    <t>pwh_misc_ldev_ct</t>
  </si>
  <si>
    <t>pwh_misc_inst_ct</t>
  </si>
  <si>
    <t>pwh_valv_bfly_n</t>
  </si>
  <si>
    <t>pwh_valv_bfly_ct</t>
  </si>
  <si>
    <r>
      <t>NA</t>
    </r>
    <r>
      <rPr>
        <vertAlign val="subscript"/>
        <sz val="11"/>
        <color theme="1"/>
        <rFont val="Calibri"/>
        <family val="2"/>
        <scheme val="minor"/>
      </rPr>
      <t>max</t>
    </r>
  </si>
  <si>
    <r>
      <t>Na</t>
    </r>
    <r>
      <rPr>
        <vertAlign val="subscript"/>
        <sz val="11"/>
        <color theme="1"/>
        <rFont val="Calibri"/>
        <family val="2"/>
        <scheme val="minor"/>
      </rPr>
      <t>fu</t>
    </r>
  </si>
  <si>
    <r>
      <t>B</t>
    </r>
    <r>
      <rPr>
        <vertAlign val="subscript"/>
        <sz val="11"/>
        <color theme="1"/>
        <rFont val="Calibri"/>
        <family val="2"/>
        <scheme val="minor"/>
      </rPr>
      <t>cn</t>
    </r>
  </si>
  <si>
    <r>
      <t>e</t>
    </r>
    <r>
      <rPr>
        <vertAlign val="subscript"/>
        <sz val="11"/>
        <color theme="1"/>
        <rFont val="Calibri"/>
        <family val="2"/>
        <scheme val="minor"/>
      </rPr>
      <t>te</t>
    </r>
  </si>
  <si>
    <r>
      <t>El</t>
    </r>
    <r>
      <rPr>
        <vertAlign val="subscript"/>
        <sz val="11"/>
        <color theme="1"/>
        <rFont val="Calibri"/>
        <family val="2"/>
        <scheme val="minor"/>
      </rPr>
      <t>cn</t>
    </r>
  </si>
  <si>
    <r>
      <t>N</t>
    </r>
    <r>
      <rPr>
        <vertAlign val="subscript"/>
        <sz val="11"/>
        <color theme="1"/>
        <rFont val="Calibri"/>
        <family val="2"/>
        <scheme val="minor"/>
      </rPr>
      <t>at</t>
    </r>
  </si>
  <si>
    <r>
      <t>B</t>
    </r>
    <r>
      <rPr>
        <vertAlign val="subscript"/>
        <sz val="11"/>
        <color theme="1"/>
        <rFont val="Calibri"/>
        <family val="2"/>
        <scheme val="minor"/>
      </rPr>
      <t>cp</t>
    </r>
  </si>
  <si>
    <r>
      <t>H</t>
    </r>
    <r>
      <rPr>
        <vertAlign val="subscript"/>
        <sz val="11"/>
        <color theme="1"/>
        <rFont val="Calibri"/>
        <family val="2"/>
        <scheme val="minor"/>
      </rPr>
      <t>cp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</si>
  <si>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%</t>
    </r>
  </si>
  <si>
    <r>
      <t>E</t>
    </r>
    <r>
      <rPr>
        <vertAlign val="subscript"/>
        <sz val="11"/>
        <color theme="1"/>
        <rFont val="Calibri"/>
        <family val="2"/>
        <scheme val="minor"/>
      </rPr>
      <t>sol</t>
    </r>
  </si>
  <si>
    <r>
      <t>B</t>
    </r>
    <r>
      <rPr>
        <vertAlign val="subscript"/>
        <sz val="11"/>
        <color theme="1"/>
        <rFont val="Calibri"/>
        <family val="2"/>
        <scheme val="minor"/>
      </rPr>
      <t>ta</t>
    </r>
  </si>
  <si>
    <r>
      <t>L</t>
    </r>
    <r>
      <rPr>
        <vertAlign val="subscript"/>
        <sz val="11"/>
        <color theme="1"/>
        <rFont val="Calibri"/>
        <family val="2"/>
        <scheme val="minor"/>
      </rPr>
      <t>ta</t>
    </r>
  </si>
  <si>
    <r>
      <t>N</t>
    </r>
    <r>
      <rPr>
        <vertAlign val="subscript"/>
        <sz val="11"/>
        <color theme="1"/>
        <rFont val="Calibri"/>
        <family val="2"/>
        <scheme val="minor"/>
      </rPr>
      <t>t</t>
    </r>
  </si>
  <si>
    <r>
      <t>D</t>
    </r>
    <r>
      <rPr>
        <vertAlign val="subscript"/>
        <sz val="11"/>
        <color theme="1"/>
        <rFont val="Calibri"/>
        <family val="2"/>
        <scheme val="minor"/>
      </rPr>
      <t>b</t>
    </r>
  </si>
  <si>
    <r>
      <t>L</t>
    </r>
    <r>
      <rPr>
        <vertAlign val="subscript"/>
        <sz val="11"/>
        <color theme="1"/>
        <rFont val="Calibri"/>
        <family val="2"/>
        <scheme val="minor"/>
      </rPr>
      <t>b</t>
    </r>
  </si>
  <si>
    <r>
      <t>N</t>
    </r>
    <r>
      <rPr>
        <vertAlign val="subscript"/>
        <sz val="11"/>
        <color theme="1"/>
        <rFont val="Calibri"/>
        <family val="2"/>
        <scheme val="minor"/>
      </rPr>
      <t>g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</si>
  <si>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</si>
  <si>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El</t>
    </r>
    <r>
      <rPr>
        <vertAlign val="subscript"/>
        <sz val="11"/>
        <color theme="1"/>
        <rFont val="Calibri"/>
        <family val="2"/>
        <scheme val="minor"/>
      </rPr>
      <t>d</t>
    </r>
  </si>
  <si>
    <r>
      <t>B</t>
    </r>
    <r>
      <rPr>
        <vertAlign val="subscript"/>
        <sz val="11"/>
        <color theme="1"/>
        <rFont val="Calibri"/>
        <family val="2"/>
        <scheme val="minor"/>
      </rPr>
      <t>cf</t>
    </r>
  </si>
  <si>
    <r>
      <t>B</t>
    </r>
    <r>
      <rPr>
        <vertAlign val="subscript"/>
        <sz val="11"/>
        <color theme="1"/>
        <rFont val="Calibri"/>
        <family val="2"/>
        <scheme val="minor"/>
      </rPr>
      <t>am</t>
    </r>
  </si>
  <si>
    <r>
      <t>L</t>
    </r>
    <r>
      <rPr>
        <vertAlign val="subscript"/>
        <sz val="11"/>
        <color theme="1"/>
        <rFont val="Calibri"/>
        <family val="2"/>
        <scheme val="minor"/>
      </rPr>
      <t>cf</t>
    </r>
  </si>
  <si>
    <r>
      <t>NA</t>
    </r>
    <r>
      <rPr>
        <vertAlign val="subscript"/>
        <sz val="11"/>
        <color theme="1"/>
        <rFont val="Calibri"/>
        <family val="2"/>
        <scheme val="minor"/>
      </rPr>
      <t>fu</t>
    </r>
  </si>
  <si>
    <r>
      <t>NA</t>
    </r>
    <r>
      <rPr>
        <vertAlign val="subscript"/>
        <sz val="11"/>
        <color theme="1"/>
        <rFont val="Calibri"/>
        <family val="2"/>
        <scheme val="minor"/>
      </rPr>
      <t>nfu</t>
    </r>
  </si>
  <si>
    <r>
      <t>L</t>
    </r>
    <r>
      <rPr>
        <vertAlign val="subscript"/>
        <sz val="11"/>
        <color theme="1"/>
        <rFont val="Calibri"/>
        <family val="2"/>
        <scheme val="minor"/>
      </rPr>
      <t>am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</si>
  <si>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</si>
  <si>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N</t>
    </r>
    <r>
      <rPr>
        <vertAlign val="subscript"/>
        <sz val="11"/>
        <color theme="1"/>
        <rFont val="Calibri"/>
        <family val="2"/>
        <scheme val="minor"/>
      </rPr>
      <t>vs</t>
    </r>
  </si>
  <si>
    <r>
      <t>Z/N</t>
    </r>
    <r>
      <rPr>
        <vertAlign val="subscript"/>
        <sz val="11"/>
        <color theme="1"/>
        <rFont val="Calibri"/>
        <family val="2"/>
        <scheme val="minor"/>
      </rPr>
      <t>vs</t>
    </r>
  </si>
  <si>
    <r>
      <t>B</t>
    </r>
    <r>
      <rPr>
        <vertAlign val="subscript"/>
        <sz val="11"/>
        <color theme="1"/>
        <rFont val="Calibri"/>
        <family val="2"/>
        <scheme val="minor"/>
      </rPr>
      <t>fu</t>
    </r>
  </si>
  <si>
    <r>
      <t>El</t>
    </r>
    <r>
      <rPr>
        <vertAlign val="subscript"/>
        <sz val="11"/>
        <color theme="1"/>
        <rFont val="Calibri"/>
        <family val="2"/>
        <scheme val="minor"/>
      </rPr>
      <t>fu</t>
    </r>
  </si>
  <si>
    <r>
      <rPr>
        <b/>
        <sz val="11"/>
        <color theme="1"/>
        <rFont val="Calibri"/>
        <family val="2"/>
        <scheme val="minor"/>
      </rPr>
      <t>dados de entrada,</t>
    </r>
    <r>
      <rPr>
        <sz val="11"/>
        <color theme="1"/>
        <rFont val="Calibri"/>
        <family val="2"/>
        <scheme val="minor"/>
      </rPr>
      <t xml:space="preserve"> definidos a partir do traçado, em planta</t>
    </r>
  </si>
  <si>
    <t>dh(túnel sem blindagem)</t>
  </si>
  <si>
    <t>tipo de rocha</t>
  </si>
  <si>
    <t>perda de carga</t>
  </si>
  <si>
    <t>hsy_intk_chan_w</t>
  </si>
  <si>
    <r>
      <t>D</t>
    </r>
    <r>
      <rPr>
        <vertAlign val="subscript"/>
        <sz val="11"/>
        <rFont val="Calibri"/>
        <family val="2"/>
        <scheme val="minor"/>
      </rPr>
      <t>pg</t>
    </r>
  </si>
  <si>
    <r>
      <t>B</t>
    </r>
    <r>
      <rPr>
        <vertAlign val="subscript"/>
        <sz val="11"/>
        <rFont val="Calibri"/>
        <family val="2"/>
        <scheme val="minor"/>
      </rPr>
      <t>1cf</t>
    </r>
  </si>
  <si>
    <r>
      <t>d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</si>
  <si>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A</t>
  </si>
  <si>
    <t>B</t>
  </si>
  <si>
    <t>C</t>
  </si>
  <si>
    <t>Y</t>
  </si>
  <si>
    <t>pwh_genr_hous_d</t>
  </si>
  <si>
    <t>pwh_strc_blck_w</t>
  </si>
  <si>
    <t>pwh_strc_cldw_l</t>
  </si>
  <si>
    <t>pwh_turb_inlt_d</t>
  </si>
  <si>
    <t>pwh_turb_sp0b_w</t>
  </si>
  <si>
    <t>pwh_turb_sp0c_w</t>
  </si>
  <si>
    <t>pwh_turb_dtub_h</t>
  </si>
  <si>
    <t>limite inferior modificado para D = 1m</t>
  </si>
  <si>
    <t>limite superior modificado para D = 9m</t>
  </si>
  <si>
    <t>pwh_strc_conc_m3</t>
  </si>
  <si>
    <t>hsy_pstk_stee_th</t>
  </si>
  <si>
    <t>hsy_tunp_stee_th</t>
  </si>
  <si>
    <t>hsy_intk_totl_h</t>
  </si>
  <si>
    <r>
      <t>H</t>
    </r>
    <r>
      <rPr>
        <vertAlign val="subscript"/>
        <sz val="11"/>
        <rFont val="Calibri"/>
        <family val="2"/>
        <scheme val="minor"/>
      </rPr>
      <t>ta</t>
    </r>
  </si>
  <si>
    <t>hsy_intk_subm_h</t>
  </si>
  <si>
    <r>
      <t>h</t>
    </r>
    <r>
      <rPr>
        <vertAlign val="subscript"/>
        <sz val="11"/>
        <rFont val="Calibri"/>
        <family val="2"/>
        <scheme val="minor"/>
      </rPr>
      <t>s</t>
    </r>
  </si>
  <si>
    <t>calculado na planilha da casa de força = hsfv2phouse</t>
  </si>
  <si>
    <t>calculado na planilha do tunel = hsfv2tunnel</t>
  </si>
  <si>
    <t>calculado na planilha da tomada = hsfv2intake</t>
  </si>
  <si>
    <t>NAmed =(NAmax - NAmin)/2; NAmin é dado de entrada</t>
  </si>
  <si>
    <t>1.4.</t>
  </si>
  <si>
    <t>Extensão máxima do trecho blindado</t>
  </si>
  <si>
    <t>hsy_tunp_min0_l</t>
  </si>
  <si>
    <t>hsy_tunp_max0_el</t>
  </si>
  <si>
    <t>hyd_trce_rbnk_el</t>
  </si>
  <si>
    <t>$</t>
  </si>
  <si>
    <t xml:space="preserve"> se circuito curto, sem chaminé, igual a zero</t>
  </si>
  <si>
    <t xml:space="preserve"> se circuito curto, sem chaminé, soma L1 + L2A</t>
  </si>
  <si>
    <t>quantidade de vãos de uma entrada</t>
  </si>
  <si>
    <t>z revisto</t>
  </si>
  <si>
    <r>
      <t>m</t>
    </r>
    <r>
      <rPr>
        <vertAlign val="superscript"/>
        <sz val="10"/>
        <color theme="4" tint="-0.249977111117893"/>
        <rFont val="Arial"/>
        <family val="2"/>
      </rPr>
      <t>4</t>
    </r>
  </si>
  <si>
    <t xml:space="preserve">limite inferior de 20 modificado para </t>
  </si>
  <si>
    <t>equação modificada de 32775.45*(D571-0.023)^0.5279 para</t>
  </si>
  <si>
    <t>=32000*(MVA/rpm)^0.58</t>
  </si>
  <si>
    <t>pwh_deck_dfld_q</t>
  </si>
  <si>
    <t>parcela igual a 9.2 alterada para ficar igual à crista da barragem</t>
  </si>
  <si>
    <t>dam_crst_0000_l</t>
  </si>
  <si>
    <t>Hta min = 3</t>
  </si>
  <si>
    <t>installed capacity</t>
  </si>
  <si>
    <t>maximum head loss (percentage)</t>
  </si>
  <si>
    <t>rock quality (1 - good; 2 - medium; 3 - poor)</t>
  </si>
  <si>
    <t xml:space="preserve">elevation of the intake channel sill </t>
  </si>
  <si>
    <t>width of the intake channel</t>
  </si>
  <si>
    <t>crane cost of the intake</t>
  </si>
  <si>
    <t>embedded parts cost of the intake equipment</t>
  </si>
  <si>
    <t>fixed wheel gates cost of the intake</t>
  </si>
  <si>
    <t>number of fixed wheel gates of the intake</t>
  </si>
  <si>
    <t>gate height of the intake</t>
  </si>
  <si>
    <t>number of gates of the intake</t>
  </si>
  <si>
    <t>gate width of the intake</t>
  </si>
  <si>
    <t>trash racks cost of the intake</t>
  </si>
  <si>
    <t xml:space="preserve">elevation of the intake sill </t>
  </si>
  <si>
    <t>stoplogs cost of the intake</t>
  </si>
  <si>
    <t>number of stoplogs of the intake</t>
  </si>
  <si>
    <t>submergence of the intake</t>
  </si>
  <si>
    <t>total height of the intake</t>
  </si>
  <si>
    <t>total length of the intake</t>
  </si>
  <si>
    <t>total width of the intake</t>
  </si>
  <si>
    <t>diameter of the penstock branch</t>
  </si>
  <si>
    <t>total length of the penstock branch</t>
  </si>
  <si>
    <t>number of penstock branch</t>
  </si>
  <si>
    <t>weight of the steel lined penstock</t>
  </si>
  <si>
    <t>maximum thickness of the steel lined penstock</t>
  </si>
  <si>
    <t>diameter of the surge tank</t>
  </si>
  <si>
    <t>terrain maximum elevation to define the location of the surge tank</t>
  </si>
  <si>
    <t>maximum water level in the surge tank</t>
  </si>
  <si>
    <t>minimum water level in the surge tank</t>
  </si>
  <si>
    <t>steel lining of the surge tank</t>
  </si>
  <si>
    <t>elevation of the tailrace sill</t>
  </si>
  <si>
    <t>width of the tailrace sill</t>
  </si>
  <si>
    <t xml:space="preserve">maximum water level in the tailrace </t>
  </si>
  <si>
    <t xml:space="preserve">minimum water level in the tailrace </t>
  </si>
  <si>
    <t>height and widht of the low pressure tunnel cross section (arch with straight sides)</t>
  </si>
  <si>
    <t>concrete lining length of the low pressure tunnel</t>
  </si>
  <si>
    <t>downstream elevation of the low pressure tunnel sill</t>
  </si>
  <si>
    <t>shotcrete lining length of the low pressure tunnel</t>
  </si>
  <si>
    <t>total length of the low pressure tunnel</t>
  </si>
  <si>
    <t>upstream elevation of the low pressure tunnel sill</t>
  </si>
  <si>
    <t>terrain minimum elevation to define the inlet location of the low pressure tunnel</t>
  </si>
  <si>
    <t>diameter of the high pressure tunnel cross section</t>
  </si>
  <si>
    <t>concrete lining length of the high pressure tunnel</t>
  </si>
  <si>
    <t>terrain minimum elevation to define the outlet location of the high pressure tunnel</t>
  </si>
  <si>
    <t>downstream elevation of the high pressure tunnel sill</t>
  </si>
  <si>
    <t>maximum terrain elevation for the steel lining of the high pressure tunnel</t>
  </si>
  <si>
    <t>minimum steel lining length of the high pressure tunnel</t>
  </si>
  <si>
    <t>diameter of the penstock in the high pressure tunnel</t>
  </si>
  <si>
    <t>steel lining length of the high pressure tunnel</t>
  </si>
  <si>
    <t>maximum thickness of the steel lined penstock in the high pressure tunnel</t>
  </si>
  <si>
    <t>upstream elevation of the high pressure tunnel sill</t>
  </si>
  <si>
    <t>diameter of the vertical high pressure tunnel</t>
  </si>
  <si>
    <t>length of the vertical high pressure tunnel</t>
  </si>
  <si>
    <t>elevation of the riverbanks at the tailrace</t>
  </si>
  <si>
    <t>the shorter length between the dam axis and the tailrace</t>
  </si>
  <si>
    <t>hydraulic system length from the inlet structure up to the river (penstock + powerhouse + tailrace)</t>
  </si>
  <si>
    <t>length of the assembly area</t>
  </si>
  <si>
    <t>width of the assembly area</t>
  </si>
  <si>
    <t>design flood for the powerhouse deck</t>
  </si>
  <si>
    <t xml:space="preserve">embedded parts cost of the draft tube equipment </t>
  </si>
  <si>
    <t>gate height of the draft tube</t>
  </si>
  <si>
    <t>number of gates of the draft tube per powerhouse block</t>
  </si>
  <si>
    <t>gate width of the draft tube</t>
  </si>
  <si>
    <t>gantry crane cost</t>
  </si>
  <si>
    <t xml:space="preserve">stoplogs cost of the draft tube </t>
  </si>
  <si>
    <t xml:space="preserve">number of stoplogs of the draft tube </t>
  </si>
  <si>
    <t>generator cost</t>
  </si>
  <si>
    <t>diameter of the generator housing</t>
  </si>
  <si>
    <t>number of generators</t>
  </si>
  <si>
    <t>installations and final works cost</t>
  </si>
  <si>
    <t>land developments cost</t>
  </si>
  <si>
    <t>number of powerhouse blocks</t>
  </si>
  <si>
    <t>total width of one block of the powerhouse</t>
  </si>
  <si>
    <t>bridge crane cost</t>
  </si>
  <si>
    <t>distance from the center line of the generator units to the downstream face wall</t>
  </si>
  <si>
    <t>structural concrete volume of the powerhouse</t>
  </si>
  <si>
    <t xml:space="preserve">elevation of the powerhouse deck </t>
  </si>
  <si>
    <t>elevation of the upstream powerhouse foundation</t>
  </si>
  <si>
    <t>minimum elevation of the powerhouse foundation</t>
  </si>
  <si>
    <t>elevation of the downstream powerhouse foundation</t>
  </si>
  <si>
    <t>total length of the powerhouse</t>
  </si>
  <si>
    <t>total width of the powerhouse</t>
  </si>
  <si>
    <t>distance from the upstream face wall to the center line of the generator units</t>
  </si>
  <si>
    <t>turbine cost</t>
  </si>
  <si>
    <t>center line of the generator units</t>
  </si>
  <si>
    <t>height from the draft tube to the center of the distributor</t>
  </si>
  <si>
    <t>length of the draft tube</t>
  </si>
  <si>
    <t>diameter of the turbine inlet</t>
  </si>
  <si>
    <t>diameter of the turbine rotor</t>
  </si>
  <si>
    <t>smaller width of the spiral casing from the turbine axis</t>
  </si>
  <si>
    <t>larger width of the spiral casing from the turbine axis</t>
  </si>
  <si>
    <t>number of turbines</t>
  </si>
  <si>
    <t>butterfly valve cost</t>
  </si>
  <si>
    <t>number of butterfly valves</t>
  </si>
  <si>
    <t>coefficient "a" of the tailrace rating curve</t>
  </si>
  <si>
    <t>exponent "b" of the tailrace rating curve</t>
  </si>
  <si>
    <t>tailrace rating curve zero</t>
  </si>
  <si>
    <t>hydraulic system location along the dam axis (r - right riverbank; l - left riverbank)</t>
  </si>
  <si>
    <t>minimum water level in the tailrace (first value = 0)</t>
  </si>
  <si>
    <t>IN: project basic information</t>
  </si>
  <si>
    <t>OUT: first results for HERA calculation</t>
  </si>
  <si>
    <t>IN: information obtained by HERA after the first workflow calculation</t>
  </si>
  <si>
    <t>OUT: final results obtained after the end of the workflow</t>
  </si>
  <si>
    <t xml:space="preserve">qmax1maq = </t>
  </si>
  <si>
    <t xml:space="preserve">to access the definition of the variables in other languages, refer to Engineering dictionary.xls at HERA documentation </t>
  </si>
  <si>
    <t>hydraulic system length from the river up to the inlet structure (channel + intake)</t>
  </si>
  <si>
    <t>bdg_eqp0_exch_k</t>
  </si>
  <si>
    <t>bdg_eqp0_updt_k</t>
  </si>
  <si>
    <r>
      <t>dh (válvula) = 0,2. v</t>
    </r>
    <r>
      <rPr>
        <vertAlign val="subscript"/>
        <sz val="11"/>
        <color theme="1"/>
        <rFont val="Calibri"/>
        <family val="2"/>
        <scheme val="minor"/>
      </rPr>
      <t>valv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</si>
  <si>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>dh (redução) = 0,1. (v</t>
    </r>
    <r>
      <rPr>
        <vertAlign val="subscript"/>
        <sz val="11"/>
        <color theme="1"/>
        <rFont val="Calibri"/>
        <family val="2"/>
        <scheme val="minor"/>
      </rPr>
      <t>valv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</si>
  <si>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>dh (bifurcação) = 0,1. v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</si>
  <si>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 xml:space="preserve">para 2 curvas com r/D = 1 e 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 xml:space="preserve"> = 90</t>
    </r>
    <r>
      <rPr>
        <vertAlign val="superscript"/>
        <sz val="11"/>
        <color theme="1"/>
        <rFont val="Calibri"/>
        <family val="2"/>
        <scheme val="minor"/>
      </rPr>
      <t>o</t>
    </r>
  </si>
  <si>
    <r>
      <t>h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%</t>
    </r>
  </si>
  <si>
    <r>
      <t>k (curvas) = [0.08 - 0.2(r/D - 5)] . {[0.0746*(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/180)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]-[0.4698*(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/180)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]+[1.1928*(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/180)]}</t>
    </r>
  </si>
  <si>
    <t>diameter of the penstock in the high pressure tunnel (first value = 0)</t>
  </si>
  <si>
    <t>OUT: intermediate results for HERA calculation</t>
  </si>
  <si>
    <t xml:space="preserve"> apenas uma bifurcação</t>
  </si>
  <si>
    <t>se circuito longo</t>
  </si>
  <si>
    <t xml:space="preserve">se circuito curto </t>
  </si>
  <si>
    <t>v (rev) =</t>
  </si>
  <si>
    <r>
      <t>dh (entrada) = 0,2. v</t>
    </r>
    <r>
      <rPr>
        <vertAlign val="subscript"/>
        <sz val="11"/>
        <color theme="1"/>
        <rFont val="Calibri"/>
        <family val="2"/>
        <scheme val="minor"/>
      </rPr>
      <t>Hta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</si>
  <si>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>dh (sem revest) = % . [6,35 . L1 . n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Hta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</si>
  <si>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r>
      <t>dh (conc projet) = % . [6,35 . L1 . n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Hta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</si>
  <si>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r>
      <t>dh (conc conven) =% . [6,35 . L1 . n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Hta</t>
    </r>
    <r>
      <rPr>
        <sz val="11"/>
        <color theme="1"/>
        <rFont val="Calibri"/>
        <family val="2"/>
        <scheme val="minor"/>
      </rPr>
      <t xml:space="preserve"> / Deq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</si>
  <si>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t>diameter of the high pressure tunnel cross section (first value = 0)</t>
  </si>
  <si>
    <r>
      <t>dh (redução) = 0,1. (v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Hta'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</si>
  <si>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t>hsy_pstk_loop_n</t>
  </si>
  <si>
    <t>hsy_pstk_endl_x</t>
  </si>
  <si>
    <t>indicator of the end of  the penstock dimensioning (0 = end; 1 = continue)</t>
  </si>
  <si>
    <t>err_msg0_0000_tx</t>
  </si>
  <si>
    <t>error message</t>
  </si>
  <si>
    <t>number of iterations for the penstock dimensioning (first value = 0)</t>
  </si>
  <si>
    <t>total length of the low pressure tunnel (first value &lt;&gt; 0)</t>
  </si>
  <si>
    <t>concrete lining length of the high pressure tunnel (first value &lt;&gt; 0)</t>
  </si>
  <si>
    <t xml:space="preserve">ERROR MESSAGES </t>
  </si>
  <si>
    <t>Number of iterations for the penstock dimensioning exceeded limit.</t>
  </si>
  <si>
    <t>Error during the dimensioning process. Generate the engineering files of this layout to find it</t>
  </si>
  <si>
    <t>limite superior modificado 54.43  de para 125.39</t>
  </si>
  <si>
    <t>PESOS</t>
  </si>
  <si>
    <t>Níveis</t>
  </si>
  <si>
    <t>Comprimentos</t>
  </si>
  <si>
    <t>Peso</t>
  </si>
  <si>
    <t>Montante</t>
  </si>
  <si>
    <t>Peças Fixas</t>
  </si>
  <si>
    <t>Jusante</t>
  </si>
  <si>
    <t>Percurso</t>
  </si>
  <si>
    <t>Comporta</t>
  </si>
  <si>
    <t>Ponte de Serviço Montante</t>
  </si>
  <si>
    <t>Ponte de Serviço Jusante</t>
  </si>
  <si>
    <t>Alturas</t>
  </si>
  <si>
    <t>Soleira</t>
  </si>
  <si>
    <t>Tabuleiro</t>
  </si>
  <si>
    <t>D'água no centro</t>
  </si>
  <si>
    <t>D'água na soleira</t>
  </si>
  <si>
    <t>Vão Livre</t>
  </si>
  <si>
    <t>Largura</t>
  </si>
  <si>
    <t>Vãos</t>
  </si>
  <si>
    <t>Apoio</t>
  </si>
  <si>
    <t>(max)</t>
  </si>
  <si>
    <t>(crista)</t>
  </si>
  <si>
    <t>Módulo</t>
  </si>
  <si>
    <t>Máxima</t>
  </si>
  <si>
    <t>Módulos</t>
  </si>
  <si>
    <t>Dados</t>
  </si>
  <si>
    <t>Pórtico</t>
  </si>
  <si>
    <t>Pernas</t>
  </si>
  <si>
    <t>Capacidade de carga</t>
  </si>
  <si>
    <t>Vão</t>
  </si>
  <si>
    <t xml:space="preserve">Vão </t>
  </si>
  <si>
    <t>(fixo)</t>
  </si>
  <si>
    <t>(m)</t>
  </si>
  <si>
    <t>Grade</t>
  </si>
  <si>
    <t>Informações Complementares</t>
  </si>
  <si>
    <t xml:space="preserve"> </t>
  </si>
  <si>
    <t>Cosseno do ângulo com a vertical</t>
  </si>
  <si>
    <t>Número de peças fixas por unidade</t>
  </si>
  <si>
    <t>Largura máxima</t>
  </si>
  <si>
    <t>Número de peças fixas total</t>
  </si>
  <si>
    <t>D3</t>
  </si>
  <si>
    <t>n</t>
  </si>
  <si>
    <t>Rotor</t>
  </si>
  <si>
    <t>Turbina</t>
  </si>
  <si>
    <t>(Francis reversível)</t>
  </si>
  <si>
    <t>(deck)</t>
  </si>
  <si>
    <t>Estator</t>
  </si>
  <si>
    <t>Gerador</t>
  </si>
  <si>
    <t>Ponte</t>
  </si>
  <si>
    <t>hsy_intk_fwgt_t</t>
  </si>
  <si>
    <t>weight of the fixed wheel gates of the intake</t>
  </si>
  <si>
    <t>hsy_intk_slog_t</t>
  </si>
  <si>
    <t>weight of the stoplogs of the intake</t>
  </si>
  <si>
    <t>hsy_intk_cran_t</t>
  </si>
  <si>
    <t>weight of the crane of the intake</t>
  </si>
  <si>
    <t>hsy_intk_rack_t</t>
  </si>
  <si>
    <t>weight of the trash racks of the intake</t>
  </si>
  <si>
    <t>hsy_intk_embp_t</t>
  </si>
  <si>
    <t>weight of the embedded parts of the intake equipment</t>
  </si>
  <si>
    <t>pwh_turb_0000_t</t>
  </si>
  <si>
    <t>weight of the turbine</t>
  </si>
  <si>
    <t>pwh_genr_0000_t</t>
  </si>
  <si>
    <t>weight of the generator</t>
  </si>
  <si>
    <t>pwh_dtub_slog_t</t>
  </si>
  <si>
    <t xml:space="preserve">weight of the stoplogs of the draft tube </t>
  </si>
  <si>
    <t>pwh_strc_brdg_t</t>
  </si>
  <si>
    <t>weight of the bridge crane</t>
  </si>
  <si>
    <t>pwh_dtub_gtry_t</t>
  </si>
  <si>
    <t>weight of the gantry crane</t>
  </si>
  <si>
    <t>pwh_dtub_embp_t</t>
  </si>
  <si>
    <t xml:space="preserve">weight embedded parts of the draft tube equipment </t>
  </si>
  <si>
    <t>pwh_valv_bfly_t</t>
  </si>
  <si>
    <t>weight of the butterfly valve</t>
  </si>
  <si>
    <t>pwh_syst_freq_hz</t>
  </si>
  <si>
    <t>hz</t>
  </si>
  <si>
    <t>system frequency</t>
  </si>
  <si>
    <t>pwh_turb_spsp_dl</t>
  </si>
  <si>
    <r>
      <t>n</t>
    </r>
    <r>
      <rPr>
        <vertAlign val="subscript"/>
        <sz val="11"/>
        <rFont val="Calibri"/>
        <family val="2"/>
        <scheme val="minor"/>
      </rPr>
      <t>s</t>
    </r>
  </si>
  <si>
    <t>specific speed of the turbine</t>
  </si>
  <si>
    <t>exchange rate from dollars</t>
  </si>
  <si>
    <t xml:space="preserve">update conversion rate from december 2006 for equipment costs </t>
  </si>
  <si>
    <t>maximum water level of the upper reservoir</t>
  </si>
  <si>
    <t>minimum water level of the upper reservoir</t>
  </si>
  <si>
    <t>maximum water level of the lower reservoir</t>
  </si>
  <si>
    <t>minimum water level of the lower reservoir</t>
  </si>
  <si>
    <t>Nível d'água máximo do reservatório superior (m)</t>
  </si>
  <si>
    <t>Nível mínimo do reservatório superior (m)</t>
  </si>
  <si>
    <t>Nível d'água máximo do reservatório inferior (m)</t>
  </si>
  <si>
    <t>Nível mínimo do reservatório inferior (m)</t>
  </si>
  <si>
    <r>
      <t xml:space="preserve">Altura de escavação do túnel </t>
    </r>
    <r>
      <rPr>
        <sz val="11"/>
        <color rgb="FF0070C0"/>
        <rFont val="Calibri"/>
        <family val="2"/>
        <scheme val="minor"/>
      </rPr>
      <t>de fuga</t>
    </r>
  </si>
  <si>
    <t>ignorar se terreno descer</t>
  </si>
  <si>
    <t>Elevação mínima do terreno para blindagem</t>
  </si>
  <si>
    <t>Elevação mínima do terreno para casa de força</t>
  </si>
  <si>
    <t>altura da casa de força? F(N ou Htf)?</t>
  </si>
  <si>
    <t>lay_pstk_pwh0_l</t>
  </si>
  <si>
    <t>pwr_0000_cter_el</t>
  </si>
  <si>
    <t>terrain minimum elevation to define the location of the power house</t>
  </si>
  <si>
    <t>Altura do cotovelo (O)</t>
  </si>
  <si>
    <t>Raio do cotovelo (P)</t>
  </si>
  <si>
    <t xml:space="preserve">Espessura do Pilar (U)  </t>
  </si>
  <si>
    <t>nq</t>
  </si>
  <si>
    <t>Hs da TOSHIBA como bomba</t>
  </si>
  <si>
    <t>rotação mínima da bomba</t>
  </si>
  <si>
    <t>rotação máxima da bomba</t>
  </si>
  <si>
    <t xml:space="preserve"> número de polos</t>
  </si>
  <si>
    <t>DADOS DE ENTRADA</t>
  </si>
  <si>
    <t>BOMBA</t>
  </si>
  <si>
    <t>TURBINA</t>
  </si>
  <si>
    <t>Frequência (Hz)</t>
  </si>
  <si>
    <t>padrão</t>
  </si>
  <si>
    <t>seria dado de entrada?</t>
  </si>
  <si>
    <t>CÁLCULOS PRELIMINARES</t>
  </si>
  <si>
    <t>Rotação síncrona escolhida</t>
  </si>
  <si>
    <t>Frequência (hz)</t>
  </si>
  <si>
    <t>freq</t>
  </si>
  <si>
    <t>rotação síncrona (rpm)</t>
  </si>
  <si>
    <t>Diâmetro de Saída da Caixa Espiral (A)</t>
  </si>
  <si>
    <t>Altura do Distribuidor (I)</t>
  </si>
  <si>
    <t>Altura do Tubo de Sucção (N)</t>
  </si>
  <si>
    <t>Altura a Jusante da Caixa Espiral (L)</t>
  </si>
  <si>
    <t>Altura a Montante da Caixa Espiral (M)</t>
  </si>
  <si>
    <t>Altura do Pilar Divisor (Q)</t>
  </si>
  <si>
    <t xml:space="preserve">Comprimento do Tubo de Sucção (S) </t>
  </si>
  <si>
    <t>Vão de Saída do Tubo de Sucção (V)</t>
  </si>
  <si>
    <t>Largura do Tubo de Sucção (Z)</t>
  </si>
  <si>
    <t>Distância ao Início Pilar Divisor (T)</t>
  </si>
  <si>
    <t>Altura da Saída do Tubo de Sucção (R)</t>
  </si>
  <si>
    <t>Distância da LC do Rotor ao Fundo do Tubo de Sucção (J)</t>
  </si>
  <si>
    <t>Diâmetro Máximo do Pré-Distribuidor (F)</t>
  </si>
  <si>
    <t>Diâmetro Mínimo do Pré-Distribuidor (G)</t>
  </si>
  <si>
    <t>Afastamento a Jusante da Caixa Espiral (D)</t>
  </si>
  <si>
    <t>Afastamento a Montante da Caixa Espiral (E)</t>
  </si>
  <si>
    <t>Afastamento Lateral da Caixa Espiral (C)</t>
  </si>
  <si>
    <t>Distância do Centro da Unidade ao Conduto (B)</t>
  </si>
  <si>
    <t>Diâmetro  Palhetas Diretrizes (H)</t>
  </si>
  <si>
    <t>Hs da Water Power como bomba</t>
  </si>
  <si>
    <t>Nível d´água mínimo normal do reservatório</t>
  </si>
  <si>
    <t>DIMENSÕES DA CASA DE FORÇA</t>
  </si>
  <si>
    <t>Linha de centro do distribuidor (m) - LC</t>
  </si>
  <si>
    <t>res_type_watc_x</t>
  </si>
  <si>
    <t>identification for the reservoir type according to its location (in a watercourse = 0 or not =1)</t>
  </si>
  <si>
    <t>V</t>
  </si>
  <si>
    <t>fixo?</t>
  </si>
  <si>
    <t>J</t>
  </si>
  <si>
    <t>MOTOR</t>
  </si>
  <si>
    <t>GERADOR</t>
  </si>
  <si>
    <t>Momento de inércia (t.m²) - GD²</t>
  </si>
  <si>
    <t>dados de entrada ou padrão? Fator de potência?</t>
  </si>
  <si>
    <t>velocidade ajustável 5 a 25% maior</t>
  </si>
  <si>
    <t>COMPORTA ENSECADEIRA</t>
  </si>
  <si>
    <t>Montante (m)</t>
  </si>
  <si>
    <t>Jusante (m)</t>
  </si>
  <si>
    <t>Ponte de Serviço Montante (m)</t>
  </si>
  <si>
    <t>Ponte de Serviço Jusante (m)</t>
  </si>
  <si>
    <t>Soleira (m)</t>
  </si>
  <si>
    <t>NA máximo do reservatório inferior x NA max jusante</t>
  </si>
  <si>
    <t>NA mínimo do reservatório inferior x NA min jusante</t>
  </si>
  <si>
    <t>res_type_watc_x: NA máximo do reservatório inferior x Na max max jusante?</t>
  </si>
  <si>
    <t>Quantidade de módulos</t>
  </si>
  <si>
    <t>V, dividir vão?</t>
  </si>
  <si>
    <t>Valores intermediários: Comprimentos</t>
  </si>
  <si>
    <t>Altura máxima do módulo (m)</t>
  </si>
  <si>
    <t>Peças Fixas (m)</t>
  </si>
  <si>
    <t>Percurso (m)</t>
  </si>
  <si>
    <t>Valores intermediários: Alturas</t>
  </si>
  <si>
    <t>Valores intermediários: Larguras</t>
  </si>
  <si>
    <t>Capacidade de carga (t)</t>
  </si>
  <si>
    <t>Vão (m)</t>
  </si>
  <si>
    <t>Altura (m)</t>
  </si>
  <si>
    <t>PÓRTICO ROLANTE</t>
  </si>
  <si>
    <t>Dados de Entrada</t>
  </si>
  <si>
    <t>TABELAS AUXILIARES</t>
  </si>
  <si>
    <t>Pórtico (t)</t>
  </si>
  <si>
    <t>Pernas (t)</t>
  </si>
  <si>
    <t>PONTE ROLANTE</t>
  </si>
  <si>
    <t>Quantidade</t>
  </si>
  <si>
    <t>se velocidade ajustável, acima de 50-100 MVA, 1.3x</t>
  </si>
  <si>
    <t>se velocidade ajustável, acima de 50-100 MVA, 2x</t>
  </si>
  <si>
    <t>lay_trce_intk_l</t>
  </si>
  <si>
    <t>~UPPER</t>
  </si>
  <si>
    <t>res_max0_0000_wl</t>
  </si>
  <si>
    <t>res_min0_0000_wl</t>
  </si>
  <si>
    <t>~LOWER</t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</si>
  <si>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</si>
  <si>
    <t>L3A</t>
  </si>
  <si>
    <t>L3B</t>
  </si>
  <si>
    <t>geo_soil_xres_th</t>
  </si>
  <si>
    <t>dam crest elevation INTK sup</t>
  </si>
  <si>
    <t>dam crest width INTK sup</t>
  </si>
  <si>
    <t>lay_uppr_lowr_l</t>
  </si>
  <si>
    <t>upper reservoir</t>
  </si>
  <si>
    <t>lower reservoir</t>
  </si>
  <si>
    <r>
      <t>Elsol= NA</t>
    </r>
    <r>
      <rPr>
        <sz val="11"/>
        <color theme="4"/>
        <rFont val="Calibri"/>
        <family val="2"/>
        <scheme val="minor"/>
      </rPr>
      <t>min</t>
    </r>
    <r>
      <rPr>
        <sz val="11"/>
        <color rgb="FFFF0000"/>
        <rFont val="Calibri"/>
        <family val="2"/>
        <scheme val="minor"/>
      </rPr>
      <t xml:space="preserve"> - S - Hta; para Hta ver F35 em planilha hsfv2tunnel</t>
    </r>
  </si>
  <si>
    <r>
      <t xml:space="preserve">CONDUTOS FORÇADOS </t>
    </r>
    <r>
      <rPr>
        <b/>
        <sz val="11"/>
        <color theme="4"/>
        <rFont val="Calibri"/>
        <family val="2"/>
        <scheme val="minor"/>
      </rPr>
      <t>RAMIFICADOS</t>
    </r>
  </si>
  <si>
    <r>
      <t xml:space="preserve">Lcd </t>
    </r>
    <r>
      <rPr>
        <sz val="11"/>
        <color theme="4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20 m </t>
    </r>
  </si>
  <si>
    <t>QUANTITATIVOS (t)</t>
  </si>
  <si>
    <r>
      <t>Área da seção de escoamento (m²) - A</t>
    </r>
    <r>
      <rPr>
        <vertAlign val="subscript"/>
        <sz val="11"/>
        <color theme="1"/>
        <rFont val="Calibri"/>
        <family val="2"/>
        <scheme val="minor"/>
      </rPr>
      <t>fu</t>
    </r>
  </si>
  <si>
    <t>descontar TA</t>
  </si>
  <si>
    <t>?</t>
  </si>
  <si>
    <t>Elevação inicial da soleira (m)</t>
  </si>
  <si>
    <t>Elevação final da soleira (m)</t>
  </si>
  <si>
    <t>TA</t>
  </si>
  <si>
    <r>
      <t>Largura / altura da base da seção arco-retangular (m) - B</t>
    </r>
    <r>
      <rPr>
        <vertAlign val="subscript"/>
        <sz val="11"/>
        <color theme="1"/>
        <rFont val="Calibri"/>
        <family val="2"/>
        <scheme val="minor"/>
      </rPr>
      <t>fu</t>
    </r>
  </si>
  <si>
    <r>
      <t>Nível de água máximo normal do reservatório (m) - NA</t>
    </r>
    <r>
      <rPr>
        <vertAlign val="subscript"/>
        <sz val="11"/>
        <color theme="1"/>
        <rFont val="Calibri"/>
        <family val="2"/>
        <scheme val="minor"/>
      </rPr>
      <t>max</t>
    </r>
  </si>
  <si>
    <r>
      <t>Nível de água mínimo normal do reservatório (m) - NA</t>
    </r>
    <r>
      <rPr>
        <vertAlign val="subscript"/>
        <sz val="11"/>
        <color theme="1"/>
        <rFont val="Calibri"/>
        <family val="2"/>
        <scheme val="minor"/>
      </rPr>
      <t>min</t>
    </r>
  </si>
  <si>
    <t>bomba?</t>
  </si>
  <si>
    <t>TÚNEL DE FUGA</t>
  </si>
  <si>
    <t>Coeficiente para aproximação do escoamento assimétrica - c</t>
  </si>
  <si>
    <r>
      <t>Cota da soleira da tomada d'água (m) - El</t>
    </r>
    <r>
      <rPr>
        <vertAlign val="subscript"/>
        <sz val="11"/>
        <color theme="1"/>
        <rFont val="Calibri"/>
        <family val="2"/>
        <scheme val="minor"/>
      </rPr>
      <t>sol</t>
    </r>
  </si>
  <si>
    <r>
      <t>Inclinação do túnel de fuga - i</t>
    </r>
    <r>
      <rPr>
        <vertAlign val="subscript"/>
        <sz val="11"/>
        <color theme="1"/>
        <rFont val="Calibri"/>
        <family val="2"/>
        <scheme val="minor"/>
      </rPr>
      <t>fu</t>
    </r>
  </si>
  <si>
    <t>mínimo?</t>
  </si>
  <si>
    <t>CÁLCULOS</t>
  </si>
  <si>
    <t xml:space="preserve">CÁLCULOS </t>
  </si>
  <si>
    <t>DIMENSÕES DA TOMADA D'ÁGUA</t>
  </si>
  <si>
    <t>critérios?</t>
  </si>
  <si>
    <r>
      <t>Cota do teto da abertura da tomada d'água (m) - El</t>
    </r>
    <r>
      <rPr>
        <vertAlign val="subscript"/>
        <sz val="11"/>
        <color theme="1"/>
        <rFont val="Calibri"/>
        <family val="2"/>
        <scheme val="minor"/>
      </rPr>
      <t>sol</t>
    </r>
  </si>
  <si>
    <r>
      <t>Largura da comporta da tomada d'água (m) - B</t>
    </r>
    <r>
      <rPr>
        <vertAlign val="subscript"/>
        <sz val="11"/>
        <color theme="1"/>
        <rFont val="Calibri"/>
        <family val="2"/>
        <scheme val="minor"/>
      </rPr>
      <t>cp</t>
    </r>
  </si>
  <si>
    <r>
      <t>Altura da comporta da tomada d'água (m) - H</t>
    </r>
    <r>
      <rPr>
        <vertAlign val="subscript"/>
        <sz val="11"/>
        <color theme="1"/>
        <rFont val="Calibri"/>
        <family val="2"/>
        <scheme val="minor"/>
      </rPr>
      <t>cp</t>
    </r>
  </si>
  <si>
    <r>
      <t>Área do conduto associado à tomada de água (m) - A</t>
    </r>
    <r>
      <rPr>
        <vertAlign val="subscript"/>
        <sz val="11"/>
        <color theme="1"/>
        <rFont val="Calibri"/>
        <family val="2"/>
        <scheme val="minor"/>
      </rPr>
      <t>fu</t>
    </r>
  </si>
  <si>
    <r>
      <t>Número de aberturas da tomada d'água - N</t>
    </r>
    <r>
      <rPr>
        <vertAlign val="subscript"/>
        <sz val="11"/>
        <color theme="1"/>
        <rFont val="Calibri"/>
        <family val="2"/>
        <scheme val="minor"/>
      </rPr>
      <t>at</t>
    </r>
  </si>
  <si>
    <r>
      <t>Altura da tomada d'água (m) - H</t>
    </r>
    <r>
      <rPr>
        <vertAlign val="subscript"/>
        <sz val="11"/>
        <color theme="1"/>
        <rFont val="Calibri"/>
        <family val="2"/>
        <scheme val="minor"/>
      </rPr>
      <t>ta</t>
    </r>
  </si>
  <si>
    <r>
      <t>Largura do bloco da tomada d'água (m) -B</t>
    </r>
    <r>
      <rPr>
        <vertAlign val="subscript"/>
        <sz val="11"/>
        <color theme="1"/>
        <rFont val="Calibri"/>
        <family val="2"/>
        <scheme val="minor"/>
      </rPr>
      <t>1ta</t>
    </r>
  </si>
  <si>
    <r>
      <t>Largura total da tomada d'água (m) -B</t>
    </r>
    <r>
      <rPr>
        <vertAlign val="subscript"/>
        <sz val="11"/>
        <color theme="1"/>
        <rFont val="Calibri"/>
        <family val="2"/>
        <scheme val="minor"/>
      </rPr>
      <t>ta</t>
    </r>
  </si>
  <si>
    <r>
      <t>Comprimento total da tomada d'água na base (m) - L</t>
    </r>
    <r>
      <rPr>
        <vertAlign val="subscript"/>
        <sz val="11"/>
        <color theme="1"/>
        <rFont val="Calibri"/>
        <family val="2"/>
        <scheme val="minor"/>
      </rPr>
      <t>ta</t>
    </r>
  </si>
  <si>
    <t xml:space="preserve">Largura da crista da barragem (m) </t>
  </si>
  <si>
    <t xml:space="preserve">Elevação da crista da barragem (m) </t>
  </si>
  <si>
    <t>quais?</t>
  </si>
  <si>
    <t>Perda de carga no túnel de fuga (m)</t>
  </si>
  <si>
    <r>
      <t>Número de Manning para trecho sem revestimento - n</t>
    </r>
    <r>
      <rPr>
        <vertAlign val="subscript"/>
        <sz val="11"/>
        <color theme="1"/>
        <rFont val="Calibri"/>
        <family val="2"/>
        <scheme val="minor"/>
      </rPr>
      <t>1</t>
    </r>
  </si>
  <si>
    <r>
      <t>Número de Manning para revestimento com concreto convencional - n</t>
    </r>
    <r>
      <rPr>
        <vertAlign val="subscript"/>
        <sz val="11"/>
        <color theme="1"/>
        <rFont val="Calibri"/>
        <family val="2"/>
        <scheme val="minor"/>
      </rPr>
      <t>3</t>
    </r>
  </si>
  <si>
    <r>
      <t>Número de Manning para revestimento com concreto projetado - n</t>
    </r>
    <r>
      <rPr>
        <vertAlign val="subscript"/>
        <sz val="11"/>
        <color theme="1"/>
        <rFont val="Calibri"/>
        <family val="2"/>
        <scheme val="minor"/>
      </rPr>
      <t>2</t>
    </r>
  </si>
  <si>
    <t>MI</t>
  </si>
  <si>
    <t>conc proj?</t>
  </si>
  <si>
    <t>CHAMINÉ DE EQUILÍBRIO INFERIOR</t>
  </si>
  <si>
    <t>Cota do terreno na área da chaminé de equilíbrio</t>
  </si>
  <si>
    <t>Espessura média da camada de terra na área da chaminé (m)</t>
  </si>
  <si>
    <r>
      <t>Área da seção da chaminé de equilíbrio (m²) - A</t>
    </r>
    <r>
      <rPr>
        <vertAlign val="subscript"/>
        <sz val="11"/>
        <color theme="1"/>
        <rFont val="Calibri"/>
        <family val="2"/>
        <scheme val="minor"/>
      </rPr>
      <t>ch</t>
    </r>
  </si>
  <si>
    <r>
      <t>Diâmetro interno da chaminé de equilíbrio (m) - D</t>
    </r>
    <r>
      <rPr>
        <vertAlign val="subscript"/>
        <sz val="11"/>
        <color theme="1"/>
        <rFont val="Calibri"/>
        <family val="2"/>
        <scheme val="minor"/>
      </rPr>
      <t>ch</t>
    </r>
  </si>
  <si>
    <r>
      <t>Oscilação máxima na chaminé de equilíbrio (m) - Y</t>
    </r>
    <r>
      <rPr>
        <vertAlign val="subscript"/>
        <sz val="11"/>
        <color theme="1"/>
        <rFont val="Calibri"/>
        <family val="2"/>
        <scheme val="minor"/>
      </rPr>
      <t>max</t>
    </r>
  </si>
  <si>
    <r>
      <t>Nível de água máximo na chaminé de equilíbrio (m) - Na</t>
    </r>
    <r>
      <rPr>
        <vertAlign val="subscript"/>
        <sz val="11"/>
        <color theme="1"/>
        <rFont val="Calibri"/>
        <family val="2"/>
        <scheme val="minor"/>
      </rPr>
      <t>xch</t>
    </r>
  </si>
  <si>
    <r>
      <t>Nível de água máximo na chaminé de equilíbrio (m) - Na</t>
    </r>
    <r>
      <rPr>
        <vertAlign val="subscript"/>
        <sz val="11"/>
        <color theme="1"/>
        <rFont val="Calibri"/>
        <family val="2"/>
        <scheme val="minor"/>
      </rPr>
      <t>nch</t>
    </r>
  </si>
  <si>
    <t>critério?</t>
  </si>
  <si>
    <t xml:space="preserve">Necessidade da chaminé </t>
  </si>
  <si>
    <t>ver teto inicial do túnel</t>
  </si>
  <si>
    <t>TOMADA D´ÁGUA DO RESERVATÓRIO SUPERIOR</t>
  </si>
  <si>
    <t>Namax</t>
  </si>
  <si>
    <r>
      <t>Área da seção de escoamento (m²) - A</t>
    </r>
    <r>
      <rPr>
        <vertAlign val="subscript"/>
        <sz val="11"/>
        <color theme="1"/>
        <rFont val="Calibri"/>
        <family val="2"/>
        <scheme val="minor"/>
      </rPr>
      <t>ad</t>
    </r>
  </si>
  <si>
    <t>Perda de carga na entrada da tomada (m)</t>
  </si>
  <si>
    <t>CHAMINÉ DE EQUILÍBRIO SUPERIOR</t>
  </si>
  <si>
    <t>Perda de carga no túnel de adução (m)</t>
  </si>
  <si>
    <r>
      <t>Nível de água mínimo na chaminé de equilíbrio (m) - Na</t>
    </r>
    <r>
      <rPr>
        <vertAlign val="subscript"/>
        <sz val="11"/>
        <color theme="1"/>
        <rFont val="Calibri"/>
        <family val="2"/>
        <scheme val="minor"/>
      </rPr>
      <t>nch</t>
    </r>
  </si>
  <si>
    <t>geo_soil_hsy0_th</t>
  </si>
  <si>
    <t>COMPORTA VAGÃO</t>
  </si>
  <si>
    <t>GRADES</t>
  </si>
  <si>
    <t>Tabuleiro (m)</t>
  </si>
  <si>
    <t>D'água no centro (m)</t>
  </si>
  <si>
    <t>D'água na soleira (m)</t>
  </si>
  <si>
    <t>Apoio (m)</t>
  </si>
  <si>
    <t>Peças Fixas (t)</t>
  </si>
  <si>
    <t>Comporta (t)</t>
  </si>
  <si>
    <t>Módulo (t)</t>
  </si>
  <si>
    <t>hsy_stlw_max0_wl</t>
  </si>
  <si>
    <t>hsy_stlw_min0_wl</t>
  </si>
  <si>
    <t>hsy_stlw_0000_d</t>
  </si>
  <si>
    <t>Largura máxima (m)</t>
  </si>
  <si>
    <t>Ponte (t)</t>
  </si>
  <si>
    <t>psh_genr_cycl_tm</t>
  </si>
  <si>
    <t>psh_pump_cycl_tm</t>
  </si>
  <si>
    <t>h</t>
  </si>
  <si>
    <t>generation time of the pumped storage hydro</t>
  </si>
  <si>
    <t>pumping time of the pumped storage hydro</t>
  </si>
  <si>
    <t>hsy_trce_0000_d</t>
  </si>
  <si>
    <t>hsy_trce_upst_el</t>
  </si>
  <si>
    <t>hsy_trce_dwst_el</t>
  </si>
  <si>
    <t>psh_eqp0_conf_x</t>
  </si>
  <si>
    <t>identification for the equipment configuration type (fixed speed = 0, variable speed = 1)</t>
  </si>
  <si>
    <t>number of gates of the pumping intake</t>
  </si>
  <si>
    <t>gate width of the pumping intake</t>
  </si>
  <si>
    <t>gate height of the pumping intake</t>
  </si>
  <si>
    <t xml:space="preserve">elevation of the pumping intake sill </t>
  </si>
  <si>
    <t>total width of the pumping intake</t>
  </si>
  <si>
    <t>total length of the pumping intake</t>
  </si>
  <si>
    <t>total height of the pumping intake</t>
  </si>
  <si>
    <t>submergence of the pumping intake</t>
  </si>
  <si>
    <t>number of fixed wheel gates of the pumping intake</t>
  </si>
  <si>
    <t>weight of the fixed wheel gates of the pumping intake</t>
  </si>
  <si>
    <t>fixed wheel gates cost of the pumping intake</t>
  </si>
  <si>
    <t>number of stoplogs of the pumping intake</t>
  </si>
  <si>
    <t>weight of the stoplogs of the pumping intake</t>
  </si>
  <si>
    <t>stoplogs cost of the pumping intake</t>
  </si>
  <si>
    <t>weight of the crane of the pumping intake</t>
  </si>
  <si>
    <t>crane cost of the pumping intake</t>
  </si>
  <si>
    <t>weight of the trash racks of the pumping intake</t>
  </si>
  <si>
    <t>trash racks cost of the pumping intake</t>
  </si>
  <si>
    <t>weight of the embedded parts of the pumping intake equipment</t>
  </si>
  <si>
    <t>embedded parts cost of the pumping intake equipment</t>
  </si>
  <si>
    <t>hsy_inpp_gate_n</t>
  </si>
  <si>
    <t>hsy_inpp_gate_w</t>
  </si>
  <si>
    <t>hsy_inpp_gate_h</t>
  </si>
  <si>
    <t>hsy_inpp_sill_el</t>
  </si>
  <si>
    <t>hsy_inpp_totl_w</t>
  </si>
  <si>
    <t>hsy_inpp_totl_l</t>
  </si>
  <si>
    <t>hsy_inpp_totl_h</t>
  </si>
  <si>
    <t>hsy_inpp_subm_h</t>
  </si>
  <si>
    <t>hsy_inpp_fwgt_n</t>
  </si>
  <si>
    <t>hsy_inpp_fwgt_t</t>
  </si>
  <si>
    <t>hsy_inpp_fwgt_ct</t>
  </si>
  <si>
    <t>hsy_inpp_slog_n</t>
  </si>
  <si>
    <t>hsy_inpp_slog_t</t>
  </si>
  <si>
    <t>hsy_inpp_slog_ct</t>
  </si>
  <si>
    <t>hsy_inpp_cran_t</t>
  </si>
  <si>
    <t>hsy_inpp_cran_ct</t>
  </si>
  <si>
    <t>hsy_inpp_rack_t</t>
  </si>
  <si>
    <t>hsy_inpp_rack_ct</t>
  </si>
  <si>
    <t>hsy_inpp_embp_t</t>
  </si>
  <si>
    <t>hsy_inpp_embp_ct</t>
  </si>
  <si>
    <t>maximum water level in the lower surge tank</t>
  </si>
  <si>
    <t>minimum water level in the lower surge tank</t>
  </si>
  <si>
    <t>diameter of the lower surge tank</t>
  </si>
  <si>
    <t>upstream elevation of the tailrace tunnel sill</t>
  </si>
  <si>
    <t>downstream elevation of the tailrace tunnel sill</t>
  </si>
  <si>
    <r>
      <t>Elevação de fundo da chaminé de equilíbrio (m) - El</t>
    </r>
    <r>
      <rPr>
        <vertAlign val="subscript"/>
        <sz val="11"/>
        <color theme="1"/>
        <rFont val="Calibri"/>
        <family val="2"/>
        <scheme val="minor"/>
      </rPr>
      <t>ch</t>
    </r>
  </si>
  <si>
    <r>
      <t>Largura / altura da base da seção arco-retangular (m) - B</t>
    </r>
    <r>
      <rPr>
        <vertAlign val="subscript"/>
        <sz val="11"/>
        <color theme="1"/>
        <rFont val="Calibri"/>
        <family val="2"/>
        <scheme val="minor"/>
      </rPr>
      <t>ad</t>
    </r>
  </si>
  <si>
    <r>
      <t>Área do conduto associado à tomada de água (m) - D</t>
    </r>
    <r>
      <rPr>
        <vertAlign val="subscript"/>
        <sz val="11"/>
        <color theme="1"/>
        <rFont val="Calibri"/>
        <family val="2"/>
        <scheme val="minor"/>
      </rPr>
      <t>ab</t>
    </r>
  </si>
  <si>
    <t>ver F41 em hsrf2tunl</t>
  </si>
  <si>
    <t>ver D185 em hsrf2pwh</t>
  </si>
  <si>
    <t>Rotor (t)</t>
  </si>
  <si>
    <t>Estator (t)</t>
  </si>
  <si>
    <t>Fornecimento (t)</t>
  </si>
  <si>
    <t>CARACTERÍSTICAS DO MOTOR-GERADOR</t>
  </si>
  <si>
    <t>CARACTERÍSTICAS DA BOMABA-TURBINA</t>
  </si>
  <si>
    <t>CARACTERÍSTICAS DOS EQUIPAMENTOS HIDROMECÂNICOS</t>
  </si>
  <si>
    <t>DADOS DE ENTRADA PARA COMPORTAS</t>
  </si>
  <si>
    <r>
      <t>Submergência mínima (m) - S, sendo S = c .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 H</t>
    </r>
    <r>
      <rPr>
        <vertAlign val="subscript"/>
        <sz val="11"/>
        <color theme="1"/>
        <rFont val="Calibri"/>
        <family val="2"/>
        <scheme val="minor"/>
      </rPr>
      <t>ta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</si>
  <si>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Perda de carga na entrada da tomada d'água (m), sendo dh = 0,2. v</t>
    </r>
    <r>
      <rPr>
        <vertAlign val="subscript"/>
        <sz val="11"/>
        <color theme="1"/>
        <rFont val="Calibri"/>
        <family val="2"/>
        <scheme val="minor"/>
      </rPr>
      <t>cp</t>
    </r>
    <r>
      <rPr>
        <sz val="11"/>
        <color theme="1"/>
        <rFont val="Calibri"/>
        <family val="2"/>
        <scheme val="minor"/>
      </rPr>
      <t xml:space="preserve"> / 2g</t>
    </r>
  </si>
  <si>
    <r>
      <t>Vazão turbinada máxima total (m³/s) - Q</t>
    </r>
    <r>
      <rPr>
        <vertAlign val="subscript"/>
        <sz val="11"/>
        <rFont val="Calibri"/>
        <family val="2"/>
        <scheme val="minor"/>
      </rPr>
      <t>t</t>
    </r>
  </si>
  <si>
    <r>
      <t>Velocidade média do escoamento na comporta (m/s) - v</t>
    </r>
    <r>
      <rPr>
        <vertAlign val="subscript"/>
        <sz val="11"/>
        <rFont val="Calibri"/>
        <family val="2"/>
        <scheme val="minor"/>
      </rPr>
      <t>1</t>
    </r>
  </si>
  <si>
    <r>
      <t>Velocidade média do escoamento no túnel de adução (m/s) - v</t>
    </r>
    <r>
      <rPr>
        <vertAlign val="subscript"/>
        <sz val="11"/>
        <rFont val="Calibri"/>
        <family val="2"/>
        <scheme val="minor"/>
      </rPr>
      <t>ad</t>
    </r>
  </si>
  <si>
    <r>
      <t>Comprimento no túnel de adução (m) - L</t>
    </r>
    <r>
      <rPr>
        <vertAlign val="subscript"/>
        <sz val="11"/>
        <rFont val="Calibri"/>
        <family val="2"/>
        <scheme val="minor"/>
      </rPr>
      <t>ad</t>
    </r>
  </si>
  <si>
    <r>
      <t>Submergência mínima (m) - S, sendo S = c . v</t>
    </r>
    <r>
      <rPr>
        <vertAlign val="subscript"/>
        <sz val="11"/>
        <color theme="1"/>
        <rFont val="Calibri"/>
        <family val="2"/>
        <scheme val="minor"/>
      </rPr>
      <t>cp</t>
    </r>
    <r>
      <rPr>
        <sz val="11"/>
        <color theme="1"/>
        <rFont val="Calibri"/>
        <family val="2"/>
        <scheme val="minor"/>
      </rPr>
      <t>. H</t>
    </r>
    <r>
      <rPr>
        <vertAlign val="subscript"/>
        <sz val="11"/>
        <color theme="1"/>
        <rFont val="Calibri"/>
        <family val="2"/>
        <scheme val="minor"/>
      </rPr>
      <t>fu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</si>
  <si>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Largura / altura da base da seção arco-retangular (m) - B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= H</t>
    </r>
    <r>
      <rPr>
        <vertAlign val="subscript"/>
        <sz val="11"/>
        <color theme="1"/>
        <rFont val="Calibri"/>
        <family val="2"/>
        <scheme val="minor"/>
      </rPr>
      <t>fu</t>
    </r>
  </si>
  <si>
    <r>
      <t>Perda de carga no túnel de fuga (m), sendo dh = (6,35 . L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. n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fu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</t>
    </r>
    <r>
      <rPr>
        <vertAlign val="subscript"/>
        <sz val="11"/>
        <color theme="1"/>
        <rFont val="Calibri"/>
        <family val="2"/>
        <scheme val="minor"/>
      </rPr>
      <t>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</si>
  <si>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r>
      <t>Comprimento do túnel de fuga (m) - L</t>
    </r>
    <r>
      <rPr>
        <vertAlign val="subscript"/>
        <sz val="11"/>
        <rFont val="Calibri"/>
        <family val="2"/>
        <scheme val="minor"/>
      </rPr>
      <t>fu</t>
    </r>
  </si>
  <si>
    <r>
      <t>Vazão bombeada máxima total (m³/s) - Q</t>
    </r>
    <r>
      <rPr>
        <vertAlign val="subscript"/>
        <sz val="11"/>
        <rFont val="Calibri"/>
        <family val="2"/>
        <scheme val="minor"/>
      </rPr>
      <t>b</t>
    </r>
  </si>
  <si>
    <r>
      <t>Nível mínimo do túnel de fuga (m) - N</t>
    </r>
    <r>
      <rPr>
        <vertAlign val="subscript"/>
        <sz val="11"/>
        <rFont val="Calibri"/>
        <family val="2"/>
        <scheme val="minor"/>
      </rPr>
      <t>nfu</t>
    </r>
  </si>
  <si>
    <r>
      <t>Velocidade média do escoamento no túnel de fuga (m/s) - v</t>
    </r>
    <r>
      <rPr>
        <vertAlign val="subscript"/>
        <sz val="11"/>
        <rFont val="Calibri"/>
        <family val="2"/>
        <scheme val="minor"/>
      </rPr>
      <t>fu</t>
    </r>
  </si>
  <si>
    <r>
      <t>Velocidade média do escoamento na comporta (m/s) - v</t>
    </r>
    <r>
      <rPr>
        <vertAlign val="subscript"/>
        <sz val="11"/>
        <rFont val="Calibri"/>
        <family val="2"/>
        <scheme val="minor"/>
      </rPr>
      <t>cp</t>
    </r>
  </si>
  <si>
    <t>Infraestrutura (m³)</t>
  </si>
  <si>
    <t>Superestrutura (m³)</t>
  </si>
  <si>
    <t>Paredes em cada uma das extremidades (m³)</t>
  </si>
  <si>
    <t>Área de montagem (m³)</t>
  </si>
  <si>
    <t>pwh_strc_shot_m3</t>
  </si>
  <si>
    <t>hsy_trce_0000_l</t>
  </si>
  <si>
    <t>x</t>
  </si>
  <si>
    <t>hydraulic system length comprising penstock branches and the underground powerhouse</t>
  </si>
  <si>
    <t>hydraulic system length comprising the underground tailrace and the pumping intake</t>
  </si>
  <si>
    <t>the shortest length between the upper and the lower reservoir</t>
  </si>
  <si>
    <t>shotcrete volume of the underground powerhouse</t>
  </si>
  <si>
    <t>height and widht of the tailrace tunnel</t>
  </si>
  <si>
    <t>total lenght of the tailrace tunnel section</t>
  </si>
  <si>
    <r>
      <t>CN1 = 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- S + 2.Hta + e</t>
    </r>
    <r>
      <rPr>
        <vertAlign val="subscript"/>
        <sz val="11"/>
        <color theme="1"/>
        <rFont val="Calibri"/>
        <family val="2"/>
        <scheme val="minor"/>
      </rPr>
      <t>te</t>
    </r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</si>
  <si>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</si>
  <si>
    <r>
      <t>NA</t>
    </r>
    <r>
      <rPr>
        <vertAlign val="subscript"/>
        <sz val="11"/>
        <color theme="1"/>
        <rFont val="Calibri"/>
        <family val="2"/>
        <scheme val="minor"/>
      </rPr>
      <t>xch</t>
    </r>
  </si>
  <si>
    <r>
      <t>A</t>
    </r>
    <r>
      <rPr>
        <vertAlign val="subscript"/>
        <sz val="11"/>
        <color theme="1"/>
        <rFont val="Calibri"/>
        <family val="2"/>
        <scheme val="minor"/>
      </rPr>
      <t>ch</t>
    </r>
  </si>
  <si>
    <r>
      <t>Y</t>
    </r>
    <r>
      <rPr>
        <vertAlign val="subscript"/>
        <sz val="11"/>
        <color theme="1"/>
        <rFont val="Calibri"/>
        <family val="2"/>
        <scheme val="minor"/>
      </rPr>
      <t>max</t>
    </r>
  </si>
  <si>
    <r>
      <t>A</t>
    </r>
    <r>
      <rPr>
        <vertAlign val="subscript"/>
        <sz val="11"/>
        <color theme="1"/>
        <rFont val="Calibri"/>
        <family val="2"/>
        <scheme val="minor"/>
      </rPr>
      <t>ad</t>
    </r>
  </si>
  <si>
    <r>
      <t>A</t>
    </r>
    <r>
      <rPr>
        <vertAlign val="subscript"/>
        <sz val="11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 xml:space="preserve"> = 0,8927 . Hta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</si>
  <si>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e</t>
    </r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</si>
  <si>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</si>
  <si>
    <r>
      <t>H</t>
    </r>
    <r>
      <rPr>
        <vertAlign val="subscript"/>
        <sz val="11"/>
        <color theme="1"/>
        <rFont val="Calibri"/>
        <family val="2"/>
        <scheme val="minor"/>
      </rPr>
      <t>d</t>
    </r>
  </si>
  <si>
    <r>
      <t>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(s)</t>
    </r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</si>
  <si>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(s)</t>
    </r>
  </si>
  <si>
    <r>
      <t>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(i)</t>
    </r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</si>
  <si>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(i)</t>
    </r>
  </si>
  <si>
    <r>
      <t>Q</t>
    </r>
    <r>
      <rPr>
        <vertAlign val="subscript"/>
        <sz val="11"/>
        <color theme="1"/>
        <rFont val="Calibri"/>
        <family val="2"/>
        <scheme val="minor"/>
      </rPr>
      <t>t</t>
    </r>
  </si>
  <si>
    <r>
      <t>Hb = NA</t>
    </r>
    <r>
      <rPr>
        <vertAlign val="subscript"/>
        <sz val="11"/>
        <color rgb="FFFF0000"/>
        <rFont val="Calibri"/>
        <family val="2"/>
        <scheme val="minor"/>
      </rPr>
      <t>med</t>
    </r>
    <r>
      <rPr>
        <sz val="11"/>
        <color rgb="FFFF0000"/>
        <rFont val="Calibri"/>
        <family val="2"/>
        <scheme val="minor"/>
      </rPr>
      <t xml:space="preserve"> (s) - NA</t>
    </r>
    <r>
      <rPr>
        <vertAlign val="subscript"/>
        <sz val="11"/>
        <color rgb="FFFF0000"/>
        <rFont val="Calibri"/>
        <family val="2"/>
        <scheme val="minor"/>
      </rPr>
      <t>med</t>
    </r>
    <r>
      <rPr>
        <sz val="11"/>
        <color rgb="FFFF0000"/>
        <rFont val="Calibri"/>
        <family val="2"/>
        <scheme val="minor"/>
      </rPr>
      <t xml:space="preserve"> (i)</t>
    </r>
  </si>
  <si>
    <r>
      <t>Na</t>
    </r>
    <r>
      <rPr>
        <vertAlign val="subscript"/>
        <sz val="11"/>
        <color theme="1"/>
        <rFont val="Calibri"/>
        <family val="2"/>
        <scheme val="minor"/>
      </rPr>
      <t>xch</t>
    </r>
    <r>
      <rPr>
        <sz val="11"/>
        <color theme="1"/>
        <rFont val="Calibri"/>
        <family val="2"/>
        <scheme val="minor"/>
      </rPr>
      <t xml:space="preserve"> = 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- 2/3 . (h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+h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+ Y</t>
    </r>
    <r>
      <rPr>
        <vertAlign val="subscript"/>
        <sz val="11"/>
        <color theme="1"/>
        <rFont val="Calibri"/>
        <family val="2"/>
        <scheme val="minor"/>
      </rPr>
      <t>max</t>
    </r>
  </si>
  <si>
    <r>
      <t xml:space="preserve">por simplificação, LC = 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min</t>
    </r>
    <r>
      <rPr>
        <sz val="11"/>
        <color rgb="FF0070C0"/>
        <rFont val="Calibri"/>
        <family val="2"/>
        <scheme val="minor"/>
      </rPr>
      <t xml:space="preserve"> (i)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- Htf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 xml:space="preserve">a avaliar </t>
    </r>
  </si>
  <si>
    <r>
      <t xml:space="preserve">TRECHO BLINDADO </t>
    </r>
    <r>
      <rPr>
        <b/>
        <sz val="11"/>
        <color theme="4"/>
        <rFont val="Calibri"/>
        <family val="2"/>
        <scheme val="minor"/>
      </rPr>
      <t>E CASA DE FORÇA</t>
    </r>
    <r>
      <rPr>
        <b/>
        <sz val="11"/>
        <color theme="1"/>
        <rFont val="Calibri"/>
        <family val="2"/>
        <scheme val="minor"/>
      </rPr>
      <t xml:space="preserve"> - Parâmetros para definição da extensão e psicionamento</t>
    </r>
  </si>
  <si>
    <r>
      <t>comparar com NA</t>
    </r>
    <r>
      <rPr>
        <vertAlign val="subscript"/>
        <sz val="11"/>
        <color rgb="FFFF0000"/>
        <rFont val="Calibri"/>
        <family val="2"/>
        <scheme val="minor"/>
      </rPr>
      <t>min</t>
    </r>
    <r>
      <rPr>
        <sz val="11"/>
        <color rgb="FFFF0000"/>
        <rFont val="Calibri"/>
        <family val="2"/>
        <scheme val="minor"/>
      </rPr>
      <t xml:space="preserve"> (i)+ 2*N B51 em hsrf2pwh</t>
    </r>
  </si>
  <si>
    <t xml:space="preserve"> 2.Hb</t>
  </si>
  <si>
    <t>Extensão inicial entre os dois reservatórios (m)</t>
  </si>
  <si>
    <t>medida em linha reta antes da definição do traçado</t>
  </si>
  <si>
    <r>
      <t>CN2 = NA</t>
    </r>
    <r>
      <rPr>
        <vertAlign val="subscript"/>
        <sz val="11"/>
        <color theme="1"/>
        <rFont val="Calibri"/>
        <family val="2"/>
        <scheme val="minor"/>
      </rPr>
      <t>xch</t>
    </r>
    <r>
      <rPr>
        <sz val="11"/>
        <color theme="1"/>
        <rFont val="Calibri"/>
        <family val="2"/>
        <scheme val="minor"/>
      </rPr>
      <t xml:space="preserve"> + H</t>
    </r>
    <r>
      <rPr>
        <vertAlign val="subscript"/>
        <sz val="11"/>
        <color theme="1"/>
        <rFont val="Calibri"/>
        <family val="2"/>
        <scheme val="minor"/>
      </rPr>
      <t>bl</t>
    </r>
    <r>
      <rPr>
        <sz val="11"/>
        <color theme="1"/>
        <rFont val="Calibri"/>
        <family val="2"/>
        <scheme val="minor"/>
      </rPr>
      <t xml:space="preserve"> + e</t>
    </r>
    <r>
      <rPr>
        <vertAlign val="subscript"/>
        <sz val="11"/>
        <color theme="1"/>
        <rFont val="Calibri"/>
        <family val="2"/>
        <scheme val="minor"/>
      </rPr>
      <t>te</t>
    </r>
  </si>
  <si>
    <r>
      <t>H</t>
    </r>
    <r>
      <rPr>
        <vertAlign val="subscript"/>
        <sz val="11"/>
        <color theme="1"/>
        <rFont val="Calibri"/>
        <family val="2"/>
        <scheme val="minor"/>
      </rPr>
      <t>bl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</si>
  <si>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</si>
  <si>
    <r>
      <t>H</t>
    </r>
    <r>
      <rPr>
        <vertAlign val="subscript"/>
        <sz val="11"/>
        <color theme="1"/>
        <rFont val="Calibri"/>
        <family val="2"/>
        <scheme val="minor"/>
      </rPr>
      <t>fu</t>
    </r>
  </si>
  <si>
    <r>
      <t>NA</t>
    </r>
    <r>
      <rPr>
        <vertAlign val="subscript"/>
        <sz val="11"/>
        <color theme="4"/>
        <rFont val="Calibri"/>
        <family val="2"/>
        <scheme val="minor"/>
      </rPr>
      <t>min</t>
    </r>
    <r>
      <rPr>
        <sz val="11"/>
        <color theme="4"/>
        <rFont val="Calibri"/>
        <family val="2"/>
        <scheme val="minor"/>
      </rPr>
      <t xml:space="preserve"> (i) + 3.H</t>
    </r>
    <r>
      <rPr>
        <vertAlign val="subscript"/>
        <sz val="11"/>
        <color theme="4"/>
        <rFont val="Calibri"/>
        <family val="2"/>
        <scheme val="minor"/>
      </rPr>
      <t>fu</t>
    </r>
    <r>
      <rPr>
        <sz val="11"/>
        <color theme="4"/>
        <rFont val="Calibri"/>
        <family val="2"/>
        <scheme val="minor"/>
      </rPr>
      <t xml:space="preserve"> + esp</t>
    </r>
  </si>
  <si>
    <r>
      <t>CN3 = LC + H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>/2 + 2.H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+ e</t>
    </r>
    <r>
      <rPr>
        <vertAlign val="subscript"/>
        <sz val="11"/>
        <color theme="1"/>
        <rFont val="Calibri"/>
        <family val="2"/>
        <scheme val="minor"/>
      </rPr>
      <t>te</t>
    </r>
  </si>
  <si>
    <r>
      <t>H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= ( 4 /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70C0"/>
        <rFont val="Calibri"/>
        <family val="2"/>
        <scheme val="minor"/>
      </rPr>
      <t>2,4 m/s</t>
    </r>
  </si>
  <si>
    <r>
      <t>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 xml:space="preserve"> = 1,20 + ( 4 /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70C0"/>
        <rFont val="Calibri"/>
        <family val="2"/>
        <scheme val="minor"/>
      </rPr>
      <t>3,6 m/s</t>
    </r>
  </si>
  <si>
    <r>
      <t xml:space="preserve">Altura de escavação do túnel </t>
    </r>
    <r>
      <rPr>
        <sz val="11"/>
        <color theme="1"/>
        <rFont val="Calibri"/>
        <family val="2"/>
        <scheme val="minor"/>
      </rPr>
      <t>forçado</t>
    </r>
  </si>
  <si>
    <r>
      <t>H</t>
    </r>
    <r>
      <rPr>
        <vertAlign val="subscript"/>
        <sz val="11"/>
        <color theme="1"/>
        <rFont val="Calibri"/>
        <family val="2"/>
        <scheme val="minor"/>
      </rPr>
      <t>tf</t>
    </r>
  </si>
  <si>
    <r>
      <t>H</t>
    </r>
    <r>
      <rPr>
        <vertAlign val="subscript"/>
        <sz val="11"/>
        <color theme="1"/>
        <rFont val="Calibri"/>
        <family val="2"/>
        <scheme val="minor"/>
      </rPr>
      <t>b</t>
    </r>
  </si>
  <si>
    <r>
      <t>h</t>
    </r>
    <r>
      <rPr>
        <vertAlign val="subscript"/>
        <sz val="11"/>
        <color theme="1"/>
        <rFont val="Calibri"/>
        <family val="2"/>
        <scheme val="minor"/>
      </rPr>
      <t>p%</t>
    </r>
  </si>
  <si>
    <r>
      <t>S = c .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 H</t>
    </r>
    <r>
      <rPr>
        <vertAlign val="subscript"/>
        <sz val="11"/>
        <color theme="1"/>
        <rFont val="Calibri"/>
        <family val="2"/>
        <scheme val="minor"/>
      </rPr>
      <t>ta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c = 0,8;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1,76 m/s</t>
    </r>
  </si>
  <si>
    <r>
      <t xml:space="preserve">por simplificação, Hd = 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min</t>
    </r>
    <r>
      <rPr>
        <sz val="11"/>
        <color rgb="FF0070C0"/>
        <rFont val="Calibri"/>
        <family val="2"/>
        <scheme val="minor"/>
      </rPr>
      <t xml:space="preserve"> (s) - ( NA</t>
    </r>
    <r>
      <rPr>
        <vertAlign val="subscript"/>
        <sz val="11"/>
        <color rgb="FF0070C0"/>
        <rFont val="Calibri"/>
        <family val="2"/>
        <scheme val="minor"/>
      </rPr>
      <t>max</t>
    </r>
    <r>
      <rPr>
        <sz val="11"/>
        <color rgb="FF0070C0"/>
        <rFont val="Calibri"/>
        <family val="2"/>
        <scheme val="minor"/>
      </rPr>
      <t xml:space="preserve"> (i) -</t>
    </r>
    <r>
      <rPr>
        <sz val="11"/>
        <color rgb="FFFF0000"/>
        <rFont val="Calibri"/>
        <family val="2"/>
        <scheme val="minor"/>
      </rPr>
      <t xml:space="preserve"> H</t>
    </r>
    <r>
      <rPr>
        <vertAlign val="subscript"/>
        <sz val="11"/>
        <color rgb="FFFF0000"/>
        <rFont val="Calibri"/>
        <family val="2"/>
        <scheme val="minor"/>
      </rPr>
      <t>fu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),</t>
    </r>
    <r>
      <rPr>
        <sz val="11"/>
        <color rgb="FFFF0000"/>
        <rFont val="Calibri"/>
        <family val="2"/>
        <scheme val="minor"/>
      </rPr>
      <t xml:space="preserve"> a avaliar </t>
    </r>
  </si>
  <si>
    <r>
      <t>Q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 xml:space="preserve"> = P.1000 / (9,81 . 0,88 . (1-h</t>
    </r>
    <r>
      <rPr>
        <vertAlign val="subscript"/>
        <sz val="11"/>
        <color rgb="FFFF0000"/>
        <rFont val="Calibri"/>
        <family val="2"/>
        <scheme val="minor"/>
      </rPr>
      <t>p%</t>
    </r>
    <r>
      <rPr>
        <sz val="11"/>
        <color rgb="FFFF0000"/>
        <rFont val="Calibri"/>
        <family val="2"/>
        <scheme val="minor"/>
      </rPr>
      <t>). H</t>
    </r>
    <r>
      <rPr>
        <vertAlign val="subscript"/>
        <sz val="11"/>
        <color rgb="FFFF0000"/>
        <rFont val="Calibri"/>
        <family val="2"/>
        <scheme val="minor"/>
      </rPr>
      <t>b</t>
    </r>
    <r>
      <rPr>
        <sz val="11"/>
        <color rgb="FFFF0000"/>
        <rFont val="Calibri"/>
        <family val="2"/>
        <scheme val="minor"/>
      </rPr>
      <t>)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</si>
  <si>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= ( (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) / 0,8927 )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1,76 m/s</t>
    </r>
  </si>
  <si>
    <r>
      <t>H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(s) - 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(i)</t>
    </r>
  </si>
  <si>
    <r>
      <t>= El</t>
    </r>
    <r>
      <rPr>
        <vertAlign val="subscript"/>
        <sz val="11"/>
        <rFont val="Calibri"/>
        <family val="2"/>
        <scheme val="minor"/>
      </rPr>
      <t>ch</t>
    </r>
    <r>
      <rPr>
        <sz val="11"/>
        <rFont val="Calibri"/>
        <family val="2"/>
        <scheme val="minor"/>
      </rPr>
      <t xml:space="preserve"> - H</t>
    </r>
    <r>
      <rPr>
        <vertAlign val="subscript"/>
        <sz val="11"/>
        <rFont val="Calibri"/>
        <family val="2"/>
        <scheme val="minor"/>
      </rPr>
      <t>ta</t>
    </r>
    <r>
      <rPr>
        <sz val="11"/>
        <rFont val="Calibri"/>
        <family val="2"/>
        <scheme val="minor"/>
      </rPr>
      <t>, ou, sem chaminé, por simplificação, igual a 9.999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</si>
  <si>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= ( (Q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0,8927 )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</si>
  <si>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'</t>
    </r>
  </si>
  <si>
    <t>ver rendimentos</t>
  </si>
  <si>
    <t>Rendimento</t>
  </si>
  <si>
    <t>ver critérios para bomba, estava como dado de entrada</t>
  </si>
  <si>
    <r>
      <t>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+ 1,20 (valor constante, </t>
    </r>
    <r>
      <rPr>
        <sz val="11"/>
        <color rgb="FFFF0000"/>
        <rFont val="Calibri"/>
        <family val="2"/>
        <scheme val="minor"/>
      </rPr>
      <t xml:space="preserve">a avaliar, </t>
    </r>
    <r>
      <rPr>
        <sz val="1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concreto)</t>
    </r>
  </si>
  <si>
    <r>
      <t>Se 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 xml:space="preserve"> &lt; 3, redimensionar conduto para 1,8m</t>
    </r>
  </si>
  <si>
    <r>
      <t>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 = ( 4 /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)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</si>
  <si>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dh(cf) = 6,35 * L2B . n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</t>
    </r>
    <r>
      <rPr>
        <vertAlign val="subscript"/>
        <sz val="11"/>
        <color theme="1"/>
        <rFont val="Calibri"/>
        <family val="2"/>
        <scheme val="minor"/>
      </rPr>
      <t>cf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</si>
  <si>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Hd</t>
    </r>
    <r>
      <rPr>
        <vertAlign val="subscript"/>
        <sz val="11"/>
        <color theme="1"/>
        <rFont val="Calibri"/>
        <family val="2"/>
        <scheme val="minor"/>
      </rPr>
      <t>max</t>
    </r>
  </si>
  <si>
    <r>
      <t>= 0.30 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</t>
    </r>
  </si>
  <si>
    <r>
      <t>Hd</t>
    </r>
    <r>
      <rPr>
        <vertAlign val="subscript"/>
        <sz val="11"/>
        <color theme="1"/>
        <rFont val="Calibri"/>
        <family val="2"/>
        <scheme val="minor"/>
      </rPr>
      <t>calc</t>
    </r>
  </si>
  <si>
    <r>
      <t>Hd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&gt; Hd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, aumentar D</t>
    </r>
    <r>
      <rPr>
        <vertAlign val="subscript"/>
        <sz val="11"/>
        <color theme="1"/>
        <rFont val="Calibri"/>
        <family val="2"/>
        <scheme val="minor"/>
      </rPr>
      <t>cf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</si>
  <si>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' = </t>
    </r>
  </si>
  <si>
    <r>
      <t>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</si>
  <si>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/ (nf</t>
    </r>
    <r>
      <rPr>
        <vertAlign val="superscript"/>
        <sz val="11"/>
        <color theme="1"/>
        <rFont val="Calibri"/>
        <family val="2"/>
        <scheme val="minor"/>
      </rPr>
      <t>3/8</t>
    </r>
    <r>
      <rPr>
        <sz val="11"/>
        <color theme="1"/>
        <rFont val="Calibri"/>
        <family val="2"/>
        <scheme val="minor"/>
      </rPr>
      <t>)</t>
    </r>
  </si>
  <si>
    <r>
      <t>dh (cd) = 6,35 * L</t>
    </r>
    <r>
      <rPr>
        <vertAlign val="subscript"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 xml:space="preserve"> . n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cd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</t>
    </r>
    <r>
      <rPr>
        <vertAlign val="subscript"/>
        <sz val="11"/>
        <color theme="1"/>
        <rFont val="Calibri"/>
        <family val="2"/>
        <scheme val="minor"/>
      </rPr>
      <t>nf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</si>
  <si>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dh/H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(condutos aparentes)</t>
    </r>
  </si>
  <si>
    <r>
      <t>dh/H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(total)</t>
    </r>
  </si>
  <si>
    <r>
      <t>dh/H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(túnel blindado)</t>
    </r>
  </si>
  <si>
    <r>
      <t>dh/H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(túnel sem blindagem)</t>
    </r>
  </si>
  <si>
    <r>
      <t>D</t>
    </r>
    <r>
      <rPr>
        <vertAlign val="subscript"/>
        <sz val="11"/>
        <color theme="1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 xml:space="preserve"> = (4 /</t>
    </r>
    <r>
      <rPr>
        <sz val="11"/>
        <color theme="1"/>
        <rFont val="Symbol"/>
        <family val="1"/>
        <charset val="2"/>
      </rPr>
      <t xml:space="preserve"> p</t>
    </r>
    <r>
      <rPr>
        <sz val="11"/>
        <color theme="1"/>
        <rFont val="Calibri"/>
        <family val="2"/>
        <scheme val="minor"/>
      </rPr>
      <t xml:space="preserve"> . 0,8927)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 xml:space="preserve"> .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' (área equivalente)</t>
    </r>
  </si>
  <si>
    <r>
      <t>= El</t>
    </r>
    <r>
      <rPr>
        <vertAlign val="subscript"/>
        <sz val="11"/>
        <rFont val="Calibri"/>
        <family val="2"/>
        <scheme val="minor"/>
      </rPr>
      <t>sol</t>
    </r>
    <r>
      <rPr>
        <sz val="11"/>
        <rFont val="Calibri"/>
        <family val="2"/>
        <scheme val="minor"/>
      </rPr>
      <t xml:space="preserve"> da tomada d'água</t>
    </r>
  </si>
  <si>
    <r>
      <t>15,0 m &gt; = D</t>
    </r>
    <r>
      <rPr>
        <vertAlign val="subscript"/>
        <sz val="11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 xml:space="preserve"> &gt; = 3,0 m</t>
    </r>
  </si>
  <si>
    <r>
      <t>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</si>
  <si>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Se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&gt; 15, aumentar quantidade de túneis</t>
    </r>
  </si>
  <si>
    <r>
      <t>v (H</t>
    </r>
    <r>
      <rPr>
        <vertAlign val="subscript"/>
        <sz val="11"/>
        <rFont val="Calibri"/>
        <family val="2"/>
        <scheme val="minor"/>
      </rPr>
      <t>ta</t>
    </r>
    <r>
      <rPr>
        <sz val="11"/>
        <rFont val="Calibri"/>
        <family val="2"/>
        <scheme val="minor"/>
      </rPr>
      <t>) =</t>
    </r>
  </si>
  <si>
    <r>
      <t>Se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&lt; 3, diminuir velocidade e assumir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= 3,0 m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</si>
  <si>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min = 3,0 </t>
    </r>
  </si>
  <si>
    <r>
      <t>dh (conc conven) =  6,35 . (LP + L2A) . n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 v</t>
    </r>
    <r>
      <rPr>
        <vertAlign val="subscript"/>
        <sz val="11"/>
        <color theme="1"/>
        <rFont val="Calibri"/>
        <family val="2"/>
        <scheme val="minor"/>
      </rPr>
      <t>Hta'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/ Deq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</si>
  <si>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Hx = Pressão (m), sendo Hx = 1,3.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LC); </t>
    </r>
  </si>
  <si>
    <r>
      <t>e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 xml:space="preserve"> = máximo (e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</si>
  <si>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10 . (0,15 + (1,3 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 /10) . (D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>/2 . 100) / (3300/2))</t>
    </r>
  </si>
  <si>
    <r>
      <t>Pb = nf . (e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>/1000 . D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 xml:space="preserve"> .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 L2C) * 7,84</t>
    </r>
  </si>
  <si>
    <r>
      <t>D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Diâmetro (m), igual a dimensão "A", de D216, em 572fv.xls</t>
    </r>
  </si>
  <si>
    <r>
      <t>ver NA</t>
    </r>
    <r>
      <rPr>
        <vertAlign val="subscript"/>
        <sz val="11"/>
        <rFont val="Calibri"/>
        <family val="2"/>
        <scheme val="minor"/>
      </rPr>
      <t>max</t>
    </r>
    <r>
      <rPr>
        <sz val="11"/>
        <rFont val="Calibri"/>
        <family val="2"/>
        <scheme val="minor"/>
      </rPr>
      <t xml:space="preserve"> em D5, planilha hsrf2rout e LC em B32, planilha hsrf2pwh</t>
    </r>
  </si>
  <si>
    <r>
      <t>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(1000 .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+ 500)/400  </t>
    </r>
  </si>
  <si>
    <r>
      <t>e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= máximo (e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</si>
  <si>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(1000 .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+ 500)/400  </t>
    </r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</si>
  <si>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10 . (0,15 + (1,3 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 /10) . (D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>/2 . 100) / (3300/2))</t>
    </r>
  </si>
  <si>
    <r>
      <t>Pb = ncf . (e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/1000 . Dcf .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 L2B) * 7,84; ncf = 1</t>
    </r>
  </si>
  <si>
    <t>Pvb =</t>
  </si>
  <si>
    <r>
      <t>= LC - H</t>
    </r>
    <r>
      <rPr>
        <vertAlign val="subscript"/>
        <sz val="11"/>
        <rFont val="Calibri"/>
        <family val="2"/>
        <scheme val="minor"/>
      </rPr>
      <t>tf</t>
    </r>
    <r>
      <rPr>
        <sz val="11"/>
        <rFont val="Calibri"/>
        <family val="2"/>
        <scheme val="minor"/>
      </rPr>
      <t>/2</t>
    </r>
  </si>
  <si>
    <t>USBR 71</t>
  </si>
  <si>
    <t>manual de inventário</t>
  </si>
  <si>
    <t>Peso do rotor da turbina (t) - USBR, 77</t>
  </si>
  <si>
    <t>Peso do fornecimento da turbina (t) - USBR, 77</t>
  </si>
  <si>
    <t>= U</t>
  </si>
  <si>
    <t>= Z</t>
  </si>
  <si>
    <t>= 2.V</t>
  </si>
  <si>
    <t>psh/hpp</t>
  </si>
  <si>
    <t>ver critérios, perdas</t>
  </si>
  <si>
    <t xml:space="preserve">critérios? </t>
  </si>
  <si>
    <t>mais longo?</t>
  </si>
  <si>
    <t>só grade?</t>
  </si>
  <si>
    <r>
      <t>(El</t>
    </r>
    <r>
      <rPr>
        <vertAlign val="subscript"/>
        <sz val="11"/>
        <color theme="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 xml:space="preserve"> - e</t>
    </r>
    <r>
      <rPr>
        <vertAlign val="subscript"/>
        <sz val="11"/>
        <color theme="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>) - (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min</t>
    </r>
    <r>
      <rPr>
        <sz val="11"/>
        <color rgb="FF0070C0"/>
        <rFont val="Calibri"/>
        <family val="2"/>
        <scheme val="minor"/>
      </rPr>
      <t xml:space="preserve"> (i)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- H</t>
    </r>
    <r>
      <rPr>
        <vertAlign val="subscript"/>
        <sz val="11"/>
        <color rgb="FFFF0000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>) + 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>/2 &gt; 0,8.H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a avaliar</t>
    </r>
  </si>
  <si>
    <r>
      <t xml:space="preserve">soil thickness on the hydraulic circuit alignment </t>
    </r>
    <r>
      <rPr>
        <sz val="11"/>
        <color rgb="FFFF0000"/>
        <rFont val="Calibri"/>
        <family val="2"/>
        <scheme val="minor"/>
      </rPr>
      <t>ROUTE STNK, PWH</t>
    </r>
  </si>
  <si>
    <r>
      <t xml:space="preserve">soil thickness on the site of a reservoir </t>
    </r>
    <r>
      <rPr>
        <sz val="11"/>
        <color rgb="FFFF0000"/>
        <rFont val="Calibri"/>
        <family val="2"/>
        <scheme val="minor"/>
      </rPr>
      <t>INTK sup WATC 1, ROUTE INLET</t>
    </r>
  </si>
  <si>
    <r>
      <t>soil thickness on the left riverbank</t>
    </r>
    <r>
      <rPr>
        <sz val="11"/>
        <color rgb="FFFF0000"/>
        <rFont val="Calibri"/>
        <family val="2"/>
        <scheme val="minor"/>
      </rPr>
      <t xml:space="preserve"> INTK sup WATC 0, ROUTE INLET</t>
    </r>
  </si>
  <si>
    <r>
      <t xml:space="preserve">soil thickness on the right riverbank </t>
    </r>
    <r>
      <rPr>
        <sz val="11"/>
        <color rgb="FFFF0000"/>
        <rFont val="Calibri"/>
        <family val="2"/>
        <scheme val="minor"/>
      </rPr>
      <t>INTK sup WATC 0, ROUTE INLET</t>
    </r>
  </si>
  <si>
    <t>critérios</t>
  </si>
  <si>
    <r>
      <t>Altura total (m) - H</t>
    </r>
    <r>
      <rPr>
        <vertAlign val="subscript"/>
        <sz val="11"/>
        <rFont val="Calibri"/>
        <family val="2"/>
        <scheme val="minor"/>
      </rPr>
      <t>cp</t>
    </r>
  </si>
  <si>
    <r>
      <t>Largura (m) - B</t>
    </r>
    <r>
      <rPr>
        <vertAlign val="subscript"/>
        <sz val="11"/>
        <rFont val="Calibri"/>
        <family val="2"/>
        <scheme val="minor"/>
      </rPr>
      <t>cp</t>
    </r>
  </si>
  <si>
    <r>
      <t>k = B</t>
    </r>
    <r>
      <rPr>
        <b/>
        <vertAlign val="subscript"/>
        <sz val="11"/>
        <rFont val="Calibri"/>
        <family val="2"/>
        <scheme val="minor"/>
      </rPr>
      <t>cp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x H</t>
    </r>
    <r>
      <rPr>
        <b/>
        <vertAlign val="subscript"/>
        <sz val="11"/>
        <rFont val="Calibri"/>
        <family val="2"/>
        <scheme val="minor"/>
      </rPr>
      <t>cp</t>
    </r>
    <r>
      <rPr>
        <b/>
        <sz val="11"/>
        <rFont val="Calibri"/>
        <family val="2"/>
        <scheme val="minor"/>
      </rPr>
      <t xml:space="preserve"> x H</t>
    </r>
    <r>
      <rPr>
        <b/>
        <vertAlign val="subscript"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 xml:space="preserve"> / 1000</t>
    </r>
  </si>
  <si>
    <t>Custo</t>
  </si>
  <si>
    <r>
      <t>k' = B</t>
    </r>
    <r>
      <rPr>
        <vertAlign val="subscript"/>
        <sz val="11"/>
        <rFont val="Calibri"/>
        <family val="2"/>
        <scheme val="minor"/>
      </rPr>
      <t>cp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x H</t>
    </r>
    <r>
      <rPr>
        <vertAlign val="subscript"/>
        <sz val="11"/>
        <rFont val="Calibri"/>
        <family val="2"/>
        <scheme val="minor"/>
      </rPr>
      <t>cp</t>
    </r>
    <r>
      <rPr>
        <sz val="11"/>
        <rFont val="Calibri"/>
        <family val="2"/>
        <scheme val="minor"/>
      </rPr>
      <t xml:space="preserve"> x H</t>
    </r>
    <r>
      <rPr>
        <vertAlign val="subscript"/>
        <sz val="11"/>
        <rFont val="Calibri"/>
        <family val="2"/>
        <scheme val="minor"/>
      </rPr>
      <t>x</t>
    </r>
    <r>
      <rPr>
        <sz val="11"/>
        <rFont val="Calibri"/>
        <family val="2"/>
        <scheme val="minor"/>
      </rPr>
      <t xml:space="preserve"> / 1000</t>
    </r>
  </si>
  <si>
    <t>Custo FOB  (MI, 2007) - R$</t>
  </si>
  <si>
    <t>Quantidade de divisões teóricas no vão da comporta</t>
  </si>
  <si>
    <t>Potência (kVA)</t>
  </si>
  <si>
    <t>validade para 1000</t>
  </si>
  <si>
    <t>Peças fixas (MI, 2007) - R$</t>
  </si>
  <si>
    <r>
      <t>Quantidade de Vãos do Tubo de Sucção (N</t>
    </r>
    <r>
      <rPr>
        <vertAlign val="subscript"/>
        <sz val="11"/>
        <rFont val="Calibri"/>
        <family val="2"/>
        <scheme val="minor"/>
      </rPr>
      <t>vs</t>
    </r>
    <r>
      <rPr>
        <sz val="11"/>
        <rFont val="Calibri"/>
        <family val="2"/>
        <scheme val="minor"/>
      </rPr>
      <t>)</t>
    </r>
  </si>
  <si>
    <r>
      <t>Largura do bloco da unidade (m) - B</t>
    </r>
    <r>
      <rPr>
        <vertAlign val="subscript"/>
        <sz val="11"/>
        <rFont val="Calibri"/>
        <family val="2"/>
        <scheme val="minor"/>
      </rPr>
      <t>1cf</t>
    </r>
  </si>
  <si>
    <r>
      <t>Largura total da casa de força (m) - B</t>
    </r>
    <r>
      <rPr>
        <vertAlign val="subscript"/>
        <sz val="11"/>
        <rFont val="Calibri"/>
        <family val="2"/>
        <scheme val="minor"/>
      </rPr>
      <t>cf</t>
    </r>
  </si>
  <si>
    <r>
      <t>Largura total da área de montagem (m) - B</t>
    </r>
    <r>
      <rPr>
        <vertAlign val="subscript"/>
        <sz val="11"/>
        <rFont val="Calibri"/>
        <family val="2"/>
        <scheme val="minor"/>
      </rPr>
      <t>am</t>
    </r>
  </si>
  <si>
    <r>
      <t>Comprimento da superestrutura (m) - L</t>
    </r>
    <r>
      <rPr>
        <vertAlign val="subscript"/>
        <sz val="11"/>
        <rFont val="Calibri"/>
        <family val="2"/>
        <scheme val="minor"/>
      </rPr>
      <t>cs</t>
    </r>
  </si>
  <si>
    <r>
      <t>Comprimento da casa de força (m) - L</t>
    </r>
    <r>
      <rPr>
        <vertAlign val="subscript"/>
        <sz val="11"/>
        <rFont val="Calibri"/>
        <family val="2"/>
        <scheme val="minor"/>
      </rPr>
      <t>cf</t>
    </r>
  </si>
  <si>
    <r>
      <t>Comprimento da área de montagem (m) - L</t>
    </r>
    <r>
      <rPr>
        <vertAlign val="subscript"/>
        <sz val="11"/>
        <rFont val="Calibri"/>
        <family val="2"/>
        <scheme val="minor"/>
      </rPr>
      <t>am</t>
    </r>
  </si>
  <si>
    <r>
      <t>Diâmetro centro do rotor (m) - D</t>
    </r>
    <r>
      <rPr>
        <vertAlign val="subscript"/>
        <sz val="11"/>
        <rFont val="Calibri"/>
        <family val="2"/>
        <scheme val="minor"/>
      </rPr>
      <t>1</t>
    </r>
  </si>
  <si>
    <r>
      <t>Diâmetro da Garganta do Rotor (D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</si>
  <si>
    <r>
      <t>Diâmetro Máximo do Rotor (D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</si>
  <si>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r>
      <t>Altura Superior do Rotor (H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)</t>
    </r>
  </si>
  <si>
    <r>
      <t>Altura Inferior do Rotor (H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</si>
  <si>
    <r>
      <t>Número de Unidades - N</t>
    </r>
    <r>
      <rPr>
        <vertAlign val="subscript"/>
        <sz val="11"/>
        <rFont val="Calibri"/>
        <family val="2"/>
        <scheme val="minor"/>
      </rPr>
      <t>g</t>
    </r>
  </si>
  <si>
    <r>
      <t>Altura de Recalque Nominal (m) - H</t>
    </r>
    <r>
      <rPr>
        <vertAlign val="subscript"/>
        <sz val="11"/>
        <rFont val="Calibri"/>
        <family val="2"/>
        <scheme val="minor"/>
      </rPr>
      <t>p</t>
    </r>
  </si>
  <si>
    <r>
      <t>Altura de Recalque Mínima (m) - H</t>
    </r>
    <r>
      <rPr>
        <vertAlign val="subscript"/>
        <sz val="11"/>
        <rFont val="Calibri"/>
        <family val="2"/>
        <scheme val="minor"/>
      </rPr>
      <t>pm</t>
    </r>
  </si>
  <si>
    <r>
      <t>Altura de Recalque Máxima (m) - H</t>
    </r>
    <r>
      <rPr>
        <vertAlign val="subscript"/>
        <sz val="11"/>
        <rFont val="Calibri"/>
        <family val="2"/>
        <scheme val="minor"/>
      </rPr>
      <t>pM</t>
    </r>
  </si>
  <si>
    <r>
      <t>Queda Nominal (m) - H</t>
    </r>
    <r>
      <rPr>
        <vertAlign val="subscript"/>
        <sz val="11"/>
        <rFont val="Calibri"/>
        <family val="2"/>
        <scheme val="minor"/>
      </rPr>
      <t>t</t>
    </r>
  </si>
  <si>
    <r>
      <t>Potência Nominal (kW) - P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/ P</t>
    </r>
    <r>
      <rPr>
        <vertAlign val="subscript"/>
        <sz val="11"/>
        <rFont val="Calibri"/>
        <family val="2"/>
        <scheme val="minor"/>
      </rPr>
      <t>t</t>
    </r>
  </si>
  <si>
    <r>
      <t>Relação (P</t>
    </r>
    <r>
      <rPr>
        <vertAlign val="subscript"/>
        <sz val="11"/>
        <rFont val="Calibri"/>
        <family val="2"/>
        <scheme val="minor"/>
      </rPr>
      <t xml:space="preserve">p </t>
    </r>
    <r>
      <rPr>
        <sz val="11"/>
        <rFont val="Calibri"/>
        <family val="2"/>
        <scheme val="minor"/>
      </rPr>
      <t>/ P</t>
    </r>
    <r>
      <rPr>
        <vertAlign val="subscript"/>
        <sz val="11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)</t>
    </r>
  </si>
  <si>
    <r>
      <t>Relação (H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/ H</t>
    </r>
    <r>
      <rPr>
        <vertAlign val="subscript"/>
        <sz val="11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)</t>
    </r>
  </si>
  <si>
    <r>
      <t>Potência nominal (kW) - P</t>
    </r>
    <r>
      <rPr>
        <vertAlign val="subscript"/>
        <sz val="11"/>
        <rFont val="Calibri"/>
        <family val="2"/>
        <scheme val="minor"/>
      </rPr>
      <t>pc</t>
    </r>
  </si>
  <si>
    <r>
      <t>Relação P</t>
    </r>
    <r>
      <rPr>
        <vertAlign val="subscript"/>
        <sz val="11"/>
        <rFont val="Calibri"/>
        <family val="2"/>
        <scheme val="minor"/>
      </rPr>
      <t>pc</t>
    </r>
    <r>
      <rPr>
        <sz val="11"/>
        <rFont val="Calibri"/>
        <family val="2"/>
        <scheme val="minor"/>
      </rPr>
      <t xml:space="preserve"> / P</t>
    </r>
    <r>
      <rPr>
        <vertAlign val="subscript"/>
        <sz val="11"/>
        <rFont val="Calibri"/>
        <family val="2"/>
        <scheme val="minor"/>
      </rPr>
      <t>t</t>
    </r>
  </si>
  <si>
    <r>
      <t>Capacidade máxima (kW) - P</t>
    </r>
    <r>
      <rPr>
        <vertAlign val="subscript"/>
        <sz val="11"/>
        <rFont val="Calibri"/>
        <family val="2"/>
        <scheme val="minor"/>
      </rPr>
      <t>pm</t>
    </r>
  </si>
  <si>
    <r>
      <t>Coeficiente de velocidade de disparo - k</t>
    </r>
    <r>
      <rPr>
        <vertAlign val="subscript"/>
        <sz val="11"/>
        <rFont val="Calibri"/>
        <family val="2"/>
        <scheme val="minor"/>
      </rPr>
      <t>u</t>
    </r>
  </si>
  <si>
    <r>
      <t>Altura de sucção referente à LC do distribuidor (m) - H</t>
    </r>
    <r>
      <rPr>
        <vertAlign val="subscript"/>
        <sz val="11"/>
        <rFont val="Calibri"/>
        <family val="2"/>
        <scheme val="minor"/>
      </rPr>
      <t>s</t>
    </r>
  </si>
  <si>
    <r>
      <t>Velocidade de disparo (rpm) - n</t>
    </r>
    <r>
      <rPr>
        <vertAlign val="subscript"/>
        <sz val="11"/>
        <rFont val="Calibri"/>
        <family val="2"/>
        <scheme val="minor"/>
      </rPr>
      <t xml:space="preserve">f </t>
    </r>
  </si>
  <si>
    <r>
      <t>Velocidade específica (n</t>
    </r>
    <r>
      <rPr>
        <vertAlign val="subscript"/>
        <sz val="11"/>
        <rFont val="Calibri"/>
        <family val="2"/>
        <scheme val="minor"/>
      </rPr>
      <t>sp</t>
    </r>
    <r>
      <rPr>
        <sz val="11"/>
        <rFont val="Calibri"/>
        <family val="2"/>
        <scheme val="minor"/>
      </rPr>
      <t xml:space="preserve"> / n</t>
    </r>
    <r>
      <rPr>
        <vertAlign val="subscript"/>
        <sz val="11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>)</t>
    </r>
  </si>
  <si>
    <r>
      <t>Velocidade específica estatística (n</t>
    </r>
    <r>
      <rPr>
        <vertAlign val="subscript"/>
        <sz val="11"/>
        <rFont val="Calibri"/>
        <family val="2"/>
        <scheme val="minor"/>
      </rPr>
      <t>spe</t>
    </r>
    <r>
      <rPr>
        <sz val="11"/>
        <rFont val="Calibri"/>
        <family val="2"/>
        <scheme val="minor"/>
      </rPr>
      <t xml:space="preserve"> / n</t>
    </r>
    <r>
      <rPr>
        <vertAlign val="subscript"/>
        <sz val="11"/>
        <rFont val="Calibri"/>
        <family val="2"/>
        <scheme val="minor"/>
      </rPr>
      <t>ste</t>
    </r>
    <r>
      <rPr>
        <sz val="11"/>
        <rFont val="Calibri"/>
        <family val="2"/>
        <scheme val="minor"/>
      </rPr>
      <t>)</t>
    </r>
  </si>
  <si>
    <r>
      <t>Velocidade de rotação preliminar (n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)</t>
    </r>
  </si>
  <si>
    <r>
      <t xml:space="preserve">Altura estática máxima (m) - </t>
    </r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p</t>
    </r>
  </si>
  <si>
    <r>
      <t xml:space="preserve">Coeficiente de cavitação teórico - </t>
    </r>
    <r>
      <rPr>
        <sz val="11"/>
        <rFont val="Symbol"/>
        <family val="1"/>
        <charset val="2"/>
      </rPr>
      <t>s</t>
    </r>
    <r>
      <rPr>
        <vertAlign val="subscript"/>
        <sz val="11"/>
        <rFont val="Calibri"/>
        <family val="2"/>
        <scheme val="minor"/>
      </rPr>
      <t>T</t>
    </r>
  </si>
  <si>
    <r>
      <t xml:space="preserve">Coeficiente de cavitação adotado - </t>
    </r>
    <r>
      <rPr>
        <sz val="11"/>
        <rFont val="Symbol"/>
        <family val="1"/>
        <charset val="2"/>
      </rPr>
      <t>s</t>
    </r>
  </si>
  <si>
    <r>
      <t xml:space="preserve">dam crest elevation </t>
    </r>
    <r>
      <rPr>
        <sz val="11"/>
        <color rgb="FFFF0000"/>
        <rFont val="Calibri"/>
        <family val="2"/>
        <scheme val="minor"/>
      </rPr>
      <t>INTK inf</t>
    </r>
  </si>
  <si>
    <r>
      <t>dam crest width</t>
    </r>
    <r>
      <rPr>
        <sz val="11"/>
        <color rgb="FFFF0000"/>
        <rFont val="Calibri"/>
        <family val="2"/>
        <scheme val="minor"/>
      </rPr>
      <t xml:space="preserve"> INTK inf</t>
    </r>
  </si>
  <si>
    <r>
      <t xml:space="preserve">soil thickness on the site of a reservoir </t>
    </r>
    <r>
      <rPr>
        <sz val="11"/>
        <color rgb="FFFF0000"/>
        <rFont val="Calibri"/>
        <family val="2"/>
        <scheme val="minor"/>
      </rPr>
      <t>INTK inf WATC 1, ROUTE OUTLET</t>
    </r>
  </si>
  <si>
    <r>
      <t xml:space="preserve">soil thickness on the left riverbank </t>
    </r>
    <r>
      <rPr>
        <sz val="11"/>
        <color rgb="FFFF0000"/>
        <rFont val="Calibri"/>
        <family val="2"/>
        <scheme val="minor"/>
      </rPr>
      <t>INTK inf WATC 0, ROUTE OUTLET</t>
    </r>
  </si>
  <si>
    <r>
      <t xml:space="preserve">soil thickness on the right riverbank </t>
    </r>
    <r>
      <rPr>
        <sz val="11"/>
        <color rgb="FFFF0000"/>
        <rFont val="Calibri"/>
        <family val="2"/>
        <scheme val="minor"/>
      </rPr>
      <t>INTK inf WATC 0,  ROUTE OUTLET</t>
    </r>
  </si>
  <si>
    <t>Benfeitorias na área da usina  (MI, 2007) - R$</t>
  </si>
  <si>
    <t>Instalações e acabamentos  (MI, 2007) - R$</t>
  </si>
  <si>
    <r>
      <t>Distância entre a face externa de montante e a LC (m) - d</t>
    </r>
    <r>
      <rPr>
        <vertAlign val="subscript"/>
        <sz val="11"/>
        <rFont val="Calibri"/>
        <family val="2"/>
        <scheme val="minor"/>
      </rPr>
      <t>1</t>
    </r>
  </si>
  <si>
    <r>
      <t>Distância entre a LC e a face externa de jusante (m) - d</t>
    </r>
    <r>
      <rPr>
        <vertAlign val="subscript"/>
        <sz val="11"/>
        <rFont val="Calibri"/>
        <family val="2"/>
        <scheme val="minor"/>
      </rPr>
      <t>2</t>
    </r>
  </si>
  <si>
    <r>
      <t>Total de concreto estrutural (m³) - V</t>
    </r>
    <r>
      <rPr>
        <b/>
        <vertAlign val="subscript"/>
        <sz val="11"/>
        <rFont val="Calibri"/>
        <family val="2"/>
        <scheme val="minor"/>
      </rPr>
      <t>ccf</t>
    </r>
  </si>
  <si>
    <r>
      <t>Total de concreto projetado (m³) - V</t>
    </r>
    <r>
      <rPr>
        <b/>
        <vertAlign val="subscript"/>
        <sz val="11"/>
        <rFont val="Calibri"/>
        <family val="2"/>
        <scheme val="minor"/>
      </rPr>
      <t>cp</t>
    </r>
  </si>
  <si>
    <t>pwh_strc_ugex_m3</t>
  </si>
  <si>
    <t>underground rock excavation volume of the powerhouse</t>
  </si>
  <si>
    <r>
      <t>Total de escavação subterrânea (m³) - V</t>
    </r>
    <r>
      <rPr>
        <b/>
        <vertAlign val="subscript"/>
        <sz val="11"/>
        <rFont val="Calibri"/>
        <family val="2"/>
        <scheme val="minor"/>
      </rPr>
      <t>scf</t>
    </r>
  </si>
  <si>
    <r>
      <t>Diametro do Poço (D</t>
    </r>
    <r>
      <rPr>
        <vertAlign val="subscript"/>
        <sz val="11"/>
        <rFont val="Calibri"/>
        <family val="2"/>
        <scheme val="minor"/>
      </rPr>
      <t>pg</t>
    </r>
    <r>
      <rPr>
        <sz val="11"/>
        <rFont val="Calibri"/>
        <family val="2"/>
        <scheme val="minor"/>
      </rPr>
      <t>)</t>
    </r>
  </si>
  <si>
    <t>Elevação do deck</t>
  </si>
  <si>
    <t>QUANTITATIVOS DA CASA DE FORÇA</t>
  </si>
  <si>
    <t>ver B24 em hsrf2stnk</t>
  </si>
  <si>
    <t>ver B16 em hsrf2intk</t>
  </si>
  <si>
    <t>ver B9 em hsrf2stnk</t>
  </si>
  <si>
    <t>ver B10 em hsrf2stnk</t>
  </si>
  <si>
    <t>ver B23 em hsrf2stnk</t>
  </si>
  <si>
    <t>ver B21 em hsrf2stnk</t>
  </si>
  <si>
    <t>ver B12-B13 em hsrf2stnk</t>
  </si>
  <si>
    <r>
      <t xml:space="preserve">por simplificação, 1.5% . ( 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med</t>
    </r>
    <r>
      <rPr>
        <sz val="11"/>
        <color rgb="FF0070C0"/>
        <rFont val="Calibri"/>
        <family val="2"/>
        <scheme val="minor"/>
      </rPr>
      <t xml:space="preserve"> (s) - NA</t>
    </r>
    <r>
      <rPr>
        <vertAlign val="subscript"/>
        <sz val="11"/>
        <color rgb="FF0070C0"/>
        <rFont val="Calibri"/>
        <family val="2"/>
        <scheme val="minor"/>
      </rPr>
      <t>med</t>
    </r>
    <r>
      <rPr>
        <sz val="11"/>
        <color rgb="FF0070C0"/>
        <rFont val="Calibri"/>
        <family val="2"/>
        <scheme val="minor"/>
      </rPr>
      <t xml:space="preserve"> (i) </t>
    </r>
    <r>
      <rPr>
        <sz val="11"/>
        <color theme="1"/>
        <rFont val="Calibri"/>
        <family val="2"/>
        <scheme val="minor"/>
      </rPr>
      <t>)</t>
    </r>
  </si>
  <si>
    <t>ver critérios: como manual ou turbinas padrão?</t>
  </si>
  <si>
    <r>
      <t>Vazão (m³/s) - Q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/ Q</t>
    </r>
    <r>
      <rPr>
        <vertAlign val="subscript"/>
        <sz val="11"/>
        <rFont val="Calibri"/>
        <family val="2"/>
        <scheme val="minor"/>
      </rPr>
      <t>t</t>
    </r>
  </si>
  <si>
    <r>
      <t xml:space="preserve">Variação da capacidade relativa - </t>
    </r>
    <r>
      <rPr>
        <sz val="11"/>
        <rFont val="Symbol"/>
        <family val="1"/>
        <charset val="2"/>
      </rPr>
      <t>l</t>
    </r>
  </si>
  <si>
    <r>
      <t>Relação entre quedas (H</t>
    </r>
    <r>
      <rPr>
        <vertAlign val="subscript"/>
        <sz val="11"/>
        <rFont val="Calibri"/>
        <family val="2"/>
        <scheme val="minor"/>
      </rPr>
      <t xml:space="preserve">pm </t>
    </r>
    <r>
      <rPr>
        <sz val="11"/>
        <rFont val="Calibri"/>
        <family val="2"/>
        <scheme val="minor"/>
      </rPr>
      <t>/ H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)</t>
    </r>
  </si>
  <si>
    <r>
      <t>Diâmetro do poço do gerador (m) - D</t>
    </r>
    <r>
      <rPr>
        <vertAlign val="subscript"/>
        <sz val="11"/>
        <rFont val="Calibri"/>
        <family val="2"/>
        <scheme val="minor"/>
      </rPr>
      <t>pg</t>
    </r>
  </si>
  <si>
    <r>
      <t>Potência Unitária Máxima - P</t>
    </r>
    <r>
      <rPr>
        <vertAlign val="subscript"/>
        <sz val="11"/>
        <rFont val="Calibri"/>
        <family val="2"/>
        <scheme val="minor"/>
      </rPr>
      <t>1xt</t>
    </r>
  </si>
  <si>
    <r>
      <t>Potência Unitária Mínima - P</t>
    </r>
    <r>
      <rPr>
        <vertAlign val="subscript"/>
        <sz val="11"/>
        <rFont val="Calibri"/>
        <family val="2"/>
        <scheme val="minor"/>
      </rPr>
      <t>1nt</t>
    </r>
  </si>
  <si>
    <t>nf = número de unidades (B10, em hsrf2pwh)</t>
  </si>
  <si>
    <r>
      <t>Número Mínimo de Unidades - N</t>
    </r>
    <r>
      <rPr>
        <vertAlign val="subscript"/>
        <sz val="11"/>
        <rFont val="Calibri"/>
        <family val="2"/>
        <scheme val="minor"/>
      </rPr>
      <t>gnt</t>
    </r>
  </si>
  <si>
    <t>TOMADA D´ÁGUA DO BOMBEAMENTO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</si>
</sst>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5" formatCode="0.0"/>
    <numFmt numFmtId="166" formatCode="_-* #,##0_-;\-* #,##0_-;_-* &quot;-&quot;??_-;_-@_-"/>
    <numFmt numFmtId="167" formatCode="#,##0.0"/>
    <numFmt numFmtId="168" formatCode="#,##0.000"/>
    <numFmt numFmtId="169" formatCode="#,##0.00_ ;[Red]\-#,##0.00\ "/>
    <numFmt numFmtId="170" formatCode="_-* #,##0.0_-;\-* #,##0.0_-;_-* &quot;-&quot;??_-;_-@_-"/>
    <numFmt numFmtId="171" formatCode="#,##0.0_ ;\-#,##0.0\ "/>
    <numFmt numFmtId="172" formatCode="#,##0.0000"/>
    <numFmt numFmtId="173" formatCode="#,##0.00000"/>
  </numFmts>
  <fonts count="10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sz val="10"/>
      <name val="Symbol"/>
      <family val="1"/>
      <charset val="2"/>
    </font>
    <font>
      <b/>
      <sz val="8"/>
      <name val="Arial"/>
      <family val="2"/>
    </font>
    <font>
      <b/>
      <sz val="10"/>
      <name val="MT Extra"/>
      <family val="1"/>
      <charset val="2"/>
    </font>
    <font>
      <sz val="10"/>
      <name val="MT Extra"/>
      <family val="1"/>
      <charset val="2"/>
    </font>
    <font>
      <vertAlign val="superscript"/>
      <sz val="10"/>
      <name val="Arial"/>
      <family val="2"/>
    </font>
    <font>
      <b/>
      <sz val="10"/>
      <color indexed="10"/>
      <name val="MS Sans Serif"/>
      <family val="2"/>
    </font>
    <font>
      <b/>
      <sz val="10"/>
      <color indexed="10"/>
      <name val="Arial"/>
      <family val="2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Times New Roman"/>
      <family val="1"/>
    </font>
    <font>
      <sz val="10"/>
      <color indexed="8"/>
      <name val="MT Extra"/>
      <family val="1"/>
      <charset val="2"/>
    </font>
    <font>
      <i/>
      <sz val="10"/>
      <color indexed="10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MS Sans Serif"/>
    </font>
    <font>
      <b/>
      <vertAlign val="superscript"/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b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name val="MS Sans Serif"/>
    </font>
    <font>
      <sz val="9"/>
      <color indexed="8"/>
      <name val="MS Sans Serif"/>
    </font>
    <font>
      <sz val="10"/>
      <color rgb="FFFF0000"/>
      <name val="Arial"/>
      <family val="2"/>
    </font>
    <font>
      <b/>
      <sz val="10"/>
      <name val="Arial"/>
      <family val="2"/>
    </font>
    <font>
      <vertAlign val="subscript"/>
      <sz val="10"/>
      <name val="MS Sans Serif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11"/>
      <color theme="4"/>
      <name val="Calibri"/>
      <family val="2"/>
      <scheme val="minor"/>
    </font>
    <font>
      <vertAlign val="subscript"/>
      <sz val="11"/>
      <color theme="4"/>
      <name val="Calibri"/>
      <family val="2"/>
      <scheme val="minor"/>
    </font>
    <font>
      <vertAlign val="superscript"/>
      <sz val="11"/>
      <color theme="4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4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3" tint="-0.249977111117893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9"/>
      <name val="Comic Sans MS"/>
      <family val="4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vertAlign val="superscript"/>
      <sz val="10"/>
      <color theme="4" tint="-0.249977111117893"/>
      <name val="Arial"/>
      <family val="2"/>
    </font>
    <font>
      <b/>
      <sz val="9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vertAlign val="subscript"/>
      <sz val="11"/>
      <color rgb="FF0070C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Symbol"/>
      <family val="1"/>
      <charset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44" fontId="1" fillId="0" borderId="0" applyFont="0" applyFill="0" applyBorder="0" applyAlignment="0" applyProtection="0"/>
    <xf numFmtId="0" fontId="49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6" fillId="0" borderId="0"/>
    <xf numFmtId="0" fontId="49" fillId="12" borderId="0" applyNumberFormat="0" applyBorder="0" applyAlignment="0" applyProtection="0"/>
    <xf numFmtId="0" fontId="10" fillId="0" borderId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4" borderId="0" applyNumberFormat="0" applyBorder="0" applyAlignment="0" applyProtection="0"/>
    <xf numFmtId="0" fontId="49" fillId="16" borderId="0" applyNumberFormat="0" applyBorder="0" applyAlignment="0" applyProtection="0"/>
    <xf numFmtId="0" fontId="49" fillId="13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6" borderId="0" applyNumberFormat="0" applyBorder="0" applyAlignment="0" applyProtection="0"/>
    <xf numFmtId="0" fontId="49" fillId="14" borderId="0" applyNumberFormat="0" applyBorder="0" applyAlignment="0" applyProtection="0"/>
    <xf numFmtId="0" fontId="71" fillId="16" borderId="0" applyNumberFormat="0" applyBorder="0" applyAlignment="0" applyProtection="0"/>
    <xf numFmtId="0" fontId="71" fillId="19" borderId="0" applyNumberFormat="0" applyBorder="0" applyAlignment="0" applyProtection="0"/>
    <xf numFmtId="0" fontId="71" fillId="20" borderId="0" applyNumberFormat="0" applyBorder="0" applyAlignment="0" applyProtection="0"/>
    <xf numFmtId="0" fontId="71" fillId="18" borderId="0" applyNumberFormat="0" applyBorder="0" applyAlignment="0" applyProtection="0"/>
    <xf numFmtId="0" fontId="71" fillId="16" borderId="0" applyNumberFormat="0" applyBorder="0" applyAlignment="0" applyProtection="0"/>
    <xf numFmtId="0" fontId="71" fillId="13" borderId="0" applyNumberFormat="0" applyBorder="0" applyAlignment="0" applyProtection="0"/>
    <xf numFmtId="0" fontId="72" fillId="16" borderId="0" applyNumberFormat="0" applyBorder="0" applyAlignment="0" applyProtection="0"/>
    <xf numFmtId="0" fontId="73" fillId="21" borderId="38" applyNumberFormat="0" applyAlignment="0" applyProtection="0"/>
    <xf numFmtId="0" fontId="74" fillId="22" borderId="39" applyNumberFormat="0" applyAlignment="0" applyProtection="0"/>
    <xf numFmtId="0" fontId="50" fillId="0" borderId="40" applyNumberFormat="0" applyFill="0" applyAlignment="0" applyProtection="0"/>
    <xf numFmtId="0" fontId="71" fillId="23" borderId="0" applyNumberFormat="0" applyBorder="0" applyAlignment="0" applyProtection="0"/>
    <xf numFmtId="0" fontId="71" fillId="19" borderId="0" applyNumberFormat="0" applyBorder="0" applyAlignment="0" applyProtection="0"/>
    <xf numFmtId="0" fontId="71" fillId="20" borderId="0" applyNumberFormat="0" applyBorder="0" applyAlignment="0" applyProtection="0"/>
    <xf numFmtId="0" fontId="71" fillId="24" borderId="0" applyNumberFormat="0" applyBorder="0" applyAlignment="0" applyProtection="0"/>
    <xf numFmtId="0" fontId="71" fillId="25" borderId="0" applyNumberFormat="0" applyBorder="0" applyAlignment="0" applyProtection="0"/>
    <xf numFmtId="0" fontId="71" fillId="26" borderId="0" applyNumberFormat="0" applyBorder="0" applyAlignment="0" applyProtection="0"/>
    <xf numFmtId="0" fontId="75" fillId="17" borderId="38" applyNumberFormat="0" applyAlignment="0" applyProtection="0"/>
    <xf numFmtId="0" fontId="77" fillId="27" borderId="0" applyNumberFormat="0" applyBorder="0" applyAlignment="0" applyProtection="0"/>
    <xf numFmtId="0" fontId="78" fillId="17" borderId="0" applyNumberFormat="0" applyBorder="0" applyAlignment="0" applyProtection="0"/>
    <xf numFmtId="0" fontId="10" fillId="14" borderId="41" applyNumberFormat="0" applyFont="0" applyAlignment="0" applyProtection="0"/>
    <xf numFmtId="0" fontId="79" fillId="21" borderId="42" applyNumberFormat="0" applyAlignment="0" applyProtection="0"/>
    <xf numFmtId="0" fontId="5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43" applyNumberFormat="0" applyFill="0" applyAlignment="0" applyProtection="0"/>
    <xf numFmtId="0" fontId="83" fillId="0" borderId="44" applyNumberFormat="0" applyFill="0" applyAlignment="0" applyProtection="0"/>
    <xf numFmtId="0" fontId="84" fillId="0" borderId="45" applyNumberFormat="0" applyFill="0" applyAlignment="0" applyProtection="0"/>
    <xf numFmtId="0" fontId="84" fillId="0" borderId="0" applyNumberFormat="0" applyFill="0" applyBorder="0" applyAlignment="0" applyProtection="0"/>
    <xf numFmtId="0" fontId="85" fillId="0" borderId="46" applyNumberFormat="0" applyFill="0" applyAlignment="0" applyProtection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77" fillId="27" borderId="0" applyNumberFormat="0" applyBorder="0" applyAlignment="0" applyProtection="0"/>
    <xf numFmtId="0" fontId="78" fillId="1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</cellStyleXfs>
  <cellXfs count="79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10" fillId="0" borderId="0" xfId="0" applyFont="1"/>
    <xf numFmtId="2" fontId="10" fillId="0" borderId="0" xfId="0" applyNumberFormat="1" applyFont="1" applyAlignment="1">
      <alignment horizontal="left"/>
    </xf>
    <xf numFmtId="2" fontId="10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quotePrefix="1" applyFont="1" applyAlignment="1">
      <alignment horizontal="left"/>
    </xf>
    <xf numFmtId="0" fontId="14" fillId="0" borderId="0" xfId="0" applyFont="1"/>
    <xf numFmtId="4" fontId="10" fillId="0" borderId="0" xfId="0" applyNumberFormat="1" applyFont="1"/>
    <xf numFmtId="2" fontId="10" fillId="0" borderId="0" xfId="0" applyNumberFormat="1" applyFont="1" applyAlignment="1">
      <alignment vertical="center"/>
    </xf>
    <xf numFmtId="4" fontId="10" fillId="0" borderId="0" xfId="0" applyNumberFormat="1" applyFont="1" applyAlignment="1">
      <alignment horizontal="left"/>
    </xf>
    <xf numFmtId="4" fontId="10" fillId="0" borderId="0" xfId="0" quotePrefix="1" applyNumberFormat="1" applyFont="1"/>
    <xf numFmtId="4" fontId="15" fillId="0" borderId="0" xfId="0" applyNumberFormat="1" applyFont="1"/>
    <xf numFmtId="4" fontId="14" fillId="0" borderId="0" xfId="0" applyNumberFormat="1" applyFont="1"/>
    <xf numFmtId="2" fontId="11" fillId="4" borderId="2" xfId="0" applyNumberFormat="1" applyFont="1" applyFill="1" applyBorder="1" applyAlignment="1" applyProtection="1">
      <alignment vertical="center"/>
      <protection locked="0"/>
    </xf>
    <xf numFmtId="1" fontId="11" fillId="4" borderId="2" xfId="0" applyNumberFormat="1" applyFont="1" applyFill="1" applyBorder="1" applyAlignment="1" applyProtection="1">
      <alignment vertical="center"/>
      <protection locked="0"/>
    </xf>
    <xf numFmtId="0" fontId="1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2"/>
    </xf>
    <xf numFmtId="2" fontId="10" fillId="0" borderId="4" xfId="0" applyNumberFormat="1" applyFont="1" applyBorder="1" applyAlignment="1">
      <alignment wrapText="1"/>
    </xf>
    <xf numFmtId="2" fontId="10" fillId="0" borderId="5" xfId="0" applyNumberFormat="1" applyFont="1" applyBorder="1" applyAlignment="1">
      <alignment wrapText="1"/>
    </xf>
    <xf numFmtId="2" fontId="16" fillId="0" borderId="5" xfId="0" applyNumberFormat="1" applyFont="1" applyBorder="1" applyAlignment="1">
      <alignment vertical="top" wrapText="1"/>
    </xf>
    <xf numFmtId="0" fontId="10" fillId="0" borderId="6" xfId="0" applyFont="1" applyBorder="1" applyAlignment="1">
      <alignment wrapText="1"/>
    </xf>
    <xf numFmtId="2" fontId="16" fillId="0" borderId="4" xfId="0" applyNumberFormat="1" applyFont="1" applyBorder="1" applyAlignment="1">
      <alignment vertical="top" wrapText="1"/>
    </xf>
    <xf numFmtId="14" fontId="10" fillId="0" borderId="7" xfId="0" applyNumberFormat="1" applyFont="1" applyBorder="1" applyAlignment="1">
      <alignment wrapText="1"/>
    </xf>
    <xf numFmtId="2" fontId="10" fillId="0" borderId="8" xfId="0" applyNumberFormat="1" applyFont="1" applyBorder="1" applyAlignment="1">
      <alignment wrapText="1"/>
    </xf>
    <xf numFmtId="2" fontId="10" fillId="0" borderId="0" xfId="0" applyNumberFormat="1" applyFont="1" applyAlignment="1">
      <alignment wrapText="1"/>
    </xf>
    <xf numFmtId="2" fontId="16" fillId="0" borderId="9" xfId="0" applyNumberFormat="1" applyFont="1" applyBorder="1" applyAlignment="1">
      <alignment vertical="top" wrapText="1"/>
    </xf>
    <xf numFmtId="2" fontId="11" fillId="0" borderId="10" xfId="0" applyNumberFormat="1" applyFont="1" applyBorder="1" applyAlignment="1">
      <alignment vertical="center" wrapText="1"/>
    </xf>
    <xf numFmtId="2" fontId="16" fillId="0" borderId="11" xfId="0" applyNumberFormat="1" applyFont="1" applyBorder="1" applyAlignment="1">
      <alignment vertical="top" wrapText="1"/>
    </xf>
    <xf numFmtId="0" fontId="10" fillId="0" borderId="9" xfId="0" applyFont="1" applyBorder="1" applyAlignment="1">
      <alignment wrapText="1"/>
    </xf>
    <xf numFmtId="2" fontId="10" fillId="0" borderId="6" xfId="0" applyNumberFormat="1" applyFont="1" applyBorder="1" applyAlignment="1">
      <alignment wrapText="1"/>
    </xf>
    <xf numFmtId="0" fontId="9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9" fillId="0" borderId="13" xfId="0" applyNumberFormat="1" applyFont="1" applyBorder="1" applyAlignment="1">
      <alignment horizontal="left" vertical="center" wrapText="1"/>
    </xf>
    <xf numFmtId="2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3" applyNumberFormat="1" applyFont="1" applyAlignment="1">
      <alignment horizontal="center" vertical="center"/>
    </xf>
    <xf numFmtId="0" fontId="8" fillId="0" borderId="0" xfId="0" applyFont="1"/>
    <xf numFmtId="2" fontId="11" fillId="0" borderId="0" xfId="0" applyNumberFormat="1" applyFont="1"/>
    <xf numFmtId="2" fontId="10" fillId="0" borderId="0" xfId="3" applyNumberFormat="1" applyFont="1"/>
    <xf numFmtId="2" fontId="11" fillId="4" borderId="2" xfId="3" applyNumberFormat="1" applyFont="1" applyFill="1" applyBorder="1" applyProtection="1">
      <protection locked="0"/>
    </xf>
    <xf numFmtId="3" fontId="11" fillId="4" borderId="3" xfId="3" applyNumberFormat="1" applyFont="1" applyFill="1" applyBorder="1" applyProtection="1">
      <protection locked="0"/>
    </xf>
    <xf numFmtId="2" fontId="11" fillId="4" borderId="3" xfId="3" applyNumberFormat="1" applyFont="1" applyFill="1" applyBorder="1" applyProtection="1">
      <protection locked="0"/>
    </xf>
    <xf numFmtId="0" fontId="10" fillId="0" borderId="0" xfId="0" applyFont="1" applyAlignment="1">
      <alignment horizontal="center"/>
    </xf>
    <xf numFmtId="0" fontId="17" fillId="0" borderId="0" xfId="0" quotePrefix="1" applyFont="1" applyAlignment="1">
      <alignment horizontal="left"/>
    </xf>
    <xf numFmtId="0" fontId="18" fillId="0" borderId="0" xfId="0" quotePrefix="1" applyFont="1" applyAlignment="1">
      <alignment horizontal="left"/>
    </xf>
    <xf numFmtId="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2" fontId="1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10" fontId="21" fillId="0" borderId="0" xfId="2" applyNumberFormat="1" applyFont="1" applyAlignment="1">
      <alignment horizontal="center"/>
    </xf>
    <xf numFmtId="0" fontId="21" fillId="0" borderId="0" xfId="0" applyFont="1"/>
    <xf numFmtId="0" fontId="10" fillId="0" borderId="0" xfId="0" quotePrefix="1" applyFont="1" applyAlignment="1">
      <alignment horizontal="center"/>
    </xf>
    <xf numFmtId="40" fontId="11" fillId="0" borderId="0" xfId="1" applyNumberFormat="1" applyFont="1"/>
    <xf numFmtId="40" fontId="10" fillId="0" borderId="0" xfId="0" applyNumberFormat="1" applyFont="1"/>
    <xf numFmtId="4" fontId="11" fillId="0" borderId="0" xfId="0" applyNumberFormat="1" applyFont="1"/>
    <xf numFmtId="40" fontId="11" fillId="0" borderId="0" xfId="0" applyNumberFormat="1" applyFont="1"/>
    <xf numFmtId="44" fontId="10" fillId="0" borderId="0" xfId="4" applyFont="1"/>
    <xf numFmtId="2" fontId="11" fillId="0" borderId="0" xfId="0" applyNumberFormat="1" applyFont="1" applyAlignment="1">
      <alignment horizontal="right"/>
    </xf>
    <xf numFmtId="40" fontId="10" fillId="0" borderId="0" xfId="1" applyNumberFormat="1" applyFont="1"/>
    <xf numFmtId="40" fontId="10" fillId="0" borderId="0" xfId="0" applyNumberFormat="1" applyFont="1" applyAlignment="1">
      <alignment horizontal="left"/>
    </xf>
    <xf numFmtId="0" fontId="15" fillId="0" borderId="0" xfId="0" quotePrefix="1" applyFont="1" applyAlignment="1">
      <alignment horizontal="right"/>
    </xf>
    <xf numFmtId="2" fontId="10" fillId="0" borderId="0" xfId="0" quotePrefix="1" applyNumberFormat="1" applyFont="1" applyAlignment="1">
      <alignment horizontal="left"/>
    </xf>
    <xf numFmtId="40" fontId="11" fillId="0" borderId="0" xfId="0" applyNumberFormat="1" applyFont="1" applyAlignment="1">
      <alignment horizontal="right"/>
    </xf>
    <xf numFmtId="0" fontId="10" fillId="0" borderId="0" xfId="0" applyFont="1" applyProtection="1">
      <protection hidden="1"/>
    </xf>
    <xf numFmtId="10" fontId="10" fillId="0" borderId="0" xfId="2" applyNumberFormat="1" applyFont="1"/>
    <xf numFmtId="2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10" fontId="11" fillId="0" borderId="0" xfId="2" applyNumberFormat="1" applyFont="1" applyAlignment="1">
      <alignment horizontal="center"/>
    </xf>
    <xf numFmtId="43" fontId="10" fillId="0" borderId="0" xfId="1" applyFont="1"/>
    <xf numFmtId="3" fontId="10" fillId="0" borderId="0" xfId="0" applyNumberFormat="1" applyFont="1"/>
    <xf numFmtId="0" fontId="10" fillId="0" borderId="0" xfId="0" quotePrefix="1" applyFont="1" applyAlignment="1">
      <alignment horizontal="right"/>
    </xf>
    <xf numFmtId="3" fontId="11" fillId="0" borderId="0" xfId="0" applyNumberFormat="1" applyFont="1"/>
    <xf numFmtId="0" fontId="22" fillId="0" borderId="0" xfId="0" applyFont="1"/>
    <xf numFmtId="0" fontId="11" fillId="0" borderId="0" xfId="0" applyFont="1" applyAlignment="1">
      <alignment horizontal="center"/>
    </xf>
    <xf numFmtId="0" fontId="25" fillId="0" borderId="0" xfId="0" quotePrefix="1" applyFont="1" applyAlignment="1">
      <alignment horizontal="left"/>
    </xf>
    <xf numFmtId="4" fontId="10" fillId="0" borderId="0" xfId="0" quotePrefix="1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4" fontId="10" fillId="0" borderId="0" xfId="3" applyNumberFormat="1" applyFont="1"/>
    <xf numFmtId="4" fontId="0" fillId="0" borderId="0" xfId="0" applyNumberFormat="1" applyAlignment="1">
      <alignment horizontal="right"/>
    </xf>
    <xf numFmtId="4" fontId="0" fillId="4" borderId="0" xfId="0" applyNumberFormat="1" applyFill="1"/>
    <xf numFmtId="3" fontId="11" fillId="0" borderId="0" xfId="0" applyNumberFormat="1" applyFont="1" applyAlignment="1">
      <alignment horizontal="right"/>
    </xf>
    <xf numFmtId="4" fontId="11" fillId="0" borderId="0" xfId="3" applyNumberFormat="1" applyFont="1"/>
    <xf numFmtId="0" fontId="11" fillId="0" borderId="0" xfId="0" quotePrefix="1" applyFont="1" applyAlignment="1">
      <alignment horizontal="left"/>
    </xf>
    <xf numFmtId="9" fontId="10" fillId="0" borderId="0" xfId="2" applyFont="1"/>
    <xf numFmtId="0" fontId="11" fillId="0" borderId="9" xfId="0" applyFont="1" applyBorder="1"/>
    <xf numFmtId="0" fontId="10" fillId="0" borderId="9" xfId="0" applyFont="1" applyBorder="1" applyAlignment="1">
      <alignment horizontal="right"/>
    </xf>
    <xf numFmtId="0" fontId="10" fillId="0" borderId="9" xfId="0" quotePrefix="1" applyFont="1" applyBorder="1" applyAlignment="1">
      <alignment horizontal="right"/>
    </xf>
    <xf numFmtId="0" fontId="10" fillId="0" borderId="9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0" borderId="9" xfId="0" applyFont="1" applyBorder="1"/>
    <xf numFmtId="0" fontId="0" fillId="0" borderId="9" xfId="0" applyBorder="1"/>
    <xf numFmtId="0" fontId="10" fillId="4" borderId="9" xfId="0" applyFont="1" applyFill="1" applyBorder="1" applyAlignment="1">
      <alignment horizontal="center"/>
    </xf>
    <xf numFmtId="2" fontId="10" fillId="0" borderId="9" xfId="3" applyNumberFormat="1" applyFont="1" applyBorder="1" applyAlignment="1">
      <alignment horizontal="centerContinuous"/>
    </xf>
    <xf numFmtId="2" fontId="10" fillId="0" borderId="13" xfId="3" applyNumberFormat="1" applyFont="1" applyBorder="1" applyAlignment="1">
      <alignment horizontal="centerContinuous"/>
    </xf>
    <xf numFmtId="0" fontId="0" fillId="0" borderId="0" xfId="0" applyAlignment="1">
      <alignment horizontal="center"/>
    </xf>
    <xf numFmtId="2" fontId="10" fillId="0" borderId="0" xfId="3" applyNumberFormat="1" applyFont="1" applyAlignment="1">
      <alignment horizontal="center"/>
    </xf>
    <xf numFmtId="2" fontId="10" fillId="0" borderId="9" xfId="3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3" fontId="10" fillId="0" borderId="9" xfId="0" applyNumberFormat="1" applyFont="1" applyBorder="1" applyAlignment="1">
      <alignment horizontal="center"/>
    </xf>
    <xf numFmtId="2" fontId="10" fillId="0" borderId="9" xfId="3" applyNumberFormat="1" applyFont="1" applyBorder="1"/>
    <xf numFmtId="0" fontId="0" fillId="0" borderId="13" xfId="0" applyBorder="1"/>
    <xf numFmtId="3" fontId="11" fillId="0" borderId="9" xfId="0" applyNumberFormat="1" applyFont="1" applyBorder="1" applyAlignment="1">
      <alignment horizontal="center"/>
    </xf>
    <xf numFmtId="2" fontId="11" fillId="0" borderId="13" xfId="3" applyNumberFormat="1" applyFont="1" applyBorder="1" applyAlignment="1">
      <alignment horizontal="center"/>
    </xf>
    <xf numFmtId="3" fontId="11" fillId="0" borderId="13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2" fontId="26" fillId="0" borderId="0" xfId="0" applyNumberFormat="1" applyFont="1"/>
    <xf numFmtId="0" fontId="10" fillId="5" borderId="0" xfId="0" quotePrefix="1" applyFont="1" applyFill="1" applyAlignment="1">
      <alignment horizontal="right"/>
    </xf>
    <xf numFmtId="2" fontId="10" fillId="5" borderId="0" xfId="0" applyNumberFormat="1" applyFont="1" applyFill="1"/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Continuous"/>
    </xf>
    <xf numFmtId="0" fontId="10" fillId="0" borderId="16" xfId="0" applyFont="1" applyBorder="1" applyAlignment="1">
      <alignment horizontal="center"/>
    </xf>
    <xf numFmtId="4" fontId="10" fillId="0" borderId="16" xfId="0" applyNumberFormat="1" applyFont="1" applyBorder="1" applyAlignment="1">
      <alignment horizontal="centerContinuous" wrapText="1"/>
    </xf>
    <xf numFmtId="3" fontId="10" fillId="0" borderId="15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Continuous"/>
    </xf>
    <xf numFmtId="0" fontId="10" fillId="0" borderId="17" xfId="0" applyFont="1" applyBorder="1" applyAlignment="1">
      <alignment horizontal="center"/>
    </xf>
    <xf numFmtId="0" fontId="10" fillId="0" borderId="6" xfId="0" quotePrefix="1" applyFont="1" applyBorder="1" applyAlignment="1">
      <alignment horizontal="center"/>
    </xf>
    <xf numFmtId="4" fontId="10" fillId="0" borderId="17" xfId="0" applyNumberFormat="1" applyFont="1" applyBorder="1" applyAlignment="1">
      <alignment horizontal="centerContinuous"/>
    </xf>
    <xf numFmtId="3" fontId="10" fillId="0" borderId="0" xfId="0" applyNumberFormat="1" applyFont="1" applyAlignment="1">
      <alignment horizontal="centerContinuous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4" fontId="10" fillId="0" borderId="19" xfId="0" applyNumberFormat="1" applyFont="1" applyBorder="1" applyAlignment="1">
      <alignment horizontal="centerContinuous"/>
    </xf>
    <xf numFmtId="3" fontId="10" fillId="0" borderId="21" xfId="0" applyNumberFormat="1" applyFont="1" applyBorder="1" applyAlignment="1">
      <alignment horizontal="center"/>
    </xf>
    <xf numFmtId="0" fontId="8" fillId="0" borderId="22" xfId="0" applyFont="1" applyBorder="1"/>
    <xf numFmtId="3" fontId="8" fillId="0" borderId="22" xfId="0" applyNumberFormat="1" applyFont="1" applyBorder="1" applyAlignment="1">
      <alignment horizontal="center"/>
    </xf>
    <xf numFmtId="4" fontId="8" fillId="0" borderId="22" xfId="0" applyNumberFormat="1" applyFont="1" applyBorder="1"/>
    <xf numFmtId="3" fontId="8" fillId="0" borderId="22" xfId="0" applyNumberFormat="1" applyFont="1" applyBorder="1"/>
    <xf numFmtId="0" fontId="8" fillId="0" borderId="22" xfId="0" applyFont="1" applyBorder="1" applyAlignment="1">
      <alignment horizontal="center"/>
    </xf>
    <xf numFmtId="43" fontId="8" fillId="0" borderId="22" xfId="1" applyFont="1" applyBorder="1"/>
    <xf numFmtId="3" fontId="8" fillId="0" borderId="22" xfId="1" applyNumberFormat="1" applyFont="1" applyBorder="1"/>
    <xf numFmtId="43" fontId="27" fillId="0" borderId="22" xfId="1" applyFont="1" applyBorder="1"/>
    <xf numFmtId="9" fontId="27" fillId="0" borderId="22" xfId="2" applyFont="1" applyBorder="1"/>
    <xf numFmtId="38" fontId="8" fillId="0" borderId="22" xfId="1" applyNumberFormat="1" applyFont="1" applyBorder="1"/>
    <xf numFmtId="0" fontId="8" fillId="0" borderId="19" xfId="0" applyFont="1" applyBorder="1"/>
    <xf numFmtId="0" fontId="8" fillId="0" borderId="19" xfId="0" applyFont="1" applyBorder="1" applyAlignment="1">
      <alignment horizontal="center"/>
    </xf>
    <xf numFmtId="2" fontId="28" fillId="0" borderId="0" xfId="3" applyNumberFormat="1" applyFont="1" applyAlignment="1">
      <alignment horizontal="left"/>
    </xf>
    <xf numFmtId="2" fontId="14" fillId="0" borderId="0" xfId="3" applyNumberFormat="1" applyFont="1"/>
    <xf numFmtId="1" fontId="14" fillId="0" borderId="28" xfId="3" applyNumberFormat="1" applyFont="1" applyBorder="1" applyAlignment="1">
      <alignment horizontal="center"/>
    </xf>
    <xf numFmtId="4" fontId="10" fillId="0" borderId="28" xfId="3" applyNumberFormat="1" applyFont="1" applyBorder="1"/>
    <xf numFmtId="2" fontId="14" fillId="0" borderId="28" xfId="3" applyNumberFormat="1" applyFont="1" applyBorder="1" applyAlignment="1">
      <alignment horizontal="left"/>
    </xf>
    <xf numFmtId="0" fontId="10" fillId="0" borderId="28" xfId="0" applyFont="1" applyBorder="1"/>
    <xf numFmtId="1" fontId="14" fillId="0" borderId="29" xfId="3" applyNumberFormat="1" applyFont="1" applyBorder="1" applyAlignment="1">
      <alignment horizontal="left"/>
    </xf>
    <xf numFmtId="3" fontId="27" fillId="0" borderId="29" xfId="0" applyNumberFormat="1" applyFont="1" applyBorder="1" applyAlignment="1">
      <alignment horizontal="left"/>
    </xf>
    <xf numFmtId="0" fontId="10" fillId="0" borderId="29" xfId="0" applyFont="1" applyBorder="1"/>
    <xf numFmtId="4" fontId="10" fillId="0" borderId="29" xfId="3" applyNumberFormat="1" applyFont="1" applyBorder="1"/>
    <xf numFmtId="40" fontId="11" fillId="2" borderId="0" xfId="1" applyNumberFormat="1" applyFont="1" applyFill="1"/>
    <xf numFmtId="2" fontId="8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3" applyNumberFormat="1" applyFont="1" applyAlignment="1">
      <alignment horizontal="center"/>
    </xf>
    <xf numFmtId="1" fontId="11" fillId="4" borderId="2" xfId="0" applyNumberFormat="1" applyFont="1" applyFill="1" applyBorder="1" applyProtection="1">
      <protection locked="0"/>
    </xf>
    <xf numFmtId="1" fontId="11" fillId="4" borderId="3" xfId="0" applyNumberFormat="1" applyFont="1" applyFill="1" applyBorder="1" applyProtection="1">
      <protection locked="0"/>
    </xf>
    <xf numFmtId="2" fontId="11" fillId="4" borderId="3" xfId="0" applyNumberFormat="1" applyFont="1" applyFill="1" applyBorder="1" applyProtection="1">
      <protection locked="0"/>
    </xf>
    <xf numFmtId="2" fontId="11" fillId="4" borderId="2" xfId="0" applyNumberFormat="1" applyFont="1" applyFill="1" applyBorder="1" applyProtection="1">
      <protection locked="0"/>
    </xf>
    <xf numFmtId="0" fontId="10" fillId="5" borderId="0" xfId="0" applyFont="1" applyFill="1"/>
    <xf numFmtId="0" fontId="18" fillId="0" borderId="0" xfId="0" applyFont="1"/>
    <xf numFmtId="165" fontId="11" fillId="0" borderId="0" xfId="0" applyNumberFormat="1" applyFont="1"/>
    <xf numFmtId="9" fontId="10" fillId="0" borderId="30" xfId="2" applyFont="1" applyBorder="1"/>
    <xf numFmtId="0" fontId="28" fillId="0" borderId="0" xfId="0" applyFont="1"/>
    <xf numFmtId="2" fontId="11" fillId="0" borderId="30" xfId="0" applyNumberFormat="1" applyFont="1" applyBorder="1"/>
    <xf numFmtId="0" fontId="11" fillId="0" borderId="30" xfId="0" applyFont="1" applyBorder="1" applyAlignment="1">
      <alignment horizontal="left"/>
    </xf>
    <xf numFmtId="0" fontId="10" fillId="0" borderId="30" xfId="0" applyFont="1" applyBorder="1"/>
    <xf numFmtId="0" fontId="0" fillId="0" borderId="30" xfId="0" applyBorder="1"/>
    <xf numFmtId="0" fontId="11" fillId="0" borderId="30" xfId="0" applyFont="1" applyBorder="1"/>
    <xf numFmtId="0" fontId="10" fillId="0" borderId="30" xfId="0" quotePrefix="1" applyFont="1" applyBorder="1" applyAlignment="1">
      <alignment horizontal="left"/>
    </xf>
    <xf numFmtId="0" fontId="29" fillId="0" borderId="30" xfId="0" applyFont="1" applyBorder="1" applyAlignment="1">
      <alignment horizontal="left"/>
    </xf>
    <xf numFmtId="0" fontId="14" fillId="0" borderId="30" xfId="0" applyFont="1" applyBorder="1"/>
    <xf numFmtId="0" fontId="10" fillId="0" borderId="30" xfId="0" applyFont="1" applyBorder="1" applyAlignment="1">
      <alignment horizontal="right"/>
    </xf>
    <xf numFmtId="1" fontId="30" fillId="0" borderId="0" xfId="0" applyNumberFormat="1" applyFont="1" applyAlignment="1">
      <alignment horizontal="center"/>
    </xf>
    <xf numFmtId="2" fontId="10" fillId="4" borderId="0" xfId="0" applyNumberFormat="1" applyFont="1" applyFill="1"/>
    <xf numFmtId="2" fontId="10" fillId="4" borderId="0" xfId="0" applyNumberFormat="1" applyFont="1" applyFill="1" applyAlignment="1">
      <alignment horizontal="right"/>
    </xf>
    <xf numFmtId="9" fontId="11" fillId="0" borderId="0" xfId="2" applyFont="1"/>
    <xf numFmtId="0" fontId="10" fillId="0" borderId="9" xfId="0" quotePrefix="1" applyFont="1" applyBorder="1" applyAlignment="1">
      <alignment horizontal="center"/>
    </xf>
    <xf numFmtId="0" fontId="10" fillId="4" borderId="0" xfId="0" quotePrefix="1" applyFont="1" applyFill="1" applyAlignment="1">
      <alignment horizontal="center"/>
    </xf>
    <xf numFmtId="0" fontId="10" fillId="4" borderId="9" xfId="0" quotePrefix="1" applyFont="1" applyFill="1" applyBorder="1" applyAlignment="1">
      <alignment horizontal="center"/>
    </xf>
    <xf numFmtId="3" fontId="10" fillId="0" borderId="0" xfId="0" quotePrefix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3" fontId="10" fillId="0" borderId="9" xfId="0" quotePrefix="1" applyNumberFormat="1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2" fontId="11" fillId="0" borderId="13" xfId="0" applyNumberFormat="1" applyFont="1" applyBorder="1"/>
    <xf numFmtId="0" fontId="11" fillId="0" borderId="13" xfId="0" applyFont="1" applyBorder="1" applyAlignment="1">
      <alignment horizontal="center"/>
    </xf>
    <xf numFmtId="165" fontId="10" fillId="0" borderId="0" xfId="0" applyNumberFormat="1" applyFont="1"/>
    <xf numFmtId="43" fontId="10" fillId="0" borderId="0" xfId="1" applyFont="1" applyAlignment="1">
      <alignment horizontal="right"/>
    </xf>
    <xf numFmtId="0" fontId="0" fillId="0" borderId="0" xfId="0" quotePrefix="1" applyAlignment="1">
      <alignment horizontal="left"/>
    </xf>
    <xf numFmtId="2" fontId="18" fillId="0" borderId="0" xfId="0" applyNumberFormat="1" applyFont="1" applyAlignment="1">
      <alignment horizontal="left"/>
    </xf>
    <xf numFmtId="2" fontId="11" fillId="0" borderId="0" xfId="0" quotePrefix="1" applyNumberFormat="1" applyFont="1" applyAlignment="1">
      <alignment horizontal="left" vertical="center"/>
    </xf>
    <xf numFmtId="0" fontId="10" fillId="5" borderId="0" xfId="0" quotePrefix="1" applyFont="1" applyFill="1" applyAlignment="1">
      <alignment horizontal="left"/>
    </xf>
    <xf numFmtId="0" fontId="8" fillId="0" borderId="22" xfId="0" quotePrefix="1" applyFont="1" applyBorder="1" applyAlignment="1">
      <alignment horizontal="left"/>
    </xf>
    <xf numFmtId="2" fontId="8" fillId="0" borderId="22" xfId="0" applyNumberFormat="1" applyFont="1" applyBorder="1"/>
    <xf numFmtId="3" fontId="27" fillId="0" borderId="22" xfId="0" applyNumberFormat="1" applyFont="1" applyBorder="1"/>
    <xf numFmtId="4" fontId="27" fillId="0" borderId="22" xfId="0" applyNumberFormat="1" applyFont="1" applyBorder="1"/>
    <xf numFmtId="1" fontId="8" fillId="0" borderId="22" xfId="2" applyNumberFormat="1" applyFont="1" applyBorder="1"/>
    <xf numFmtId="4" fontId="8" fillId="0" borderId="19" xfId="0" applyNumberFormat="1" applyFont="1" applyBorder="1"/>
    <xf numFmtId="1" fontId="14" fillId="0" borderId="31" xfId="3" applyNumberFormat="1" applyFont="1" applyBorder="1" applyAlignment="1">
      <alignment horizontal="center" vertical="center"/>
    </xf>
    <xf numFmtId="2" fontId="14" fillId="0" borderId="31" xfId="3" applyNumberFormat="1" applyFont="1" applyBorder="1" applyAlignment="1">
      <alignment horizontal="left" vertical="center"/>
    </xf>
    <xf numFmtId="2" fontId="14" fillId="0" borderId="31" xfId="3" applyNumberFormat="1" applyFont="1" applyBorder="1" applyAlignment="1">
      <alignment horizontal="center" vertical="center"/>
    </xf>
    <xf numFmtId="1" fontId="14" fillId="0" borderId="22" xfId="3" applyNumberFormat="1" applyFont="1" applyBorder="1" applyAlignment="1">
      <alignment horizontal="center"/>
    </xf>
    <xf numFmtId="4" fontId="10" fillId="0" borderId="0" xfId="3" applyNumberFormat="1" applyFont="1" applyAlignment="1">
      <alignment horizontal="left"/>
    </xf>
    <xf numFmtId="2" fontId="14" fillId="0" borderId="22" xfId="3" applyNumberFormat="1" applyFont="1" applyBorder="1" applyAlignment="1">
      <alignment horizontal="left"/>
    </xf>
    <xf numFmtId="4" fontId="10" fillId="0" borderId="22" xfId="3" applyNumberFormat="1" applyFont="1" applyBorder="1"/>
    <xf numFmtId="0" fontId="10" fillId="0" borderId="22" xfId="0" applyFont="1" applyBorder="1"/>
    <xf numFmtId="4" fontId="10" fillId="0" borderId="28" xfId="3" applyNumberFormat="1" applyFont="1" applyBorder="1" applyAlignment="1">
      <alignment horizontal="left"/>
    </xf>
    <xf numFmtId="1" fontId="14" fillId="0" borderId="32" xfId="3" applyNumberFormat="1" applyFont="1" applyBorder="1" applyAlignment="1">
      <alignment horizontal="center"/>
    </xf>
    <xf numFmtId="4" fontId="10" fillId="0" borderId="32" xfId="3" applyNumberFormat="1" applyFont="1" applyBorder="1" applyAlignment="1">
      <alignment horizontal="left"/>
    </xf>
    <xf numFmtId="2" fontId="14" fillId="0" borderId="32" xfId="3" applyNumberFormat="1" applyFont="1" applyBorder="1" applyAlignment="1">
      <alignment horizontal="left"/>
    </xf>
    <xf numFmtId="0" fontId="10" fillId="0" borderId="15" xfId="0" applyFont="1" applyBorder="1"/>
    <xf numFmtId="0" fontId="10" fillId="0" borderId="15" xfId="0" applyFont="1" applyBorder="1" applyAlignment="1">
      <alignment horizontal="right"/>
    </xf>
    <xf numFmtId="4" fontId="11" fillId="4" borderId="2" xfId="0" applyNumberFormat="1" applyFont="1" applyFill="1" applyBorder="1" applyProtection="1">
      <protection locked="0"/>
    </xf>
    <xf numFmtId="3" fontId="11" fillId="4" borderId="2" xfId="0" applyNumberFormat="1" applyFont="1" applyFill="1" applyBorder="1" applyProtection="1">
      <protection locked="0"/>
    </xf>
    <xf numFmtId="4" fontId="14" fillId="0" borderId="0" xfId="0" applyNumberFormat="1" applyFont="1" applyAlignment="1">
      <alignment horizontal="left"/>
    </xf>
    <xf numFmtId="4" fontId="32" fillId="0" borderId="0" xfId="0" applyNumberFormat="1" applyFont="1" applyAlignment="1">
      <alignment horizontal="left"/>
    </xf>
    <xf numFmtId="4" fontId="32" fillId="0" borderId="0" xfId="0" applyNumberFormat="1" applyFont="1"/>
    <xf numFmtId="38" fontId="10" fillId="0" borderId="0" xfId="1" applyNumberFormat="1" applyFont="1" applyAlignment="1">
      <alignment horizontal="right"/>
    </xf>
    <xf numFmtId="4" fontId="10" fillId="0" borderId="0" xfId="0" applyNumberFormat="1" applyFont="1" applyAlignment="1">
      <alignment horizontal="center"/>
    </xf>
    <xf numFmtId="4" fontId="33" fillId="0" borderId="0" xfId="0" applyNumberFormat="1" applyFont="1" applyAlignment="1">
      <alignment horizontal="left"/>
    </xf>
    <xf numFmtId="3" fontId="10" fillId="0" borderId="0" xfId="0" applyNumberFormat="1" applyFont="1" applyAlignment="1">
      <alignment horizontal="left"/>
    </xf>
    <xf numFmtId="4" fontId="33" fillId="0" borderId="0" xfId="0" applyNumberFormat="1" applyFont="1"/>
    <xf numFmtId="3" fontId="14" fillId="0" borderId="0" xfId="0" applyNumberFormat="1" applyFont="1" applyAlignment="1">
      <alignment horizontal="right"/>
    </xf>
    <xf numFmtId="4" fontId="14" fillId="0" borderId="0" xfId="0" applyNumberFormat="1" applyFont="1" applyAlignment="1">
      <alignment horizontal="centerContinuous"/>
    </xf>
    <xf numFmtId="4" fontId="33" fillId="0" borderId="0" xfId="0" applyNumberFormat="1" applyFont="1" applyAlignment="1">
      <alignment horizontal="centerContinuous"/>
    </xf>
    <xf numFmtId="4" fontId="10" fillId="0" borderId="0" xfId="0" applyNumberFormat="1" applyFont="1" applyAlignment="1">
      <alignment horizontal="centerContinuous"/>
    </xf>
    <xf numFmtId="3" fontId="28" fillId="0" borderId="0" xfId="0" applyNumberFormat="1" applyFont="1" applyAlignment="1">
      <alignment horizontal="right"/>
    </xf>
    <xf numFmtId="0" fontId="0" fillId="0" borderId="0" xfId="0" applyAlignment="1">
      <alignment horizontal="centerContinuous"/>
    </xf>
    <xf numFmtId="3" fontId="28" fillId="0" borderId="0" xfId="0" applyNumberFormat="1" applyFont="1" applyAlignment="1">
      <alignment horizontal="left"/>
    </xf>
    <xf numFmtId="3" fontId="21" fillId="0" borderId="0" xfId="0" applyNumberFormat="1" applyFont="1" applyAlignment="1">
      <alignment horizontal="right"/>
    </xf>
    <xf numFmtId="3" fontId="3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vertical="center"/>
    </xf>
    <xf numFmtId="167" fontId="28" fillId="0" borderId="0" xfId="0" applyNumberFormat="1" applyFont="1"/>
    <xf numFmtId="4" fontId="10" fillId="0" borderId="9" xfId="0" applyNumberFormat="1" applyFont="1" applyBorder="1" applyAlignment="1">
      <alignment horizontal="center"/>
    </xf>
    <xf numFmtId="4" fontId="10" fillId="0" borderId="9" xfId="0" applyNumberFormat="1" applyFont="1" applyBorder="1" applyAlignment="1">
      <alignment horizontal="left"/>
    </xf>
    <xf numFmtId="4" fontId="10" fillId="0" borderId="9" xfId="0" applyNumberFormat="1" applyFont="1" applyBorder="1"/>
    <xf numFmtId="4" fontId="18" fillId="0" borderId="0" xfId="0" applyNumberFormat="1" applyFont="1"/>
    <xf numFmtId="4" fontId="28" fillId="0" borderId="0" xfId="0" applyNumberFormat="1" applyFont="1"/>
    <xf numFmtId="4" fontId="25" fillId="0" borderId="0" xfId="0" applyNumberFormat="1" applyFont="1"/>
    <xf numFmtId="4" fontId="14" fillId="0" borderId="0" xfId="0" applyNumberFormat="1" applyFont="1" applyAlignment="1">
      <alignment horizontal="right"/>
    </xf>
    <xf numFmtId="4" fontId="25" fillId="0" borderId="0" xfId="0" quotePrefix="1" applyNumberFormat="1" applyFont="1"/>
    <xf numFmtId="4" fontId="28" fillId="0" borderId="0" xfId="0" applyNumberFormat="1" applyFont="1" applyAlignment="1">
      <alignment horizontal="right"/>
    </xf>
    <xf numFmtId="4" fontId="28" fillId="0" borderId="0" xfId="0" applyNumberFormat="1" applyFont="1" applyAlignment="1">
      <alignment horizontal="left"/>
    </xf>
    <xf numFmtId="4" fontId="14" fillId="0" borderId="0" xfId="0" quotePrefix="1" applyNumberFormat="1" applyFont="1" applyAlignment="1">
      <alignment horizontal="right"/>
    </xf>
    <xf numFmtId="4" fontId="14" fillId="0" borderId="0" xfId="0" quotePrefix="1" applyNumberFormat="1" applyFont="1"/>
    <xf numFmtId="4" fontId="10" fillId="4" borderId="0" xfId="0" applyNumberFormat="1" applyFont="1" applyFill="1"/>
    <xf numFmtId="4" fontId="10" fillId="0" borderId="5" xfId="0" applyNumberFormat="1" applyFont="1" applyBorder="1" applyAlignment="1">
      <alignment horizontal="center"/>
    </xf>
    <xf numFmtId="3" fontId="10" fillId="4" borderId="0" xfId="0" applyNumberFormat="1" applyFont="1" applyFill="1" applyAlignment="1">
      <alignment horizontal="center"/>
    </xf>
    <xf numFmtId="3" fontId="10" fillId="4" borderId="9" xfId="0" applyNumberFormat="1" applyFont="1" applyFill="1" applyBorder="1" applyAlignment="1">
      <alignment horizontal="center"/>
    </xf>
    <xf numFmtId="3" fontId="14" fillId="0" borderId="0" xfId="0" applyNumberFormat="1" applyFont="1" applyAlignment="1">
      <alignment horizontal="center"/>
    </xf>
    <xf numFmtId="4" fontId="10" fillId="4" borderId="0" xfId="0" applyNumberFormat="1" applyFont="1" applyFill="1" applyAlignment="1">
      <alignment horizontal="center"/>
    </xf>
    <xf numFmtId="3" fontId="14" fillId="0" borderId="9" xfId="0" applyNumberFormat="1" applyFont="1" applyBorder="1" applyAlignment="1">
      <alignment horizontal="center"/>
    </xf>
    <xf numFmtId="4" fontId="10" fillId="0" borderId="13" xfId="0" applyNumberFormat="1" applyFont="1" applyBorder="1"/>
    <xf numFmtId="4" fontId="11" fillId="0" borderId="13" xfId="0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/>
    </xf>
    <xf numFmtId="4" fontId="21" fillId="0" borderId="0" xfId="0" applyNumberFormat="1" applyFont="1"/>
    <xf numFmtId="4" fontId="0" fillId="0" borderId="0" xfId="0" applyNumberFormat="1"/>
    <xf numFmtId="3" fontId="11" fillId="0" borderId="0" xfId="0" applyNumberFormat="1" applyFont="1" applyAlignment="1">
      <alignment horizontal="left"/>
    </xf>
    <xf numFmtId="4" fontId="10" fillId="5" borderId="0" xfId="0" applyNumberFormat="1" applyFont="1" applyFill="1"/>
    <xf numFmtId="4" fontId="10" fillId="5" borderId="0" xfId="1" quotePrefix="1" applyNumberFormat="1" applyFont="1" applyFill="1"/>
    <xf numFmtId="4" fontId="10" fillId="5" borderId="0" xfId="1" applyNumberFormat="1" applyFont="1" applyFill="1"/>
    <xf numFmtId="4" fontId="10" fillId="0" borderId="14" xfId="0" applyNumberFormat="1" applyFont="1" applyBorder="1"/>
    <xf numFmtId="4" fontId="10" fillId="0" borderId="15" xfId="0" applyNumberFormat="1" applyFont="1" applyBorder="1"/>
    <xf numFmtId="4" fontId="10" fillId="0" borderId="16" xfId="0" applyNumberFormat="1" applyFont="1" applyBorder="1"/>
    <xf numFmtId="4" fontId="10" fillId="0" borderId="15" xfId="0" applyNumberFormat="1" applyFont="1" applyBorder="1" applyAlignment="1">
      <alignment horizontal="center"/>
    </xf>
    <xf numFmtId="4" fontId="10" fillId="0" borderId="6" xfId="0" applyNumberFormat="1" applyFont="1" applyBorder="1" applyAlignment="1">
      <alignment horizontal="center"/>
    </xf>
    <xf numFmtId="4" fontId="10" fillId="0" borderId="17" xfId="0" applyNumberFormat="1" applyFont="1" applyBorder="1" applyAlignment="1">
      <alignment horizontal="center"/>
    </xf>
    <xf numFmtId="4" fontId="10" fillId="0" borderId="6" xfId="0" quotePrefix="1" applyNumberFormat="1" applyFont="1" applyBorder="1" applyAlignment="1">
      <alignment horizontal="center"/>
    </xf>
    <xf numFmtId="4" fontId="10" fillId="0" borderId="18" xfId="0" applyNumberFormat="1" applyFont="1" applyBorder="1"/>
    <xf numFmtId="4" fontId="10" fillId="0" borderId="19" xfId="0" applyNumberFormat="1" applyFont="1" applyBorder="1"/>
    <xf numFmtId="4" fontId="10" fillId="0" borderId="20" xfId="0" applyNumberFormat="1" applyFont="1" applyBorder="1"/>
    <xf numFmtId="4" fontId="10" fillId="0" borderId="21" xfId="0" applyNumberFormat="1" applyFont="1" applyBorder="1"/>
    <xf numFmtId="4" fontId="8" fillId="0" borderId="0" xfId="0" applyNumberFormat="1" applyFont="1"/>
    <xf numFmtId="0" fontId="36" fillId="0" borderId="31" xfId="0" quotePrefix="1" applyFont="1" applyBorder="1" applyAlignment="1">
      <alignment horizontal="left" vertical="center"/>
    </xf>
    <xf numFmtId="0" fontId="9" fillId="0" borderId="31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3" fontId="9" fillId="0" borderId="31" xfId="0" applyNumberFormat="1" applyFont="1" applyBorder="1" applyAlignment="1">
      <alignment horizontal="right" vertical="center"/>
    </xf>
    <xf numFmtId="3" fontId="36" fillId="0" borderId="31" xfId="0" applyNumberFormat="1" applyFont="1" applyBorder="1" applyAlignment="1">
      <alignment vertical="center"/>
    </xf>
    <xf numFmtId="0" fontId="37" fillId="0" borderId="0" xfId="0" applyFont="1"/>
    <xf numFmtId="0" fontId="8" fillId="0" borderId="22" xfId="0" quotePrefix="1" applyFont="1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3" fontId="8" fillId="0" borderId="22" xfId="0" applyNumberFormat="1" applyFont="1" applyBorder="1" applyAlignment="1">
      <alignment horizontal="center" vertical="center"/>
    </xf>
    <xf numFmtId="3" fontId="8" fillId="0" borderId="22" xfId="0" applyNumberFormat="1" applyFont="1" applyBorder="1" applyAlignment="1">
      <alignment horizontal="right" vertical="center"/>
    </xf>
    <xf numFmtId="4" fontId="27" fillId="0" borderId="22" xfId="1" applyNumberFormat="1" applyFont="1" applyBorder="1"/>
    <xf numFmtId="3" fontId="27" fillId="0" borderId="22" xfId="0" applyNumberFormat="1" applyFont="1" applyBorder="1" applyAlignment="1">
      <alignment vertical="center"/>
    </xf>
    <xf numFmtId="4" fontId="8" fillId="0" borderId="22" xfId="0" applyNumberFormat="1" applyFont="1" applyBorder="1" applyAlignment="1">
      <alignment horizontal="center"/>
    </xf>
    <xf numFmtId="4" fontId="8" fillId="0" borderId="22" xfId="1" applyNumberFormat="1" applyFont="1" applyBorder="1"/>
    <xf numFmtId="3" fontId="27" fillId="0" borderId="22" xfId="1" applyNumberFormat="1" applyFont="1" applyBorder="1"/>
    <xf numFmtId="0" fontId="8" fillId="0" borderId="22" xfId="0" applyFont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8" fillId="0" borderId="0" xfId="0" applyFont="1"/>
    <xf numFmtId="4" fontId="36" fillId="0" borderId="31" xfId="0" applyNumberFormat="1" applyFont="1" applyBorder="1"/>
    <xf numFmtId="4" fontId="9" fillId="0" borderId="31" xfId="0" applyNumberFormat="1" applyFont="1" applyBorder="1"/>
    <xf numFmtId="4" fontId="9" fillId="0" borderId="31" xfId="0" applyNumberFormat="1" applyFont="1" applyBorder="1" applyAlignment="1">
      <alignment horizontal="center"/>
    </xf>
    <xf numFmtId="4" fontId="9" fillId="0" borderId="31" xfId="1" applyNumberFormat="1" applyFont="1" applyBorder="1"/>
    <xf numFmtId="3" fontId="36" fillId="0" borderId="31" xfId="1" applyNumberFormat="1" applyFont="1" applyBorder="1"/>
    <xf numFmtId="3" fontId="14" fillId="0" borderId="22" xfId="0" applyNumberFormat="1" applyFont="1" applyBorder="1"/>
    <xf numFmtId="4" fontId="8" fillId="0" borderId="19" xfId="0" applyNumberFormat="1" applyFont="1" applyBorder="1" applyAlignment="1">
      <alignment horizontal="center"/>
    </xf>
    <xf numFmtId="4" fontId="8" fillId="0" borderId="19" xfId="1" applyNumberFormat="1" applyFont="1" applyBorder="1"/>
    <xf numFmtId="4" fontId="8" fillId="0" borderId="0" xfId="0" applyNumberFormat="1" applyFont="1" applyAlignment="1">
      <alignment horizontal="center"/>
    </xf>
    <xf numFmtId="4" fontId="8" fillId="0" borderId="0" xfId="1" applyNumberFormat="1" applyFont="1"/>
    <xf numFmtId="3" fontId="9" fillId="0" borderId="0" xfId="1" applyNumberFormat="1" applyFont="1"/>
    <xf numFmtId="4" fontId="10" fillId="0" borderId="19" xfId="0" applyNumberFormat="1" applyFont="1" applyBorder="1" applyAlignment="1">
      <alignment horizontal="center"/>
    </xf>
    <xf numFmtId="4" fontId="10" fillId="0" borderId="22" xfId="3" applyNumberFormat="1" applyFont="1" applyBorder="1" applyAlignment="1">
      <alignment horizontal="left"/>
    </xf>
    <xf numFmtId="3" fontId="27" fillId="0" borderId="28" xfId="0" applyNumberFormat="1" applyFont="1" applyBorder="1" applyAlignment="1">
      <alignment horizontal="left"/>
    </xf>
    <xf numFmtId="1" fontId="14" fillId="0" borderId="29" xfId="3" applyNumberFormat="1" applyFont="1" applyBorder="1" applyAlignment="1">
      <alignment horizontal="center"/>
    </xf>
    <xf numFmtId="2" fontId="14" fillId="0" borderId="29" xfId="3" applyNumberFormat="1" applyFont="1" applyBorder="1" applyAlignment="1">
      <alignment horizontal="left"/>
    </xf>
    <xf numFmtId="4" fontId="11" fillId="2" borderId="0" xfId="0" applyNumberFormat="1" applyFont="1" applyFill="1"/>
    <xf numFmtId="0" fontId="7" fillId="0" borderId="0" xfId="0" applyFont="1"/>
    <xf numFmtId="4" fontId="28" fillId="2" borderId="0" xfId="0" applyNumberFormat="1" applyFont="1" applyFill="1"/>
    <xf numFmtId="3" fontId="28" fillId="2" borderId="0" xfId="0" applyNumberFormat="1" applyFont="1" applyFill="1" applyAlignment="1">
      <alignment horizontal="right"/>
    </xf>
    <xf numFmtId="4" fontId="40" fillId="4" borderId="2" xfId="3" applyNumberFormat="1" applyFont="1" applyFill="1" applyBorder="1" applyProtection="1">
      <protection locked="0"/>
    </xf>
    <xf numFmtId="4" fontId="18" fillId="0" borderId="0" xfId="0" quotePrefix="1" applyNumberFormat="1" applyFont="1" applyAlignment="1">
      <alignment horizontal="left"/>
    </xf>
    <xf numFmtId="4" fontId="11" fillId="0" borderId="0" xfId="0" applyNumberFormat="1" applyFont="1" applyAlignment="1">
      <alignment horizontal="left"/>
    </xf>
    <xf numFmtId="4" fontId="11" fillId="0" borderId="0" xfId="2" applyNumberFormat="1" applyFont="1" applyAlignment="1">
      <alignment horizontal="center"/>
    </xf>
    <xf numFmtId="4" fontId="10" fillId="0" borderId="0" xfId="0" quotePrefix="1" applyNumberFormat="1" applyFont="1" applyAlignment="1">
      <alignment horizontal="right"/>
    </xf>
    <xf numFmtId="4" fontId="0" fillId="0" borderId="0" xfId="0" quotePrefix="1" applyNumberFormat="1" applyAlignment="1">
      <alignment horizontal="center"/>
    </xf>
    <xf numFmtId="4" fontId="0" fillId="0" borderId="0" xfId="0" applyNumberFormat="1" applyAlignment="1">
      <alignment horizontal="center"/>
    </xf>
    <xf numFmtId="4" fontId="42" fillId="0" borderId="0" xfId="0" applyNumberFormat="1" applyFont="1" applyAlignment="1">
      <alignment horizontal="left"/>
    </xf>
    <xf numFmtId="4" fontId="10" fillId="0" borderId="0" xfId="1" applyNumberFormat="1" applyFont="1" applyAlignment="1">
      <alignment horizontal="right"/>
    </xf>
    <xf numFmtId="4" fontId="11" fillId="0" borderId="0" xfId="0" applyNumberFormat="1" applyFont="1" applyAlignment="1">
      <alignment vertical="center"/>
    </xf>
    <xf numFmtId="4" fontId="10" fillId="5" borderId="0" xfId="0" quotePrefix="1" applyNumberFormat="1" applyFont="1" applyFill="1" applyAlignment="1">
      <alignment horizontal="right"/>
    </xf>
    <xf numFmtId="4" fontId="10" fillId="0" borderId="14" xfId="0" applyNumberFormat="1" applyFont="1" applyBorder="1" applyAlignment="1">
      <alignment horizontal="center"/>
    </xf>
    <xf numFmtId="4" fontId="10" fillId="0" borderId="15" xfId="0" applyNumberFormat="1" applyFont="1" applyBorder="1" applyAlignment="1">
      <alignment horizontal="centerContinuous"/>
    </xf>
    <xf numFmtId="4" fontId="10" fillId="0" borderId="16" xfId="0" applyNumberFormat="1" applyFont="1" applyBorder="1" applyAlignment="1">
      <alignment horizontal="center"/>
    </xf>
    <xf numFmtId="4" fontId="10" fillId="0" borderId="20" xfId="0" applyNumberFormat="1" applyFont="1" applyBorder="1" applyAlignment="1">
      <alignment horizontal="center"/>
    </xf>
    <xf numFmtId="4" fontId="10" fillId="0" borderId="18" xfId="0" applyNumberFormat="1" applyFont="1" applyBorder="1" applyAlignment="1">
      <alignment horizontal="center"/>
    </xf>
    <xf numFmtId="4" fontId="10" fillId="0" borderId="21" xfId="0" applyNumberFormat="1" applyFont="1" applyBorder="1" applyAlignment="1">
      <alignment horizontal="center"/>
    </xf>
    <xf numFmtId="4" fontId="39" fillId="0" borderId="0" xfId="0" applyNumberFormat="1" applyFont="1"/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left" indent="1"/>
    </xf>
    <xf numFmtId="4" fontId="11" fillId="4" borderId="2" xfId="3" applyNumberFormat="1" applyFont="1" applyFill="1" applyBorder="1" applyProtection="1">
      <protection locked="0"/>
    </xf>
    <xf numFmtId="2" fontId="11" fillId="2" borderId="0" xfId="0" applyNumberFormat="1" applyFont="1" applyFill="1"/>
    <xf numFmtId="40" fontId="3" fillId="0" borderId="0" xfId="0" applyNumberFormat="1" applyFont="1"/>
    <xf numFmtId="2" fontId="3" fillId="0" borderId="0" xfId="0" applyNumberFormat="1" applyFont="1"/>
    <xf numFmtId="2" fontId="10" fillId="2" borderId="0" xfId="0" applyNumberFormat="1" applyFont="1" applyFill="1" applyAlignment="1">
      <alignment horizontal="right"/>
    </xf>
    <xf numFmtId="0" fontId="0" fillId="0" borderId="0" xfId="0" applyAlignment="1">
      <alignment horizontal="left" indent="3"/>
    </xf>
    <xf numFmtId="4" fontId="11" fillId="2" borderId="0" xfId="0" applyNumberFormat="1" applyFont="1" applyFill="1" applyAlignment="1">
      <alignment horizontal="right"/>
    </xf>
    <xf numFmtId="2" fontId="10" fillId="2" borderId="0" xfId="0" applyNumberFormat="1" applyFont="1" applyFill="1"/>
    <xf numFmtId="2" fontId="11" fillId="2" borderId="30" xfId="0" applyNumberFormat="1" applyFont="1" applyFill="1" applyBorder="1"/>
    <xf numFmtId="2" fontId="0" fillId="0" borderId="0" xfId="0" applyNumberFormat="1" applyAlignment="1">
      <alignment horizontal="left"/>
    </xf>
    <xf numFmtId="0" fontId="43" fillId="0" borderId="0" xfId="0" applyFont="1"/>
    <xf numFmtId="0" fontId="44" fillId="0" borderId="0" xfId="0" applyFont="1"/>
    <xf numFmtId="2" fontId="45" fillId="0" borderId="0" xfId="3" applyNumberFormat="1" applyFont="1" applyAlignment="1">
      <alignment horizontal="center" vertical="center"/>
    </xf>
    <xf numFmtId="0" fontId="46" fillId="0" borderId="0" xfId="0" applyFont="1"/>
    <xf numFmtId="0" fontId="46" fillId="0" borderId="0" xfId="0" applyFont="1" applyAlignment="1">
      <alignment horizontal="left" indent="1"/>
    </xf>
    <xf numFmtId="0" fontId="46" fillId="0" borderId="0" xfId="0" quotePrefix="1" applyFont="1" applyAlignment="1">
      <alignment horizontal="left" indent="1"/>
    </xf>
    <xf numFmtId="2" fontId="46" fillId="0" borderId="0" xfId="0" applyNumberFormat="1" applyFont="1"/>
    <xf numFmtId="4" fontId="46" fillId="0" borderId="0" xfId="0" applyNumberFormat="1" applyFont="1"/>
    <xf numFmtId="171" fontId="0" fillId="0" borderId="0" xfId="0" applyNumberFormat="1" applyAlignment="1">
      <alignment horizontal="left"/>
    </xf>
    <xf numFmtId="0" fontId="2" fillId="0" borderId="0" xfId="0" quotePrefix="1" applyFont="1" applyAlignment="1">
      <alignment horizontal="right"/>
    </xf>
    <xf numFmtId="3" fontId="0" fillId="0" borderId="0" xfId="0" applyNumberFormat="1" applyAlignment="1">
      <alignment horizontal="left"/>
    </xf>
    <xf numFmtId="2" fontId="11" fillId="7" borderId="0" xfId="0" applyNumberFormat="1" applyFont="1" applyFill="1" applyAlignment="1">
      <alignment horizontal="left" vertical="center"/>
    </xf>
    <xf numFmtId="2" fontId="10" fillId="7" borderId="0" xfId="0" applyNumberFormat="1" applyFont="1" applyFill="1" applyAlignment="1">
      <alignment horizontal="center" vertical="center"/>
    </xf>
    <xf numFmtId="9" fontId="0" fillId="0" borderId="0" xfId="2" applyFont="1" applyAlignment="1">
      <alignment horizontal="left"/>
    </xf>
    <xf numFmtId="4" fontId="10" fillId="8" borderId="0" xfId="0" applyNumberFormat="1" applyFont="1" applyFill="1"/>
    <xf numFmtId="4" fontId="42" fillId="8" borderId="0" xfId="0" applyNumberFormat="1" applyFont="1" applyFill="1"/>
    <xf numFmtId="4" fontId="39" fillId="0" borderId="0" xfId="5" applyNumberFormat="1" applyFont="1"/>
    <xf numFmtId="2" fontId="10" fillId="0" borderId="13" xfId="0" applyNumberFormat="1" applyFont="1" applyBorder="1" applyAlignment="1">
      <alignment vertical="center" wrapText="1"/>
    </xf>
    <xf numFmtId="4" fontId="51" fillId="0" borderId="0" xfId="0" applyNumberFormat="1" applyFont="1" applyAlignment="1">
      <alignment horizontal="right"/>
    </xf>
    <xf numFmtId="4" fontId="51" fillId="0" borderId="0" xfId="0" applyNumberFormat="1" applyFont="1"/>
    <xf numFmtId="0" fontId="39" fillId="0" borderId="0" xfId="0" quotePrefix="1" applyFont="1"/>
    <xf numFmtId="4" fontId="39" fillId="0" borderId="0" xfId="3" applyNumberFormat="1" applyFont="1"/>
    <xf numFmtId="3" fontId="39" fillId="0" borderId="0" xfId="3" applyNumberFormat="1" applyFont="1" applyAlignment="1">
      <alignment horizontal="left"/>
    </xf>
    <xf numFmtId="168" fontId="39" fillId="0" borderId="0" xfId="3" applyNumberFormat="1" applyFont="1" applyAlignment="1">
      <alignment horizontal="left"/>
    </xf>
    <xf numFmtId="167" fontId="39" fillId="0" borderId="0" xfId="3" applyNumberFormat="1" applyFont="1" applyAlignment="1">
      <alignment horizontal="left"/>
    </xf>
    <xf numFmtId="0" fontId="39" fillId="0" borderId="0" xfId="0" applyFont="1" applyAlignment="1">
      <alignment horizontal="right"/>
    </xf>
    <xf numFmtId="4" fontId="51" fillId="0" borderId="37" xfId="3" applyNumberFormat="1" applyFont="1" applyBorder="1" applyAlignment="1">
      <alignment horizontal="center" wrapText="1"/>
    </xf>
    <xf numFmtId="4" fontId="51" fillId="0" borderId="37" xfId="3" applyNumberFormat="1" applyFont="1" applyBorder="1" applyAlignment="1">
      <alignment horizontal="center"/>
    </xf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2" fillId="0" borderId="0" xfId="0" applyFont="1" applyAlignment="1">
      <alignment horizontal="left" indent="1"/>
    </xf>
    <xf numFmtId="0" fontId="52" fillId="10" borderId="0" xfId="0" applyFont="1" applyFill="1"/>
    <xf numFmtId="0" fontId="56" fillId="0" borderId="0" xfId="0" applyFont="1"/>
    <xf numFmtId="2" fontId="52" fillId="0" borderId="0" xfId="0" applyNumberFormat="1" applyFont="1"/>
    <xf numFmtId="0" fontId="54" fillId="0" borderId="0" xfId="0" quotePrefix="1" applyFont="1"/>
    <xf numFmtId="0" fontId="52" fillId="0" borderId="0" xfId="0" applyFont="1" applyAlignment="1">
      <alignment horizontal="left" indent="2"/>
    </xf>
    <xf numFmtId="0" fontId="53" fillId="0" borderId="0" xfId="0" applyFont="1" applyAlignment="1">
      <alignment horizontal="left" wrapText="1"/>
    </xf>
    <xf numFmtId="2" fontId="52" fillId="0" borderId="0" xfId="0" applyNumberFormat="1" applyFont="1" applyAlignment="1">
      <alignment horizontal="left" wrapText="1"/>
    </xf>
    <xf numFmtId="0" fontId="58" fillId="0" borderId="0" xfId="0" applyFont="1"/>
    <xf numFmtId="0" fontId="53" fillId="0" borderId="0" xfId="0" applyFont="1" applyAlignment="1">
      <alignment horizontal="left"/>
    </xf>
    <xf numFmtId="0" fontId="53" fillId="6" borderId="0" xfId="0" applyFont="1" applyFill="1" applyAlignment="1">
      <alignment horizontal="center"/>
    </xf>
    <xf numFmtId="0" fontId="59" fillId="0" borderId="0" xfId="0" applyFont="1" applyAlignment="1">
      <alignment horizontal="center"/>
    </xf>
    <xf numFmtId="2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center"/>
    </xf>
    <xf numFmtId="2" fontId="60" fillId="0" borderId="0" xfId="0" applyNumberFormat="1" applyFont="1" applyAlignment="1">
      <alignment horizontal="center"/>
    </xf>
    <xf numFmtId="0" fontId="53" fillId="3" borderId="0" xfId="0" applyFont="1" applyFill="1"/>
    <xf numFmtId="0" fontId="52" fillId="3" borderId="0" xfId="0" applyFont="1" applyFill="1"/>
    <xf numFmtId="0" fontId="57" fillId="3" borderId="0" xfId="0" applyFont="1" applyFill="1"/>
    <xf numFmtId="0" fontId="52" fillId="0" borderId="0" xfId="0" quotePrefix="1" applyFont="1"/>
    <xf numFmtId="2" fontId="52" fillId="6" borderId="0" xfId="0" applyNumberFormat="1" applyFont="1" applyFill="1"/>
    <xf numFmtId="0" fontId="52" fillId="3" borderId="0" xfId="0" applyFont="1" applyFill="1" applyAlignment="1">
      <alignment horizontal="left" indent="1"/>
    </xf>
    <xf numFmtId="166" fontId="52" fillId="0" borderId="0" xfId="1" applyNumberFormat="1" applyFont="1"/>
    <xf numFmtId="2" fontId="54" fillId="0" borderId="0" xfId="0" applyNumberFormat="1" applyFont="1"/>
    <xf numFmtId="170" fontId="52" fillId="0" borderId="0" xfId="1" applyNumberFormat="1" applyFont="1"/>
    <xf numFmtId="164" fontId="52" fillId="0" borderId="0" xfId="2" applyNumberFormat="1" applyFont="1"/>
    <xf numFmtId="0" fontId="54" fillId="3" borderId="0" xfId="0" applyFont="1" applyFill="1"/>
    <xf numFmtId="166" fontId="52" fillId="0" borderId="0" xfId="0" applyNumberFormat="1" applyFont="1"/>
    <xf numFmtId="3" fontId="52" fillId="0" borderId="0" xfId="0" applyNumberFormat="1" applyFont="1"/>
    <xf numFmtId="165" fontId="52" fillId="0" borderId="0" xfId="0" applyNumberFormat="1" applyFont="1"/>
    <xf numFmtId="3" fontId="62" fillId="0" borderId="0" xfId="0" applyNumberFormat="1" applyFont="1"/>
    <xf numFmtId="4" fontId="62" fillId="0" borderId="0" xfId="1" applyNumberFormat="1" applyFont="1"/>
    <xf numFmtId="3" fontId="62" fillId="0" borderId="0" xfId="1" applyNumberFormat="1" applyFont="1"/>
    <xf numFmtId="0" fontId="56" fillId="0" borderId="0" xfId="0" applyFont="1" applyAlignment="1">
      <alignment horizontal="left" indent="2"/>
    </xf>
    <xf numFmtId="4" fontId="52" fillId="0" borderId="0" xfId="0" applyNumberFormat="1" applyFont="1"/>
    <xf numFmtId="164" fontId="52" fillId="0" borderId="0" xfId="0" applyNumberFormat="1" applyFont="1"/>
    <xf numFmtId="2" fontId="52" fillId="3" borderId="0" xfId="0" applyNumberFormat="1" applyFont="1" applyFill="1"/>
    <xf numFmtId="0" fontId="52" fillId="0" borderId="0" xfId="0" applyFont="1" applyAlignment="1">
      <alignment horizontal="right"/>
    </xf>
    <xf numFmtId="3" fontId="54" fillId="0" borderId="0" xfId="0" applyNumberFormat="1" applyFont="1"/>
    <xf numFmtId="169" fontId="52" fillId="0" borderId="0" xfId="0" applyNumberFormat="1" applyFont="1"/>
    <xf numFmtId="4" fontId="59" fillId="0" borderId="0" xfId="0" applyNumberFormat="1" applyFont="1"/>
    <xf numFmtId="43" fontId="52" fillId="0" borderId="0" xfId="1" applyFont="1" applyAlignment="1">
      <alignment horizontal="left" indent="2"/>
    </xf>
    <xf numFmtId="3" fontId="59" fillId="0" borderId="0" xfId="0" applyNumberFormat="1" applyFont="1" applyAlignment="1">
      <alignment horizontal="left"/>
    </xf>
    <xf numFmtId="0" fontId="59" fillId="0" borderId="0" xfId="0" applyFont="1"/>
    <xf numFmtId="0" fontId="63" fillId="0" borderId="0" xfId="0" applyFont="1"/>
    <xf numFmtId="0" fontId="64" fillId="0" borderId="0" xfId="0" applyFont="1"/>
    <xf numFmtId="4" fontId="59" fillId="0" borderId="0" xfId="0" applyNumberFormat="1" applyFont="1" applyAlignment="1">
      <alignment horizontal="right"/>
    </xf>
    <xf numFmtId="0" fontId="61" fillId="0" borderId="0" xfId="5" applyFont="1"/>
    <xf numFmtId="2" fontId="52" fillId="11" borderId="0" xfId="0" applyNumberFormat="1" applyFont="1" applyFill="1"/>
    <xf numFmtId="0" fontId="52" fillId="11" borderId="0" xfId="0" applyFont="1" applyFill="1"/>
    <xf numFmtId="3" fontId="51" fillId="0" borderId="37" xfId="3" applyNumberFormat="1" applyFont="1" applyBorder="1" applyAlignment="1">
      <alignment horizontal="center" wrapText="1"/>
    </xf>
    <xf numFmtId="0" fontId="65" fillId="9" borderId="0" xfId="0" applyFont="1" applyFill="1"/>
    <xf numFmtId="0" fontId="66" fillId="0" borderId="0" xfId="0" applyFont="1"/>
    <xf numFmtId="0" fontId="67" fillId="0" borderId="0" xfId="0" applyFont="1"/>
    <xf numFmtId="0" fontId="65" fillId="3" borderId="0" xfId="0" applyFont="1" applyFill="1"/>
    <xf numFmtId="2" fontId="66" fillId="3" borderId="0" xfId="0" applyNumberFormat="1" applyFont="1" applyFill="1"/>
    <xf numFmtId="0" fontId="69" fillId="11" borderId="0" xfId="0" applyFont="1" applyFill="1"/>
    <xf numFmtId="0" fontId="69" fillId="0" borderId="0" xfId="0" applyFont="1"/>
    <xf numFmtId="1" fontId="66" fillId="3" borderId="0" xfId="0" applyNumberFormat="1" applyFont="1" applyFill="1"/>
    <xf numFmtId="165" fontId="66" fillId="3" borderId="0" xfId="0" applyNumberFormat="1" applyFont="1" applyFill="1"/>
    <xf numFmtId="164" fontId="66" fillId="3" borderId="0" xfId="0" applyNumberFormat="1" applyFont="1" applyFill="1"/>
    <xf numFmtId="3" fontId="66" fillId="3" borderId="0" xfId="0" applyNumberFormat="1" applyFont="1" applyFill="1"/>
    <xf numFmtId="2" fontId="1" fillId="3" borderId="0" xfId="0" applyNumberFormat="1" applyFont="1" applyFill="1"/>
    <xf numFmtId="0" fontId="1" fillId="0" borderId="0" xfId="0" applyFont="1"/>
    <xf numFmtId="3" fontId="1" fillId="3" borderId="0" xfId="0" applyNumberFormat="1" applyFont="1" applyFill="1"/>
    <xf numFmtId="165" fontId="1" fillId="3" borderId="0" xfId="0" applyNumberFormat="1" applyFont="1" applyFill="1"/>
    <xf numFmtId="0" fontId="7" fillId="11" borderId="0" xfId="0" applyFont="1" applyFill="1"/>
    <xf numFmtId="168" fontId="39" fillId="0" borderId="0" xfId="0" applyNumberFormat="1" applyFont="1" applyAlignment="1">
      <alignment horizontal="left"/>
    </xf>
    <xf numFmtId="0" fontId="0" fillId="0" borderId="0" xfId="0" quotePrefix="1"/>
    <xf numFmtId="0" fontId="7" fillId="0" borderId="0" xfId="0" quotePrefix="1" applyFont="1"/>
    <xf numFmtId="0" fontId="7" fillId="2" borderId="0" xfId="0" applyFont="1" applyFill="1"/>
    <xf numFmtId="0" fontId="51" fillId="0" borderId="0" xfId="0" applyFont="1" applyAlignment="1">
      <alignment horizontal="right"/>
    </xf>
    <xf numFmtId="0" fontId="51" fillId="0" borderId="0" xfId="0" applyFont="1"/>
    <xf numFmtId="43" fontId="51" fillId="0" borderId="0" xfId="0" applyNumberFormat="1" applyFont="1"/>
    <xf numFmtId="4" fontId="39" fillId="0" borderId="0" xfId="0" quotePrefix="1" applyNumberFormat="1" applyFont="1"/>
    <xf numFmtId="1" fontId="10" fillId="3" borderId="0" xfId="3" applyNumberFormat="1" applyFont="1" applyFill="1" applyAlignment="1">
      <alignment horizontal="center"/>
    </xf>
    <xf numFmtId="0" fontId="1" fillId="3" borderId="0" xfId="0" applyFont="1" applyFill="1"/>
    <xf numFmtId="0" fontId="0" fillId="0" borderId="0" xfId="0" applyFont="1"/>
    <xf numFmtId="0" fontId="0" fillId="0" borderId="0" xfId="0" quotePrefix="1" applyFont="1" applyAlignment="1">
      <alignment horizontal="left"/>
    </xf>
    <xf numFmtId="0" fontId="0" fillId="0" borderId="0" xfId="0" quotePrefix="1" applyFont="1"/>
    <xf numFmtId="0" fontId="2" fillId="3" borderId="0" xfId="0" applyFont="1" applyFill="1"/>
    <xf numFmtId="164" fontId="1" fillId="0" borderId="0" xfId="2" applyNumberFormat="1"/>
    <xf numFmtId="2" fontId="1" fillId="0" borderId="0" xfId="0" applyNumberFormat="1" applyFont="1"/>
    <xf numFmtId="4" fontId="1" fillId="0" borderId="0" xfId="0" applyNumberFormat="1" applyFont="1"/>
    <xf numFmtId="166" fontId="1" fillId="0" borderId="0" xfId="0" applyNumberFormat="1" applyFont="1"/>
    <xf numFmtId="0" fontId="0" fillId="0" borderId="0" xfId="0" quotePrefix="1" applyFont="1" applyAlignment="1">
      <alignment horizontal="left" indent="2"/>
    </xf>
    <xf numFmtId="0" fontId="0" fillId="0" borderId="0" xfId="0" quotePrefix="1" applyAlignment="1">
      <alignment horizontal="left" indent="2"/>
    </xf>
    <xf numFmtId="2" fontId="7" fillId="0" borderId="0" xfId="0" applyNumberFormat="1" applyFont="1"/>
    <xf numFmtId="0" fontId="0" fillId="0" borderId="0" xfId="0" applyFill="1"/>
    <xf numFmtId="2" fontId="1" fillId="0" borderId="0" xfId="0" applyNumberFormat="1" applyFont="1" applyFill="1"/>
    <xf numFmtId="165" fontId="0" fillId="0" borderId="0" xfId="0" applyNumberFormat="1" applyFont="1"/>
    <xf numFmtId="2" fontId="52" fillId="0" borderId="0" xfId="0" applyNumberFormat="1" applyFont="1" applyFill="1"/>
    <xf numFmtId="164" fontId="66" fillId="0" borderId="0" xfId="0" applyNumberFormat="1" applyFont="1" applyFill="1"/>
    <xf numFmtId="0" fontId="7" fillId="29" borderId="0" xfId="0" applyFont="1" applyFill="1"/>
    <xf numFmtId="0" fontId="7" fillId="0" borderId="0" xfId="0" applyFont="1" applyAlignment="1">
      <alignment horizontal="right"/>
    </xf>
    <xf numFmtId="0" fontId="49" fillId="0" borderId="0" xfId="5" quotePrefix="1" applyFont="1"/>
    <xf numFmtId="0" fontId="1" fillId="0" borderId="0" xfId="0" quotePrefix="1" applyFont="1" applyAlignment="1">
      <alignment horizontal="left" indent="2"/>
    </xf>
    <xf numFmtId="165" fontId="7" fillId="0" borderId="0" xfId="0" quotePrefix="1" applyNumberFormat="1" applyFont="1" applyAlignment="1">
      <alignment horizontal="right"/>
    </xf>
    <xf numFmtId="0" fontId="52" fillId="0" borderId="0" xfId="0" applyFont="1" applyFill="1"/>
    <xf numFmtId="2" fontId="1" fillId="3" borderId="0" xfId="0" applyNumberFormat="1" applyFont="1" applyFill="1" applyAlignment="1">
      <alignment horizontal="center"/>
    </xf>
    <xf numFmtId="2" fontId="7" fillId="0" borderId="0" xfId="0" quotePrefix="1" applyNumberFormat="1" applyFont="1" applyAlignment="1">
      <alignment horizontal="right"/>
    </xf>
    <xf numFmtId="1" fontId="1" fillId="3" borderId="0" xfId="0" applyNumberFormat="1" applyFont="1" applyFill="1"/>
    <xf numFmtId="1" fontId="10" fillId="3" borderId="0" xfId="82" applyNumberFormat="1" applyFont="1" applyFill="1" applyAlignment="1">
      <alignment horizontal="center"/>
    </xf>
    <xf numFmtId="1" fontId="0" fillId="3" borderId="0" xfId="0" applyNumberFormat="1" applyFill="1"/>
    <xf numFmtId="0" fontId="0" fillId="28" borderId="0" xfId="0" applyFill="1"/>
    <xf numFmtId="0" fontId="0" fillId="28" borderId="0" xfId="0" applyFill="1" applyAlignment="1">
      <alignment horizontal="center"/>
    </xf>
    <xf numFmtId="0" fontId="0" fillId="0" borderId="37" xfId="0" applyBorder="1"/>
    <xf numFmtId="165" fontId="0" fillId="0" borderId="37" xfId="0" applyNumberFormat="1" applyBorder="1"/>
    <xf numFmtId="0" fontId="10" fillId="0" borderId="0" xfId="0" applyFont="1" applyAlignment="1">
      <alignment vertical="center"/>
    </xf>
    <xf numFmtId="4" fontId="51" fillId="0" borderId="37" xfId="3" applyNumberFormat="1" applyFont="1" applyBorder="1" applyAlignment="1">
      <alignment horizontal="center" vertical="center" wrapText="1"/>
    </xf>
    <xf numFmtId="4" fontId="51" fillId="0" borderId="37" xfId="3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8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2" fontId="10" fillId="2" borderId="0" xfId="0" applyNumberFormat="1" applyFont="1" applyFill="1" applyAlignment="1">
      <alignment vertical="center"/>
    </xf>
    <xf numFmtId="165" fontId="10" fillId="11" borderId="0" xfId="0" applyNumberFormat="1" applyFont="1" applyFill="1" applyAlignment="1">
      <alignment vertical="center"/>
    </xf>
    <xf numFmtId="0" fontId="89" fillId="0" borderId="0" xfId="0" applyFont="1" applyAlignment="1">
      <alignment horizontal="fill" vertical="center"/>
    </xf>
    <xf numFmtId="0" fontId="88" fillId="0" borderId="0" xfId="0" applyFont="1" applyAlignment="1">
      <alignment horizontal="fill" vertical="center"/>
    </xf>
    <xf numFmtId="0" fontId="90" fillId="0" borderId="0" xfId="0" applyFont="1" applyAlignment="1">
      <alignment vertical="center"/>
    </xf>
    <xf numFmtId="0" fontId="89" fillId="0" borderId="0" xfId="0" applyFont="1" applyAlignment="1">
      <alignment vertical="center"/>
    </xf>
    <xf numFmtId="165" fontId="10" fillId="2" borderId="0" xfId="0" applyNumberFormat="1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91" fillId="0" borderId="0" xfId="0" applyFont="1" applyAlignment="1">
      <alignment vertical="center"/>
    </xf>
    <xf numFmtId="0" fontId="89" fillId="0" borderId="0" xfId="0" applyFont="1" applyAlignment="1">
      <alignment horizontal="right" vertical="center"/>
    </xf>
    <xf numFmtId="0" fontId="89" fillId="0" borderId="0" xfId="0" applyFont="1" applyAlignment="1">
      <alignment horizontal="center" vertical="center"/>
    </xf>
    <xf numFmtId="2" fontId="8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1" fontId="10" fillId="2" borderId="0" xfId="0" applyNumberFormat="1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165" fontId="10" fillId="0" borderId="0" xfId="0" applyNumberFormat="1" applyFont="1" applyAlignment="1">
      <alignment vertical="center"/>
    </xf>
    <xf numFmtId="1" fontId="10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37" xfId="0" applyBorder="1" applyAlignment="1">
      <alignment vertical="center"/>
    </xf>
    <xf numFmtId="165" fontId="0" fillId="0" borderId="37" xfId="0" applyNumberFormat="1" applyBorder="1" applyAlignment="1">
      <alignment vertical="center"/>
    </xf>
    <xf numFmtId="4" fontId="2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vertical="center"/>
    </xf>
    <xf numFmtId="43" fontId="0" fillId="0" borderId="0" xfId="1" applyFont="1" applyAlignment="1">
      <alignment horizontal="left" indent="2"/>
    </xf>
    <xf numFmtId="0" fontId="0" fillId="2" borderId="0" xfId="0" applyFill="1"/>
    <xf numFmtId="0" fontId="10" fillId="2" borderId="0" xfId="0" applyFont="1" applyFill="1"/>
    <xf numFmtId="4" fontId="10" fillId="2" borderId="0" xfId="0" applyNumberFormat="1" applyFont="1" applyFill="1" applyAlignment="1">
      <alignment horizontal="right"/>
    </xf>
    <xf numFmtId="4" fontId="10" fillId="2" borderId="0" xfId="0" applyNumberFormat="1" applyFont="1" applyFill="1"/>
    <xf numFmtId="0" fontId="92" fillId="0" borderId="0" xfId="0" applyFont="1"/>
    <xf numFmtId="2" fontId="10" fillId="2" borderId="0" xfId="3" quotePrefix="1" applyNumberFormat="1" applyFont="1" applyFill="1" applyAlignment="1">
      <alignment horizontal="left"/>
    </xf>
    <xf numFmtId="0" fontId="65" fillId="2" borderId="0" xfId="0" applyFont="1" applyFill="1"/>
    <xf numFmtId="0" fontId="69" fillId="30" borderId="0" xfId="0" applyFont="1" applyFill="1"/>
    <xf numFmtId="0" fontId="69" fillId="2" borderId="0" xfId="0" applyFont="1" applyFill="1"/>
    <xf numFmtId="172" fontId="10" fillId="0" borderId="0" xfId="0" applyNumberFormat="1" applyFont="1"/>
    <xf numFmtId="173" fontId="10" fillId="0" borderId="0" xfId="0" applyNumberFormat="1" applyFont="1"/>
    <xf numFmtId="2" fontId="0" fillId="2" borderId="0" xfId="0" applyNumberFormat="1" applyFill="1"/>
    <xf numFmtId="0" fontId="0" fillId="30" borderId="0" xfId="0" applyFill="1"/>
    <xf numFmtId="0" fontId="3" fillId="2" borderId="0" xfId="0" applyFont="1" applyFill="1"/>
    <xf numFmtId="4" fontId="10" fillId="31" borderId="0" xfId="0" applyNumberFormat="1" applyFont="1" applyFill="1"/>
    <xf numFmtId="0" fontId="66" fillId="0" borderId="0" xfId="0" applyFont="1" applyAlignment="1">
      <alignment horizontal="left"/>
    </xf>
    <xf numFmtId="0" fontId="65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69" fillId="2" borderId="0" xfId="0" applyFont="1" applyFill="1" applyAlignment="1">
      <alignment horizontal="left"/>
    </xf>
    <xf numFmtId="2" fontId="68" fillId="0" borderId="0" xfId="3" quotePrefix="1" applyNumberFormat="1" applyFont="1" applyFill="1" applyAlignment="1">
      <alignment horizontal="left"/>
    </xf>
    <xf numFmtId="2" fontId="10" fillId="0" borderId="0" xfId="3" quotePrefix="1" applyNumberFormat="1" applyFont="1" applyFill="1" applyAlignment="1">
      <alignment horizontal="left"/>
    </xf>
    <xf numFmtId="0" fontId="0" fillId="0" borderId="0" xfId="0" applyFont="1" applyAlignment="1">
      <alignment horizontal="left" indent="1"/>
    </xf>
    <xf numFmtId="0" fontId="69" fillId="9" borderId="0" xfId="0" applyFont="1" applyFill="1"/>
    <xf numFmtId="0" fontId="7" fillId="9" borderId="0" xfId="0" applyFont="1" applyFill="1"/>
    <xf numFmtId="0" fontId="7" fillId="11" borderId="0" xfId="0" applyFont="1" applyFill="1" applyAlignment="1">
      <alignment vertical="center"/>
    </xf>
    <xf numFmtId="0" fontId="87" fillId="28" borderId="0" xfId="0" applyFont="1" applyFill="1" applyAlignment="1">
      <alignment vertical="center"/>
    </xf>
    <xf numFmtId="0" fontId="69" fillId="11" borderId="0" xfId="0" applyFont="1" applyFill="1" applyAlignment="1">
      <alignment vertical="center"/>
    </xf>
    <xf numFmtId="0" fontId="6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69" fillId="0" borderId="0" xfId="0" applyFont="1" applyFill="1"/>
    <xf numFmtId="0" fontId="7" fillId="0" borderId="0" xfId="0" applyFont="1" applyFill="1"/>
    <xf numFmtId="4" fontId="68" fillId="2" borderId="0" xfId="3" quotePrefix="1" applyNumberFormat="1" applyFont="1" applyFill="1" applyAlignment="1">
      <alignment horizontal="left"/>
    </xf>
    <xf numFmtId="4" fontId="68" fillId="0" borderId="0" xfId="3" quotePrefix="1" applyNumberFormat="1" applyFont="1" applyFill="1" applyAlignment="1">
      <alignment horizontal="left"/>
    </xf>
    <xf numFmtId="0" fontId="67" fillId="0" borderId="0" xfId="0" applyFont="1" applyFill="1"/>
    <xf numFmtId="165" fontId="0" fillId="2" borderId="0" xfId="0" applyNumberFormat="1" applyFill="1"/>
    <xf numFmtId="0" fontId="10" fillId="2" borderId="0" xfId="0" quotePrefix="1" applyFont="1" applyFill="1" applyAlignment="1">
      <alignment horizontal="left"/>
    </xf>
    <xf numFmtId="0" fontId="53" fillId="2" borderId="0" xfId="0" applyFont="1" applyFill="1"/>
    <xf numFmtId="0" fontId="7" fillId="32" borderId="0" xfId="0" applyFont="1" applyFill="1"/>
    <xf numFmtId="2" fontId="52" fillId="2" borderId="0" xfId="0" applyNumberFormat="1" applyFont="1" applyFill="1"/>
    <xf numFmtId="2" fontId="52" fillId="30" borderId="0" xfId="0" applyNumberFormat="1" applyFont="1" applyFill="1"/>
    <xf numFmtId="168" fontId="51" fillId="0" borderId="37" xfId="3" applyNumberFormat="1" applyFont="1" applyBorder="1" applyAlignment="1">
      <alignment horizontal="center" wrapText="1"/>
    </xf>
    <xf numFmtId="165" fontId="52" fillId="2" borderId="0" xfId="0" applyNumberFormat="1" applyFont="1" applyFill="1"/>
    <xf numFmtId="4" fontId="52" fillId="2" borderId="0" xfId="0" applyNumberFormat="1" applyFont="1" applyFill="1"/>
    <xf numFmtId="40" fontId="3" fillId="2" borderId="0" xfId="0" applyNumberFormat="1" applyFont="1" applyFill="1"/>
    <xf numFmtId="4" fontId="10" fillId="9" borderId="0" xfId="0" applyNumberFormat="1" applyFont="1" applyFill="1"/>
    <xf numFmtId="4" fontId="10" fillId="2" borderId="0" xfId="0" applyNumberFormat="1" applyFont="1" applyFill="1" applyAlignment="1">
      <alignment horizontal="left"/>
    </xf>
    <xf numFmtId="0" fontId="50" fillId="2" borderId="0" xfId="5" applyFont="1" applyFill="1"/>
    <xf numFmtId="0" fontId="66" fillId="30" borderId="0" xfId="0" applyFont="1" applyFill="1"/>
    <xf numFmtId="0" fontId="66" fillId="2" borderId="0" xfId="0" applyFont="1" applyFill="1"/>
    <xf numFmtId="0" fontId="66" fillId="9" borderId="0" xfId="0" applyFont="1" applyFill="1"/>
    <xf numFmtId="0" fontId="0" fillId="9" borderId="0" xfId="0" applyFill="1"/>
    <xf numFmtId="0" fontId="43" fillId="0" borderId="0" xfId="0" applyFont="1" applyAlignment="1"/>
    <xf numFmtId="0" fontId="52" fillId="30" borderId="0" xfId="0" applyFont="1" applyFill="1"/>
    <xf numFmtId="0" fontId="56" fillId="30" borderId="0" xfId="0" applyFont="1" applyFill="1"/>
    <xf numFmtId="4" fontId="3" fillId="0" borderId="0" xfId="0" applyNumberFormat="1" applyFont="1"/>
    <xf numFmtId="0" fontId="66" fillId="33" borderId="0" xfId="0" applyFont="1" applyFill="1"/>
    <xf numFmtId="0" fontId="7" fillId="34" borderId="0" xfId="0" applyFont="1" applyFill="1"/>
    <xf numFmtId="0" fontId="66" fillId="34" borderId="0" xfId="0" applyFont="1" applyFill="1"/>
    <xf numFmtId="0" fontId="7" fillId="30" borderId="0" xfId="0" applyFont="1" applyFill="1"/>
    <xf numFmtId="4" fontId="1" fillId="0" borderId="0" xfId="0" applyNumberFormat="1" applyFont="1" applyAlignment="1">
      <alignment horizontal="right"/>
    </xf>
    <xf numFmtId="0" fontId="1" fillId="0" borderId="37" xfId="0" applyFont="1" applyBorder="1"/>
    <xf numFmtId="4" fontId="1" fillId="0" borderId="37" xfId="0" applyNumberFormat="1" applyFont="1" applyBorder="1" applyAlignment="1">
      <alignment horizontal="right"/>
    </xf>
    <xf numFmtId="0" fontId="1" fillId="0" borderId="37" xfId="0" applyFont="1" applyFill="1" applyBorder="1"/>
    <xf numFmtId="3" fontId="1" fillId="0" borderId="37" xfId="0" applyNumberFormat="1" applyFont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4" fontId="1" fillId="0" borderId="0" xfId="0" applyNumberFormat="1" applyFont="1" applyFill="1" applyAlignment="1">
      <alignment horizontal="right"/>
    </xf>
    <xf numFmtId="0" fontId="1" fillId="0" borderId="37" xfId="0" applyFont="1" applyBorder="1" applyAlignment="1">
      <alignment vertical="center"/>
    </xf>
    <xf numFmtId="165" fontId="1" fillId="0" borderId="37" xfId="0" applyNumberFormat="1" applyFont="1" applyBorder="1" applyAlignment="1">
      <alignment vertical="center"/>
    </xf>
    <xf numFmtId="0" fontId="57" fillId="3" borderId="37" xfId="12" applyFont="1" applyFill="1" applyBorder="1"/>
    <xf numFmtId="0" fontId="57" fillId="0" borderId="37" xfId="12" applyFont="1" applyBorder="1"/>
    <xf numFmtId="0" fontId="57" fillId="0" borderId="37" xfId="12" applyFont="1" applyBorder="1" applyAlignment="1"/>
    <xf numFmtId="0" fontId="57" fillId="0" borderId="37" xfId="12" applyFont="1" applyFill="1" applyBorder="1" applyAlignment="1"/>
    <xf numFmtId="0" fontId="57" fillId="0" borderId="37" xfId="12" applyFont="1" applyBorder="1" applyAlignment="1">
      <alignment horizontal="left" indent="1"/>
    </xf>
    <xf numFmtId="0" fontId="57" fillId="0" borderId="37" xfId="12" applyFont="1" applyFill="1" applyBorder="1" applyAlignment="1">
      <alignment horizontal="left" indent="1"/>
    </xf>
    <xf numFmtId="4" fontId="7" fillId="0" borderId="0" xfId="12" applyNumberFormat="1" applyFont="1" applyFill="1" applyAlignment="1">
      <alignment horizontal="right"/>
    </xf>
    <xf numFmtId="0" fontId="7" fillId="0" borderId="37" xfId="12" applyFont="1" applyFill="1" applyBorder="1" applyAlignment="1">
      <alignment horizontal="left" indent="2"/>
    </xf>
    <xf numFmtId="4" fontId="7" fillId="0" borderId="37" xfId="12" applyNumberFormat="1" applyFont="1" applyFill="1" applyBorder="1" applyAlignment="1">
      <alignment horizontal="right"/>
    </xf>
    <xf numFmtId="4" fontId="7" fillId="0" borderId="0" xfId="0" applyNumberFormat="1" applyFont="1" applyFill="1" applyAlignment="1">
      <alignment horizontal="right" vertical="center"/>
    </xf>
    <xf numFmtId="3" fontId="7" fillId="0" borderId="37" xfId="12" applyNumberFormat="1" applyFont="1" applyFill="1" applyBorder="1" applyAlignment="1">
      <alignment horizontal="right"/>
    </xf>
    <xf numFmtId="0" fontId="7" fillId="0" borderId="0" xfId="12" applyFont="1" applyFill="1"/>
    <xf numFmtId="0" fontId="5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164" fontId="7" fillId="0" borderId="37" xfId="0" applyNumberFormat="1" applyFont="1" applyBorder="1" applyAlignment="1">
      <alignment vertical="center"/>
    </xf>
    <xf numFmtId="165" fontId="7" fillId="0" borderId="37" xfId="0" applyNumberFormat="1" applyFont="1" applyBorder="1" applyAlignment="1">
      <alignment vertical="center"/>
    </xf>
    <xf numFmtId="0" fontId="7" fillId="0" borderId="0" xfId="12" applyFont="1"/>
    <xf numFmtId="1" fontId="7" fillId="0" borderId="37" xfId="0" applyNumberFormat="1" applyFont="1" applyFill="1" applyBorder="1" applyAlignment="1">
      <alignment vertical="center"/>
    </xf>
    <xf numFmtId="1" fontId="7" fillId="0" borderId="37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4" fontId="1" fillId="0" borderId="0" xfId="0" applyNumberFormat="1" applyFont="1" applyBorder="1"/>
    <xf numFmtId="4" fontId="1" fillId="0" borderId="37" xfId="0" applyNumberFormat="1" applyFont="1" applyBorder="1"/>
    <xf numFmtId="0" fontId="1" fillId="0" borderId="12" xfId="0" applyFont="1" applyBorder="1"/>
    <xf numFmtId="168" fontId="1" fillId="0" borderId="37" xfId="0" applyNumberFormat="1" applyFont="1" applyBorder="1"/>
    <xf numFmtId="4" fontId="7" fillId="0" borderId="37" xfId="3" applyNumberFormat="1" applyFont="1" applyBorder="1" applyAlignment="1">
      <alignment horizontal="center" wrapText="1"/>
    </xf>
    <xf numFmtId="3" fontId="7" fillId="0" borderId="37" xfId="3" applyNumberFormat="1" applyFont="1" applyBorder="1" applyAlignment="1">
      <alignment horizontal="center" wrapText="1"/>
    </xf>
    <xf numFmtId="168" fontId="7" fillId="0" borderId="37" xfId="3" applyNumberFormat="1" applyFont="1" applyBorder="1" applyAlignment="1">
      <alignment horizontal="center" wrapText="1"/>
    </xf>
    <xf numFmtId="0" fontId="57" fillId="0" borderId="12" xfId="12" applyFont="1" applyBorder="1" applyAlignment="1"/>
    <xf numFmtId="0" fontId="7" fillId="0" borderId="37" xfId="12" applyFont="1" applyBorder="1"/>
    <xf numFmtId="2" fontId="7" fillId="0" borderId="37" xfId="12" applyNumberFormat="1" applyFont="1" applyBorder="1"/>
    <xf numFmtId="0" fontId="3" fillId="0" borderId="0" xfId="12" applyFont="1"/>
    <xf numFmtId="0" fontId="7" fillId="0" borderId="37" xfId="12" applyFont="1" applyBorder="1" applyAlignment="1">
      <alignment horizontal="right"/>
    </xf>
    <xf numFmtId="0" fontId="7" fillId="0" borderId="37" xfId="12" applyFont="1" applyBorder="1" applyAlignment="1"/>
    <xf numFmtId="2" fontId="7" fillId="6" borderId="37" xfId="12" applyNumberFormat="1" applyFont="1" applyFill="1" applyBorder="1"/>
    <xf numFmtId="2" fontId="7" fillId="0" borderId="0" xfId="12" applyNumberFormat="1" applyFont="1"/>
    <xf numFmtId="0" fontId="7" fillId="0" borderId="0" xfId="12" applyFont="1" applyAlignment="1">
      <alignment horizontal="right"/>
    </xf>
    <xf numFmtId="165" fontId="7" fillId="0" borderId="37" xfId="12" applyNumberFormat="1" applyFont="1" applyBorder="1"/>
    <xf numFmtId="3" fontId="7" fillId="2" borderId="37" xfId="12" applyNumberFormat="1" applyFont="1" applyFill="1" applyBorder="1"/>
    <xf numFmtId="3" fontId="7" fillId="0" borderId="37" xfId="12" applyNumberFormat="1" applyFont="1" applyBorder="1"/>
    <xf numFmtId="165" fontId="7" fillId="0" borderId="0" xfId="12" applyNumberFormat="1" applyFont="1"/>
    <xf numFmtId="0" fontId="7" fillId="0" borderId="0" xfId="12" applyFont="1" applyBorder="1" applyAlignment="1"/>
    <xf numFmtId="0" fontId="7" fillId="0" borderId="8" xfId="12" applyFont="1" applyBorder="1"/>
    <xf numFmtId="2" fontId="7" fillId="2" borderId="37" xfId="12" applyNumberFormat="1" applyFont="1" applyFill="1" applyBorder="1"/>
    <xf numFmtId="0" fontId="7" fillId="0" borderId="0" xfId="12" applyFont="1" applyBorder="1" applyAlignment="1">
      <alignment horizontal="right"/>
    </xf>
    <xf numFmtId="0" fontId="7" fillId="0" borderId="0" xfId="12" applyFont="1" applyBorder="1"/>
    <xf numFmtId="0" fontId="7" fillId="0" borderId="47" xfId="12" applyFont="1" applyBorder="1" applyAlignment="1">
      <alignment horizontal="center" vertical="center" wrapText="1"/>
    </xf>
    <xf numFmtId="2" fontId="7" fillId="0" borderId="0" xfId="12" applyNumberFormat="1" applyFont="1" applyBorder="1"/>
    <xf numFmtId="2" fontId="3" fillId="0" borderId="0" xfId="12" applyNumberFormat="1" applyFont="1"/>
    <xf numFmtId="3" fontId="7" fillId="0" borderId="48" xfId="12" applyNumberFormat="1" applyFont="1" applyBorder="1"/>
    <xf numFmtId="2" fontId="7" fillId="0" borderId="47" xfId="12" applyNumberFormat="1" applyFont="1" applyBorder="1"/>
    <xf numFmtId="2" fontId="7" fillId="0" borderId="0" xfId="12" applyNumberFormat="1" applyFont="1" applyAlignment="1">
      <alignment horizontal="center"/>
    </xf>
    <xf numFmtId="2" fontId="7" fillId="0" borderId="0" xfId="12" applyNumberFormat="1" applyFont="1" applyFill="1"/>
    <xf numFmtId="0" fontId="7" fillId="0" borderId="37" xfId="12" applyFont="1" applyFill="1" applyBorder="1" applyAlignment="1"/>
    <xf numFmtId="3" fontId="7" fillId="0" borderId="37" xfId="12" applyNumberFormat="1" applyFont="1" applyFill="1" applyBorder="1"/>
    <xf numFmtId="0" fontId="7" fillId="0" borderId="37" xfId="12" applyFont="1" applyFill="1" applyBorder="1" applyAlignment="1">
      <alignment horizontal="left" vertical="center" indent="2"/>
    </xf>
    <xf numFmtId="0" fontId="3" fillId="0" borderId="0" xfId="12" applyFont="1" applyFill="1"/>
    <xf numFmtId="3" fontId="7" fillId="0" borderId="0" xfId="12" applyNumberFormat="1" applyFont="1" applyFill="1" applyBorder="1" applyAlignment="1">
      <alignment horizontal="center"/>
    </xf>
    <xf numFmtId="0" fontId="7" fillId="0" borderId="0" xfId="12" applyFont="1" applyFill="1" applyAlignment="1">
      <alignment vertical="center"/>
    </xf>
    <xf numFmtId="0" fontId="3" fillId="0" borderId="0" xfId="0" applyFont="1" applyAlignment="1">
      <alignment vertical="center"/>
    </xf>
    <xf numFmtId="2" fontId="7" fillId="0" borderId="0" xfId="0" applyNumberFormat="1" applyFont="1" applyFill="1" applyAlignment="1">
      <alignment vertical="center"/>
    </xf>
    <xf numFmtId="2" fontId="1" fillId="0" borderId="37" xfId="0" applyNumberFormat="1" applyFont="1" applyBorder="1"/>
    <xf numFmtId="0" fontId="1" fillId="0" borderId="12" xfId="0" applyFont="1" applyFill="1" applyBorder="1"/>
    <xf numFmtId="3" fontId="1" fillId="0" borderId="37" xfId="0" applyNumberFormat="1" applyFont="1" applyBorder="1"/>
    <xf numFmtId="0" fontId="57" fillId="3" borderId="12" xfId="12" applyFont="1" applyFill="1" applyBorder="1"/>
    <xf numFmtId="0" fontId="7" fillId="0" borderId="0" xfId="12" applyFont="1" applyFill="1" applyBorder="1"/>
    <xf numFmtId="2" fontId="7" fillId="0" borderId="0" xfId="12" applyNumberFormat="1" applyFont="1" applyFill="1" applyBorder="1" applyAlignment="1">
      <alignment horizontal="center"/>
    </xf>
    <xf numFmtId="0" fontId="0" fillId="0" borderId="0" xfId="0" applyFont="1" applyAlignment="1">
      <alignment horizontal="right" vertical="center"/>
    </xf>
    <xf numFmtId="0" fontId="0" fillId="9" borderId="0" xfId="0" applyFont="1" applyFill="1"/>
    <xf numFmtId="0" fontId="7" fillId="0" borderId="37" xfId="12" applyFont="1" applyBorder="1" applyAlignment="1">
      <alignment horizontal="left" indent="1"/>
    </xf>
    <xf numFmtId="2" fontId="7" fillId="0" borderId="37" xfId="12" applyNumberFormat="1" applyFont="1" applyBorder="1" applyAlignment="1">
      <alignment horizontal="left" indent="1"/>
    </xf>
    <xf numFmtId="0" fontId="7" fillId="0" borderId="0" xfId="12" applyFont="1" applyAlignment="1">
      <alignment horizontal="left" indent="1"/>
    </xf>
    <xf numFmtId="0" fontId="7" fillId="0" borderId="37" xfId="12" applyFont="1" applyFill="1" applyBorder="1" applyAlignment="1">
      <alignment horizontal="left" inden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4" fontId="0" fillId="0" borderId="0" xfId="0" applyNumberFormat="1" applyAlignment="1">
      <alignment horizontal="left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0" fontId="7" fillId="0" borderId="0" xfId="0" applyFont="1" applyAlignment="1">
      <alignment horizontal="left" indent="5"/>
    </xf>
    <xf numFmtId="166" fontId="7" fillId="0" borderId="0" xfId="1" applyNumberFormat="1" applyFont="1"/>
    <xf numFmtId="0" fontId="7" fillId="0" borderId="0" xfId="12" applyFont="1" applyAlignment="1">
      <alignment horizontal="center"/>
    </xf>
    <xf numFmtId="0" fontId="7" fillId="0" borderId="0" xfId="12" applyFont="1" applyAlignment="1">
      <alignment horizontal="left"/>
    </xf>
    <xf numFmtId="43" fontId="7" fillId="0" borderId="0" xfId="12" applyNumberFormat="1" applyFont="1" applyAlignment="1">
      <alignment horizontal="center"/>
    </xf>
    <xf numFmtId="0" fontId="7" fillId="0" borderId="0" xfId="12" quotePrefix="1" applyFont="1" applyAlignment="1">
      <alignment horizontal="left"/>
    </xf>
    <xf numFmtId="3" fontId="7" fillId="0" borderId="37" xfId="12" applyNumberFormat="1" applyFont="1" applyFill="1" applyBorder="1" applyAlignment="1">
      <alignment horizontal="right"/>
    </xf>
    <xf numFmtId="167" fontId="7" fillId="0" borderId="37" xfId="12" applyNumberFormat="1" applyFont="1" applyFill="1" applyBorder="1" applyAlignment="1">
      <alignment horizontal="right"/>
    </xf>
    <xf numFmtId="0" fontId="7" fillId="0" borderId="0" xfId="12" applyFont="1" applyFill="1" applyBorder="1" applyAlignment="1">
      <alignment horizontal="left" vertical="center" indent="2"/>
    </xf>
    <xf numFmtId="4" fontId="7" fillId="0" borderId="0" xfId="12" applyNumberFormat="1" applyFont="1" applyFill="1" applyBorder="1" applyAlignment="1">
      <alignment horizontal="right"/>
    </xf>
    <xf numFmtId="3" fontId="7" fillId="0" borderId="37" xfId="12" applyNumberFormat="1" applyFont="1" applyFill="1" applyBorder="1" applyAlignment="1">
      <alignment horizontal="right"/>
    </xf>
    <xf numFmtId="0" fontId="3" fillId="30" borderId="0" xfId="0" applyFont="1" applyFill="1"/>
    <xf numFmtId="4" fontId="7" fillId="2" borderId="0" xfId="12" applyNumberFormat="1" applyFont="1" applyFill="1" applyBorder="1" applyAlignment="1">
      <alignment horizontal="right"/>
    </xf>
    <xf numFmtId="0" fontId="1" fillId="2" borderId="0" xfId="0" applyFont="1" applyFill="1"/>
    <xf numFmtId="0" fontId="57" fillId="0" borderId="37" xfId="12" applyFont="1" applyFill="1" applyBorder="1" applyAlignment="1">
      <alignment horizontal="left"/>
    </xf>
    <xf numFmtId="0" fontId="7" fillId="0" borderId="37" xfId="12" applyFont="1" applyFill="1" applyBorder="1" applyAlignment="1">
      <alignment horizontal="left" vertical="center" indent="1"/>
    </xf>
    <xf numFmtId="0" fontId="43" fillId="0" borderId="0" xfId="0" applyFont="1" applyAlignment="1">
      <alignment horizontal="left"/>
    </xf>
    <xf numFmtId="4" fontId="51" fillId="0" borderId="37" xfId="3" applyNumberFormat="1" applyFont="1" applyBorder="1" applyAlignment="1">
      <alignment horizontal="center" wrapText="1"/>
    </xf>
    <xf numFmtId="0" fontId="53" fillId="0" borderId="0" xfId="0" applyFont="1" applyAlignment="1">
      <alignment horizontal="center" wrapText="1"/>
    </xf>
    <xf numFmtId="0" fontId="59" fillId="0" borderId="0" xfId="0" applyFont="1" applyAlignment="1">
      <alignment horizontal="center"/>
    </xf>
    <xf numFmtId="0" fontId="52" fillId="0" borderId="0" xfId="0" applyFont="1" applyAlignment="1">
      <alignment horizontal="center" wrapText="1"/>
    </xf>
    <xf numFmtId="4" fontId="7" fillId="2" borderId="12" xfId="12" applyNumberFormat="1" applyFont="1" applyFill="1" applyBorder="1" applyAlignment="1">
      <alignment horizontal="center"/>
    </xf>
    <xf numFmtId="4" fontId="7" fillId="2" borderId="1" xfId="12" applyNumberFormat="1" applyFont="1" applyFill="1" applyBorder="1" applyAlignment="1">
      <alignment horizontal="center"/>
    </xf>
    <xf numFmtId="3" fontId="7" fillId="2" borderId="12" xfId="12" applyNumberFormat="1" applyFont="1" applyFill="1" applyBorder="1" applyAlignment="1">
      <alignment horizontal="center"/>
    </xf>
    <xf numFmtId="3" fontId="7" fillId="2" borderId="1" xfId="12" applyNumberFormat="1" applyFont="1" applyFill="1" applyBorder="1" applyAlignment="1">
      <alignment horizontal="center"/>
    </xf>
    <xf numFmtId="167" fontId="7" fillId="2" borderId="12" xfId="12" applyNumberFormat="1" applyFont="1" applyFill="1" applyBorder="1" applyAlignment="1">
      <alignment horizontal="center"/>
    </xf>
    <xf numFmtId="167" fontId="7" fillId="2" borderId="1" xfId="12" applyNumberFormat="1" applyFont="1" applyFill="1" applyBorder="1" applyAlignment="1">
      <alignment horizontal="center"/>
    </xf>
    <xf numFmtId="2" fontId="7" fillId="0" borderId="37" xfId="12" applyNumberFormat="1" applyFont="1" applyFill="1" applyBorder="1" applyAlignment="1">
      <alignment horizontal="center"/>
    </xf>
    <xf numFmtId="165" fontId="7" fillId="0" borderId="12" xfId="12" applyNumberFormat="1" applyFont="1" applyBorder="1" applyAlignment="1">
      <alignment horizontal="center"/>
    </xf>
    <xf numFmtId="165" fontId="7" fillId="0" borderId="1" xfId="12" applyNumberFormat="1" applyFont="1" applyBorder="1" applyAlignment="1">
      <alignment horizontal="center"/>
    </xf>
    <xf numFmtId="2" fontId="7" fillId="0" borderId="12" xfId="12" applyNumberFormat="1" applyFont="1" applyBorder="1" applyAlignment="1">
      <alignment horizontal="center"/>
    </xf>
    <xf numFmtId="2" fontId="7" fillId="0" borderId="1" xfId="12" applyNumberFormat="1" applyFont="1" applyBorder="1" applyAlignment="1">
      <alignment horizontal="center"/>
    </xf>
    <xf numFmtId="1" fontId="7" fillId="0" borderId="37" xfId="12" applyNumberFormat="1" applyFont="1" applyBorder="1" applyAlignment="1">
      <alignment horizontal="center"/>
    </xf>
    <xf numFmtId="2" fontId="7" fillId="2" borderId="37" xfId="12" applyNumberFormat="1" applyFont="1" applyFill="1" applyBorder="1" applyAlignment="1">
      <alignment horizontal="center"/>
    </xf>
    <xf numFmtId="165" fontId="7" fillId="2" borderId="12" xfId="12" applyNumberFormat="1" applyFont="1" applyFill="1" applyBorder="1" applyAlignment="1">
      <alignment horizontal="center"/>
    </xf>
    <xf numFmtId="165" fontId="7" fillId="2" borderId="1" xfId="12" applyNumberFormat="1" applyFont="1" applyFill="1" applyBorder="1" applyAlignment="1">
      <alignment horizontal="center"/>
    </xf>
    <xf numFmtId="165" fontId="7" fillId="0" borderId="37" xfId="12" applyNumberFormat="1" applyFont="1" applyBorder="1" applyAlignment="1">
      <alignment horizontal="center"/>
    </xf>
    <xf numFmtId="2" fontId="7" fillId="0" borderId="37" xfId="12" applyNumberFormat="1" applyFont="1" applyBorder="1" applyAlignment="1">
      <alignment horizontal="center"/>
    </xf>
    <xf numFmtId="165" fontId="7" fillId="0" borderId="37" xfId="12" applyNumberFormat="1" applyFont="1" applyFill="1" applyBorder="1" applyAlignment="1">
      <alignment horizontal="center"/>
    </xf>
    <xf numFmtId="1" fontId="7" fillId="0" borderId="37" xfId="12" applyNumberFormat="1" applyFont="1" applyFill="1" applyBorder="1" applyAlignment="1">
      <alignment horizontal="center"/>
    </xf>
    <xf numFmtId="167" fontId="7" fillId="0" borderId="37" xfId="12" applyNumberFormat="1" applyFont="1" applyFill="1" applyBorder="1" applyAlignment="1">
      <alignment horizontal="center"/>
    </xf>
    <xf numFmtId="2" fontId="7" fillId="0" borderId="12" xfId="12" applyNumberFormat="1" applyFont="1" applyFill="1" applyBorder="1" applyAlignment="1">
      <alignment horizontal="center"/>
    </xf>
    <xf numFmtId="2" fontId="7" fillId="0" borderId="1" xfId="12" applyNumberFormat="1" applyFont="1" applyFill="1" applyBorder="1" applyAlignment="1">
      <alignment horizontal="center"/>
    </xf>
    <xf numFmtId="3" fontId="7" fillId="0" borderId="37" xfId="12" applyNumberFormat="1" applyFont="1" applyFill="1" applyBorder="1" applyAlignment="1">
      <alignment horizontal="center"/>
    </xf>
    <xf numFmtId="167" fontId="7" fillId="0" borderId="12" xfId="12" applyNumberFormat="1" applyFont="1" applyFill="1" applyBorder="1" applyAlignment="1">
      <alignment horizontal="center"/>
    </xf>
    <xf numFmtId="167" fontId="7" fillId="0" borderId="1" xfId="12" applyNumberFormat="1" applyFont="1" applyFill="1" applyBorder="1" applyAlignment="1">
      <alignment horizontal="center"/>
    </xf>
    <xf numFmtId="3" fontId="57" fillId="0" borderId="12" xfId="12" applyNumberFormat="1" applyFont="1" applyBorder="1" applyAlignment="1">
      <alignment horizontal="center"/>
    </xf>
    <xf numFmtId="3" fontId="57" fillId="0" borderId="1" xfId="12" applyNumberFormat="1" applyFont="1" applyBorder="1" applyAlignment="1">
      <alignment horizontal="center"/>
    </xf>
    <xf numFmtId="1" fontId="7" fillId="0" borderId="12" xfId="12" applyNumberFormat="1" applyFont="1" applyBorder="1" applyAlignment="1">
      <alignment horizontal="center"/>
    </xf>
    <xf numFmtId="1" fontId="7" fillId="0" borderId="1" xfId="12" applyNumberFormat="1" applyFont="1" applyBorder="1" applyAlignment="1">
      <alignment horizontal="center"/>
    </xf>
    <xf numFmtId="0" fontId="7" fillId="0" borderId="48" xfId="12" applyFont="1" applyBorder="1" applyAlignment="1">
      <alignment horizontal="center" vertical="center" wrapText="1"/>
    </xf>
    <xf numFmtId="0" fontId="7" fillId="0" borderId="17" xfId="12" applyFont="1" applyBorder="1" applyAlignment="1">
      <alignment horizontal="center" vertical="center" wrapText="1"/>
    </xf>
    <xf numFmtId="0" fontId="7" fillId="0" borderId="47" xfId="12" applyFont="1" applyBorder="1" applyAlignment="1">
      <alignment horizontal="center" vertical="center" wrapText="1"/>
    </xf>
    <xf numFmtId="0" fontId="7" fillId="0" borderId="4" xfId="12" applyFont="1" applyBorder="1" applyAlignment="1">
      <alignment horizontal="center" vertical="center" wrapText="1"/>
    </xf>
    <xf numFmtId="0" fontId="7" fillId="0" borderId="5" xfId="12" applyFont="1" applyBorder="1" applyAlignment="1">
      <alignment horizontal="center" vertical="center" wrapText="1"/>
    </xf>
    <xf numFmtId="0" fontId="7" fillId="0" borderId="7" xfId="12" applyFont="1" applyBorder="1" applyAlignment="1">
      <alignment horizontal="center" vertical="center" wrapText="1"/>
    </xf>
    <xf numFmtId="0" fontId="7" fillId="0" borderId="8" xfId="12" applyFont="1" applyBorder="1" applyAlignment="1">
      <alignment horizontal="center" vertical="center" wrapText="1"/>
    </xf>
    <xf numFmtId="0" fontId="7" fillId="0" borderId="0" xfId="12" applyFont="1" applyBorder="1" applyAlignment="1">
      <alignment horizontal="center" vertical="center" wrapText="1"/>
    </xf>
    <xf numFmtId="0" fontId="7" fillId="0" borderId="6" xfId="12" applyFont="1" applyBorder="1" applyAlignment="1">
      <alignment horizontal="center" vertical="center" wrapText="1"/>
    </xf>
    <xf numFmtId="0" fontId="7" fillId="0" borderId="11" xfId="12" applyFont="1" applyBorder="1" applyAlignment="1">
      <alignment horizontal="center" vertical="center" wrapText="1"/>
    </xf>
    <xf numFmtId="0" fontId="7" fillId="0" borderId="9" xfId="12" applyFont="1" applyBorder="1" applyAlignment="1">
      <alignment horizontal="center" vertical="center" wrapText="1"/>
    </xf>
    <xf numFmtId="0" fontId="7" fillId="0" borderId="10" xfId="12" applyFont="1" applyBorder="1" applyAlignment="1">
      <alignment horizontal="center" vertical="center" wrapText="1"/>
    </xf>
    <xf numFmtId="0" fontId="7" fillId="0" borderId="12" xfId="12" applyFont="1" applyBorder="1" applyAlignment="1">
      <alignment horizontal="center"/>
    </xf>
    <xf numFmtId="0" fontId="7" fillId="0" borderId="1" xfId="12" applyFont="1" applyBorder="1" applyAlignment="1">
      <alignment horizontal="center"/>
    </xf>
    <xf numFmtId="3" fontId="57" fillId="0" borderId="37" xfId="12" applyNumberFormat="1" applyFont="1" applyFill="1" applyBorder="1" applyAlignment="1">
      <alignment horizontal="right"/>
    </xf>
    <xf numFmtId="3" fontId="7" fillId="0" borderId="37" xfId="12" applyNumberFormat="1" applyFont="1" applyFill="1" applyBorder="1" applyAlignment="1">
      <alignment horizontal="right"/>
    </xf>
    <xf numFmtId="4" fontId="10" fillId="0" borderId="0" xfId="0" applyNumberFormat="1" applyFont="1" applyAlignment="1">
      <alignment wrapText="1"/>
    </xf>
    <xf numFmtId="2" fontId="14" fillId="0" borderId="16" xfId="3" applyNumberFormat="1" applyFont="1" applyBorder="1" applyAlignment="1">
      <alignment horizontal="center" vertical="center"/>
    </xf>
    <xf numFmtId="2" fontId="28" fillId="0" borderId="20" xfId="3" applyNumberFormat="1" applyFont="1" applyBorder="1" applyAlignment="1">
      <alignment horizontal="center" vertical="center"/>
    </xf>
    <xf numFmtId="2" fontId="14" fillId="0" borderId="24" xfId="3" applyNumberFormat="1" applyFont="1" applyBorder="1" applyAlignment="1">
      <alignment horizontal="center" vertic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25" xfId="3" applyNumberFormat="1" applyFont="1" applyBorder="1" applyAlignment="1">
      <alignment horizontal="center" vertical="center"/>
    </xf>
    <xf numFmtId="2" fontId="14" fillId="0" borderId="21" xfId="3" applyNumberFormat="1" applyFont="1" applyBorder="1" applyAlignment="1">
      <alignment horizontal="center" vertical="center"/>
    </xf>
    <xf numFmtId="2" fontId="14" fillId="0" borderId="19" xfId="3" applyNumberFormat="1" applyFont="1" applyBorder="1" applyAlignment="1">
      <alignment horizontal="center" vertical="center"/>
    </xf>
    <xf numFmtId="2" fontId="14" fillId="0" borderId="27" xfId="3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 wrapText="1"/>
    </xf>
    <xf numFmtId="2" fontId="11" fillId="0" borderId="7" xfId="0" applyNumberFormat="1" applyFont="1" applyBorder="1" applyAlignment="1">
      <alignment horizontal="center" vertical="center" wrapText="1"/>
    </xf>
    <xf numFmtId="2" fontId="11" fillId="0" borderId="11" xfId="0" applyNumberFormat="1" applyFont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 wrapText="1"/>
    </xf>
    <xf numFmtId="2" fontId="9" fillId="0" borderId="12" xfId="0" applyNumberFormat="1" applyFont="1" applyBorder="1" applyAlignment="1">
      <alignment horizontal="left" vertical="center" wrapText="1"/>
    </xf>
    <xf numFmtId="2" fontId="9" fillId="0" borderId="13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left" vertical="center" wrapText="1"/>
    </xf>
    <xf numFmtId="1" fontId="10" fillId="0" borderId="13" xfId="0" applyNumberFormat="1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2" fontId="14" fillId="0" borderId="23" xfId="3" applyNumberFormat="1" applyFont="1" applyBorder="1" applyAlignment="1">
      <alignment horizontal="center" vertical="center"/>
    </xf>
    <xf numFmtId="2" fontId="28" fillId="0" borderId="26" xfId="3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right"/>
    </xf>
    <xf numFmtId="2" fontId="28" fillId="0" borderId="21" xfId="3" applyNumberFormat="1" applyFont="1" applyBorder="1" applyAlignment="1">
      <alignment horizontal="center" vertical="center"/>
    </xf>
    <xf numFmtId="2" fontId="14" fillId="0" borderId="33" xfId="3" applyNumberFormat="1" applyFont="1" applyBorder="1" applyAlignment="1">
      <alignment horizontal="center" vertical="center"/>
    </xf>
    <xf numFmtId="2" fontId="14" fillId="0" borderId="34" xfId="3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left" wrapText="1"/>
    </xf>
    <xf numFmtId="2" fontId="14" fillId="0" borderId="35" xfId="3" applyNumberFormat="1" applyFont="1" applyBorder="1" applyAlignment="1">
      <alignment horizontal="center" vertical="center"/>
    </xf>
    <xf numFmtId="2" fontId="14" fillId="0" borderId="36" xfId="3" applyNumberFormat="1" applyFont="1" applyBorder="1" applyAlignment="1">
      <alignment horizontal="center" vertical="center"/>
    </xf>
    <xf numFmtId="0" fontId="57" fillId="0" borderId="0" xfId="12" applyFont="1" applyFill="1" applyBorder="1" applyAlignment="1">
      <alignment horizontal="left" indent="1"/>
    </xf>
    <xf numFmtId="167" fontId="7" fillId="0" borderId="0" xfId="12" applyNumberFormat="1" applyFont="1" applyFill="1" applyBorder="1" applyAlignment="1">
      <alignment horizontal="right"/>
    </xf>
    <xf numFmtId="3" fontId="7" fillId="0" borderId="0" xfId="12" applyNumberFormat="1" applyFont="1" applyFill="1" applyBorder="1" applyAlignment="1">
      <alignment horizontal="right"/>
    </xf>
    <xf numFmtId="167" fontId="7" fillId="0" borderId="0" xfId="12" applyNumberFormat="1" applyFont="1" applyFill="1" applyBorder="1" applyAlignment="1">
      <alignment horizontal="center"/>
    </xf>
    <xf numFmtId="3" fontId="7" fillId="2" borderId="37" xfId="12" applyNumberFormat="1" applyFont="1" applyFill="1" applyBorder="1" applyAlignment="1">
      <alignment horizontal="center"/>
    </xf>
    <xf numFmtId="3" fontId="7" fillId="2" borderId="37" xfId="12" applyNumberFormat="1" applyFont="1" applyFill="1" applyBorder="1" applyAlignment="1">
      <alignment horizontal="right"/>
    </xf>
    <xf numFmtId="43" fontId="66" fillId="0" borderId="0" xfId="1" applyFont="1" applyAlignment="1">
      <alignment horizontal="left" vertical="center"/>
    </xf>
    <xf numFmtId="2" fontId="7" fillId="0" borderId="37" xfId="12" applyNumberFormat="1" applyFont="1" applyBorder="1" applyAlignment="1">
      <alignment horizontal="left" vertical="center" indent="1"/>
    </xf>
    <xf numFmtId="2" fontId="7" fillId="29" borderId="37" xfId="12" applyNumberFormat="1" applyFont="1" applyFill="1" applyBorder="1" applyAlignment="1">
      <alignment horizontal="left" indent="1"/>
    </xf>
    <xf numFmtId="165" fontId="7" fillId="29" borderId="12" xfId="12" applyNumberFormat="1" applyFont="1" applyFill="1" applyBorder="1" applyAlignment="1">
      <alignment horizontal="center"/>
    </xf>
    <xf numFmtId="165" fontId="7" fillId="29" borderId="1" xfId="12" applyNumberFormat="1" applyFont="1" applyFill="1" applyBorder="1" applyAlignment="1">
      <alignment horizontal="center"/>
    </xf>
    <xf numFmtId="0" fontId="57" fillId="29" borderId="37" xfId="12" applyFont="1" applyFill="1" applyBorder="1" applyAlignment="1">
      <alignment horizontal="left"/>
    </xf>
    <xf numFmtId="0" fontId="7" fillId="29" borderId="37" xfId="12" applyFont="1" applyFill="1" applyBorder="1" applyAlignment="1">
      <alignment horizontal="left" indent="1"/>
    </xf>
    <xf numFmtId="1" fontId="7" fillId="29" borderId="37" xfId="12" applyNumberFormat="1" applyFont="1" applyFill="1" applyBorder="1" applyAlignment="1">
      <alignment horizontal="center"/>
    </xf>
    <xf numFmtId="167" fontId="7" fillId="29" borderId="12" xfId="12" applyNumberFormat="1" applyFont="1" applyFill="1" applyBorder="1" applyAlignment="1">
      <alignment horizontal="center"/>
    </xf>
    <xf numFmtId="167" fontId="7" fillId="29" borderId="1" xfId="12" applyNumberFormat="1" applyFont="1" applyFill="1" applyBorder="1" applyAlignment="1">
      <alignment horizontal="center"/>
    </xf>
    <xf numFmtId="3" fontId="10" fillId="2" borderId="0" xfId="0" applyNumberFormat="1" applyFont="1" applyFill="1"/>
    <xf numFmtId="0" fontId="7" fillId="0" borderId="12" xfId="12" applyFont="1" applyBorder="1"/>
    <xf numFmtId="0" fontId="7" fillId="0" borderId="37" xfId="12" applyFont="1" applyBorder="1" applyAlignment="1">
      <alignment horizontal="left" vertical="center" indent="1"/>
    </xf>
    <xf numFmtId="3" fontId="7" fillId="29" borderId="12" xfId="12" applyNumberFormat="1" applyFont="1" applyFill="1" applyBorder="1" applyAlignment="1">
      <alignment horizontal="center"/>
    </xf>
    <xf numFmtId="0" fontId="7" fillId="29" borderId="1" xfId="12" applyFont="1" applyFill="1" applyBorder="1" applyAlignment="1">
      <alignment horizontal="center"/>
    </xf>
    <xf numFmtId="2" fontId="7" fillId="29" borderId="37" xfId="12" applyNumberFormat="1" applyFont="1" applyFill="1" applyBorder="1"/>
  </cellXfs>
  <cellStyles count="83">
    <cellStyle name="20% - Ênfase1 2" xfId="11" xr:uid="{00000000-0005-0000-0000-000000000000}"/>
    <cellStyle name="20% - Ênfase2 2" xfId="13" xr:uid="{00000000-0005-0000-0000-000001000000}"/>
    <cellStyle name="20% - Ênfase3 2" xfId="14" xr:uid="{00000000-0005-0000-0000-000002000000}"/>
    <cellStyle name="20% - Ênfase4 2" xfId="15" xr:uid="{00000000-0005-0000-0000-000003000000}"/>
    <cellStyle name="20% - Ênfase5 2" xfId="16" xr:uid="{00000000-0005-0000-0000-000004000000}"/>
    <cellStyle name="20% - Ênfase6 2" xfId="17" xr:uid="{00000000-0005-0000-0000-000005000000}"/>
    <cellStyle name="40% - Ênfase1 2" xfId="18" xr:uid="{00000000-0005-0000-0000-000006000000}"/>
    <cellStyle name="40% - Ênfase2 2" xfId="19" xr:uid="{00000000-0005-0000-0000-000007000000}"/>
    <cellStyle name="40% - Ênfase3 2" xfId="20" xr:uid="{00000000-0005-0000-0000-000008000000}"/>
    <cellStyle name="40% - Ênfase4 2" xfId="21" xr:uid="{00000000-0005-0000-0000-000009000000}"/>
    <cellStyle name="40% - Ênfase5 2" xfId="22" xr:uid="{00000000-0005-0000-0000-00000A000000}"/>
    <cellStyle name="40% - Ênfase6 2" xfId="23" xr:uid="{00000000-0005-0000-0000-00000B000000}"/>
    <cellStyle name="60% - Ênfase1 2" xfId="24" xr:uid="{00000000-0005-0000-0000-00000C000000}"/>
    <cellStyle name="60% - Ênfase2 2" xfId="25" xr:uid="{00000000-0005-0000-0000-00000D000000}"/>
    <cellStyle name="60% - Ênfase3 2" xfId="26" xr:uid="{00000000-0005-0000-0000-00000E000000}"/>
    <cellStyle name="60% - Ênfase4 2" xfId="27" xr:uid="{00000000-0005-0000-0000-00000F000000}"/>
    <cellStyle name="60% - Ênfase5 2" xfId="28" xr:uid="{00000000-0005-0000-0000-000010000000}"/>
    <cellStyle name="60% - Ênfase6 2" xfId="29" xr:uid="{00000000-0005-0000-0000-000011000000}"/>
    <cellStyle name="Bom 2" xfId="30" xr:uid="{00000000-0005-0000-0000-000012000000}"/>
    <cellStyle name="Cálculo 2" xfId="31" xr:uid="{00000000-0005-0000-0000-000013000000}"/>
    <cellStyle name="Célula de Verificação 2" xfId="32" xr:uid="{00000000-0005-0000-0000-000014000000}"/>
    <cellStyle name="Célula Vinculada 2" xfId="33" xr:uid="{00000000-0005-0000-0000-000015000000}"/>
    <cellStyle name="Ênfase1 2" xfId="34" xr:uid="{00000000-0005-0000-0000-000016000000}"/>
    <cellStyle name="Ênfase2 2" xfId="35" xr:uid="{00000000-0005-0000-0000-000017000000}"/>
    <cellStyle name="Ênfase3 2" xfId="36" xr:uid="{00000000-0005-0000-0000-000018000000}"/>
    <cellStyle name="Ênfase4 2" xfId="37" xr:uid="{00000000-0005-0000-0000-000019000000}"/>
    <cellStyle name="Ênfase5 2" xfId="38" xr:uid="{00000000-0005-0000-0000-00001A000000}"/>
    <cellStyle name="Ênfase6 2" xfId="39" xr:uid="{00000000-0005-0000-0000-00001B000000}"/>
    <cellStyle name="Entrada 2" xfId="40" xr:uid="{00000000-0005-0000-0000-00001C000000}"/>
    <cellStyle name="Estilo 1" xfId="10" xr:uid="{00000000-0005-0000-0000-00001D000000}"/>
    <cellStyle name="Incorreto 2" xfId="41" xr:uid="{00000000-0005-0000-0000-00001E000000}"/>
    <cellStyle name="Moeda" xfId="4" builtinId="4"/>
    <cellStyle name="Moeda 2" xfId="7" xr:uid="{00000000-0005-0000-0000-000050000000}"/>
    <cellStyle name="Neutra 2" xfId="42" xr:uid="{00000000-0005-0000-0000-00001F000000}"/>
    <cellStyle name="Neutro 2" xfId="60" xr:uid="{00000000-0005-0000-0000-000060000000}"/>
    <cellStyle name="Normal" xfId="0" builtinId="0"/>
    <cellStyle name="Normal 2" xfId="55" xr:uid="{00000000-0005-0000-0000-000021000000}"/>
    <cellStyle name="Normal 2 2" xfId="64" xr:uid="{00000000-0005-0000-0000-000021000000}"/>
    <cellStyle name="Normal 3" xfId="56" xr:uid="{00000000-0005-0000-0000-000022000000}"/>
    <cellStyle name="Normal 3 2" xfId="65" xr:uid="{00000000-0005-0000-0000-000022000000}"/>
    <cellStyle name="Normal 4" xfId="54" xr:uid="{00000000-0005-0000-0000-000023000000}"/>
    <cellStyle name="Normal 4 2" xfId="63" xr:uid="{00000000-0005-0000-0000-000023000000}"/>
    <cellStyle name="Normal 5" xfId="12" xr:uid="{00000000-0005-0000-0000-000024000000}"/>
    <cellStyle name="Normal 5 2" xfId="62" xr:uid="{00000000-0005-0000-0000-000035000000}"/>
    <cellStyle name="Normal 6" xfId="58" xr:uid="{00000000-0005-0000-0000-000061000000}"/>
    <cellStyle name="Normal_Dim_Arranjo_Derivativo_R4_11mar" xfId="5" xr:uid="{00000000-0005-0000-0000-000002000000}"/>
    <cellStyle name="Normal_VERTEDOR" xfId="3" xr:uid="{00000000-0005-0000-0000-000003000000}"/>
    <cellStyle name="Normal_VERTEDOR 2" xfId="82" xr:uid="{2A0DBD20-7EDB-4127-A8A0-BAA85A104250}"/>
    <cellStyle name="Nota 2" xfId="43" xr:uid="{00000000-0005-0000-0000-000026000000}"/>
    <cellStyle name="Porcentagem" xfId="2" builtinId="5"/>
    <cellStyle name="Porcentagem 2" xfId="53" xr:uid="{00000000-0005-0000-0000-000027000000}"/>
    <cellStyle name="Ruim 2" xfId="59" xr:uid="{00000000-0005-0000-0000-000067000000}"/>
    <cellStyle name="Saída 2" xfId="44" xr:uid="{00000000-0005-0000-0000-000028000000}"/>
    <cellStyle name="Separador de milhares 2" xfId="57" xr:uid="{00000000-0005-0000-0000-000029000000}"/>
    <cellStyle name="Separador de milhares 2 2" xfId="70" xr:uid="{00000000-0005-0000-0000-000029000000}"/>
    <cellStyle name="Separador de milhares 2 3" xfId="77" xr:uid="{00000000-0005-0000-0000-000029000000}"/>
    <cellStyle name="Texto de Aviso 2" xfId="45" xr:uid="{00000000-0005-0000-0000-00002A000000}"/>
    <cellStyle name="Texto Explicativo 2" xfId="46" xr:uid="{00000000-0005-0000-0000-00002B000000}"/>
    <cellStyle name="Título 1 2" xfId="48" xr:uid="{00000000-0005-0000-0000-00002C000000}"/>
    <cellStyle name="Título 2 2" xfId="49" xr:uid="{00000000-0005-0000-0000-00002D000000}"/>
    <cellStyle name="Título 3 2" xfId="50" xr:uid="{00000000-0005-0000-0000-00002E000000}"/>
    <cellStyle name="Título 4 2" xfId="51" xr:uid="{00000000-0005-0000-0000-00002F000000}"/>
    <cellStyle name="Título 5" xfId="47" xr:uid="{00000000-0005-0000-0000-000030000000}"/>
    <cellStyle name="Total 2" xfId="52" xr:uid="{00000000-0005-0000-0000-000031000000}"/>
    <cellStyle name="Vírgula" xfId="1" builtinId="3"/>
    <cellStyle name="Vírgula 2" xfId="9" xr:uid="{00000000-0005-0000-0000-000030000000}"/>
    <cellStyle name="Vírgula 2 2" xfId="66" xr:uid="{00000000-0005-0000-0000-000039000000}"/>
    <cellStyle name="Vírgula 2 2 2" xfId="72" xr:uid="{00000000-0005-0000-0000-000039000000}"/>
    <cellStyle name="Vírgula 2 2 3" xfId="79" xr:uid="{00000000-0005-0000-0000-000039000000}"/>
    <cellStyle name="Vírgula 2 3" xfId="69" xr:uid="{00000000-0005-0000-0000-000030000000}"/>
    <cellStyle name="Vírgula 2 4" xfId="76" xr:uid="{00000000-0005-0000-0000-000030000000}"/>
    <cellStyle name="Vírgula 3" xfId="61" xr:uid="{00000000-0005-0000-0000-000068000000}"/>
    <cellStyle name="Vírgula 3 2" xfId="71" xr:uid="{00000000-0005-0000-0000-000068000000}"/>
    <cellStyle name="Vírgula 3 3" xfId="78" xr:uid="{00000000-0005-0000-0000-000068000000}"/>
    <cellStyle name="Vírgula 4" xfId="67" xr:uid="{00000000-0005-0000-0000-000069000000}"/>
    <cellStyle name="Vírgula 4 2" xfId="73" xr:uid="{00000000-0005-0000-0000-000069000000}"/>
    <cellStyle name="Vírgula 4 3" xfId="80" xr:uid="{00000000-0005-0000-0000-000069000000}"/>
    <cellStyle name="Vírgula 5" xfId="8" xr:uid="{00000000-0005-0000-0000-000068000000}"/>
    <cellStyle name="Vírgula 5 2" xfId="74" xr:uid="{00000000-0005-0000-0000-00006C000000}"/>
    <cellStyle name="Vírgula 5 3" xfId="81" xr:uid="{00000000-0005-0000-0000-00006C000000}"/>
    <cellStyle name="Vírgula 6" xfId="6" xr:uid="{00000000-0005-0000-0000-000069000000}"/>
    <cellStyle name="Vírgula 7" xfId="68" xr:uid="{00000000-0005-0000-0000-000070000000}"/>
    <cellStyle name="Vírgula 8" xfId="75" xr:uid="{00000000-0005-0000-0000-00007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Perfil do conduto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Eixo do conduto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xVal>
            <c:numRef>
              <c:f>Túneis!#REF!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Túneis!#REF!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E-47AB-A93F-89B53B8213B5}"/>
            </c:ext>
          </c:extLst>
        </c:ser>
        <c:ser>
          <c:idx val="1"/>
          <c:order val="1"/>
          <c:tx>
            <c:v>L.P.</c:v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Túneis!#REF!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Túneis!#REF!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E-47AB-A93F-89B53B82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6944"/>
        <c:axId val="121748864"/>
      </c:scatterChart>
      <c:valAx>
        <c:axId val="1217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Comprimento (m)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1748864"/>
        <c:crosses val="autoZero"/>
        <c:crossBetween val="midCat"/>
        <c:majorUnit val="20"/>
      </c:valAx>
      <c:valAx>
        <c:axId val="121748864"/>
        <c:scaling>
          <c:orientation val="minMax"/>
          <c:min val="480"/>
        </c:scaling>
        <c:delete val="0"/>
        <c:axPos val="l"/>
        <c:title>
          <c:tx>
            <c:rich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Elevação (m)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1746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176" footer="0.49212598500000176"/>
    <c:pageSetup paperSize="9" orientation="landscape" horizontalDpi="300"/>
  </c:printSettings>
</c:chartSpac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jpeg"/><Relationship Id="rId2" Type="http://schemas.openxmlformats.org/officeDocument/2006/relationships/image" Target="../media/image224.emf"/><Relationship Id="rId1" Type="http://schemas.openxmlformats.org/officeDocument/2006/relationships/chart" Target="../charts/chart1.xml"/><Relationship Id="rId6" Type="http://schemas.openxmlformats.org/officeDocument/2006/relationships/image" Target="../media/image225.jpeg"/><Relationship Id="rId5" Type="http://schemas.openxmlformats.org/officeDocument/2006/relationships/image" Target="../media/image67.emf"/><Relationship Id="rId4" Type="http://schemas.openxmlformats.org/officeDocument/2006/relationships/image" Target="../media/image11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62.emf"/><Relationship Id="rId7" Type="http://schemas.openxmlformats.org/officeDocument/2006/relationships/image" Target="../media/image66.jpeg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6" Type="http://schemas.openxmlformats.org/officeDocument/2006/relationships/image" Target="../media/image65.jpeg"/><Relationship Id="rId5" Type="http://schemas.openxmlformats.org/officeDocument/2006/relationships/image" Target="../media/image64.emf"/><Relationship Id="rId4" Type="http://schemas.openxmlformats.org/officeDocument/2006/relationships/image" Target="../media/image63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112.jpeg"/><Relationship Id="rId1" Type="http://schemas.openxmlformats.org/officeDocument/2006/relationships/image" Target="../media/image65.jpeg"/><Relationship Id="rId4" Type="http://schemas.openxmlformats.org/officeDocument/2006/relationships/image" Target="../media/image113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jpeg"/><Relationship Id="rId3" Type="http://schemas.openxmlformats.org/officeDocument/2006/relationships/image" Target="../media/image206.emf"/><Relationship Id="rId7" Type="http://schemas.openxmlformats.org/officeDocument/2006/relationships/image" Target="../media/image210.emf"/><Relationship Id="rId2" Type="http://schemas.openxmlformats.org/officeDocument/2006/relationships/image" Target="../media/image205.emf"/><Relationship Id="rId1" Type="http://schemas.openxmlformats.org/officeDocument/2006/relationships/image" Target="../media/image204.emf"/><Relationship Id="rId6" Type="http://schemas.openxmlformats.org/officeDocument/2006/relationships/image" Target="../media/image209.emf"/><Relationship Id="rId11" Type="http://schemas.openxmlformats.org/officeDocument/2006/relationships/image" Target="../media/image212.jpeg"/><Relationship Id="rId5" Type="http://schemas.openxmlformats.org/officeDocument/2006/relationships/image" Target="../media/image208.emf"/><Relationship Id="rId10" Type="http://schemas.openxmlformats.org/officeDocument/2006/relationships/image" Target="../media/image67.emf"/><Relationship Id="rId4" Type="http://schemas.openxmlformats.org/officeDocument/2006/relationships/image" Target="../media/image207.emf"/><Relationship Id="rId9" Type="http://schemas.openxmlformats.org/officeDocument/2006/relationships/image" Target="../media/image21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emf"/><Relationship Id="rId3" Type="http://schemas.openxmlformats.org/officeDocument/2006/relationships/image" Target="../media/image215.emf"/><Relationship Id="rId7" Type="http://schemas.openxmlformats.org/officeDocument/2006/relationships/image" Target="../media/image219.emf"/><Relationship Id="rId2" Type="http://schemas.openxmlformats.org/officeDocument/2006/relationships/image" Target="../media/image214.emf"/><Relationship Id="rId1" Type="http://schemas.openxmlformats.org/officeDocument/2006/relationships/image" Target="../media/image213.emf"/><Relationship Id="rId6" Type="http://schemas.openxmlformats.org/officeDocument/2006/relationships/image" Target="../media/image218.emf"/><Relationship Id="rId11" Type="http://schemas.openxmlformats.org/officeDocument/2006/relationships/image" Target="../media/image223.emf"/><Relationship Id="rId5" Type="http://schemas.openxmlformats.org/officeDocument/2006/relationships/image" Target="../media/image217.emf"/><Relationship Id="rId10" Type="http://schemas.openxmlformats.org/officeDocument/2006/relationships/image" Target="../media/image222.emf"/><Relationship Id="rId4" Type="http://schemas.openxmlformats.org/officeDocument/2006/relationships/image" Target="../media/image216.emf"/><Relationship Id="rId9" Type="http://schemas.openxmlformats.org/officeDocument/2006/relationships/image" Target="../media/image22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4" Type="http://schemas.openxmlformats.org/officeDocument/2006/relationships/image" Target="../media/image14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13" Type="http://schemas.openxmlformats.org/officeDocument/2006/relationships/image" Target="../media/image28.emf"/><Relationship Id="rId18" Type="http://schemas.openxmlformats.org/officeDocument/2006/relationships/image" Target="../media/image33.emf"/><Relationship Id="rId3" Type="http://schemas.openxmlformats.org/officeDocument/2006/relationships/image" Target="../media/image18.emf"/><Relationship Id="rId7" Type="http://schemas.openxmlformats.org/officeDocument/2006/relationships/image" Target="../media/image22.emf"/><Relationship Id="rId12" Type="http://schemas.openxmlformats.org/officeDocument/2006/relationships/image" Target="../media/image27.emf"/><Relationship Id="rId17" Type="http://schemas.openxmlformats.org/officeDocument/2006/relationships/image" Target="../media/image32.emf"/><Relationship Id="rId2" Type="http://schemas.openxmlformats.org/officeDocument/2006/relationships/image" Target="../media/image17.emf"/><Relationship Id="rId16" Type="http://schemas.openxmlformats.org/officeDocument/2006/relationships/image" Target="../media/image31.emf"/><Relationship Id="rId20" Type="http://schemas.openxmlformats.org/officeDocument/2006/relationships/image" Target="../media/image35.emf"/><Relationship Id="rId1" Type="http://schemas.openxmlformats.org/officeDocument/2006/relationships/image" Target="../media/image16.emf"/><Relationship Id="rId6" Type="http://schemas.openxmlformats.org/officeDocument/2006/relationships/image" Target="../media/image21.emf"/><Relationship Id="rId11" Type="http://schemas.openxmlformats.org/officeDocument/2006/relationships/image" Target="../media/image26.emf"/><Relationship Id="rId5" Type="http://schemas.openxmlformats.org/officeDocument/2006/relationships/image" Target="../media/image20.emf"/><Relationship Id="rId15" Type="http://schemas.openxmlformats.org/officeDocument/2006/relationships/image" Target="../media/image30.emf"/><Relationship Id="rId10" Type="http://schemas.openxmlformats.org/officeDocument/2006/relationships/image" Target="../media/image25.emf"/><Relationship Id="rId19" Type="http://schemas.openxmlformats.org/officeDocument/2006/relationships/image" Target="../media/image34.emf"/><Relationship Id="rId4" Type="http://schemas.openxmlformats.org/officeDocument/2006/relationships/image" Target="../media/image19.emf"/><Relationship Id="rId9" Type="http://schemas.openxmlformats.org/officeDocument/2006/relationships/image" Target="../media/image24.emf"/><Relationship Id="rId14" Type="http://schemas.openxmlformats.org/officeDocument/2006/relationships/image" Target="../media/image2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4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13" Type="http://schemas.openxmlformats.org/officeDocument/2006/relationships/image" Target="../media/image48.emf"/><Relationship Id="rId18" Type="http://schemas.openxmlformats.org/officeDocument/2006/relationships/image" Target="../media/image52.emf"/><Relationship Id="rId3" Type="http://schemas.openxmlformats.org/officeDocument/2006/relationships/image" Target="../media/image38.emf"/><Relationship Id="rId21" Type="http://schemas.openxmlformats.org/officeDocument/2006/relationships/image" Target="../media/image55.emf"/><Relationship Id="rId7" Type="http://schemas.openxmlformats.org/officeDocument/2006/relationships/image" Target="../media/image42.emf"/><Relationship Id="rId12" Type="http://schemas.openxmlformats.org/officeDocument/2006/relationships/image" Target="../media/image47.emf"/><Relationship Id="rId17" Type="http://schemas.openxmlformats.org/officeDocument/2006/relationships/image" Target="../media/image51.emf"/><Relationship Id="rId25" Type="http://schemas.openxmlformats.org/officeDocument/2006/relationships/image" Target="../media/image59.emf"/><Relationship Id="rId2" Type="http://schemas.openxmlformats.org/officeDocument/2006/relationships/image" Target="../media/image37.emf"/><Relationship Id="rId16" Type="http://schemas.openxmlformats.org/officeDocument/2006/relationships/image" Target="../media/image50.emf"/><Relationship Id="rId20" Type="http://schemas.openxmlformats.org/officeDocument/2006/relationships/image" Target="../media/image54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11" Type="http://schemas.openxmlformats.org/officeDocument/2006/relationships/image" Target="../media/image46.emf"/><Relationship Id="rId24" Type="http://schemas.openxmlformats.org/officeDocument/2006/relationships/image" Target="../media/image58.emf"/><Relationship Id="rId5" Type="http://schemas.openxmlformats.org/officeDocument/2006/relationships/image" Target="../media/image40.emf"/><Relationship Id="rId15" Type="http://schemas.openxmlformats.org/officeDocument/2006/relationships/image" Target="../media/image49.emf"/><Relationship Id="rId23" Type="http://schemas.openxmlformats.org/officeDocument/2006/relationships/image" Target="../media/image57.emf"/><Relationship Id="rId10" Type="http://schemas.openxmlformats.org/officeDocument/2006/relationships/image" Target="../media/image45.emf"/><Relationship Id="rId19" Type="http://schemas.openxmlformats.org/officeDocument/2006/relationships/image" Target="../media/image53.emf"/><Relationship Id="rId4" Type="http://schemas.openxmlformats.org/officeDocument/2006/relationships/image" Target="../media/image39.emf"/><Relationship Id="rId9" Type="http://schemas.openxmlformats.org/officeDocument/2006/relationships/image" Target="../media/image44.emf"/><Relationship Id="rId14" Type="http://schemas.openxmlformats.org/officeDocument/2006/relationships/image" Target="../media/image3.emf"/><Relationship Id="rId22" Type="http://schemas.openxmlformats.org/officeDocument/2006/relationships/image" Target="../media/image56.emf"/></Relationships>
</file>

<file path=xl/drawings/_rels/vmlDrawing8.vml.rels><?xml version="1.0" encoding="UTF-8" standalone="yes"?>
<Relationships xmlns="http://schemas.openxmlformats.org/package/2006/relationships"><Relationship Id="rId13" Type="http://schemas.openxmlformats.org/officeDocument/2006/relationships/image" Target="../media/image76.emf"/><Relationship Id="rId18" Type="http://schemas.openxmlformats.org/officeDocument/2006/relationships/image" Target="../media/image81.emf"/><Relationship Id="rId26" Type="http://schemas.openxmlformats.org/officeDocument/2006/relationships/image" Target="../media/image89.emf"/><Relationship Id="rId39" Type="http://schemas.openxmlformats.org/officeDocument/2006/relationships/image" Target="../media/image102.emf"/><Relationship Id="rId21" Type="http://schemas.openxmlformats.org/officeDocument/2006/relationships/image" Target="../media/image84.emf"/><Relationship Id="rId34" Type="http://schemas.openxmlformats.org/officeDocument/2006/relationships/image" Target="../media/image97.emf"/><Relationship Id="rId42" Type="http://schemas.openxmlformats.org/officeDocument/2006/relationships/image" Target="../media/image105.emf"/><Relationship Id="rId47" Type="http://schemas.openxmlformats.org/officeDocument/2006/relationships/image" Target="../media/image110.emf"/><Relationship Id="rId7" Type="http://schemas.openxmlformats.org/officeDocument/2006/relationships/image" Target="../media/image70.emf"/><Relationship Id="rId2" Type="http://schemas.openxmlformats.org/officeDocument/2006/relationships/image" Target="../media/image68.emf"/><Relationship Id="rId16" Type="http://schemas.openxmlformats.org/officeDocument/2006/relationships/image" Target="../media/image79.emf"/><Relationship Id="rId29" Type="http://schemas.openxmlformats.org/officeDocument/2006/relationships/image" Target="../media/image92.emf"/><Relationship Id="rId1" Type="http://schemas.openxmlformats.org/officeDocument/2006/relationships/image" Target="../media/image2.emf"/><Relationship Id="rId6" Type="http://schemas.openxmlformats.org/officeDocument/2006/relationships/image" Target="../media/image14.emf"/><Relationship Id="rId11" Type="http://schemas.openxmlformats.org/officeDocument/2006/relationships/image" Target="../media/image74.emf"/><Relationship Id="rId24" Type="http://schemas.openxmlformats.org/officeDocument/2006/relationships/image" Target="../media/image87.emf"/><Relationship Id="rId32" Type="http://schemas.openxmlformats.org/officeDocument/2006/relationships/image" Target="../media/image95.emf"/><Relationship Id="rId37" Type="http://schemas.openxmlformats.org/officeDocument/2006/relationships/image" Target="../media/image100.emf"/><Relationship Id="rId40" Type="http://schemas.openxmlformats.org/officeDocument/2006/relationships/image" Target="../media/image103.emf"/><Relationship Id="rId45" Type="http://schemas.openxmlformats.org/officeDocument/2006/relationships/image" Target="../media/image108.emf"/><Relationship Id="rId5" Type="http://schemas.openxmlformats.org/officeDocument/2006/relationships/image" Target="../media/image13.emf"/><Relationship Id="rId15" Type="http://schemas.openxmlformats.org/officeDocument/2006/relationships/image" Target="../media/image78.emf"/><Relationship Id="rId23" Type="http://schemas.openxmlformats.org/officeDocument/2006/relationships/image" Target="../media/image86.emf"/><Relationship Id="rId28" Type="http://schemas.openxmlformats.org/officeDocument/2006/relationships/image" Target="../media/image91.emf"/><Relationship Id="rId36" Type="http://schemas.openxmlformats.org/officeDocument/2006/relationships/image" Target="../media/image99.emf"/><Relationship Id="rId10" Type="http://schemas.openxmlformats.org/officeDocument/2006/relationships/image" Target="../media/image73.emf"/><Relationship Id="rId19" Type="http://schemas.openxmlformats.org/officeDocument/2006/relationships/image" Target="../media/image82.emf"/><Relationship Id="rId31" Type="http://schemas.openxmlformats.org/officeDocument/2006/relationships/image" Target="../media/image94.emf"/><Relationship Id="rId44" Type="http://schemas.openxmlformats.org/officeDocument/2006/relationships/image" Target="../media/image107.emf"/><Relationship Id="rId4" Type="http://schemas.openxmlformats.org/officeDocument/2006/relationships/image" Target="../media/image1.emf"/><Relationship Id="rId9" Type="http://schemas.openxmlformats.org/officeDocument/2006/relationships/image" Target="../media/image72.emf"/><Relationship Id="rId14" Type="http://schemas.openxmlformats.org/officeDocument/2006/relationships/image" Target="../media/image77.emf"/><Relationship Id="rId22" Type="http://schemas.openxmlformats.org/officeDocument/2006/relationships/image" Target="../media/image85.emf"/><Relationship Id="rId27" Type="http://schemas.openxmlformats.org/officeDocument/2006/relationships/image" Target="../media/image90.emf"/><Relationship Id="rId30" Type="http://schemas.openxmlformats.org/officeDocument/2006/relationships/image" Target="../media/image93.emf"/><Relationship Id="rId35" Type="http://schemas.openxmlformats.org/officeDocument/2006/relationships/image" Target="../media/image98.emf"/><Relationship Id="rId43" Type="http://schemas.openxmlformats.org/officeDocument/2006/relationships/image" Target="../media/image106.emf"/><Relationship Id="rId48" Type="http://schemas.openxmlformats.org/officeDocument/2006/relationships/image" Target="../media/image111.emf"/><Relationship Id="rId8" Type="http://schemas.openxmlformats.org/officeDocument/2006/relationships/image" Target="../media/image71.emf"/><Relationship Id="rId3" Type="http://schemas.openxmlformats.org/officeDocument/2006/relationships/image" Target="../media/image69.emf"/><Relationship Id="rId12" Type="http://schemas.openxmlformats.org/officeDocument/2006/relationships/image" Target="../media/image75.emf"/><Relationship Id="rId17" Type="http://schemas.openxmlformats.org/officeDocument/2006/relationships/image" Target="../media/image80.emf"/><Relationship Id="rId25" Type="http://schemas.openxmlformats.org/officeDocument/2006/relationships/image" Target="../media/image88.emf"/><Relationship Id="rId33" Type="http://schemas.openxmlformats.org/officeDocument/2006/relationships/image" Target="../media/image96.emf"/><Relationship Id="rId38" Type="http://schemas.openxmlformats.org/officeDocument/2006/relationships/image" Target="../media/image101.emf"/><Relationship Id="rId46" Type="http://schemas.openxmlformats.org/officeDocument/2006/relationships/image" Target="../media/image109.emf"/><Relationship Id="rId20" Type="http://schemas.openxmlformats.org/officeDocument/2006/relationships/image" Target="../media/image83.emf"/><Relationship Id="rId41" Type="http://schemas.openxmlformats.org/officeDocument/2006/relationships/image" Target="../media/image104.emf"/></Relationships>
</file>

<file path=xl/drawings/_rels/vmlDrawing9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2.emf"/><Relationship Id="rId21" Type="http://schemas.openxmlformats.org/officeDocument/2006/relationships/image" Target="../media/image134.emf"/><Relationship Id="rId42" Type="http://schemas.openxmlformats.org/officeDocument/2006/relationships/image" Target="../media/image148.emf"/><Relationship Id="rId47" Type="http://schemas.openxmlformats.org/officeDocument/2006/relationships/image" Target="../media/image153.emf"/><Relationship Id="rId63" Type="http://schemas.openxmlformats.org/officeDocument/2006/relationships/image" Target="../media/image27.emf"/><Relationship Id="rId68" Type="http://schemas.openxmlformats.org/officeDocument/2006/relationships/image" Target="../media/image172.emf"/><Relationship Id="rId84" Type="http://schemas.openxmlformats.org/officeDocument/2006/relationships/image" Target="../media/image187.emf"/><Relationship Id="rId89" Type="http://schemas.openxmlformats.org/officeDocument/2006/relationships/image" Target="../media/image192.emf"/><Relationship Id="rId16" Type="http://schemas.openxmlformats.org/officeDocument/2006/relationships/image" Target="../media/image129.emf"/><Relationship Id="rId107" Type="http://schemas.openxmlformats.org/officeDocument/2006/relationships/image" Target="../media/image203.emf"/><Relationship Id="rId11" Type="http://schemas.openxmlformats.org/officeDocument/2006/relationships/image" Target="../media/image124.emf"/><Relationship Id="rId32" Type="http://schemas.openxmlformats.org/officeDocument/2006/relationships/image" Target="../media/image138.emf"/><Relationship Id="rId37" Type="http://schemas.openxmlformats.org/officeDocument/2006/relationships/image" Target="../media/image143.emf"/><Relationship Id="rId53" Type="http://schemas.openxmlformats.org/officeDocument/2006/relationships/image" Target="../media/image159.emf"/><Relationship Id="rId58" Type="http://schemas.openxmlformats.org/officeDocument/2006/relationships/image" Target="../media/image163.emf"/><Relationship Id="rId74" Type="http://schemas.openxmlformats.org/officeDocument/2006/relationships/image" Target="../media/image178.emf"/><Relationship Id="rId79" Type="http://schemas.openxmlformats.org/officeDocument/2006/relationships/image" Target="../media/image182.emf"/><Relationship Id="rId102" Type="http://schemas.openxmlformats.org/officeDocument/2006/relationships/image" Target="../media/image199.emf"/><Relationship Id="rId5" Type="http://schemas.openxmlformats.org/officeDocument/2006/relationships/image" Target="../media/image118.emf"/><Relationship Id="rId90" Type="http://schemas.openxmlformats.org/officeDocument/2006/relationships/image" Target="../media/image193.emf"/><Relationship Id="rId95" Type="http://schemas.openxmlformats.org/officeDocument/2006/relationships/image" Target="../media/image196.emf"/><Relationship Id="rId22" Type="http://schemas.openxmlformats.org/officeDocument/2006/relationships/image" Target="../media/image135.emf"/><Relationship Id="rId27" Type="http://schemas.openxmlformats.org/officeDocument/2006/relationships/image" Target="../media/image23.emf"/><Relationship Id="rId43" Type="http://schemas.openxmlformats.org/officeDocument/2006/relationships/image" Target="../media/image149.emf"/><Relationship Id="rId48" Type="http://schemas.openxmlformats.org/officeDocument/2006/relationships/image" Target="../media/image154.emf"/><Relationship Id="rId64" Type="http://schemas.openxmlformats.org/officeDocument/2006/relationships/image" Target="../media/image168.emf"/><Relationship Id="rId69" Type="http://schemas.openxmlformats.org/officeDocument/2006/relationships/image" Target="../media/image173.emf"/><Relationship Id="rId80" Type="http://schemas.openxmlformats.org/officeDocument/2006/relationships/image" Target="../media/image183.emf"/><Relationship Id="rId85" Type="http://schemas.openxmlformats.org/officeDocument/2006/relationships/image" Target="../media/image188.emf"/><Relationship Id="rId12" Type="http://schemas.openxmlformats.org/officeDocument/2006/relationships/image" Target="../media/image125.emf"/><Relationship Id="rId17" Type="http://schemas.openxmlformats.org/officeDocument/2006/relationships/image" Target="../media/image130.emf"/><Relationship Id="rId33" Type="http://schemas.openxmlformats.org/officeDocument/2006/relationships/image" Target="../media/image139.emf"/><Relationship Id="rId38" Type="http://schemas.openxmlformats.org/officeDocument/2006/relationships/image" Target="../media/image144.emf"/><Relationship Id="rId59" Type="http://schemas.openxmlformats.org/officeDocument/2006/relationships/image" Target="../media/image164.emf"/><Relationship Id="rId103" Type="http://schemas.openxmlformats.org/officeDocument/2006/relationships/image" Target="../media/image200.emf"/><Relationship Id="rId20" Type="http://schemas.openxmlformats.org/officeDocument/2006/relationships/image" Target="../media/image133.emf"/><Relationship Id="rId41" Type="http://schemas.openxmlformats.org/officeDocument/2006/relationships/image" Target="../media/image147.emf"/><Relationship Id="rId54" Type="http://schemas.openxmlformats.org/officeDocument/2006/relationships/image" Target="../media/image160.emf"/><Relationship Id="rId62" Type="http://schemas.openxmlformats.org/officeDocument/2006/relationships/image" Target="../media/image167.emf"/><Relationship Id="rId70" Type="http://schemas.openxmlformats.org/officeDocument/2006/relationships/image" Target="../media/image174.emf"/><Relationship Id="rId75" Type="http://schemas.openxmlformats.org/officeDocument/2006/relationships/image" Target="../media/image26.emf"/><Relationship Id="rId83" Type="http://schemas.openxmlformats.org/officeDocument/2006/relationships/image" Target="../media/image186.emf"/><Relationship Id="rId88" Type="http://schemas.openxmlformats.org/officeDocument/2006/relationships/image" Target="../media/image191.emf"/><Relationship Id="rId91" Type="http://schemas.openxmlformats.org/officeDocument/2006/relationships/image" Target="../media/image34.emf"/><Relationship Id="rId96" Type="http://schemas.openxmlformats.org/officeDocument/2006/relationships/image" Target="../media/image28.emf"/><Relationship Id="rId1" Type="http://schemas.openxmlformats.org/officeDocument/2006/relationships/image" Target="../media/image114.emf"/><Relationship Id="rId6" Type="http://schemas.openxmlformats.org/officeDocument/2006/relationships/image" Target="../media/image119.emf"/><Relationship Id="rId15" Type="http://schemas.openxmlformats.org/officeDocument/2006/relationships/image" Target="../media/image128.emf"/><Relationship Id="rId23" Type="http://schemas.openxmlformats.org/officeDocument/2006/relationships/image" Target="../media/image136.emf"/><Relationship Id="rId28" Type="http://schemas.openxmlformats.org/officeDocument/2006/relationships/image" Target="../media/image24.emf"/><Relationship Id="rId36" Type="http://schemas.openxmlformats.org/officeDocument/2006/relationships/image" Target="../media/image142.emf"/><Relationship Id="rId49" Type="http://schemas.openxmlformats.org/officeDocument/2006/relationships/image" Target="../media/image155.emf"/><Relationship Id="rId57" Type="http://schemas.openxmlformats.org/officeDocument/2006/relationships/image" Target="../media/image162.emf"/><Relationship Id="rId106" Type="http://schemas.openxmlformats.org/officeDocument/2006/relationships/image" Target="../media/image202.emf"/><Relationship Id="rId10" Type="http://schemas.openxmlformats.org/officeDocument/2006/relationships/image" Target="../media/image123.emf"/><Relationship Id="rId31" Type="http://schemas.openxmlformats.org/officeDocument/2006/relationships/image" Target="../media/image137.emf"/><Relationship Id="rId44" Type="http://schemas.openxmlformats.org/officeDocument/2006/relationships/image" Target="../media/image150.emf"/><Relationship Id="rId52" Type="http://schemas.openxmlformats.org/officeDocument/2006/relationships/image" Target="../media/image158.emf"/><Relationship Id="rId60" Type="http://schemas.openxmlformats.org/officeDocument/2006/relationships/image" Target="../media/image165.emf"/><Relationship Id="rId65" Type="http://schemas.openxmlformats.org/officeDocument/2006/relationships/image" Target="../media/image169.emf"/><Relationship Id="rId73" Type="http://schemas.openxmlformats.org/officeDocument/2006/relationships/image" Target="../media/image177.emf"/><Relationship Id="rId78" Type="http://schemas.openxmlformats.org/officeDocument/2006/relationships/image" Target="../media/image181.emf"/><Relationship Id="rId81" Type="http://schemas.openxmlformats.org/officeDocument/2006/relationships/image" Target="../media/image184.emf"/><Relationship Id="rId86" Type="http://schemas.openxmlformats.org/officeDocument/2006/relationships/image" Target="../media/image189.emf"/><Relationship Id="rId94" Type="http://schemas.openxmlformats.org/officeDocument/2006/relationships/image" Target="../media/image195.emf"/><Relationship Id="rId99" Type="http://schemas.openxmlformats.org/officeDocument/2006/relationships/image" Target="../media/image31.emf"/><Relationship Id="rId101" Type="http://schemas.openxmlformats.org/officeDocument/2006/relationships/image" Target="../media/image198.emf"/><Relationship Id="rId4" Type="http://schemas.openxmlformats.org/officeDocument/2006/relationships/image" Target="../media/image117.emf"/><Relationship Id="rId9" Type="http://schemas.openxmlformats.org/officeDocument/2006/relationships/image" Target="../media/image122.emf"/><Relationship Id="rId13" Type="http://schemas.openxmlformats.org/officeDocument/2006/relationships/image" Target="../media/image126.emf"/><Relationship Id="rId18" Type="http://schemas.openxmlformats.org/officeDocument/2006/relationships/image" Target="../media/image131.emf"/><Relationship Id="rId39" Type="http://schemas.openxmlformats.org/officeDocument/2006/relationships/image" Target="../media/image145.emf"/><Relationship Id="rId34" Type="http://schemas.openxmlformats.org/officeDocument/2006/relationships/image" Target="../media/image140.emf"/><Relationship Id="rId50" Type="http://schemas.openxmlformats.org/officeDocument/2006/relationships/image" Target="../media/image156.emf"/><Relationship Id="rId55" Type="http://schemas.openxmlformats.org/officeDocument/2006/relationships/image" Target="../media/image161.emf"/><Relationship Id="rId76" Type="http://schemas.openxmlformats.org/officeDocument/2006/relationships/image" Target="../media/image179.emf"/><Relationship Id="rId97" Type="http://schemas.openxmlformats.org/officeDocument/2006/relationships/image" Target="../media/image29.emf"/><Relationship Id="rId104" Type="http://schemas.openxmlformats.org/officeDocument/2006/relationships/image" Target="../media/image32.emf"/><Relationship Id="rId7" Type="http://schemas.openxmlformats.org/officeDocument/2006/relationships/image" Target="../media/image120.emf"/><Relationship Id="rId71" Type="http://schemas.openxmlformats.org/officeDocument/2006/relationships/image" Target="../media/image175.emf"/><Relationship Id="rId92" Type="http://schemas.openxmlformats.org/officeDocument/2006/relationships/image" Target="../media/image35.emf"/><Relationship Id="rId2" Type="http://schemas.openxmlformats.org/officeDocument/2006/relationships/image" Target="../media/image115.emf"/><Relationship Id="rId29" Type="http://schemas.openxmlformats.org/officeDocument/2006/relationships/image" Target="../media/image25.emf"/><Relationship Id="rId24" Type="http://schemas.openxmlformats.org/officeDocument/2006/relationships/image" Target="../media/image19.emf"/><Relationship Id="rId40" Type="http://schemas.openxmlformats.org/officeDocument/2006/relationships/image" Target="../media/image146.emf"/><Relationship Id="rId45" Type="http://schemas.openxmlformats.org/officeDocument/2006/relationships/image" Target="../media/image151.emf"/><Relationship Id="rId66" Type="http://schemas.openxmlformats.org/officeDocument/2006/relationships/image" Target="../media/image170.emf"/><Relationship Id="rId87" Type="http://schemas.openxmlformats.org/officeDocument/2006/relationships/image" Target="../media/image190.emf"/><Relationship Id="rId61" Type="http://schemas.openxmlformats.org/officeDocument/2006/relationships/image" Target="../media/image166.emf"/><Relationship Id="rId82" Type="http://schemas.openxmlformats.org/officeDocument/2006/relationships/image" Target="../media/image185.emf"/><Relationship Id="rId19" Type="http://schemas.openxmlformats.org/officeDocument/2006/relationships/image" Target="../media/image132.emf"/><Relationship Id="rId14" Type="http://schemas.openxmlformats.org/officeDocument/2006/relationships/image" Target="../media/image127.emf"/><Relationship Id="rId30" Type="http://schemas.openxmlformats.org/officeDocument/2006/relationships/image" Target="../media/image21.emf"/><Relationship Id="rId35" Type="http://schemas.openxmlformats.org/officeDocument/2006/relationships/image" Target="../media/image141.emf"/><Relationship Id="rId56" Type="http://schemas.openxmlformats.org/officeDocument/2006/relationships/image" Target="../media/image33.emf"/><Relationship Id="rId77" Type="http://schemas.openxmlformats.org/officeDocument/2006/relationships/image" Target="../media/image180.emf"/><Relationship Id="rId100" Type="http://schemas.openxmlformats.org/officeDocument/2006/relationships/image" Target="../media/image197.emf"/><Relationship Id="rId105" Type="http://schemas.openxmlformats.org/officeDocument/2006/relationships/image" Target="../media/image201.emf"/><Relationship Id="rId8" Type="http://schemas.openxmlformats.org/officeDocument/2006/relationships/image" Target="../media/image121.emf"/><Relationship Id="rId51" Type="http://schemas.openxmlformats.org/officeDocument/2006/relationships/image" Target="../media/image157.emf"/><Relationship Id="rId72" Type="http://schemas.openxmlformats.org/officeDocument/2006/relationships/image" Target="../media/image176.emf"/><Relationship Id="rId93" Type="http://schemas.openxmlformats.org/officeDocument/2006/relationships/image" Target="../media/image194.emf"/><Relationship Id="rId98" Type="http://schemas.openxmlformats.org/officeDocument/2006/relationships/image" Target="../media/image30.emf"/><Relationship Id="rId3" Type="http://schemas.openxmlformats.org/officeDocument/2006/relationships/image" Target="../media/image116.emf"/><Relationship Id="rId25" Type="http://schemas.openxmlformats.org/officeDocument/2006/relationships/image" Target="../media/image20.emf"/><Relationship Id="rId46" Type="http://schemas.openxmlformats.org/officeDocument/2006/relationships/image" Target="../media/image152.emf"/><Relationship Id="rId67" Type="http://schemas.openxmlformats.org/officeDocument/2006/relationships/image" Target="../media/image17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2909892</xdr:colOff>
      <xdr:row>19</xdr:row>
      <xdr:rowOff>52386</xdr:rowOff>
    </xdr:from>
    <xdr:to>
      <xdr:col>4</xdr:col>
      <xdr:colOff>0</xdr:colOff>
      <xdr:row>26</xdr:row>
      <xdr:rowOff>66678</xdr:rowOff>
    </xdr:to>
    <xdr:sp macro="" textlink="">
      <xdr:nvSpPr>
        <xdr:cNvPr id="48" name="Forma Livre: Form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 rot="5400000">
          <a:off x="6200775" y="4476753"/>
          <a:ext cx="1347792" cy="271458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361950</xdr:colOff>
      <xdr:row>24</xdr:row>
      <xdr:rowOff>27991</xdr:rowOff>
    </xdr:from>
    <xdr:to>
      <xdr:col>6</xdr:col>
      <xdr:colOff>19058</xdr:colOff>
      <xdr:row>28</xdr:row>
      <xdr:rowOff>28575</xdr:rowOff>
    </xdr:to>
    <xdr:sp macro="" textlink="">
      <xdr:nvSpPr>
        <xdr:cNvPr id="47" name="Forma Livre: Forma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7372350" y="4866691"/>
          <a:ext cx="647708" cy="762584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145676</xdr:colOff>
      <xdr:row>21</xdr:row>
      <xdr:rowOff>133902</xdr:rowOff>
    </xdr:from>
    <xdr:to>
      <xdr:col>3</xdr:col>
      <xdr:colOff>798266</xdr:colOff>
      <xdr:row>26</xdr:row>
      <xdr:rowOff>51301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3344816">
          <a:off x="3866071" y="4509757"/>
          <a:ext cx="869899" cy="652590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287938</xdr:colOff>
      <xdr:row>18</xdr:row>
      <xdr:rowOff>123824</xdr:rowOff>
    </xdr:from>
    <xdr:to>
      <xdr:col>6</xdr:col>
      <xdr:colOff>2524127</xdr:colOff>
      <xdr:row>27</xdr:row>
      <xdr:rowOff>122575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7298338" y="3819524"/>
          <a:ext cx="3226789" cy="1713251"/>
          <a:chOff x="3988169" y="2105024"/>
          <a:chExt cx="4074504" cy="2474694"/>
        </a:xfrm>
      </xdr:grpSpPr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 rot="20010756">
            <a:off x="5821196" y="3352235"/>
            <a:ext cx="396056" cy="36612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ysClr val="windowText" lastClr="000000"/>
                </a:solidFill>
              </a:rPr>
              <a:t>L1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3988169" y="2975486"/>
            <a:ext cx="610630" cy="33291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rgbClr val="FF0000"/>
                </a:solidFill>
              </a:rPr>
              <a:t>CN1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6" name="Forma Livre: Forma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327623" y="3312193"/>
            <a:ext cx="2219605" cy="1267525"/>
          </a:xfrm>
          <a:custGeom>
            <a:avLst/>
            <a:gdLst>
              <a:gd name="connsiteX0" fmla="*/ 0 w 2628900"/>
              <a:gd name="connsiteY0" fmla="*/ 0 h 762000"/>
              <a:gd name="connsiteX1" fmla="*/ 76200 w 2628900"/>
              <a:gd name="connsiteY1" fmla="*/ 76200 h 762000"/>
              <a:gd name="connsiteX2" fmla="*/ 104775 w 2628900"/>
              <a:gd name="connsiteY2" fmla="*/ 104775 h 762000"/>
              <a:gd name="connsiteX3" fmla="*/ 133350 w 2628900"/>
              <a:gd name="connsiteY3" fmla="*/ 123825 h 762000"/>
              <a:gd name="connsiteX4" fmla="*/ 180975 w 2628900"/>
              <a:gd name="connsiteY4" fmla="*/ 161925 h 762000"/>
              <a:gd name="connsiteX5" fmla="*/ 238125 w 2628900"/>
              <a:gd name="connsiteY5" fmla="*/ 209550 h 762000"/>
              <a:gd name="connsiteX6" fmla="*/ 285750 w 2628900"/>
              <a:gd name="connsiteY6" fmla="*/ 219075 h 762000"/>
              <a:gd name="connsiteX7" fmla="*/ 342900 w 2628900"/>
              <a:gd name="connsiteY7" fmla="*/ 257175 h 762000"/>
              <a:gd name="connsiteX8" fmla="*/ 371475 w 2628900"/>
              <a:gd name="connsiteY8" fmla="*/ 276225 h 762000"/>
              <a:gd name="connsiteX9" fmla="*/ 400050 w 2628900"/>
              <a:gd name="connsiteY9" fmla="*/ 304800 h 762000"/>
              <a:gd name="connsiteX10" fmla="*/ 428625 w 2628900"/>
              <a:gd name="connsiteY10" fmla="*/ 314325 h 762000"/>
              <a:gd name="connsiteX11" fmla="*/ 457200 w 2628900"/>
              <a:gd name="connsiteY11" fmla="*/ 333375 h 762000"/>
              <a:gd name="connsiteX12" fmla="*/ 514350 w 2628900"/>
              <a:gd name="connsiteY12" fmla="*/ 361950 h 762000"/>
              <a:gd name="connsiteX13" fmla="*/ 542925 w 2628900"/>
              <a:gd name="connsiteY13" fmla="*/ 390525 h 762000"/>
              <a:gd name="connsiteX14" fmla="*/ 600075 w 2628900"/>
              <a:gd name="connsiteY14" fmla="*/ 428625 h 762000"/>
              <a:gd name="connsiteX15" fmla="*/ 638175 w 2628900"/>
              <a:gd name="connsiteY15" fmla="*/ 457200 h 762000"/>
              <a:gd name="connsiteX16" fmla="*/ 695325 w 2628900"/>
              <a:gd name="connsiteY16" fmla="*/ 476250 h 762000"/>
              <a:gd name="connsiteX17" fmla="*/ 752475 w 2628900"/>
              <a:gd name="connsiteY17" fmla="*/ 514350 h 762000"/>
              <a:gd name="connsiteX18" fmla="*/ 781050 w 2628900"/>
              <a:gd name="connsiteY18" fmla="*/ 533400 h 762000"/>
              <a:gd name="connsiteX19" fmla="*/ 838200 w 2628900"/>
              <a:gd name="connsiteY19" fmla="*/ 552450 h 762000"/>
              <a:gd name="connsiteX20" fmla="*/ 866775 w 2628900"/>
              <a:gd name="connsiteY20" fmla="*/ 561975 h 762000"/>
              <a:gd name="connsiteX21" fmla="*/ 981075 w 2628900"/>
              <a:gd name="connsiteY21" fmla="*/ 533400 h 762000"/>
              <a:gd name="connsiteX22" fmla="*/ 1000125 w 2628900"/>
              <a:gd name="connsiteY22" fmla="*/ 504825 h 762000"/>
              <a:gd name="connsiteX23" fmla="*/ 1019175 w 2628900"/>
              <a:gd name="connsiteY23" fmla="*/ 438150 h 762000"/>
              <a:gd name="connsiteX24" fmla="*/ 1038225 w 2628900"/>
              <a:gd name="connsiteY24" fmla="*/ 381000 h 762000"/>
              <a:gd name="connsiteX25" fmla="*/ 1047750 w 2628900"/>
              <a:gd name="connsiteY25" fmla="*/ 266700 h 762000"/>
              <a:gd name="connsiteX26" fmla="*/ 1076325 w 2628900"/>
              <a:gd name="connsiteY26" fmla="*/ 238125 h 762000"/>
              <a:gd name="connsiteX27" fmla="*/ 1143000 w 2628900"/>
              <a:gd name="connsiteY27" fmla="*/ 200025 h 762000"/>
              <a:gd name="connsiteX28" fmla="*/ 1171575 w 2628900"/>
              <a:gd name="connsiteY28" fmla="*/ 171450 h 762000"/>
              <a:gd name="connsiteX29" fmla="*/ 1266825 w 2628900"/>
              <a:gd name="connsiteY29" fmla="*/ 123825 h 762000"/>
              <a:gd name="connsiteX30" fmla="*/ 1304925 w 2628900"/>
              <a:gd name="connsiteY30" fmla="*/ 152400 h 762000"/>
              <a:gd name="connsiteX31" fmla="*/ 1333500 w 2628900"/>
              <a:gd name="connsiteY31" fmla="*/ 161925 h 762000"/>
              <a:gd name="connsiteX32" fmla="*/ 1390650 w 2628900"/>
              <a:gd name="connsiteY32" fmla="*/ 219075 h 762000"/>
              <a:gd name="connsiteX33" fmla="*/ 1409700 w 2628900"/>
              <a:gd name="connsiteY33" fmla="*/ 276225 h 762000"/>
              <a:gd name="connsiteX34" fmla="*/ 1428750 w 2628900"/>
              <a:gd name="connsiteY34" fmla="*/ 304800 h 762000"/>
              <a:gd name="connsiteX35" fmla="*/ 1457325 w 2628900"/>
              <a:gd name="connsiteY35" fmla="*/ 361950 h 762000"/>
              <a:gd name="connsiteX36" fmla="*/ 1466850 w 2628900"/>
              <a:gd name="connsiteY36" fmla="*/ 438150 h 762000"/>
              <a:gd name="connsiteX37" fmla="*/ 1533525 w 2628900"/>
              <a:gd name="connsiteY37" fmla="*/ 523875 h 762000"/>
              <a:gd name="connsiteX38" fmla="*/ 1543050 w 2628900"/>
              <a:gd name="connsiteY38" fmla="*/ 552450 h 762000"/>
              <a:gd name="connsiteX39" fmla="*/ 1590675 w 2628900"/>
              <a:gd name="connsiteY39" fmla="*/ 609600 h 762000"/>
              <a:gd name="connsiteX40" fmla="*/ 1619250 w 2628900"/>
              <a:gd name="connsiteY40" fmla="*/ 619125 h 762000"/>
              <a:gd name="connsiteX41" fmla="*/ 1647825 w 2628900"/>
              <a:gd name="connsiteY41" fmla="*/ 638175 h 762000"/>
              <a:gd name="connsiteX42" fmla="*/ 1695450 w 2628900"/>
              <a:gd name="connsiteY42" fmla="*/ 676275 h 762000"/>
              <a:gd name="connsiteX43" fmla="*/ 1752600 w 2628900"/>
              <a:gd name="connsiteY43" fmla="*/ 714375 h 762000"/>
              <a:gd name="connsiteX44" fmla="*/ 1790700 w 2628900"/>
              <a:gd name="connsiteY44" fmla="*/ 723900 h 762000"/>
              <a:gd name="connsiteX45" fmla="*/ 1819275 w 2628900"/>
              <a:gd name="connsiteY45" fmla="*/ 733425 h 762000"/>
              <a:gd name="connsiteX46" fmla="*/ 1866900 w 2628900"/>
              <a:gd name="connsiteY46" fmla="*/ 742950 h 762000"/>
              <a:gd name="connsiteX47" fmla="*/ 2019300 w 2628900"/>
              <a:gd name="connsiteY47" fmla="*/ 762000 h 762000"/>
              <a:gd name="connsiteX48" fmla="*/ 2114550 w 2628900"/>
              <a:gd name="connsiteY48" fmla="*/ 752475 h 762000"/>
              <a:gd name="connsiteX49" fmla="*/ 2181225 w 2628900"/>
              <a:gd name="connsiteY49" fmla="*/ 733425 h 762000"/>
              <a:gd name="connsiteX50" fmla="*/ 2228850 w 2628900"/>
              <a:gd name="connsiteY50" fmla="*/ 723900 h 762000"/>
              <a:gd name="connsiteX51" fmla="*/ 2257425 w 2628900"/>
              <a:gd name="connsiteY51" fmla="*/ 695325 h 762000"/>
              <a:gd name="connsiteX52" fmla="*/ 2428875 w 2628900"/>
              <a:gd name="connsiteY52" fmla="*/ 666750 h 762000"/>
              <a:gd name="connsiteX53" fmla="*/ 2486025 w 2628900"/>
              <a:gd name="connsiteY53" fmla="*/ 647700 h 762000"/>
              <a:gd name="connsiteX54" fmla="*/ 2552700 w 2628900"/>
              <a:gd name="connsiteY54" fmla="*/ 628650 h 762000"/>
              <a:gd name="connsiteX55" fmla="*/ 2609850 w 2628900"/>
              <a:gd name="connsiteY55" fmla="*/ 590550 h 762000"/>
              <a:gd name="connsiteX56" fmla="*/ 2628900 w 2628900"/>
              <a:gd name="connsiteY56" fmla="*/ 581025 h 762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</a:cxnLst>
            <a:rect l="l" t="t" r="r" b="b"/>
            <a:pathLst>
              <a:path w="2628900" h="762000">
                <a:moveTo>
                  <a:pt x="0" y="0"/>
                </a:moveTo>
                <a:lnTo>
                  <a:pt x="76200" y="76200"/>
                </a:lnTo>
                <a:cubicBezTo>
                  <a:pt x="85725" y="85725"/>
                  <a:pt x="93567" y="97303"/>
                  <a:pt x="104775" y="104775"/>
                </a:cubicBezTo>
                <a:lnTo>
                  <a:pt x="133350" y="123825"/>
                </a:lnTo>
                <a:cubicBezTo>
                  <a:pt x="175955" y="187732"/>
                  <a:pt x="125766" y="125119"/>
                  <a:pt x="180975" y="161925"/>
                </a:cubicBezTo>
                <a:cubicBezTo>
                  <a:pt x="212740" y="183102"/>
                  <a:pt x="202510" y="196194"/>
                  <a:pt x="238125" y="209550"/>
                </a:cubicBezTo>
                <a:cubicBezTo>
                  <a:pt x="253284" y="215234"/>
                  <a:pt x="269875" y="215900"/>
                  <a:pt x="285750" y="219075"/>
                </a:cubicBezTo>
                <a:lnTo>
                  <a:pt x="342900" y="257175"/>
                </a:lnTo>
                <a:cubicBezTo>
                  <a:pt x="352425" y="263525"/>
                  <a:pt x="363380" y="268130"/>
                  <a:pt x="371475" y="276225"/>
                </a:cubicBezTo>
                <a:cubicBezTo>
                  <a:pt x="381000" y="285750"/>
                  <a:pt x="388842" y="297328"/>
                  <a:pt x="400050" y="304800"/>
                </a:cubicBezTo>
                <a:cubicBezTo>
                  <a:pt x="408404" y="310369"/>
                  <a:pt x="419645" y="309835"/>
                  <a:pt x="428625" y="314325"/>
                </a:cubicBezTo>
                <a:cubicBezTo>
                  <a:pt x="438864" y="319445"/>
                  <a:pt x="446961" y="328255"/>
                  <a:pt x="457200" y="333375"/>
                </a:cubicBezTo>
                <a:cubicBezTo>
                  <a:pt x="500158" y="354854"/>
                  <a:pt x="473404" y="327828"/>
                  <a:pt x="514350" y="361950"/>
                </a:cubicBezTo>
                <a:cubicBezTo>
                  <a:pt x="524698" y="370574"/>
                  <a:pt x="532292" y="382255"/>
                  <a:pt x="542925" y="390525"/>
                </a:cubicBezTo>
                <a:cubicBezTo>
                  <a:pt x="560997" y="404581"/>
                  <a:pt x="581759" y="414888"/>
                  <a:pt x="600075" y="428625"/>
                </a:cubicBezTo>
                <a:cubicBezTo>
                  <a:pt x="612775" y="438150"/>
                  <a:pt x="623976" y="450100"/>
                  <a:pt x="638175" y="457200"/>
                </a:cubicBezTo>
                <a:cubicBezTo>
                  <a:pt x="656136" y="466180"/>
                  <a:pt x="678617" y="465111"/>
                  <a:pt x="695325" y="476250"/>
                </a:cubicBezTo>
                <a:lnTo>
                  <a:pt x="752475" y="514350"/>
                </a:lnTo>
                <a:cubicBezTo>
                  <a:pt x="762000" y="520700"/>
                  <a:pt x="770190" y="529780"/>
                  <a:pt x="781050" y="533400"/>
                </a:cubicBezTo>
                <a:lnTo>
                  <a:pt x="838200" y="552450"/>
                </a:lnTo>
                <a:lnTo>
                  <a:pt x="866775" y="561975"/>
                </a:lnTo>
                <a:cubicBezTo>
                  <a:pt x="914435" y="556679"/>
                  <a:pt x="948264" y="566211"/>
                  <a:pt x="981075" y="533400"/>
                </a:cubicBezTo>
                <a:cubicBezTo>
                  <a:pt x="989170" y="525305"/>
                  <a:pt x="995005" y="515064"/>
                  <a:pt x="1000125" y="504825"/>
                </a:cubicBezTo>
                <a:cubicBezTo>
                  <a:pt x="1008128" y="488820"/>
                  <a:pt x="1014597" y="453409"/>
                  <a:pt x="1019175" y="438150"/>
                </a:cubicBezTo>
                <a:cubicBezTo>
                  <a:pt x="1024945" y="418916"/>
                  <a:pt x="1038225" y="381000"/>
                  <a:pt x="1038225" y="381000"/>
                </a:cubicBezTo>
                <a:cubicBezTo>
                  <a:pt x="1041400" y="342900"/>
                  <a:pt x="1037899" y="303641"/>
                  <a:pt x="1047750" y="266700"/>
                </a:cubicBezTo>
                <a:cubicBezTo>
                  <a:pt x="1051221" y="253684"/>
                  <a:pt x="1065977" y="246749"/>
                  <a:pt x="1076325" y="238125"/>
                </a:cubicBezTo>
                <a:cubicBezTo>
                  <a:pt x="1130319" y="193130"/>
                  <a:pt x="1077786" y="246606"/>
                  <a:pt x="1143000" y="200025"/>
                </a:cubicBezTo>
                <a:cubicBezTo>
                  <a:pt x="1153961" y="192195"/>
                  <a:pt x="1160942" y="179720"/>
                  <a:pt x="1171575" y="171450"/>
                </a:cubicBezTo>
                <a:cubicBezTo>
                  <a:pt x="1225293" y="129670"/>
                  <a:pt x="1214704" y="136855"/>
                  <a:pt x="1266825" y="123825"/>
                </a:cubicBezTo>
                <a:cubicBezTo>
                  <a:pt x="1279525" y="133350"/>
                  <a:pt x="1291142" y="144524"/>
                  <a:pt x="1304925" y="152400"/>
                </a:cubicBezTo>
                <a:cubicBezTo>
                  <a:pt x="1313642" y="157381"/>
                  <a:pt x="1325575" y="155761"/>
                  <a:pt x="1333500" y="161925"/>
                </a:cubicBezTo>
                <a:cubicBezTo>
                  <a:pt x="1354766" y="178465"/>
                  <a:pt x="1390650" y="219075"/>
                  <a:pt x="1390650" y="219075"/>
                </a:cubicBezTo>
                <a:cubicBezTo>
                  <a:pt x="1397000" y="238125"/>
                  <a:pt x="1398561" y="259517"/>
                  <a:pt x="1409700" y="276225"/>
                </a:cubicBezTo>
                <a:cubicBezTo>
                  <a:pt x="1416050" y="285750"/>
                  <a:pt x="1423630" y="294561"/>
                  <a:pt x="1428750" y="304800"/>
                </a:cubicBezTo>
                <a:cubicBezTo>
                  <a:pt x="1468185" y="383670"/>
                  <a:pt x="1402730" y="280058"/>
                  <a:pt x="1457325" y="361950"/>
                </a:cubicBezTo>
                <a:cubicBezTo>
                  <a:pt x="1460500" y="387350"/>
                  <a:pt x="1458241" y="414044"/>
                  <a:pt x="1466850" y="438150"/>
                </a:cubicBezTo>
                <a:cubicBezTo>
                  <a:pt x="1479509" y="473595"/>
                  <a:pt x="1508125" y="498475"/>
                  <a:pt x="1533525" y="523875"/>
                </a:cubicBezTo>
                <a:cubicBezTo>
                  <a:pt x="1536700" y="533400"/>
                  <a:pt x="1538560" y="543470"/>
                  <a:pt x="1543050" y="552450"/>
                </a:cubicBezTo>
                <a:cubicBezTo>
                  <a:pt x="1551835" y="570021"/>
                  <a:pt x="1574876" y="599067"/>
                  <a:pt x="1590675" y="609600"/>
                </a:cubicBezTo>
                <a:cubicBezTo>
                  <a:pt x="1599029" y="615169"/>
                  <a:pt x="1610270" y="614635"/>
                  <a:pt x="1619250" y="619125"/>
                </a:cubicBezTo>
                <a:cubicBezTo>
                  <a:pt x="1629489" y="624245"/>
                  <a:pt x="1638300" y="631825"/>
                  <a:pt x="1647825" y="638175"/>
                </a:cubicBezTo>
                <a:cubicBezTo>
                  <a:pt x="1683024" y="690973"/>
                  <a:pt x="1646736" y="649212"/>
                  <a:pt x="1695450" y="676275"/>
                </a:cubicBezTo>
                <a:cubicBezTo>
                  <a:pt x="1715464" y="687394"/>
                  <a:pt x="1730388" y="708822"/>
                  <a:pt x="1752600" y="714375"/>
                </a:cubicBezTo>
                <a:cubicBezTo>
                  <a:pt x="1765300" y="717550"/>
                  <a:pt x="1778113" y="720304"/>
                  <a:pt x="1790700" y="723900"/>
                </a:cubicBezTo>
                <a:cubicBezTo>
                  <a:pt x="1800354" y="726658"/>
                  <a:pt x="1809535" y="730990"/>
                  <a:pt x="1819275" y="733425"/>
                </a:cubicBezTo>
                <a:cubicBezTo>
                  <a:pt x="1834981" y="737352"/>
                  <a:pt x="1850972" y="740054"/>
                  <a:pt x="1866900" y="742950"/>
                </a:cubicBezTo>
                <a:cubicBezTo>
                  <a:pt x="1939112" y="756080"/>
                  <a:pt x="1931949" y="753265"/>
                  <a:pt x="2019300" y="762000"/>
                </a:cubicBezTo>
                <a:cubicBezTo>
                  <a:pt x="2051050" y="758825"/>
                  <a:pt x="2082962" y="756988"/>
                  <a:pt x="2114550" y="752475"/>
                </a:cubicBezTo>
                <a:cubicBezTo>
                  <a:pt x="2156122" y="746536"/>
                  <a:pt x="2145039" y="742472"/>
                  <a:pt x="2181225" y="733425"/>
                </a:cubicBezTo>
                <a:cubicBezTo>
                  <a:pt x="2196931" y="729498"/>
                  <a:pt x="2212975" y="727075"/>
                  <a:pt x="2228850" y="723900"/>
                </a:cubicBezTo>
                <a:cubicBezTo>
                  <a:pt x="2238375" y="714375"/>
                  <a:pt x="2247077" y="703949"/>
                  <a:pt x="2257425" y="695325"/>
                </a:cubicBezTo>
                <a:cubicBezTo>
                  <a:pt x="2310869" y="650788"/>
                  <a:pt x="2336476" y="672910"/>
                  <a:pt x="2428875" y="666750"/>
                </a:cubicBezTo>
                <a:cubicBezTo>
                  <a:pt x="2447925" y="660400"/>
                  <a:pt x="2466544" y="652570"/>
                  <a:pt x="2486025" y="647700"/>
                </a:cubicBezTo>
                <a:cubicBezTo>
                  <a:pt x="2494993" y="645458"/>
                  <a:pt x="2541520" y="634861"/>
                  <a:pt x="2552700" y="628650"/>
                </a:cubicBezTo>
                <a:cubicBezTo>
                  <a:pt x="2572714" y="617531"/>
                  <a:pt x="2589372" y="600789"/>
                  <a:pt x="2609850" y="590550"/>
                </a:cubicBezTo>
                <a:lnTo>
                  <a:pt x="2628900" y="581025"/>
                </a:ln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12" name="Conector reto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>
            <a:stCxn id="6" idx="12"/>
            <a:endCxn id="8" idx="3"/>
          </xdr:cNvCxnSpPr>
        </xdr:nvCxnSpPr>
        <xdr:spPr>
          <a:xfrm flipV="1">
            <a:off x="4761893" y="2829327"/>
            <a:ext cx="1528201" cy="1084940"/>
          </a:xfrm>
          <a:prstGeom prst="line">
            <a:avLst/>
          </a:prstGeom>
          <a:ln>
            <a:solidFill>
              <a:schemeClr val="bg1">
                <a:lumMod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to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CxnSpPr>
            <a:stCxn id="6" idx="13"/>
            <a:endCxn id="49" idx="18"/>
          </xdr:cNvCxnSpPr>
        </xdr:nvCxnSpPr>
        <xdr:spPr>
          <a:xfrm>
            <a:off x="4786020" y="3961800"/>
            <a:ext cx="2844759" cy="221319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to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>
            <a:endCxn id="8" idx="8"/>
          </xdr:cNvCxnSpPr>
        </xdr:nvCxnSpPr>
        <xdr:spPr>
          <a:xfrm flipV="1">
            <a:off x="4787455" y="2919863"/>
            <a:ext cx="1863309" cy="971017"/>
          </a:xfrm>
          <a:prstGeom prst="line">
            <a:avLst/>
          </a:prstGeom>
          <a:ln w="19050"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Forma Livre: Forma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6056719" y="2165384"/>
            <a:ext cx="1071403" cy="764540"/>
          </a:xfrm>
          <a:custGeom>
            <a:avLst/>
            <a:gdLst>
              <a:gd name="connsiteX0" fmla="*/ 0 w 962025"/>
              <a:gd name="connsiteY0" fmla="*/ 504825 h 723900"/>
              <a:gd name="connsiteX1" fmla="*/ 57150 w 962025"/>
              <a:gd name="connsiteY1" fmla="*/ 542925 h 723900"/>
              <a:gd name="connsiteX2" fmla="*/ 152400 w 962025"/>
              <a:gd name="connsiteY2" fmla="*/ 590550 h 723900"/>
              <a:gd name="connsiteX3" fmla="*/ 209550 w 962025"/>
              <a:gd name="connsiteY3" fmla="*/ 628650 h 723900"/>
              <a:gd name="connsiteX4" fmla="*/ 304800 w 962025"/>
              <a:gd name="connsiteY4" fmla="*/ 666750 h 723900"/>
              <a:gd name="connsiteX5" fmla="*/ 333375 w 962025"/>
              <a:gd name="connsiteY5" fmla="*/ 676275 h 723900"/>
              <a:gd name="connsiteX6" fmla="*/ 361950 w 962025"/>
              <a:gd name="connsiteY6" fmla="*/ 695325 h 723900"/>
              <a:gd name="connsiteX7" fmla="*/ 419100 w 962025"/>
              <a:gd name="connsiteY7" fmla="*/ 723900 h 723900"/>
              <a:gd name="connsiteX8" fmla="*/ 533400 w 962025"/>
              <a:gd name="connsiteY8" fmla="*/ 714375 h 723900"/>
              <a:gd name="connsiteX9" fmla="*/ 590550 w 962025"/>
              <a:gd name="connsiteY9" fmla="*/ 657225 h 723900"/>
              <a:gd name="connsiteX10" fmla="*/ 619125 w 962025"/>
              <a:gd name="connsiteY10" fmla="*/ 628650 h 723900"/>
              <a:gd name="connsiteX11" fmla="*/ 647700 w 962025"/>
              <a:gd name="connsiteY11" fmla="*/ 600075 h 723900"/>
              <a:gd name="connsiteX12" fmla="*/ 704850 w 962025"/>
              <a:gd name="connsiteY12" fmla="*/ 561975 h 723900"/>
              <a:gd name="connsiteX13" fmla="*/ 762000 w 962025"/>
              <a:gd name="connsiteY13" fmla="*/ 514350 h 723900"/>
              <a:gd name="connsiteX14" fmla="*/ 790575 w 962025"/>
              <a:gd name="connsiteY14" fmla="*/ 457200 h 723900"/>
              <a:gd name="connsiteX15" fmla="*/ 800100 w 962025"/>
              <a:gd name="connsiteY15" fmla="*/ 123825 h 723900"/>
              <a:gd name="connsiteX16" fmla="*/ 828675 w 962025"/>
              <a:gd name="connsiteY16" fmla="*/ 104775 h 723900"/>
              <a:gd name="connsiteX17" fmla="*/ 885825 w 962025"/>
              <a:gd name="connsiteY17" fmla="*/ 66675 h 723900"/>
              <a:gd name="connsiteX18" fmla="*/ 962025 w 962025"/>
              <a:gd name="connsiteY18" fmla="*/ 0 h 723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962025" h="723900">
                <a:moveTo>
                  <a:pt x="0" y="504825"/>
                </a:moveTo>
                <a:cubicBezTo>
                  <a:pt x="19050" y="517525"/>
                  <a:pt x="37050" y="531962"/>
                  <a:pt x="57150" y="542925"/>
                </a:cubicBezTo>
                <a:cubicBezTo>
                  <a:pt x="202657" y="622292"/>
                  <a:pt x="2741" y="495312"/>
                  <a:pt x="152400" y="590550"/>
                </a:cubicBezTo>
                <a:cubicBezTo>
                  <a:pt x="171716" y="602842"/>
                  <a:pt x="187830" y="621410"/>
                  <a:pt x="209550" y="628650"/>
                </a:cubicBezTo>
                <a:cubicBezTo>
                  <a:pt x="339632" y="672011"/>
                  <a:pt x="206694" y="624705"/>
                  <a:pt x="304800" y="666750"/>
                </a:cubicBezTo>
                <a:cubicBezTo>
                  <a:pt x="314028" y="670705"/>
                  <a:pt x="324395" y="671785"/>
                  <a:pt x="333375" y="676275"/>
                </a:cubicBezTo>
                <a:cubicBezTo>
                  <a:pt x="343614" y="681395"/>
                  <a:pt x="351711" y="690205"/>
                  <a:pt x="361950" y="695325"/>
                </a:cubicBezTo>
                <a:cubicBezTo>
                  <a:pt x="440820" y="734760"/>
                  <a:pt x="337208" y="669305"/>
                  <a:pt x="419100" y="723900"/>
                </a:cubicBezTo>
                <a:cubicBezTo>
                  <a:pt x="457200" y="720725"/>
                  <a:pt x="497768" y="728232"/>
                  <a:pt x="533400" y="714375"/>
                </a:cubicBezTo>
                <a:cubicBezTo>
                  <a:pt x="558509" y="704610"/>
                  <a:pt x="571500" y="676275"/>
                  <a:pt x="590550" y="657225"/>
                </a:cubicBezTo>
                <a:lnTo>
                  <a:pt x="619125" y="628650"/>
                </a:lnTo>
                <a:cubicBezTo>
                  <a:pt x="628650" y="619125"/>
                  <a:pt x="636492" y="607547"/>
                  <a:pt x="647700" y="600075"/>
                </a:cubicBezTo>
                <a:lnTo>
                  <a:pt x="704850" y="561975"/>
                </a:lnTo>
                <a:cubicBezTo>
                  <a:pt x="732947" y="543244"/>
                  <a:pt x="739081" y="541852"/>
                  <a:pt x="762000" y="514350"/>
                </a:cubicBezTo>
                <a:cubicBezTo>
                  <a:pt x="782516" y="489731"/>
                  <a:pt x="781029" y="485839"/>
                  <a:pt x="790575" y="457200"/>
                </a:cubicBezTo>
                <a:cubicBezTo>
                  <a:pt x="793750" y="346075"/>
                  <a:pt x="788151" y="234351"/>
                  <a:pt x="800100" y="123825"/>
                </a:cubicBezTo>
                <a:cubicBezTo>
                  <a:pt x="801330" y="112444"/>
                  <a:pt x="819881" y="112104"/>
                  <a:pt x="828675" y="104775"/>
                </a:cubicBezTo>
                <a:cubicBezTo>
                  <a:pt x="876241" y="65137"/>
                  <a:pt x="835607" y="83414"/>
                  <a:pt x="885825" y="66675"/>
                </a:cubicBezTo>
                <a:cubicBezTo>
                  <a:pt x="947995" y="4505"/>
                  <a:pt x="918878" y="21573"/>
                  <a:pt x="962025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7128122" y="2105024"/>
            <a:ext cx="573728" cy="370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rgbClr val="FF0000"/>
                </a:solidFill>
              </a:rPr>
              <a:t>CN2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CxnSpPr>
            <a:stCxn id="49" idx="18"/>
          </xdr:cNvCxnSpPr>
        </xdr:nvCxnSpPr>
        <xdr:spPr>
          <a:xfrm flipH="1" flipV="1">
            <a:off x="6629552" y="2960975"/>
            <a:ext cx="1001227" cy="1222144"/>
          </a:xfrm>
          <a:prstGeom prst="line">
            <a:avLst/>
          </a:prstGeom>
          <a:ln w="19050"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Elips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6534150" y="2838949"/>
            <a:ext cx="161211" cy="180776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664179">
            <a:off x="7173467" y="3620313"/>
            <a:ext cx="129980" cy="22737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 rot="2960453">
            <a:off x="6524400" y="3328520"/>
            <a:ext cx="472958" cy="30762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ysClr val="windowText" lastClr="000000"/>
                </a:solidFill>
              </a:rPr>
              <a:t>L2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14" name="Forma Livre: Forma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6868574" y="3555147"/>
            <a:ext cx="895426" cy="719428"/>
          </a:xfrm>
          <a:custGeom>
            <a:avLst/>
            <a:gdLst>
              <a:gd name="connsiteX0" fmla="*/ 0 w 895426"/>
              <a:gd name="connsiteY0" fmla="*/ 666750 h 666750"/>
              <a:gd name="connsiteX1" fmla="*/ 66675 w 895426"/>
              <a:gd name="connsiteY1" fmla="*/ 638175 h 666750"/>
              <a:gd name="connsiteX2" fmla="*/ 152400 w 895426"/>
              <a:gd name="connsiteY2" fmla="*/ 619125 h 666750"/>
              <a:gd name="connsiteX3" fmla="*/ 228600 w 895426"/>
              <a:gd name="connsiteY3" fmla="*/ 600075 h 666750"/>
              <a:gd name="connsiteX4" fmla="*/ 276225 w 895426"/>
              <a:gd name="connsiteY4" fmla="*/ 590550 h 666750"/>
              <a:gd name="connsiteX5" fmla="*/ 333375 w 895426"/>
              <a:gd name="connsiteY5" fmla="*/ 571500 h 666750"/>
              <a:gd name="connsiteX6" fmla="*/ 390525 w 895426"/>
              <a:gd name="connsiteY6" fmla="*/ 561975 h 666750"/>
              <a:gd name="connsiteX7" fmla="*/ 447675 w 895426"/>
              <a:gd name="connsiteY7" fmla="*/ 542925 h 666750"/>
              <a:gd name="connsiteX8" fmla="*/ 504825 w 895426"/>
              <a:gd name="connsiteY8" fmla="*/ 504825 h 666750"/>
              <a:gd name="connsiteX9" fmla="*/ 600075 w 895426"/>
              <a:gd name="connsiteY9" fmla="*/ 495300 h 666750"/>
              <a:gd name="connsiteX10" fmla="*/ 657225 w 895426"/>
              <a:gd name="connsiteY10" fmla="*/ 447675 h 666750"/>
              <a:gd name="connsiteX11" fmla="*/ 676275 w 895426"/>
              <a:gd name="connsiteY11" fmla="*/ 409575 h 666750"/>
              <a:gd name="connsiteX12" fmla="*/ 733425 w 895426"/>
              <a:gd name="connsiteY12" fmla="*/ 352425 h 666750"/>
              <a:gd name="connsiteX13" fmla="*/ 752475 w 895426"/>
              <a:gd name="connsiteY13" fmla="*/ 323850 h 666750"/>
              <a:gd name="connsiteX14" fmla="*/ 809625 w 895426"/>
              <a:gd name="connsiteY14" fmla="*/ 285750 h 666750"/>
              <a:gd name="connsiteX15" fmla="*/ 838200 w 895426"/>
              <a:gd name="connsiteY15" fmla="*/ 228600 h 666750"/>
              <a:gd name="connsiteX16" fmla="*/ 847725 w 895426"/>
              <a:gd name="connsiteY16" fmla="*/ 200025 h 666750"/>
              <a:gd name="connsiteX17" fmla="*/ 866775 w 895426"/>
              <a:gd name="connsiteY17" fmla="*/ 171450 h 666750"/>
              <a:gd name="connsiteX18" fmla="*/ 885825 w 895426"/>
              <a:gd name="connsiteY18" fmla="*/ 114300 h 666750"/>
              <a:gd name="connsiteX19" fmla="*/ 895350 w 895426"/>
              <a:gd name="connsiteY19" fmla="*/ 0 h 666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895426" h="666750">
                <a:moveTo>
                  <a:pt x="0" y="666750"/>
                </a:moveTo>
                <a:cubicBezTo>
                  <a:pt x="22225" y="657225"/>
                  <a:pt x="43951" y="646438"/>
                  <a:pt x="66675" y="638175"/>
                </a:cubicBezTo>
                <a:cubicBezTo>
                  <a:pt x="85785" y="631226"/>
                  <a:pt x="134847" y="623176"/>
                  <a:pt x="152400" y="619125"/>
                </a:cubicBezTo>
                <a:cubicBezTo>
                  <a:pt x="177911" y="613238"/>
                  <a:pt x="203089" y="605962"/>
                  <a:pt x="228600" y="600075"/>
                </a:cubicBezTo>
                <a:cubicBezTo>
                  <a:pt x="244375" y="596435"/>
                  <a:pt x="260606" y="594810"/>
                  <a:pt x="276225" y="590550"/>
                </a:cubicBezTo>
                <a:cubicBezTo>
                  <a:pt x="295598" y="585266"/>
                  <a:pt x="313894" y="576370"/>
                  <a:pt x="333375" y="571500"/>
                </a:cubicBezTo>
                <a:cubicBezTo>
                  <a:pt x="352111" y="566816"/>
                  <a:pt x="371789" y="566659"/>
                  <a:pt x="390525" y="561975"/>
                </a:cubicBezTo>
                <a:cubicBezTo>
                  <a:pt x="410006" y="557105"/>
                  <a:pt x="430967" y="554064"/>
                  <a:pt x="447675" y="542925"/>
                </a:cubicBezTo>
                <a:cubicBezTo>
                  <a:pt x="466725" y="530225"/>
                  <a:pt x="482043" y="507103"/>
                  <a:pt x="504825" y="504825"/>
                </a:cubicBezTo>
                <a:lnTo>
                  <a:pt x="600075" y="495300"/>
                </a:lnTo>
                <a:cubicBezTo>
                  <a:pt x="622860" y="480110"/>
                  <a:pt x="640557" y="471010"/>
                  <a:pt x="657225" y="447675"/>
                </a:cubicBezTo>
                <a:cubicBezTo>
                  <a:pt x="665478" y="436121"/>
                  <a:pt x="667405" y="420663"/>
                  <a:pt x="676275" y="409575"/>
                </a:cubicBezTo>
                <a:cubicBezTo>
                  <a:pt x="693105" y="388538"/>
                  <a:pt x="718481" y="374841"/>
                  <a:pt x="733425" y="352425"/>
                </a:cubicBezTo>
                <a:cubicBezTo>
                  <a:pt x="739775" y="342900"/>
                  <a:pt x="743860" y="331388"/>
                  <a:pt x="752475" y="323850"/>
                </a:cubicBezTo>
                <a:cubicBezTo>
                  <a:pt x="769705" y="308773"/>
                  <a:pt x="809625" y="285750"/>
                  <a:pt x="809625" y="285750"/>
                </a:cubicBezTo>
                <a:cubicBezTo>
                  <a:pt x="833566" y="213926"/>
                  <a:pt x="801271" y="302458"/>
                  <a:pt x="838200" y="228600"/>
                </a:cubicBezTo>
                <a:cubicBezTo>
                  <a:pt x="842690" y="219620"/>
                  <a:pt x="843235" y="209005"/>
                  <a:pt x="847725" y="200025"/>
                </a:cubicBezTo>
                <a:cubicBezTo>
                  <a:pt x="852845" y="189786"/>
                  <a:pt x="862126" y="181911"/>
                  <a:pt x="866775" y="171450"/>
                </a:cubicBezTo>
                <a:cubicBezTo>
                  <a:pt x="874930" y="153100"/>
                  <a:pt x="885825" y="114300"/>
                  <a:pt x="885825" y="114300"/>
                </a:cubicBezTo>
                <a:cubicBezTo>
                  <a:pt x="896925" y="25498"/>
                  <a:pt x="895350" y="63698"/>
                  <a:pt x="895350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7461306" y="3241207"/>
            <a:ext cx="601367" cy="31791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rgbClr val="FF0000"/>
                </a:solidFill>
              </a:rPr>
              <a:t>CN3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32" name="Conector reto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CxnSpPr>
            <a:endCxn id="8" idx="1"/>
          </xdr:cNvCxnSpPr>
        </xdr:nvCxnSpPr>
        <xdr:spPr>
          <a:xfrm flipV="1">
            <a:off x="4813653" y="2738789"/>
            <a:ext cx="1306714" cy="1134369"/>
          </a:xfrm>
          <a:prstGeom prst="line">
            <a:avLst/>
          </a:prstGeom>
          <a:ln>
            <a:solidFill>
              <a:schemeClr val="bg1">
                <a:lumMod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 rot="268446">
            <a:off x="6066134" y="4127499"/>
            <a:ext cx="591438" cy="3880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ysClr val="windowText" lastClr="000000"/>
                </a:solidFill>
              </a:rPr>
              <a:t>Lad</a:t>
            </a:r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5" name="Conector ret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>
            <a:stCxn id="6" idx="14"/>
            <a:endCxn id="6" idx="9"/>
          </xdr:cNvCxnSpPr>
        </xdr:nvCxnSpPr>
        <xdr:spPr>
          <a:xfrm flipH="1" flipV="1">
            <a:off x="4665389" y="3819203"/>
            <a:ext cx="168883" cy="205973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195813</xdr:colOff>
      <xdr:row>18</xdr:row>
      <xdr:rowOff>152401</xdr:rowOff>
    </xdr:from>
    <xdr:to>
      <xdr:col>3</xdr:col>
      <xdr:colOff>3119339</xdr:colOff>
      <xdr:row>24</xdr:row>
      <xdr:rowOff>144730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4024863" y="3848101"/>
          <a:ext cx="2923526" cy="1135329"/>
          <a:chOff x="4121517" y="3030520"/>
          <a:chExt cx="3889011" cy="1347936"/>
        </a:xfrm>
      </xdr:grpSpPr>
      <xdr:cxnSp macro="">
        <xdr:nvCxnSpPr>
          <xdr:cNvPr id="43" name="Conector reto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CxnSpPr>
            <a:cxnSpLocks/>
            <a:endCxn id="48" idx="17"/>
          </xdr:cNvCxnSpPr>
        </xdr:nvCxnSpPr>
        <xdr:spPr>
          <a:xfrm flipV="1">
            <a:off x="4680362" y="3898427"/>
            <a:ext cx="3096654" cy="262044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to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>
            <a:stCxn id="48" idx="17"/>
            <a:endCxn id="41" idx="12"/>
          </xdr:cNvCxnSpPr>
        </xdr:nvCxnSpPr>
        <xdr:spPr>
          <a:xfrm flipH="1">
            <a:off x="4950652" y="3898427"/>
            <a:ext cx="2826363" cy="29312"/>
          </a:xfrm>
          <a:prstGeom prst="line">
            <a:avLst/>
          </a:prstGeom>
          <a:ln w="19050"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etângulo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>
            <a:off x="6958973" y="3771655"/>
            <a:ext cx="129980" cy="227372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6008837" y="3434286"/>
            <a:ext cx="437002" cy="3076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ysClr val="windowText" lastClr="000000"/>
                </a:solidFill>
              </a:rPr>
              <a:t>L2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37" name="Forma Livre: Forma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6991350" y="3305174"/>
            <a:ext cx="704850" cy="981075"/>
          </a:xfrm>
          <a:custGeom>
            <a:avLst/>
            <a:gdLst>
              <a:gd name="connsiteX0" fmla="*/ 0 w 895426"/>
              <a:gd name="connsiteY0" fmla="*/ 666750 h 666750"/>
              <a:gd name="connsiteX1" fmla="*/ 66675 w 895426"/>
              <a:gd name="connsiteY1" fmla="*/ 638175 h 666750"/>
              <a:gd name="connsiteX2" fmla="*/ 152400 w 895426"/>
              <a:gd name="connsiteY2" fmla="*/ 619125 h 666750"/>
              <a:gd name="connsiteX3" fmla="*/ 228600 w 895426"/>
              <a:gd name="connsiteY3" fmla="*/ 600075 h 666750"/>
              <a:gd name="connsiteX4" fmla="*/ 276225 w 895426"/>
              <a:gd name="connsiteY4" fmla="*/ 590550 h 666750"/>
              <a:gd name="connsiteX5" fmla="*/ 333375 w 895426"/>
              <a:gd name="connsiteY5" fmla="*/ 571500 h 666750"/>
              <a:gd name="connsiteX6" fmla="*/ 390525 w 895426"/>
              <a:gd name="connsiteY6" fmla="*/ 561975 h 666750"/>
              <a:gd name="connsiteX7" fmla="*/ 447675 w 895426"/>
              <a:gd name="connsiteY7" fmla="*/ 542925 h 666750"/>
              <a:gd name="connsiteX8" fmla="*/ 504825 w 895426"/>
              <a:gd name="connsiteY8" fmla="*/ 504825 h 666750"/>
              <a:gd name="connsiteX9" fmla="*/ 600075 w 895426"/>
              <a:gd name="connsiteY9" fmla="*/ 495300 h 666750"/>
              <a:gd name="connsiteX10" fmla="*/ 657225 w 895426"/>
              <a:gd name="connsiteY10" fmla="*/ 447675 h 666750"/>
              <a:gd name="connsiteX11" fmla="*/ 676275 w 895426"/>
              <a:gd name="connsiteY11" fmla="*/ 409575 h 666750"/>
              <a:gd name="connsiteX12" fmla="*/ 733425 w 895426"/>
              <a:gd name="connsiteY12" fmla="*/ 352425 h 666750"/>
              <a:gd name="connsiteX13" fmla="*/ 752475 w 895426"/>
              <a:gd name="connsiteY13" fmla="*/ 323850 h 666750"/>
              <a:gd name="connsiteX14" fmla="*/ 809625 w 895426"/>
              <a:gd name="connsiteY14" fmla="*/ 285750 h 666750"/>
              <a:gd name="connsiteX15" fmla="*/ 838200 w 895426"/>
              <a:gd name="connsiteY15" fmla="*/ 228600 h 666750"/>
              <a:gd name="connsiteX16" fmla="*/ 847725 w 895426"/>
              <a:gd name="connsiteY16" fmla="*/ 200025 h 666750"/>
              <a:gd name="connsiteX17" fmla="*/ 866775 w 895426"/>
              <a:gd name="connsiteY17" fmla="*/ 171450 h 666750"/>
              <a:gd name="connsiteX18" fmla="*/ 885825 w 895426"/>
              <a:gd name="connsiteY18" fmla="*/ 114300 h 666750"/>
              <a:gd name="connsiteX19" fmla="*/ 895350 w 895426"/>
              <a:gd name="connsiteY19" fmla="*/ 0 h 666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895426" h="666750">
                <a:moveTo>
                  <a:pt x="0" y="666750"/>
                </a:moveTo>
                <a:cubicBezTo>
                  <a:pt x="22225" y="657225"/>
                  <a:pt x="43951" y="646438"/>
                  <a:pt x="66675" y="638175"/>
                </a:cubicBezTo>
                <a:cubicBezTo>
                  <a:pt x="85785" y="631226"/>
                  <a:pt x="134847" y="623176"/>
                  <a:pt x="152400" y="619125"/>
                </a:cubicBezTo>
                <a:cubicBezTo>
                  <a:pt x="177911" y="613238"/>
                  <a:pt x="203089" y="605962"/>
                  <a:pt x="228600" y="600075"/>
                </a:cubicBezTo>
                <a:cubicBezTo>
                  <a:pt x="244375" y="596435"/>
                  <a:pt x="260606" y="594810"/>
                  <a:pt x="276225" y="590550"/>
                </a:cubicBezTo>
                <a:cubicBezTo>
                  <a:pt x="295598" y="585266"/>
                  <a:pt x="313894" y="576370"/>
                  <a:pt x="333375" y="571500"/>
                </a:cubicBezTo>
                <a:cubicBezTo>
                  <a:pt x="352111" y="566816"/>
                  <a:pt x="371789" y="566659"/>
                  <a:pt x="390525" y="561975"/>
                </a:cubicBezTo>
                <a:cubicBezTo>
                  <a:pt x="410006" y="557105"/>
                  <a:pt x="430967" y="554064"/>
                  <a:pt x="447675" y="542925"/>
                </a:cubicBezTo>
                <a:cubicBezTo>
                  <a:pt x="466725" y="530225"/>
                  <a:pt x="482043" y="507103"/>
                  <a:pt x="504825" y="504825"/>
                </a:cubicBezTo>
                <a:lnTo>
                  <a:pt x="600075" y="495300"/>
                </a:lnTo>
                <a:cubicBezTo>
                  <a:pt x="622860" y="480110"/>
                  <a:pt x="640557" y="471010"/>
                  <a:pt x="657225" y="447675"/>
                </a:cubicBezTo>
                <a:cubicBezTo>
                  <a:pt x="665478" y="436121"/>
                  <a:pt x="667405" y="420663"/>
                  <a:pt x="676275" y="409575"/>
                </a:cubicBezTo>
                <a:cubicBezTo>
                  <a:pt x="693105" y="388538"/>
                  <a:pt x="718481" y="374841"/>
                  <a:pt x="733425" y="352425"/>
                </a:cubicBezTo>
                <a:cubicBezTo>
                  <a:pt x="739775" y="342900"/>
                  <a:pt x="743860" y="331388"/>
                  <a:pt x="752475" y="323850"/>
                </a:cubicBezTo>
                <a:cubicBezTo>
                  <a:pt x="769705" y="308773"/>
                  <a:pt x="809625" y="285750"/>
                  <a:pt x="809625" y="285750"/>
                </a:cubicBezTo>
                <a:cubicBezTo>
                  <a:pt x="833566" y="213926"/>
                  <a:pt x="801271" y="302458"/>
                  <a:pt x="838200" y="228600"/>
                </a:cubicBezTo>
                <a:cubicBezTo>
                  <a:pt x="842690" y="219620"/>
                  <a:pt x="843235" y="209005"/>
                  <a:pt x="847725" y="200025"/>
                </a:cubicBezTo>
                <a:cubicBezTo>
                  <a:pt x="852845" y="189786"/>
                  <a:pt x="862126" y="181911"/>
                  <a:pt x="866775" y="171450"/>
                </a:cubicBezTo>
                <a:cubicBezTo>
                  <a:pt x="874930" y="153100"/>
                  <a:pt x="885825" y="114300"/>
                  <a:pt x="885825" y="114300"/>
                </a:cubicBezTo>
                <a:cubicBezTo>
                  <a:pt x="896925" y="25498"/>
                  <a:pt x="895350" y="63698"/>
                  <a:pt x="895350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7383463" y="3049570"/>
            <a:ext cx="627065" cy="2917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rgbClr val="FF0000"/>
                </a:solidFill>
              </a:rPr>
              <a:t>CN3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41" name="Forma Livre: Forma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4909796">
            <a:off x="4469204" y="3289094"/>
            <a:ext cx="909892" cy="697473"/>
          </a:xfrm>
          <a:custGeom>
            <a:avLst/>
            <a:gdLst>
              <a:gd name="connsiteX0" fmla="*/ 0 w 895426"/>
              <a:gd name="connsiteY0" fmla="*/ 666750 h 666750"/>
              <a:gd name="connsiteX1" fmla="*/ 66675 w 895426"/>
              <a:gd name="connsiteY1" fmla="*/ 638175 h 666750"/>
              <a:gd name="connsiteX2" fmla="*/ 152400 w 895426"/>
              <a:gd name="connsiteY2" fmla="*/ 619125 h 666750"/>
              <a:gd name="connsiteX3" fmla="*/ 228600 w 895426"/>
              <a:gd name="connsiteY3" fmla="*/ 600075 h 666750"/>
              <a:gd name="connsiteX4" fmla="*/ 276225 w 895426"/>
              <a:gd name="connsiteY4" fmla="*/ 590550 h 666750"/>
              <a:gd name="connsiteX5" fmla="*/ 333375 w 895426"/>
              <a:gd name="connsiteY5" fmla="*/ 571500 h 666750"/>
              <a:gd name="connsiteX6" fmla="*/ 390525 w 895426"/>
              <a:gd name="connsiteY6" fmla="*/ 561975 h 666750"/>
              <a:gd name="connsiteX7" fmla="*/ 447675 w 895426"/>
              <a:gd name="connsiteY7" fmla="*/ 542925 h 666750"/>
              <a:gd name="connsiteX8" fmla="*/ 504825 w 895426"/>
              <a:gd name="connsiteY8" fmla="*/ 504825 h 666750"/>
              <a:gd name="connsiteX9" fmla="*/ 600075 w 895426"/>
              <a:gd name="connsiteY9" fmla="*/ 495300 h 666750"/>
              <a:gd name="connsiteX10" fmla="*/ 657225 w 895426"/>
              <a:gd name="connsiteY10" fmla="*/ 447675 h 666750"/>
              <a:gd name="connsiteX11" fmla="*/ 676275 w 895426"/>
              <a:gd name="connsiteY11" fmla="*/ 409575 h 666750"/>
              <a:gd name="connsiteX12" fmla="*/ 733425 w 895426"/>
              <a:gd name="connsiteY12" fmla="*/ 352425 h 666750"/>
              <a:gd name="connsiteX13" fmla="*/ 752475 w 895426"/>
              <a:gd name="connsiteY13" fmla="*/ 323850 h 666750"/>
              <a:gd name="connsiteX14" fmla="*/ 809625 w 895426"/>
              <a:gd name="connsiteY14" fmla="*/ 285750 h 666750"/>
              <a:gd name="connsiteX15" fmla="*/ 838200 w 895426"/>
              <a:gd name="connsiteY15" fmla="*/ 228600 h 666750"/>
              <a:gd name="connsiteX16" fmla="*/ 847725 w 895426"/>
              <a:gd name="connsiteY16" fmla="*/ 200025 h 666750"/>
              <a:gd name="connsiteX17" fmla="*/ 866775 w 895426"/>
              <a:gd name="connsiteY17" fmla="*/ 171450 h 666750"/>
              <a:gd name="connsiteX18" fmla="*/ 885825 w 895426"/>
              <a:gd name="connsiteY18" fmla="*/ 114300 h 666750"/>
              <a:gd name="connsiteX19" fmla="*/ 895350 w 895426"/>
              <a:gd name="connsiteY19" fmla="*/ 0 h 666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895426" h="666750">
                <a:moveTo>
                  <a:pt x="0" y="666750"/>
                </a:moveTo>
                <a:cubicBezTo>
                  <a:pt x="22225" y="657225"/>
                  <a:pt x="43951" y="646438"/>
                  <a:pt x="66675" y="638175"/>
                </a:cubicBezTo>
                <a:cubicBezTo>
                  <a:pt x="85785" y="631226"/>
                  <a:pt x="134847" y="623176"/>
                  <a:pt x="152400" y="619125"/>
                </a:cubicBezTo>
                <a:cubicBezTo>
                  <a:pt x="177911" y="613238"/>
                  <a:pt x="203089" y="605962"/>
                  <a:pt x="228600" y="600075"/>
                </a:cubicBezTo>
                <a:cubicBezTo>
                  <a:pt x="244375" y="596435"/>
                  <a:pt x="260606" y="594810"/>
                  <a:pt x="276225" y="590550"/>
                </a:cubicBezTo>
                <a:cubicBezTo>
                  <a:pt x="295598" y="585266"/>
                  <a:pt x="313894" y="576370"/>
                  <a:pt x="333375" y="571500"/>
                </a:cubicBezTo>
                <a:cubicBezTo>
                  <a:pt x="352111" y="566816"/>
                  <a:pt x="371789" y="566659"/>
                  <a:pt x="390525" y="561975"/>
                </a:cubicBezTo>
                <a:cubicBezTo>
                  <a:pt x="410006" y="557105"/>
                  <a:pt x="430967" y="554064"/>
                  <a:pt x="447675" y="542925"/>
                </a:cubicBezTo>
                <a:cubicBezTo>
                  <a:pt x="466725" y="530225"/>
                  <a:pt x="482043" y="507103"/>
                  <a:pt x="504825" y="504825"/>
                </a:cubicBezTo>
                <a:lnTo>
                  <a:pt x="600075" y="495300"/>
                </a:lnTo>
                <a:cubicBezTo>
                  <a:pt x="622860" y="480110"/>
                  <a:pt x="640557" y="471010"/>
                  <a:pt x="657225" y="447675"/>
                </a:cubicBezTo>
                <a:cubicBezTo>
                  <a:pt x="665478" y="436121"/>
                  <a:pt x="667405" y="420663"/>
                  <a:pt x="676275" y="409575"/>
                </a:cubicBezTo>
                <a:cubicBezTo>
                  <a:pt x="693105" y="388538"/>
                  <a:pt x="718481" y="374841"/>
                  <a:pt x="733425" y="352425"/>
                </a:cubicBezTo>
                <a:cubicBezTo>
                  <a:pt x="739775" y="342900"/>
                  <a:pt x="743860" y="331388"/>
                  <a:pt x="752475" y="323850"/>
                </a:cubicBezTo>
                <a:cubicBezTo>
                  <a:pt x="769705" y="308773"/>
                  <a:pt x="809625" y="285750"/>
                  <a:pt x="809625" y="285750"/>
                </a:cubicBezTo>
                <a:cubicBezTo>
                  <a:pt x="833566" y="213926"/>
                  <a:pt x="801271" y="302458"/>
                  <a:pt x="838200" y="228600"/>
                </a:cubicBezTo>
                <a:cubicBezTo>
                  <a:pt x="842690" y="219620"/>
                  <a:pt x="843235" y="209005"/>
                  <a:pt x="847725" y="200025"/>
                </a:cubicBezTo>
                <a:cubicBezTo>
                  <a:pt x="852845" y="189786"/>
                  <a:pt x="862126" y="181911"/>
                  <a:pt x="866775" y="171450"/>
                </a:cubicBezTo>
                <a:cubicBezTo>
                  <a:pt x="874930" y="153100"/>
                  <a:pt x="885825" y="114300"/>
                  <a:pt x="885825" y="114300"/>
                </a:cubicBezTo>
                <a:cubicBezTo>
                  <a:pt x="896925" y="25498"/>
                  <a:pt x="895350" y="63698"/>
                  <a:pt x="895350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4121517" y="3030520"/>
            <a:ext cx="613792" cy="2917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rgbClr val="FF0000"/>
                </a:solidFill>
              </a:rPr>
              <a:t>CN1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 txBox="1"/>
        </xdr:nvSpPr>
        <xdr:spPr>
          <a:xfrm rot="21257934">
            <a:off x="6154597" y="4086724"/>
            <a:ext cx="529069" cy="2917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ysClr val="windowText" lastClr="000000"/>
                </a:solidFill>
              </a:rPr>
              <a:t>Lad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40" name="Conector reto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CxnSpPr/>
        </xdr:nvCxnSpPr>
        <xdr:spPr>
          <a:xfrm flipH="1" flipV="1">
            <a:off x="4886325" y="4026927"/>
            <a:ext cx="26372" cy="23624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364788</xdr:colOff>
      <xdr:row>18</xdr:row>
      <xdr:rowOff>0</xdr:rowOff>
    </xdr:from>
    <xdr:to>
      <xdr:col>10</xdr:col>
      <xdr:colOff>819150</xdr:colOff>
      <xdr:row>19</xdr:row>
      <xdr:rowOff>66277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13871238" y="3238500"/>
          <a:ext cx="454362" cy="256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CN2</a:t>
          </a: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46</xdr:row>
          <xdr:rowOff>9525</xdr:rowOff>
        </xdr:from>
        <xdr:to>
          <xdr:col>3</xdr:col>
          <xdr:colOff>2647950</xdr:colOff>
          <xdr:row>47</xdr:row>
          <xdr:rowOff>161925</xdr:rowOff>
        </xdr:to>
        <xdr:sp macro="" textlink="">
          <xdr:nvSpPr>
            <xdr:cNvPr id="1027" name="Figura 167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209550</xdr:rowOff>
        </xdr:from>
        <xdr:to>
          <xdr:col>3</xdr:col>
          <xdr:colOff>2609850</xdr:colOff>
          <xdr:row>51</xdr:row>
          <xdr:rowOff>123825</xdr:rowOff>
        </xdr:to>
        <xdr:sp macro="" textlink="">
          <xdr:nvSpPr>
            <xdr:cNvPr id="1028" name="Figura 16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1685633</xdr:colOff>
      <xdr:row>25</xdr:row>
      <xdr:rowOff>116930</xdr:rowOff>
    </xdr:from>
    <xdr:to>
      <xdr:col>7</xdr:col>
      <xdr:colOff>128716</xdr:colOff>
      <xdr:row>27</xdr:row>
      <xdr:rowOff>51075</xdr:rowOff>
    </xdr:to>
    <xdr:sp macro="" textlink="">
      <xdr:nvSpPr>
        <xdr:cNvPr id="49" name="Forma Livre: Forma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 rot="8204128">
          <a:off x="9686633" y="5146130"/>
          <a:ext cx="1310108" cy="315145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74</xdr:row>
      <xdr:rowOff>0</xdr:rowOff>
    </xdr:from>
    <xdr:to>
      <xdr:col>51</xdr:col>
      <xdr:colOff>581025</xdr:colOff>
      <xdr:row>74</xdr:row>
      <xdr:rowOff>0</xdr:rowOff>
    </xdr:to>
    <xdr:graphicFrame macro="">
      <xdr:nvGraphicFramePr>
        <xdr:cNvPr id="2" name="Gráfico 44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180975</xdr:colOff>
      <xdr:row>102</xdr:row>
      <xdr:rowOff>28575</xdr:rowOff>
    </xdr:from>
    <xdr:to>
      <xdr:col>5</xdr:col>
      <xdr:colOff>238125</xdr:colOff>
      <xdr:row>103</xdr:row>
      <xdr:rowOff>38100</xdr:rowOff>
    </xdr:to>
    <xdr:pic>
      <xdr:nvPicPr>
        <xdr:cNvPr id="13" name="Figura 32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0002500"/>
          <a:ext cx="1276350" cy="2000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0</xdr:row>
      <xdr:rowOff>133350</xdr:rowOff>
    </xdr:from>
    <xdr:to>
      <xdr:col>0</xdr:col>
      <xdr:colOff>561975</xdr:colOff>
      <xdr:row>1</xdr:row>
      <xdr:rowOff>342900</xdr:rowOff>
    </xdr:to>
    <xdr:pic>
      <xdr:nvPicPr>
        <xdr:cNvPr id="15" name="Picture 268" descr="Ministério de Minas e Energia - MME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3714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695325</xdr:colOff>
      <xdr:row>1</xdr:row>
      <xdr:rowOff>28575</xdr:rowOff>
    </xdr:from>
    <xdr:to>
      <xdr:col>3</xdr:col>
      <xdr:colOff>390525</xdr:colOff>
      <xdr:row>1</xdr:row>
      <xdr:rowOff>390525</xdr:rowOff>
    </xdr:to>
    <xdr:sp macro="" textlink="">
      <xdr:nvSpPr>
        <xdr:cNvPr id="16" name="Text Box 269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695325" y="219075"/>
          <a:ext cx="22193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0" rIns="91440" bIns="0" anchor="t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Ministério de Minas e Energia – MME</a:t>
          </a:r>
        </a:p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SECRETARIA EXECUTIVA</a:t>
          </a: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28575</xdr:colOff>
      <xdr:row>0</xdr:row>
      <xdr:rowOff>171450</xdr:rowOff>
    </xdr:from>
    <xdr:to>
      <xdr:col>9</xdr:col>
      <xdr:colOff>666750</xdr:colOff>
      <xdr:row>1</xdr:row>
      <xdr:rowOff>333375</xdr:rowOff>
    </xdr:to>
    <xdr:pic>
      <xdr:nvPicPr>
        <xdr:cNvPr id="17" name="Picture 270" descr="PCE azul completo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156"/>
        <a:stretch>
          <a:fillRect/>
        </a:stretch>
      </xdr:blipFill>
      <xdr:spPr bwMode="auto">
        <a:xfrm>
          <a:off x="6591300" y="171450"/>
          <a:ext cx="14192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304800</xdr:colOff>
      <xdr:row>0</xdr:row>
      <xdr:rowOff>161925</xdr:rowOff>
    </xdr:from>
    <xdr:to>
      <xdr:col>11</xdr:col>
      <xdr:colOff>0</xdr:colOff>
      <xdr:row>1</xdr:row>
      <xdr:rowOff>428625</xdr:rowOff>
    </xdr:to>
    <xdr:pic>
      <xdr:nvPicPr>
        <xdr:cNvPr id="18" name="Picture 271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61925"/>
          <a:ext cx="1524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0</xdr:row>
      <xdr:rowOff>133350</xdr:rowOff>
    </xdr:from>
    <xdr:to>
      <xdr:col>0</xdr:col>
      <xdr:colOff>571500</xdr:colOff>
      <xdr:row>1</xdr:row>
      <xdr:rowOff>381000</xdr:rowOff>
    </xdr:to>
    <xdr:pic>
      <xdr:nvPicPr>
        <xdr:cNvPr id="19" name="Picture 272" descr="Ministério de Minas e Energia - MME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3350"/>
          <a:ext cx="3714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304800</xdr:colOff>
      <xdr:row>0</xdr:row>
      <xdr:rowOff>161925</xdr:rowOff>
    </xdr:from>
    <xdr:to>
      <xdr:col>11</xdr:col>
      <xdr:colOff>0</xdr:colOff>
      <xdr:row>1</xdr:row>
      <xdr:rowOff>428625</xdr:rowOff>
    </xdr:to>
    <xdr:pic>
      <xdr:nvPicPr>
        <xdr:cNvPr id="20" name="Picture 275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61925"/>
          <a:ext cx="1524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142875</xdr:rowOff>
        </xdr:from>
        <xdr:to>
          <xdr:col>3</xdr:col>
          <xdr:colOff>123825</xdr:colOff>
          <xdr:row>54</xdr:row>
          <xdr:rowOff>133350</xdr:rowOff>
        </xdr:to>
        <xdr:sp macro="" textlink="">
          <xdr:nvSpPr>
            <xdr:cNvPr id="18433" name="Figura 233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A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809625</xdr:colOff>
          <xdr:row>59</xdr:row>
          <xdr:rowOff>66675</xdr:rowOff>
        </xdr:from>
        <xdr:to>
          <xdr:col>5</xdr:col>
          <xdr:colOff>142875</xdr:colOff>
          <xdr:row>61</xdr:row>
          <xdr:rowOff>114300</xdr:rowOff>
        </xdr:to>
        <xdr:sp macro="" textlink="">
          <xdr:nvSpPr>
            <xdr:cNvPr id="18434" name="Figura 234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A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762000</xdr:colOff>
          <xdr:row>67</xdr:row>
          <xdr:rowOff>19050</xdr:rowOff>
        </xdr:from>
        <xdr:to>
          <xdr:col>3</xdr:col>
          <xdr:colOff>180975</xdr:colOff>
          <xdr:row>68</xdr:row>
          <xdr:rowOff>47625</xdr:rowOff>
        </xdr:to>
        <xdr:sp macro="" textlink="">
          <xdr:nvSpPr>
            <xdr:cNvPr id="18435" name="Figura 235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A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79</xdr:row>
          <xdr:rowOff>142875</xdr:rowOff>
        </xdr:from>
        <xdr:to>
          <xdr:col>4</xdr:col>
          <xdr:colOff>47625</xdr:colOff>
          <xdr:row>81</xdr:row>
          <xdr:rowOff>133350</xdr:rowOff>
        </xdr:to>
        <xdr:sp macro="" textlink="">
          <xdr:nvSpPr>
            <xdr:cNvPr id="18436" name="Figura 238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A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762000</xdr:colOff>
          <xdr:row>71</xdr:row>
          <xdr:rowOff>19050</xdr:rowOff>
        </xdr:from>
        <xdr:to>
          <xdr:col>3</xdr:col>
          <xdr:colOff>152400</xdr:colOff>
          <xdr:row>72</xdr:row>
          <xdr:rowOff>19050</xdr:rowOff>
        </xdr:to>
        <xdr:sp macro="" textlink="">
          <xdr:nvSpPr>
            <xdr:cNvPr id="18437" name="Figura 24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A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30</xdr:row>
          <xdr:rowOff>123825</xdr:rowOff>
        </xdr:from>
        <xdr:to>
          <xdr:col>10</xdr:col>
          <xdr:colOff>371475</xdr:colOff>
          <xdr:row>45</xdr:row>
          <xdr:rowOff>0</xdr:rowOff>
        </xdr:to>
        <xdr:sp macro="" textlink="">
          <xdr:nvSpPr>
            <xdr:cNvPr id="18438" name="Figura 248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A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84</xdr:row>
          <xdr:rowOff>85725</xdr:rowOff>
        </xdr:from>
        <xdr:to>
          <xdr:col>6</xdr:col>
          <xdr:colOff>152400</xdr:colOff>
          <xdr:row>85</xdr:row>
          <xdr:rowOff>104775</xdr:rowOff>
        </xdr:to>
        <xdr:sp macro="" textlink="">
          <xdr:nvSpPr>
            <xdr:cNvPr id="18439" name="Figura 321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A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87</xdr:row>
          <xdr:rowOff>28575</xdr:rowOff>
        </xdr:from>
        <xdr:to>
          <xdr:col>5</xdr:col>
          <xdr:colOff>104775</xdr:colOff>
          <xdr:row>88</xdr:row>
          <xdr:rowOff>38100</xdr:rowOff>
        </xdr:to>
        <xdr:sp macro="" textlink="">
          <xdr:nvSpPr>
            <xdr:cNvPr id="18440" name="Figura 322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A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94</xdr:row>
          <xdr:rowOff>142875</xdr:rowOff>
        </xdr:from>
        <xdr:to>
          <xdr:col>4</xdr:col>
          <xdr:colOff>47625</xdr:colOff>
          <xdr:row>96</xdr:row>
          <xdr:rowOff>133350</xdr:rowOff>
        </xdr:to>
        <xdr:sp macro="" textlink="">
          <xdr:nvSpPr>
            <xdr:cNvPr id="18441" name="Objeto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A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99</xdr:row>
          <xdr:rowOff>85725</xdr:rowOff>
        </xdr:from>
        <xdr:to>
          <xdr:col>5</xdr:col>
          <xdr:colOff>609600</xdr:colOff>
          <xdr:row>100</xdr:row>
          <xdr:rowOff>95250</xdr:rowOff>
        </xdr:to>
        <xdr:sp macro="" textlink="">
          <xdr:nvSpPr>
            <xdr:cNvPr id="18442" name="Objeto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A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56</xdr:row>
          <xdr:rowOff>85725</xdr:rowOff>
        </xdr:from>
        <xdr:to>
          <xdr:col>3</xdr:col>
          <xdr:colOff>200025</xdr:colOff>
          <xdr:row>58</xdr:row>
          <xdr:rowOff>76200</xdr:rowOff>
        </xdr:to>
        <xdr:sp macro="" textlink="">
          <xdr:nvSpPr>
            <xdr:cNvPr id="18443" name="Objeto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A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3</xdr:row>
      <xdr:rowOff>95250</xdr:rowOff>
    </xdr:from>
    <xdr:to>
      <xdr:col>9</xdr:col>
      <xdr:colOff>180975</xdr:colOff>
      <xdr:row>21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519" t="35682" r="34325" b="13530"/>
        <a:stretch/>
      </xdr:blipFill>
      <xdr:spPr>
        <a:xfrm>
          <a:off x="6391275" y="666750"/>
          <a:ext cx="1971675" cy="37147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48</xdr:row>
          <xdr:rowOff>1</xdr:rowOff>
        </xdr:from>
        <xdr:to>
          <xdr:col>6</xdr:col>
          <xdr:colOff>523875</xdr:colOff>
          <xdr:row>49</xdr:row>
          <xdr:rowOff>12577</xdr:rowOff>
        </xdr:to>
        <xdr:sp macro="" textlink="">
          <xdr:nvSpPr>
            <xdr:cNvPr id="2049" name="Figura 143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9689A0D-40ED-491A-9773-368DFD3E6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</xdr:row>
      <xdr:rowOff>28575</xdr:rowOff>
    </xdr:from>
    <xdr:to>
      <xdr:col>9</xdr:col>
      <xdr:colOff>581025</xdr:colOff>
      <xdr:row>12</xdr:row>
      <xdr:rowOff>133350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409575"/>
          <a:ext cx="416242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200026</xdr:colOff>
      <xdr:row>108</xdr:row>
      <xdr:rowOff>76206</xdr:rowOff>
    </xdr:from>
    <xdr:to>
      <xdr:col>9</xdr:col>
      <xdr:colOff>962026</xdr:colOff>
      <xdr:row>112</xdr:row>
      <xdr:rowOff>66676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0496551" y="22231356"/>
          <a:ext cx="762000" cy="828670"/>
          <a:chOff x="7267575" y="11944355"/>
          <a:chExt cx="837525" cy="895357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7277100" y="12382500"/>
            <a:ext cx="800100" cy="43815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8" name="Arco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>
            <a:spLocks/>
          </xdr:cNvSpPr>
        </xdr:nvSpPr>
        <xdr:spPr>
          <a:xfrm>
            <a:off x="7267575" y="11944355"/>
            <a:ext cx="828000" cy="874085"/>
          </a:xfrm>
          <a:prstGeom prst="arc">
            <a:avLst>
              <a:gd name="adj1" fmla="val 10557175"/>
              <a:gd name="adj2" fmla="val 0"/>
            </a:avLst>
          </a:prstGeom>
          <a:solidFill>
            <a:schemeClr val="accent5">
              <a:lumMod val="20000"/>
              <a:lumOff val="80000"/>
            </a:schemeClr>
          </a:solidFill>
          <a:ln w="25400">
            <a:rou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59" name="Conector reto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CxnSpPr/>
        </xdr:nvCxnSpPr>
        <xdr:spPr>
          <a:xfrm>
            <a:off x="7267575" y="12402290"/>
            <a:ext cx="9525" cy="431775"/>
          </a:xfrm>
          <a:prstGeom prst="line">
            <a:avLst/>
          </a:prstGeom>
          <a:solidFill>
            <a:schemeClr val="accent5">
              <a:lumMod val="20000"/>
              <a:lumOff val="80000"/>
            </a:schemeClr>
          </a:solidFill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ector reto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CxnSpPr>
            <a:stCxn id="58" idx="2"/>
          </xdr:cNvCxnSpPr>
        </xdr:nvCxnSpPr>
        <xdr:spPr>
          <a:xfrm>
            <a:off x="8095575" y="12386672"/>
            <a:ext cx="675" cy="453040"/>
          </a:xfrm>
          <a:prstGeom prst="line">
            <a:avLst/>
          </a:prstGeom>
          <a:solidFill>
            <a:schemeClr val="accent5">
              <a:lumMod val="20000"/>
              <a:lumOff val="80000"/>
            </a:schemeClr>
          </a:solidFill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reto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CxnSpPr/>
        </xdr:nvCxnSpPr>
        <xdr:spPr>
          <a:xfrm flipV="1">
            <a:off x="7277100" y="12829354"/>
            <a:ext cx="828000" cy="0"/>
          </a:xfrm>
          <a:prstGeom prst="line">
            <a:avLst/>
          </a:prstGeom>
          <a:solidFill>
            <a:schemeClr val="accent5">
              <a:lumMod val="20000"/>
              <a:lumOff val="80000"/>
            </a:schemeClr>
          </a:solidFill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7467600" y="12208941"/>
            <a:ext cx="432000" cy="451007"/>
          </a:xfrm>
          <a:prstGeom prst="ellipse">
            <a:avLst/>
          </a:prstGeom>
          <a:solidFill>
            <a:schemeClr val="bg1"/>
          </a:solidFill>
          <a:ln w="254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12</xdr:col>
      <xdr:colOff>542925</xdr:colOff>
      <xdr:row>131</xdr:row>
      <xdr:rowOff>104124</xdr:rowOff>
    </xdr:from>
    <xdr:to>
      <xdr:col>16</xdr:col>
      <xdr:colOff>809625</xdr:colOff>
      <xdr:row>141</xdr:row>
      <xdr:rowOff>71075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5815" t="32035" r="36961" b="20043"/>
        <a:stretch/>
      </xdr:blipFill>
      <xdr:spPr>
        <a:xfrm>
          <a:off x="10353675" y="30260274"/>
          <a:ext cx="3514725" cy="2005301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144</xdr:row>
      <xdr:rowOff>46071</xdr:rowOff>
    </xdr:from>
    <xdr:to>
      <xdr:col>16</xdr:col>
      <xdr:colOff>748364</xdr:colOff>
      <xdr:row>153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14423" t="36072" r="38499" b="20172"/>
        <a:stretch/>
      </xdr:blipFill>
      <xdr:spPr>
        <a:xfrm>
          <a:off x="16487775" y="26982771"/>
          <a:ext cx="3539189" cy="1849404"/>
        </a:xfrm>
        <a:prstGeom prst="rect">
          <a:avLst/>
        </a:prstGeom>
      </xdr:spPr>
    </xdr:pic>
    <xdr:clientData/>
  </xdr:twoCellAnchor>
  <xdr:twoCellAnchor>
    <xdr:from>
      <xdr:col>9</xdr:col>
      <xdr:colOff>200025</xdr:colOff>
      <xdr:row>145</xdr:row>
      <xdr:rowOff>86852</xdr:rowOff>
    </xdr:from>
    <xdr:to>
      <xdr:col>9</xdr:col>
      <xdr:colOff>552450</xdr:colOff>
      <xdr:row>147</xdr:row>
      <xdr:rowOff>47625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10372725" y="28566602"/>
          <a:ext cx="352425" cy="341773"/>
        </a:xfrm>
        <a:prstGeom prst="ellipse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781050</xdr:colOff>
      <xdr:row>145</xdr:row>
      <xdr:rowOff>85725</xdr:rowOff>
    </xdr:from>
    <xdr:to>
      <xdr:col>9</xdr:col>
      <xdr:colOff>1133475</xdr:colOff>
      <xdr:row>147</xdr:row>
      <xdr:rowOff>46498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0953750" y="28565475"/>
          <a:ext cx="352425" cy="341773"/>
        </a:xfrm>
        <a:prstGeom prst="ellipse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21282</xdr:colOff>
      <xdr:row>15</xdr:row>
      <xdr:rowOff>38100</xdr:rowOff>
    </xdr:from>
    <xdr:to>
      <xdr:col>9</xdr:col>
      <xdr:colOff>1200150</xdr:colOff>
      <xdr:row>25</xdr:row>
      <xdr:rowOff>84808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10030" t="39588" r="41355" b="24339"/>
        <a:stretch/>
      </xdr:blipFill>
      <xdr:spPr>
        <a:xfrm>
          <a:off x="6888807" y="2895600"/>
          <a:ext cx="4769793" cy="198980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895350</xdr:colOff>
          <xdr:row>126</xdr:row>
          <xdr:rowOff>9525</xdr:rowOff>
        </xdr:from>
        <xdr:to>
          <xdr:col>7</xdr:col>
          <xdr:colOff>1514475</xdr:colOff>
          <xdr:row>127</xdr:row>
          <xdr:rowOff>9525</xdr:rowOff>
        </xdr:to>
        <xdr:sp macro="" textlink="">
          <xdr:nvSpPr>
            <xdr:cNvPr id="14339" name="Figura 212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3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895350</xdr:colOff>
          <xdr:row>127</xdr:row>
          <xdr:rowOff>19050</xdr:rowOff>
        </xdr:from>
        <xdr:to>
          <xdr:col>7</xdr:col>
          <xdr:colOff>1514475</xdr:colOff>
          <xdr:row>127</xdr:row>
          <xdr:rowOff>209550</xdr:rowOff>
        </xdr:to>
        <xdr:sp macro="" textlink="">
          <xdr:nvSpPr>
            <xdr:cNvPr id="14340" name="Figura 213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3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1257300</xdr:colOff>
      <xdr:row>3</xdr:row>
      <xdr:rowOff>47625</xdr:rowOff>
    </xdr:from>
    <xdr:to>
      <xdr:col>8</xdr:col>
      <xdr:colOff>771525</xdr:colOff>
      <xdr:row>6</xdr:row>
      <xdr:rowOff>14812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8467725" y="619125"/>
          <a:ext cx="1876425" cy="538687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6</xdr:row>
      <xdr:rowOff>9525</xdr:rowOff>
    </xdr:from>
    <xdr:to>
      <xdr:col>9</xdr:col>
      <xdr:colOff>9525</xdr:colOff>
      <xdr:row>6</xdr:row>
      <xdr:rowOff>142875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10334625" y="1152525"/>
          <a:ext cx="133350" cy="13335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7</xdr:row>
      <xdr:rowOff>28575</xdr:rowOff>
    </xdr:from>
    <xdr:to>
      <xdr:col>9</xdr:col>
      <xdr:colOff>38679</xdr:colOff>
      <xdr:row>8</xdr:row>
      <xdr:rowOff>28577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endCxn id="12" idx="3"/>
        </xdr:cNvCxnSpPr>
      </xdr:nvCxnSpPr>
      <xdr:spPr>
        <a:xfrm flipV="1">
          <a:off x="10001250" y="1362075"/>
          <a:ext cx="495879" cy="190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7</xdr:row>
      <xdr:rowOff>9528</xdr:rowOff>
    </xdr:from>
    <xdr:to>
      <xdr:col>9</xdr:col>
      <xdr:colOff>19050</xdr:colOff>
      <xdr:row>8</xdr:row>
      <xdr:rowOff>0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/>
      </xdr:nvCxnSpPr>
      <xdr:spPr>
        <a:xfrm flipV="1">
          <a:off x="10001250" y="1343028"/>
          <a:ext cx="476250" cy="18097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6</xdr:row>
      <xdr:rowOff>152400</xdr:rowOff>
    </xdr:from>
    <xdr:to>
      <xdr:col>9</xdr:col>
      <xdr:colOff>57150</xdr:colOff>
      <xdr:row>7</xdr:row>
      <xdr:rowOff>95250</xdr:rowOff>
    </xdr:to>
    <xdr:sp macro="" textlink="">
      <xdr:nvSpPr>
        <xdr:cNvPr id="12" name="Trapezoid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0372725" y="1295400"/>
          <a:ext cx="142875" cy="133350"/>
        </a:xfrm>
        <a:prstGeom prst="trapezoid">
          <a:avLst>
            <a:gd name="adj" fmla="val 27703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2152651</xdr:colOff>
      <xdr:row>10</xdr:row>
      <xdr:rowOff>85725</xdr:rowOff>
    </xdr:from>
    <xdr:to>
      <xdr:col>8</xdr:col>
      <xdr:colOff>133351</xdr:colOff>
      <xdr:row>11</xdr:row>
      <xdr:rowOff>76200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9363076" y="1990725"/>
          <a:ext cx="34290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0"/>
            <a:t>L3Aintk_</a:t>
          </a:r>
        </a:p>
      </xdr:txBody>
    </xdr:sp>
    <xdr:clientData/>
  </xdr:twoCellAnchor>
  <xdr:twoCellAnchor>
    <xdr:from>
      <xdr:col>7</xdr:col>
      <xdr:colOff>2009775</xdr:colOff>
      <xdr:row>10</xdr:row>
      <xdr:rowOff>57150</xdr:rowOff>
    </xdr:from>
    <xdr:to>
      <xdr:col>8</xdr:col>
      <xdr:colOff>238125</xdr:colOff>
      <xdr:row>10</xdr:row>
      <xdr:rowOff>57150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9220200" y="1962150"/>
          <a:ext cx="5905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485776</xdr:colOff>
      <xdr:row>10</xdr:row>
      <xdr:rowOff>85725</xdr:rowOff>
    </xdr:from>
    <xdr:to>
      <xdr:col>8</xdr:col>
      <xdr:colOff>828676</xdr:colOff>
      <xdr:row>11</xdr:row>
      <xdr:rowOff>76200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10058401" y="1990725"/>
          <a:ext cx="34290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0"/>
            <a:t>L3B</a:t>
          </a:r>
        </a:p>
      </xdr:txBody>
    </xdr:sp>
    <xdr:clientData/>
  </xdr:twoCellAnchor>
  <xdr:twoCellAnchor>
    <xdr:from>
      <xdr:col>8</xdr:col>
      <xdr:colOff>247651</xdr:colOff>
      <xdr:row>9</xdr:row>
      <xdr:rowOff>19051</xdr:rowOff>
    </xdr:from>
    <xdr:to>
      <xdr:col>8</xdr:col>
      <xdr:colOff>676275</xdr:colOff>
      <xdr:row>10</xdr:row>
      <xdr:rowOff>19051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9820276" y="1733551"/>
          <a:ext cx="428624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900"/>
            <a:t>Ltf</a:t>
          </a:r>
        </a:p>
      </xdr:txBody>
    </xdr:sp>
    <xdr:clientData/>
  </xdr:twoCellAnchor>
  <xdr:twoCellAnchor>
    <xdr:from>
      <xdr:col>8</xdr:col>
      <xdr:colOff>657226</xdr:colOff>
      <xdr:row>9</xdr:row>
      <xdr:rowOff>19049</xdr:rowOff>
    </xdr:from>
    <xdr:to>
      <xdr:col>9</xdr:col>
      <xdr:colOff>104775</xdr:colOff>
      <xdr:row>10</xdr:row>
      <xdr:rowOff>19050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10229851" y="1733549"/>
          <a:ext cx="333374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0"/>
            <a:t>Lta</a:t>
          </a:r>
        </a:p>
      </xdr:txBody>
    </xdr:sp>
    <xdr:clientData/>
  </xdr:twoCellAnchor>
  <xdr:twoCellAnchor>
    <xdr:from>
      <xdr:col>8</xdr:col>
      <xdr:colOff>238125</xdr:colOff>
      <xdr:row>10</xdr:row>
      <xdr:rowOff>47625</xdr:rowOff>
    </xdr:from>
    <xdr:to>
      <xdr:col>9</xdr:col>
      <xdr:colOff>180975</xdr:colOff>
      <xdr:row>10</xdr:row>
      <xdr:rowOff>57150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 flipV="1">
          <a:off x="9810750" y="1952625"/>
          <a:ext cx="8286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5</xdr:row>
      <xdr:rowOff>9525</xdr:rowOff>
    </xdr:from>
    <xdr:to>
      <xdr:col>8</xdr:col>
      <xdr:colOff>133350</xdr:colOff>
      <xdr:row>6</xdr:row>
      <xdr:rowOff>133350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/>
      </xdr:nvCxnSpPr>
      <xdr:spPr>
        <a:xfrm>
          <a:off x="9705975" y="962025"/>
          <a:ext cx="0" cy="314325"/>
        </a:xfrm>
        <a:prstGeom prst="straightConnector1">
          <a:avLst/>
        </a:prstGeom>
        <a:ln>
          <a:solidFill>
            <a:srgbClr val="FF0000"/>
          </a:solidFill>
          <a:headEnd type="triangle"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2038351</xdr:colOff>
      <xdr:row>5</xdr:row>
      <xdr:rowOff>38100</xdr:rowOff>
    </xdr:from>
    <xdr:to>
      <xdr:col>8</xdr:col>
      <xdr:colOff>76201</xdr:colOff>
      <xdr:row>6</xdr:row>
      <xdr:rowOff>76200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9248776" y="990600"/>
          <a:ext cx="4000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0">
              <a:solidFill>
                <a:srgbClr val="FF0000"/>
              </a:solidFill>
            </a:rPr>
            <a:t>&gt; Hcf</a:t>
          </a:r>
        </a:p>
      </xdr:txBody>
    </xdr:sp>
    <xdr:clientData/>
  </xdr:twoCellAnchor>
  <xdr:twoCellAnchor>
    <xdr:from>
      <xdr:col>8</xdr:col>
      <xdr:colOff>171450</xdr:colOff>
      <xdr:row>8</xdr:row>
      <xdr:rowOff>28575</xdr:rowOff>
    </xdr:from>
    <xdr:to>
      <xdr:col>8</xdr:col>
      <xdr:colOff>428625</xdr:colOff>
      <xdr:row>8</xdr:row>
      <xdr:rowOff>28575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9744075" y="1552575"/>
          <a:ext cx="257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8</xdr:row>
      <xdr:rowOff>9525</xdr:rowOff>
    </xdr:from>
    <xdr:to>
      <xdr:col>8</xdr:col>
      <xdr:colOff>438150</xdr:colOff>
      <xdr:row>8</xdr:row>
      <xdr:rowOff>9525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/>
      </xdr:nvCxnSpPr>
      <xdr:spPr>
        <a:xfrm>
          <a:off x="9753600" y="1533525"/>
          <a:ext cx="257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7</xdr:row>
      <xdr:rowOff>28575</xdr:rowOff>
    </xdr:from>
    <xdr:to>
      <xdr:col>8</xdr:col>
      <xdr:colOff>304800</xdr:colOff>
      <xdr:row>8</xdr:row>
      <xdr:rowOff>38100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801225" y="1362075"/>
          <a:ext cx="76200" cy="2000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114300</xdr:colOff>
      <xdr:row>15</xdr:row>
      <xdr:rowOff>180976</xdr:rowOff>
    </xdr:from>
    <xdr:to>
      <xdr:col>9</xdr:col>
      <xdr:colOff>1647825</xdr:colOff>
      <xdr:row>25</xdr:row>
      <xdr:rowOff>123826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65162" t="37244" r="16242" b="37101"/>
        <a:stretch/>
      </xdr:blipFill>
      <xdr:spPr>
        <a:xfrm>
          <a:off x="9686925" y="3038476"/>
          <a:ext cx="2419350" cy="1885950"/>
        </a:xfrm>
        <a:prstGeom prst="rect">
          <a:avLst/>
        </a:prstGeom>
      </xdr:spPr>
    </xdr:pic>
    <xdr:clientData/>
  </xdr:twoCellAnchor>
  <xdr:twoCellAnchor editAs="oneCell">
    <xdr:from>
      <xdr:col>9</xdr:col>
      <xdr:colOff>1676401</xdr:colOff>
      <xdr:row>15</xdr:row>
      <xdr:rowOff>9524</xdr:rowOff>
    </xdr:from>
    <xdr:to>
      <xdr:col>12</xdr:col>
      <xdr:colOff>619125</xdr:colOff>
      <xdr:row>25</xdr:row>
      <xdr:rowOff>66675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0928" t="55865" r="18877" b="16787"/>
        <a:stretch/>
      </xdr:blipFill>
      <xdr:spPr>
        <a:xfrm>
          <a:off x="12134851" y="2867024"/>
          <a:ext cx="5229224" cy="2000251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2</xdr:row>
      <xdr:rowOff>104775</xdr:rowOff>
    </xdr:from>
    <xdr:to>
      <xdr:col>10</xdr:col>
      <xdr:colOff>628651</xdr:colOff>
      <xdr:row>14</xdr:row>
      <xdr:rowOff>164114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4765" t="37244" r="16242" b="37101"/>
        <a:stretch/>
      </xdr:blipFill>
      <xdr:spPr>
        <a:xfrm>
          <a:off x="10706100" y="485775"/>
          <a:ext cx="4791076" cy="23834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16</xdr:row>
          <xdr:rowOff>180975</xdr:rowOff>
        </xdr:from>
        <xdr:to>
          <xdr:col>8</xdr:col>
          <xdr:colOff>47625</xdr:colOff>
          <xdr:row>18</xdr:row>
          <xdr:rowOff>209550</xdr:rowOff>
        </xdr:to>
        <xdr:sp macro="" textlink="">
          <xdr:nvSpPr>
            <xdr:cNvPr id="25601" name="Figura 164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19</xdr:row>
          <xdr:rowOff>38100</xdr:rowOff>
        </xdr:from>
        <xdr:to>
          <xdr:col>5</xdr:col>
          <xdr:colOff>571500</xdr:colOff>
          <xdr:row>20</xdr:row>
          <xdr:rowOff>209550</xdr:rowOff>
        </xdr:to>
        <xdr:sp macro="" textlink="">
          <xdr:nvSpPr>
            <xdr:cNvPr id="25602" name="Figura 167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733425</xdr:colOff>
          <xdr:row>19</xdr:row>
          <xdr:rowOff>38100</xdr:rowOff>
        </xdr:from>
        <xdr:to>
          <xdr:col>9</xdr:col>
          <xdr:colOff>0</xdr:colOff>
          <xdr:row>20</xdr:row>
          <xdr:rowOff>142875</xdr:rowOff>
        </xdr:to>
        <xdr:sp macro="" textlink="">
          <xdr:nvSpPr>
            <xdr:cNvPr id="25603" name="Figura 168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4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20</xdr:row>
          <xdr:rowOff>133350</xdr:rowOff>
        </xdr:from>
        <xdr:to>
          <xdr:col>8</xdr:col>
          <xdr:colOff>447675</xdr:colOff>
          <xdr:row>21</xdr:row>
          <xdr:rowOff>133350</xdr:rowOff>
        </xdr:to>
        <xdr:sp macro="" textlink="">
          <xdr:nvSpPr>
            <xdr:cNvPr id="25604" name="Figura 169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4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9</xdr:col>
      <xdr:colOff>1430</xdr:colOff>
      <xdr:row>1</xdr:row>
      <xdr:rowOff>180974</xdr:rowOff>
    </xdr:from>
    <xdr:to>
      <xdr:col>13</xdr:col>
      <xdr:colOff>323850</xdr:colOff>
      <xdr:row>19</xdr:row>
      <xdr:rowOff>21527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95" t="34249" r="61049" b="11969"/>
        <a:stretch/>
      </xdr:blipFill>
      <xdr:spPr>
        <a:xfrm>
          <a:off x="8650130" y="371474"/>
          <a:ext cx="2760820" cy="35743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16065</xdr:colOff>
      <xdr:row>37</xdr:row>
      <xdr:rowOff>9525</xdr:rowOff>
    </xdr:from>
    <xdr:to>
      <xdr:col>3</xdr:col>
      <xdr:colOff>3561351</xdr:colOff>
      <xdr:row>67</xdr:row>
      <xdr:rowOff>161925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4950015" y="8010525"/>
          <a:ext cx="3545286" cy="6096000"/>
          <a:chOff x="5207190" y="4981575"/>
          <a:chExt cx="3545286" cy="5695951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9457" name="Object 1" hidden="1">
                <a:extLst>
                  <a:ext uri="{63B3BB69-23CF-44E3-9099-C40C66FF867C}">
                    <a14:compatExt spid="_x0000_s19457"/>
                  </a:ext>
                  <a:ext uri="{FF2B5EF4-FFF2-40B4-BE49-F238E27FC236}">
                    <a16:creationId xmlns:a16="http://schemas.microsoft.com/office/drawing/2014/main" id="{00000000-0008-0000-0500-0000014C0000}"/>
                  </a:ext>
                </a:extLst>
              </xdr:cNvPr>
              <xdr:cNvSpPr/>
            </xdr:nvSpPr>
            <xdr:spPr bwMode="auto">
              <a:xfrm>
                <a:off x="5241849" y="6362703"/>
                <a:ext cx="3483050" cy="431482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9458" name="Object 2" hidden="1">
                <a:extLst>
                  <a:ext uri="{63B3BB69-23CF-44E3-9099-C40C66FF867C}">
                    <a14:compatExt spid="_x0000_s19458"/>
                  </a:ext>
                  <a:ext uri="{FF2B5EF4-FFF2-40B4-BE49-F238E27FC236}">
                    <a16:creationId xmlns:a16="http://schemas.microsoft.com/office/drawing/2014/main" id="{00000000-0008-0000-0500-0000024C0000}"/>
                  </a:ext>
                </a:extLst>
              </xdr:cNvPr>
              <xdr:cNvSpPr/>
            </xdr:nvSpPr>
            <xdr:spPr bwMode="auto">
              <a:xfrm>
                <a:off x="6943724" y="5275428"/>
                <a:ext cx="1808752" cy="1115847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9459" name="Object 3" hidden="1">
                <a:extLst>
                  <a:ext uri="{63B3BB69-23CF-44E3-9099-C40C66FF867C}">
                    <a14:compatExt spid="_x0000_s19459"/>
                  </a:ext>
                  <a:ext uri="{FF2B5EF4-FFF2-40B4-BE49-F238E27FC236}">
                    <a16:creationId xmlns:a16="http://schemas.microsoft.com/office/drawing/2014/main" id="{00000000-0008-0000-0500-0000034C0000}"/>
                  </a:ext>
                </a:extLst>
              </xdr:cNvPr>
              <xdr:cNvSpPr/>
            </xdr:nvSpPr>
            <xdr:spPr bwMode="auto">
              <a:xfrm>
                <a:off x="5207190" y="5206892"/>
                <a:ext cx="1803210" cy="134238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2" name="CaixaDeTexto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SpPr txBox="1"/>
        </xdr:nvSpPr>
        <xdr:spPr>
          <a:xfrm>
            <a:off x="5467350" y="4981575"/>
            <a:ext cx="139065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900">
                <a:latin typeface="Arial" panose="020B0604020202020204" pitchFamily="34" charset="0"/>
                <a:cs typeface="Arial" panose="020B0604020202020204" pitchFamily="34" charset="0"/>
              </a:rPr>
              <a:t>Rotor para 50&lt;ns&lt;110</a:t>
            </a: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/>
        </xdr:nvSpPr>
        <xdr:spPr>
          <a:xfrm>
            <a:off x="7051599" y="4991100"/>
            <a:ext cx="139065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900">
                <a:latin typeface="Arial" panose="020B0604020202020204" pitchFamily="34" charset="0"/>
                <a:cs typeface="Arial" panose="020B0604020202020204" pitchFamily="34" charset="0"/>
              </a:rPr>
              <a:t>Rotor para 110&lt;ns&lt;350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76</xdr:row>
          <xdr:rowOff>47625</xdr:rowOff>
        </xdr:from>
        <xdr:to>
          <xdr:col>3</xdr:col>
          <xdr:colOff>2171700</xdr:colOff>
          <xdr:row>77</xdr:row>
          <xdr:rowOff>142875</xdr:rowOff>
        </xdr:to>
        <xdr:sp macro="" textlink="">
          <xdr:nvSpPr>
            <xdr:cNvPr id="19460" name="Figura 11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5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78</xdr:row>
          <xdr:rowOff>9525</xdr:rowOff>
        </xdr:from>
        <xdr:to>
          <xdr:col>3</xdr:col>
          <xdr:colOff>1428750</xdr:colOff>
          <xdr:row>78</xdr:row>
          <xdr:rowOff>200025</xdr:rowOff>
        </xdr:to>
        <xdr:sp macro="" textlink="">
          <xdr:nvSpPr>
            <xdr:cNvPr id="19461" name="Figura 11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5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1504950</xdr:colOff>
          <xdr:row>77</xdr:row>
          <xdr:rowOff>95250</xdr:rowOff>
        </xdr:from>
        <xdr:to>
          <xdr:col>3</xdr:col>
          <xdr:colOff>3457575</xdr:colOff>
          <xdr:row>79</xdr:row>
          <xdr:rowOff>47625</xdr:rowOff>
        </xdr:to>
        <xdr:sp macro="" textlink="">
          <xdr:nvSpPr>
            <xdr:cNvPr id="19462" name="Figura 121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5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2266949</xdr:colOff>
      <xdr:row>77</xdr:row>
      <xdr:rowOff>19050</xdr:rowOff>
    </xdr:from>
    <xdr:to>
      <xdr:col>3</xdr:col>
      <xdr:colOff>3514724</xdr:colOff>
      <xdr:row>79</xdr:row>
      <xdr:rowOff>171450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7124699" y="11715750"/>
          <a:ext cx="1247775" cy="5334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80</xdr:row>
          <xdr:rowOff>0</xdr:rowOff>
        </xdr:from>
        <xdr:to>
          <xdr:col>3</xdr:col>
          <xdr:colOff>1781175</xdr:colOff>
          <xdr:row>81</xdr:row>
          <xdr:rowOff>104775</xdr:rowOff>
        </xdr:to>
        <xdr:sp macro="" textlink="">
          <xdr:nvSpPr>
            <xdr:cNvPr id="19463" name="Figura 116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5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1857375</xdr:colOff>
          <xdr:row>80</xdr:row>
          <xdr:rowOff>66675</xdr:rowOff>
        </xdr:from>
        <xdr:to>
          <xdr:col>3</xdr:col>
          <xdr:colOff>3429000</xdr:colOff>
          <xdr:row>81</xdr:row>
          <xdr:rowOff>28575</xdr:rowOff>
        </xdr:to>
        <xdr:sp macro="" textlink="">
          <xdr:nvSpPr>
            <xdr:cNvPr id="19464" name="Figura 11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5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733425</xdr:colOff>
      <xdr:row>80</xdr:row>
      <xdr:rowOff>38100</xdr:rowOff>
    </xdr:from>
    <xdr:to>
      <xdr:col>3</xdr:col>
      <xdr:colOff>1771651</xdr:colOff>
      <xdr:row>81</xdr:row>
      <xdr:rowOff>133350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5591175" y="12306300"/>
          <a:ext cx="1038226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2381250</xdr:colOff>
      <xdr:row>80</xdr:row>
      <xdr:rowOff>28574</xdr:rowOff>
    </xdr:from>
    <xdr:to>
      <xdr:col>3</xdr:col>
      <xdr:colOff>3438526</xdr:colOff>
      <xdr:row>81</xdr:row>
      <xdr:rowOff>104775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7239000" y="12296774"/>
          <a:ext cx="1057276" cy="26670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82</xdr:row>
          <xdr:rowOff>9525</xdr:rowOff>
        </xdr:from>
        <xdr:to>
          <xdr:col>3</xdr:col>
          <xdr:colOff>971550</xdr:colOff>
          <xdr:row>82</xdr:row>
          <xdr:rowOff>190500</xdr:rowOff>
        </xdr:to>
        <xdr:sp macro="" textlink="">
          <xdr:nvSpPr>
            <xdr:cNvPr id="19465" name="Figura 11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5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83</xdr:row>
          <xdr:rowOff>28575</xdr:rowOff>
        </xdr:from>
        <xdr:to>
          <xdr:col>3</xdr:col>
          <xdr:colOff>838200</xdr:colOff>
          <xdr:row>83</xdr:row>
          <xdr:rowOff>190500</xdr:rowOff>
        </xdr:to>
        <xdr:sp macro="" textlink="">
          <xdr:nvSpPr>
            <xdr:cNvPr id="19466" name="Figura 12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5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84</xdr:row>
          <xdr:rowOff>9525</xdr:rowOff>
        </xdr:from>
        <xdr:to>
          <xdr:col>3</xdr:col>
          <xdr:colOff>771525</xdr:colOff>
          <xdr:row>84</xdr:row>
          <xdr:rowOff>180975</xdr:rowOff>
        </xdr:to>
        <xdr:sp macro="" textlink="">
          <xdr:nvSpPr>
            <xdr:cNvPr id="19467" name="Figura 222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5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139</xdr:row>
          <xdr:rowOff>28575</xdr:rowOff>
        </xdr:from>
        <xdr:to>
          <xdr:col>3</xdr:col>
          <xdr:colOff>2181225</xdr:colOff>
          <xdr:row>141</xdr:row>
          <xdr:rowOff>95250</xdr:rowOff>
        </xdr:to>
        <xdr:sp macro="" textlink="">
          <xdr:nvSpPr>
            <xdr:cNvPr id="19468" name="Figura 207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5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114301</xdr:colOff>
      <xdr:row>64</xdr:row>
      <xdr:rowOff>19050</xdr:rowOff>
    </xdr:from>
    <xdr:to>
      <xdr:col>2</xdr:col>
      <xdr:colOff>504826</xdr:colOff>
      <xdr:row>65</xdr:row>
      <xdr:rowOff>171450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3752851" y="11830050"/>
          <a:ext cx="1000125" cy="3429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88</xdr:row>
          <xdr:rowOff>9525</xdr:rowOff>
        </xdr:from>
        <xdr:to>
          <xdr:col>3</xdr:col>
          <xdr:colOff>1276350</xdr:colOff>
          <xdr:row>88</xdr:row>
          <xdr:rowOff>180975</xdr:rowOff>
        </xdr:to>
        <xdr:sp macro="" textlink="">
          <xdr:nvSpPr>
            <xdr:cNvPr id="19469" name="Figura 16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5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89</xdr:row>
          <xdr:rowOff>9525</xdr:rowOff>
        </xdr:from>
        <xdr:to>
          <xdr:col>3</xdr:col>
          <xdr:colOff>1266825</xdr:colOff>
          <xdr:row>89</xdr:row>
          <xdr:rowOff>180975</xdr:rowOff>
        </xdr:to>
        <xdr:sp macro="" textlink="">
          <xdr:nvSpPr>
            <xdr:cNvPr id="19470" name="Figura 16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5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90</xdr:row>
          <xdr:rowOff>9525</xdr:rowOff>
        </xdr:from>
        <xdr:to>
          <xdr:col>3</xdr:col>
          <xdr:colOff>1285875</xdr:colOff>
          <xdr:row>90</xdr:row>
          <xdr:rowOff>180975</xdr:rowOff>
        </xdr:to>
        <xdr:sp macro="" textlink="">
          <xdr:nvSpPr>
            <xdr:cNvPr id="19471" name="Figura 16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5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1438275</xdr:colOff>
          <xdr:row>90</xdr:row>
          <xdr:rowOff>47625</xdr:rowOff>
        </xdr:from>
        <xdr:to>
          <xdr:col>3</xdr:col>
          <xdr:colOff>2895600</xdr:colOff>
          <xdr:row>92</xdr:row>
          <xdr:rowOff>85725</xdr:rowOff>
        </xdr:to>
        <xdr:sp macro="" textlink="">
          <xdr:nvSpPr>
            <xdr:cNvPr id="19472" name="Figura 16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5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9525</xdr:rowOff>
        </xdr:from>
        <xdr:to>
          <xdr:col>3</xdr:col>
          <xdr:colOff>2581275</xdr:colOff>
          <xdr:row>93</xdr:row>
          <xdr:rowOff>200025</xdr:rowOff>
        </xdr:to>
        <xdr:sp macro="" textlink="">
          <xdr:nvSpPr>
            <xdr:cNvPr id="19473" name="Figura 172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5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1028701</xdr:colOff>
      <xdr:row>76</xdr:row>
      <xdr:rowOff>38100</xdr:rowOff>
    </xdr:from>
    <xdr:to>
      <xdr:col>3</xdr:col>
      <xdr:colOff>2133601</xdr:colOff>
      <xdr:row>77</xdr:row>
      <xdr:rowOff>104775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886451" y="11544300"/>
          <a:ext cx="1104900" cy="2571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136</xdr:row>
          <xdr:rowOff>1</xdr:rowOff>
        </xdr:from>
        <xdr:to>
          <xdr:col>3</xdr:col>
          <xdr:colOff>2228850</xdr:colOff>
          <xdr:row>137</xdr:row>
          <xdr:rowOff>7957</xdr:rowOff>
        </xdr:to>
        <xdr:sp macro="" textlink="">
          <xdr:nvSpPr>
            <xdr:cNvPr id="19474" name="Figura 186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FB844BC3-C31A-4F25-8B5E-52C1E39B9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47626</xdr:colOff>
          <xdr:row>172</xdr:row>
          <xdr:rowOff>19050</xdr:rowOff>
        </xdr:from>
        <xdr:to>
          <xdr:col>3</xdr:col>
          <xdr:colOff>2124076</xdr:colOff>
          <xdr:row>172</xdr:row>
          <xdr:rowOff>188243</xdr:rowOff>
        </xdr:to>
        <xdr:sp macro="" textlink="">
          <xdr:nvSpPr>
            <xdr:cNvPr id="19477" name="Objeto 9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F6B3DB8E-29C4-4195-B7AD-66CFA3A35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172</xdr:row>
          <xdr:rowOff>180976</xdr:rowOff>
        </xdr:from>
        <xdr:to>
          <xdr:col>3</xdr:col>
          <xdr:colOff>2276475</xdr:colOff>
          <xdr:row>173</xdr:row>
          <xdr:rowOff>185154</xdr:rowOff>
        </xdr:to>
        <xdr:sp macro="" textlink="">
          <xdr:nvSpPr>
            <xdr:cNvPr id="19478" name="Objeto 9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6EB71476-06A8-4766-B261-E0C1CD6D3C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133350</xdr:colOff>
          <xdr:row>40</xdr:row>
          <xdr:rowOff>95250</xdr:rowOff>
        </xdr:from>
        <xdr:to>
          <xdr:col>14</xdr:col>
          <xdr:colOff>352425</xdr:colOff>
          <xdr:row>42</xdr:row>
          <xdr:rowOff>85725</xdr:rowOff>
        </xdr:to>
        <xdr:sp macro="" textlink="">
          <xdr:nvSpPr>
            <xdr:cNvPr id="23553" name="Figura 164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42</xdr:row>
          <xdr:rowOff>38100</xdr:rowOff>
        </xdr:from>
        <xdr:to>
          <xdr:col>10</xdr:col>
          <xdr:colOff>571500</xdr:colOff>
          <xdr:row>43</xdr:row>
          <xdr:rowOff>209550</xdr:rowOff>
        </xdr:to>
        <xdr:sp macro="" textlink="">
          <xdr:nvSpPr>
            <xdr:cNvPr id="23554" name="Figura 167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6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95250</xdr:colOff>
          <xdr:row>42</xdr:row>
          <xdr:rowOff>180975</xdr:rowOff>
        </xdr:from>
        <xdr:to>
          <xdr:col>15</xdr:col>
          <xdr:colOff>123825</xdr:colOff>
          <xdr:row>44</xdr:row>
          <xdr:rowOff>57150</xdr:rowOff>
        </xdr:to>
        <xdr:sp macro="" textlink="">
          <xdr:nvSpPr>
            <xdr:cNvPr id="23555" name="Figura 168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6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44</xdr:row>
          <xdr:rowOff>9525</xdr:rowOff>
        </xdr:from>
        <xdr:to>
          <xdr:col>15</xdr:col>
          <xdr:colOff>9525</xdr:colOff>
          <xdr:row>45</xdr:row>
          <xdr:rowOff>9525</xdr:rowOff>
        </xdr:to>
        <xdr:sp macro="" textlink="">
          <xdr:nvSpPr>
            <xdr:cNvPr id="23556" name="Figura 169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6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163</xdr:row>
      <xdr:rowOff>152400</xdr:rowOff>
    </xdr:from>
    <xdr:to>
      <xdr:col>7</xdr:col>
      <xdr:colOff>276225</xdr:colOff>
      <xdr:row>178</xdr:row>
      <xdr:rowOff>9525</xdr:rowOff>
    </xdr:to>
    <xdr:pic>
      <xdr:nvPicPr>
        <xdr:cNvPr id="26" name="Picture 221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1842075"/>
          <a:ext cx="5248275" cy="2714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190500</xdr:colOff>
      <xdr:row>197</xdr:row>
      <xdr:rowOff>161925</xdr:rowOff>
    </xdr:from>
    <xdr:to>
      <xdr:col>7</xdr:col>
      <xdr:colOff>514350</xdr:colOff>
      <xdr:row>212</xdr:row>
      <xdr:rowOff>104775</xdr:rowOff>
    </xdr:to>
    <xdr:pic>
      <xdr:nvPicPr>
        <xdr:cNvPr id="28" name="Picture 223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38738175"/>
          <a:ext cx="5410200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428625</xdr:colOff>
      <xdr:row>215</xdr:row>
      <xdr:rowOff>9525</xdr:rowOff>
    </xdr:from>
    <xdr:to>
      <xdr:col>5</xdr:col>
      <xdr:colOff>85725</xdr:colOff>
      <xdr:row>216</xdr:row>
      <xdr:rowOff>38100</xdr:rowOff>
    </xdr:to>
    <xdr:pic>
      <xdr:nvPicPr>
        <xdr:cNvPr id="29" name="Figura 387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014775"/>
          <a:ext cx="2095500" cy="2190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561975</xdr:colOff>
      <xdr:row>256</xdr:row>
      <xdr:rowOff>95250</xdr:rowOff>
    </xdr:from>
    <xdr:to>
      <xdr:col>8</xdr:col>
      <xdr:colOff>209550</xdr:colOff>
      <xdr:row>272</xdr:row>
      <xdr:rowOff>142875</xdr:rowOff>
    </xdr:to>
    <xdr:pic>
      <xdr:nvPicPr>
        <xdr:cNvPr id="30" name="Picture 231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0682525"/>
          <a:ext cx="566737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619125</xdr:colOff>
      <xdr:row>231</xdr:row>
      <xdr:rowOff>38100</xdr:rowOff>
    </xdr:from>
    <xdr:to>
      <xdr:col>8</xdr:col>
      <xdr:colOff>209550</xdr:colOff>
      <xdr:row>249</xdr:row>
      <xdr:rowOff>104775</xdr:rowOff>
    </xdr:to>
    <xdr:pic>
      <xdr:nvPicPr>
        <xdr:cNvPr id="31" name="Picture 236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45605700"/>
          <a:ext cx="5610225" cy="349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0</xdr:row>
      <xdr:rowOff>133350</xdr:rowOff>
    </xdr:from>
    <xdr:to>
      <xdr:col>0</xdr:col>
      <xdr:colOff>561975</xdr:colOff>
      <xdr:row>1</xdr:row>
      <xdr:rowOff>342900</xdr:rowOff>
    </xdr:to>
    <xdr:pic>
      <xdr:nvPicPr>
        <xdr:cNvPr id="32" name="Picture 237" descr="Ministério de Minas e Energia - MME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3714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733425</xdr:colOff>
      <xdr:row>0</xdr:row>
      <xdr:rowOff>142875</xdr:rowOff>
    </xdr:from>
    <xdr:to>
      <xdr:col>3</xdr:col>
      <xdr:colOff>428625</xdr:colOff>
      <xdr:row>1</xdr:row>
      <xdr:rowOff>314325</xdr:rowOff>
    </xdr:to>
    <xdr:sp macro="" textlink="">
      <xdr:nvSpPr>
        <xdr:cNvPr id="33" name="Text Box 238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>
          <a:spLocks noChangeArrowheads="1"/>
        </xdr:cNvSpPr>
      </xdr:nvSpPr>
      <xdr:spPr bwMode="auto">
        <a:xfrm>
          <a:off x="733425" y="142875"/>
          <a:ext cx="2314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0" rIns="91440" bIns="0" anchor="t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Ministério de Minas e Energia – MME</a:t>
          </a:r>
        </a:p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SECRETARIA EXECUTIVA</a:t>
          </a: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19050</xdr:colOff>
      <xdr:row>0</xdr:row>
      <xdr:rowOff>123825</xdr:rowOff>
    </xdr:from>
    <xdr:to>
      <xdr:col>9</xdr:col>
      <xdr:colOff>657225</xdr:colOff>
      <xdr:row>1</xdr:row>
      <xdr:rowOff>285750</xdr:rowOff>
    </xdr:to>
    <xdr:pic>
      <xdr:nvPicPr>
        <xdr:cNvPr id="34" name="Picture 239" descr="PCE azul completo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156"/>
        <a:stretch>
          <a:fillRect/>
        </a:stretch>
      </xdr:blipFill>
      <xdr:spPr bwMode="auto">
        <a:xfrm>
          <a:off x="6886575" y="123825"/>
          <a:ext cx="1428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304800</xdr:colOff>
      <xdr:row>0</xdr:row>
      <xdr:rowOff>161925</xdr:rowOff>
    </xdr:from>
    <xdr:to>
      <xdr:col>11</xdr:col>
      <xdr:colOff>0</xdr:colOff>
      <xdr:row>1</xdr:row>
      <xdr:rowOff>428625</xdr:rowOff>
    </xdr:to>
    <xdr:pic>
      <xdr:nvPicPr>
        <xdr:cNvPr id="35" name="Picture 240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61925"/>
          <a:ext cx="13525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0</xdr:row>
      <xdr:rowOff>133350</xdr:rowOff>
    </xdr:from>
    <xdr:to>
      <xdr:col>0</xdr:col>
      <xdr:colOff>571500</xdr:colOff>
      <xdr:row>1</xdr:row>
      <xdr:rowOff>342900</xdr:rowOff>
    </xdr:to>
    <xdr:pic>
      <xdr:nvPicPr>
        <xdr:cNvPr id="36" name="Picture 241" descr="Ministério de Minas e Energia - MME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3350"/>
          <a:ext cx="3714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733425</xdr:colOff>
      <xdr:row>0</xdr:row>
      <xdr:rowOff>142875</xdr:rowOff>
    </xdr:from>
    <xdr:to>
      <xdr:col>3</xdr:col>
      <xdr:colOff>428625</xdr:colOff>
      <xdr:row>1</xdr:row>
      <xdr:rowOff>314325</xdr:rowOff>
    </xdr:to>
    <xdr:sp macro="" textlink="">
      <xdr:nvSpPr>
        <xdr:cNvPr id="37" name="Text Box 242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 txBox="1">
          <a:spLocks noChangeArrowheads="1"/>
        </xdr:cNvSpPr>
      </xdr:nvSpPr>
      <xdr:spPr bwMode="auto">
        <a:xfrm>
          <a:off x="733425" y="142875"/>
          <a:ext cx="2314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0" rIns="91440" bIns="0" anchor="t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Ministério de Minas e Energia – MME</a:t>
          </a:r>
        </a:p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SECRETARIA EXECUTIVA</a:t>
          </a: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19050</xdr:colOff>
      <xdr:row>0</xdr:row>
      <xdr:rowOff>123825</xdr:rowOff>
    </xdr:from>
    <xdr:to>
      <xdr:col>9</xdr:col>
      <xdr:colOff>657225</xdr:colOff>
      <xdr:row>1</xdr:row>
      <xdr:rowOff>285750</xdr:rowOff>
    </xdr:to>
    <xdr:pic>
      <xdr:nvPicPr>
        <xdr:cNvPr id="38" name="Picture 243" descr="PCE azul completo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156"/>
        <a:stretch>
          <a:fillRect/>
        </a:stretch>
      </xdr:blipFill>
      <xdr:spPr bwMode="auto">
        <a:xfrm>
          <a:off x="6886575" y="123825"/>
          <a:ext cx="1428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266700</xdr:colOff>
      <xdr:row>0</xdr:row>
      <xdr:rowOff>133350</xdr:rowOff>
    </xdr:from>
    <xdr:to>
      <xdr:col>10</xdr:col>
      <xdr:colOff>790575</xdr:colOff>
      <xdr:row>1</xdr:row>
      <xdr:rowOff>400050</xdr:rowOff>
    </xdr:to>
    <xdr:pic>
      <xdr:nvPicPr>
        <xdr:cNvPr id="39" name="Picture 244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3350"/>
          <a:ext cx="13525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714375</xdr:colOff>
          <xdr:row>72</xdr:row>
          <xdr:rowOff>9525</xdr:rowOff>
        </xdr:from>
        <xdr:to>
          <xdr:col>3</xdr:col>
          <xdr:colOff>819150</xdr:colOff>
          <xdr:row>73</xdr:row>
          <xdr:rowOff>19050</xdr:rowOff>
        </xdr:to>
        <xdr:sp macro="" textlink="">
          <xdr:nvSpPr>
            <xdr:cNvPr id="10241" name="Figura 98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79</xdr:row>
          <xdr:rowOff>0</xdr:rowOff>
        </xdr:from>
        <xdr:to>
          <xdr:col>3</xdr:col>
          <xdr:colOff>409575</xdr:colOff>
          <xdr:row>80</xdr:row>
          <xdr:rowOff>9525</xdr:rowOff>
        </xdr:to>
        <xdr:sp macro="" textlink="">
          <xdr:nvSpPr>
            <xdr:cNvPr id="10242" name="Figura 100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83</xdr:row>
          <xdr:rowOff>0</xdr:rowOff>
        </xdr:from>
        <xdr:to>
          <xdr:col>3</xdr:col>
          <xdr:colOff>762000</xdr:colOff>
          <xdr:row>84</xdr:row>
          <xdr:rowOff>0</xdr:rowOff>
        </xdr:to>
        <xdr:sp macro="" textlink="">
          <xdr:nvSpPr>
            <xdr:cNvPr id="10243" name="Figura 101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87</xdr:row>
          <xdr:rowOff>0</xdr:rowOff>
        </xdr:from>
        <xdr:to>
          <xdr:col>3</xdr:col>
          <xdr:colOff>428625</xdr:colOff>
          <xdr:row>88</xdr:row>
          <xdr:rowOff>9525</xdr:rowOff>
        </xdr:to>
        <xdr:sp macro="" textlink="">
          <xdr:nvSpPr>
            <xdr:cNvPr id="10244" name="Figura 102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7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66675</xdr:rowOff>
        </xdr:from>
        <xdr:to>
          <xdr:col>2</xdr:col>
          <xdr:colOff>600075</xdr:colOff>
          <xdr:row>70</xdr:row>
          <xdr:rowOff>66675</xdr:rowOff>
        </xdr:to>
        <xdr:sp macro="" textlink="">
          <xdr:nvSpPr>
            <xdr:cNvPr id="10245" name="Figura 104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7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124</xdr:row>
          <xdr:rowOff>0</xdr:rowOff>
        </xdr:from>
        <xdr:to>
          <xdr:col>4</xdr:col>
          <xdr:colOff>171450</xdr:colOff>
          <xdr:row>125</xdr:row>
          <xdr:rowOff>28575</xdr:rowOff>
        </xdr:to>
        <xdr:sp macro="" textlink="">
          <xdr:nvSpPr>
            <xdr:cNvPr id="10246" name="Figura 121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7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130</xdr:row>
          <xdr:rowOff>0</xdr:rowOff>
        </xdr:from>
        <xdr:to>
          <xdr:col>4</xdr:col>
          <xdr:colOff>228600</xdr:colOff>
          <xdr:row>131</xdr:row>
          <xdr:rowOff>57150</xdr:rowOff>
        </xdr:to>
        <xdr:sp macro="" textlink="">
          <xdr:nvSpPr>
            <xdr:cNvPr id="10247" name="Figura 122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7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132</xdr:row>
          <xdr:rowOff>0</xdr:rowOff>
        </xdr:from>
        <xdr:to>
          <xdr:col>5</xdr:col>
          <xdr:colOff>1771650</xdr:colOff>
          <xdr:row>133</xdr:row>
          <xdr:rowOff>57150</xdr:rowOff>
        </xdr:to>
        <xdr:sp macro="" textlink="">
          <xdr:nvSpPr>
            <xdr:cNvPr id="10248" name="Figura 123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7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135</xdr:row>
          <xdr:rowOff>0</xdr:rowOff>
        </xdr:from>
        <xdr:to>
          <xdr:col>5</xdr:col>
          <xdr:colOff>885825</xdr:colOff>
          <xdr:row>136</xdr:row>
          <xdr:rowOff>95250</xdr:rowOff>
        </xdr:to>
        <xdr:sp macro="" textlink="">
          <xdr:nvSpPr>
            <xdr:cNvPr id="10249" name="Figura 126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7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183</xdr:row>
          <xdr:rowOff>28575</xdr:rowOff>
        </xdr:from>
        <xdr:to>
          <xdr:col>4</xdr:col>
          <xdr:colOff>447675</xdr:colOff>
          <xdr:row>184</xdr:row>
          <xdr:rowOff>171450</xdr:rowOff>
        </xdr:to>
        <xdr:sp macro="" textlink="">
          <xdr:nvSpPr>
            <xdr:cNvPr id="10250" name="Figura 132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7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188</xdr:row>
          <xdr:rowOff>0</xdr:rowOff>
        </xdr:from>
        <xdr:to>
          <xdr:col>4</xdr:col>
          <xdr:colOff>447675</xdr:colOff>
          <xdr:row>189</xdr:row>
          <xdr:rowOff>9525</xdr:rowOff>
        </xdr:to>
        <xdr:sp macro="" textlink="">
          <xdr:nvSpPr>
            <xdr:cNvPr id="10251" name="Figura 133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7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619125</xdr:colOff>
          <xdr:row>250</xdr:row>
          <xdr:rowOff>180975</xdr:rowOff>
        </xdr:from>
        <xdr:to>
          <xdr:col>9</xdr:col>
          <xdr:colOff>352425</xdr:colOff>
          <xdr:row>252</xdr:row>
          <xdr:rowOff>19050</xdr:rowOff>
        </xdr:to>
        <xdr:sp macro="" textlink="">
          <xdr:nvSpPr>
            <xdr:cNvPr id="10252" name="Figura 138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7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251</xdr:row>
          <xdr:rowOff>0</xdr:rowOff>
        </xdr:from>
        <xdr:to>
          <xdr:col>5</xdr:col>
          <xdr:colOff>933450</xdr:colOff>
          <xdr:row>252</xdr:row>
          <xdr:rowOff>38100</xdr:rowOff>
        </xdr:to>
        <xdr:sp macro="" textlink="">
          <xdr:nvSpPr>
            <xdr:cNvPr id="10253" name="Figura 139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7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628650</xdr:colOff>
          <xdr:row>222</xdr:row>
          <xdr:rowOff>9525</xdr:rowOff>
        </xdr:from>
        <xdr:to>
          <xdr:col>5</xdr:col>
          <xdr:colOff>257175</xdr:colOff>
          <xdr:row>223</xdr:row>
          <xdr:rowOff>57150</xdr:rowOff>
        </xdr:to>
        <xdr:sp macro="" textlink="">
          <xdr:nvSpPr>
            <xdr:cNvPr id="10254" name="Figura 143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7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275</xdr:row>
          <xdr:rowOff>0</xdr:rowOff>
        </xdr:from>
        <xdr:to>
          <xdr:col>4</xdr:col>
          <xdr:colOff>47625</xdr:colOff>
          <xdr:row>276</xdr:row>
          <xdr:rowOff>19050</xdr:rowOff>
        </xdr:to>
        <xdr:sp macro="" textlink="">
          <xdr:nvSpPr>
            <xdr:cNvPr id="10255" name="Figura 160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7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95</xdr:row>
          <xdr:rowOff>0</xdr:rowOff>
        </xdr:from>
        <xdr:to>
          <xdr:col>3</xdr:col>
          <xdr:colOff>342900</xdr:colOff>
          <xdr:row>96</xdr:row>
          <xdr:rowOff>9525</xdr:rowOff>
        </xdr:to>
        <xdr:sp macro="" textlink="">
          <xdr:nvSpPr>
            <xdr:cNvPr id="10256" name="Figura 174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7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98</xdr:row>
          <xdr:rowOff>142875</xdr:rowOff>
        </xdr:from>
        <xdr:to>
          <xdr:col>5</xdr:col>
          <xdr:colOff>133350</xdr:colOff>
          <xdr:row>100</xdr:row>
          <xdr:rowOff>9525</xdr:rowOff>
        </xdr:to>
        <xdr:sp macro="" textlink="">
          <xdr:nvSpPr>
            <xdr:cNvPr id="10257" name="Figura 175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7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127</xdr:row>
          <xdr:rowOff>9525</xdr:rowOff>
        </xdr:from>
        <xdr:to>
          <xdr:col>5</xdr:col>
          <xdr:colOff>762000</xdr:colOff>
          <xdr:row>128</xdr:row>
          <xdr:rowOff>66675</xdr:rowOff>
        </xdr:to>
        <xdr:sp macro="" textlink="">
          <xdr:nvSpPr>
            <xdr:cNvPr id="10258" name="Figura 176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7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103</xdr:row>
          <xdr:rowOff>19050</xdr:rowOff>
        </xdr:from>
        <xdr:to>
          <xdr:col>3</xdr:col>
          <xdr:colOff>142875</xdr:colOff>
          <xdr:row>104</xdr:row>
          <xdr:rowOff>38100</xdr:rowOff>
        </xdr:to>
        <xdr:sp macro="" textlink="">
          <xdr:nvSpPr>
            <xdr:cNvPr id="10259" name="Figura 17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7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186</xdr:row>
          <xdr:rowOff>0</xdr:rowOff>
        </xdr:from>
        <xdr:to>
          <xdr:col>4</xdr:col>
          <xdr:colOff>276225</xdr:colOff>
          <xdr:row>187</xdr:row>
          <xdr:rowOff>19050</xdr:rowOff>
        </xdr:to>
        <xdr:sp macro="" textlink="">
          <xdr:nvSpPr>
            <xdr:cNvPr id="10260" name="Figura 181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7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118</xdr:row>
          <xdr:rowOff>9525</xdr:rowOff>
        </xdr:from>
        <xdr:to>
          <xdr:col>5</xdr:col>
          <xdr:colOff>257175</xdr:colOff>
          <xdr:row>119</xdr:row>
          <xdr:rowOff>9525</xdr:rowOff>
        </xdr:to>
        <xdr:sp macro="" textlink="">
          <xdr:nvSpPr>
            <xdr:cNvPr id="10261" name="Figura 182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7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28575</xdr:rowOff>
        </xdr:from>
        <xdr:to>
          <xdr:col>10</xdr:col>
          <xdr:colOff>400050</xdr:colOff>
          <xdr:row>63</xdr:row>
          <xdr:rowOff>28575</xdr:rowOff>
        </xdr:to>
        <xdr:sp macro="" textlink="">
          <xdr:nvSpPr>
            <xdr:cNvPr id="10262" name="Figura 183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7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106</xdr:row>
          <xdr:rowOff>152400</xdr:rowOff>
        </xdr:from>
        <xdr:to>
          <xdr:col>3</xdr:col>
          <xdr:colOff>400050</xdr:colOff>
          <xdr:row>108</xdr:row>
          <xdr:rowOff>104775</xdr:rowOff>
        </xdr:to>
        <xdr:sp macro="" textlink="">
          <xdr:nvSpPr>
            <xdr:cNvPr id="10263" name="Figura 208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7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110</xdr:row>
          <xdr:rowOff>9525</xdr:rowOff>
        </xdr:from>
        <xdr:to>
          <xdr:col>5</xdr:col>
          <xdr:colOff>133350</xdr:colOff>
          <xdr:row>111</xdr:row>
          <xdr:rowOff>47625</xdr:rowOff>
        </xdr:to>
        <xdr:sp macro="" textlink="">
          <xdr:nvSpPr>
            <xdr:cNvPr id="10264" name="Figura 209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7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181</xdr:row>
          <xdr:rowOff>38100</xdr:rowOff>
        </xdr:from>
        <xdr:to>
          <xdr:col>5</xdr:col>
          <xdr:colOff>28575</xdr:colOff>
          <xdr:row>182</xdr:row>
          <xdr:rowOff>266700</xdr:rowOff>
        </xdr:to>
        <xdr:sp macro="" textlink="">
          <xdr:nvSpPr>
            <xdr:cNvPr id="10265" name="Figura 381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7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619125</xdr:colOff>
          <xdr:row>250</xdr:row>
          <xdr:rowOff>180975</xdr:rowOff>
        </xdr:from>
        <xdr:to>
          <xdr:col>9</xdr:col>
          <xdr:colOff>352425</xdr:colOff>
          <xdr:row>252</xdr:row>
          <xdr:rowOff>19050</xdr:rowOff>
        </xdr:to>
        <xdr:sp macro="" textlink="">
          <xdr:nvSpPr>
            <xdr:cNvPr id="10266" name="Objeto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7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133350</xdr:rowOff>
    </xdr:from>
    <xdr:to>
      <xdr:col>0</xdr:col>
      <xdr:colOff>561975</xdr:colOff>
      <xdr:row>1</xdr:row>
      <xdr:rowOff>342900</xdr:rowOff>
    </xdr:to>
    <xdr:pic>
      <xdr:nvPicPr>
        <xdr:cNvPr id="50" name="Picture 248" descr="Ministério de Minas e Energia - MME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3714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733425</xdr:colOff>
      <xdr:row>0</xdr:row>
      <xdr:rowOff>142875</xdr:rowOff>
    </xdr:from>
    <xdr:to>
      <xdr:col>3</xdr:col>
      <xdr:colOff>428625</xdr:colOff>
      <xdr:row>1</xdr:row>
      <xdr:rowOff>314325</xdr:rowOff>
    </xdr:to>
    <xdr:sp macro="" textlink="">
      <xdr:nvSpPr>
        <xdr:cNvPr id="51" name="Text Box 249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>
          <a:spLocks noChangeArrowheads="1"/>
        </xdr:cNvSpPr>
      </xdr:nvSpPr>
      <xdr:spPr bwMode="auto">
        <a:xfrm>
          <a:off x="733425" y="142875"/>
          <a:ext cx="22193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0" rIns="91440" bIns="0" anchor="t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Ministério de Minas e Energia – MME</a:t>
          </a:r>
        </a:p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SECRETARIA EXECUTIVA</a:t>
          </a: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19050</xdr:colOff>
      <xdr:row>0</xdr:row>
      <xdr:rowOff>123825</xdr:rowOff>
    </xdr:from>
    <xdr:to>
      <xdr:col>9</xdr:col>
      <xdr:colOff>657225</xdr:colOff>
      <xdr:row>1</xdr:row>
      <xdr:rowOff>285750</xdr:rowOff>
    </xdr:to>
    <xdr:pic>
      <xdr:nvPicPr>
        <xdr:cNvPr id="52" name="Picture 250" descr="PCE azul completo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156"/>
        <a:stretch>
          <a:fillRect/>
        </a:stretch>
      </xdr:blipFill>
      <xdr:spPr bwMode="auto">
        <a:xfrm>
          <a:off x="6581775" y="123825"/>
          <a:ext cx="14192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304800</xdr:colOff>
      <xdr:row>0</xdr:row>
      <xdr:rowOff>161925</xdr:rowOff>
    </xdr:from>
    <xdr:to>
      <xdr:col>11</xdr:col>
      <xdr:colOff>0</xdr:colOff>
      <xdr:row>1</xdr:row>
      <xdr:rowOff>428625</xdr:rowOff>
    </xdr:to>
    <xdr:pic>
      <xdr:nvPicPr>
        <xdr:cNvPr id="53" name="Picture 251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61925"/>
          <a:ext cx="1524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0</xdr:row>
      <xdr:rowOff>133350</xdr:rowOff>
    </xdr:from>
    <xdr:to>
      <xdr:col>0</xdr:col>
      <xdr:colOff>571500</xdr:colOff>
      <xdr:row>1</xdr:row>
      <xdr:rowOff>323850</xdr:rowOff>
    </xdr:to>
    <xdr:pic>
      <xdr:nvPicPr>
        <xdr:cNvPr id="54" name="Picture 252" descr="Ministério de Minas e Energia - MME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3350"/>
          <a:ext cx="3714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733425</xdr:colOff>
      <xdr:row>0</xdr:row>
      <xdr:rowOff>142875</xdr:rowOff>
    </xdr:from>
    <xdr:to>
      <xdr:col>3</xdr:col>
      <xdr:colOff>428625</xdr:colOff>
      <xdr:row>1</xdr:row>
      <xdr:rowOff>314325</xdr:rowOff>
    </xdr:to>
    <xdr:sp macro="" textlink="">
      <xdr:nvSpPr>
        <xdr:cNvPr id="55" name="Text Box 253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>
          <a:spLocks noChangeArrowheads="1"/>
        </xdr:cNvSpPr>
      </xdr:nvSpPr>
      <xdr:spPr bwMode="auto">
        <a:xfrm>
          <a:off x="733425" y="142875"/>
          <a:ext cx="22193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0" rIns="91440" bIns="0" anchor="t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Ministério de Minas e Energia – MME</a:t>
          </a:r>
        </a:p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SECRETARIA EXECUTIVA</a:t>
          </a: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19050</xdr:colOff>
      <xdr:row>0</xdr:row>
      <xdr:rowOff>123825</xdr:rowOff>
    </xdr:from>
    <xdr:to>
      <xdr:col>9</xdr:col>
      <xdr:colOff>657225</xdr:colOff>
      <xdr:row>1</xdr:row>
      <xdr:rowOff>285750</xdr:rowOff>
    </xdr:to>
    <xdr:pic>
      <xdr:nvPicPr>
        <xdr:cNvPr id="56" name="Picture 254" descr="PCE azul completo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156"/>
        <a:stretch>
          <a:fillRect/>
        </a:stretch>
      </xdr:blipFill>
      <xdr:spPr bwMode="auto">
        <a:xfrm>
          <a:off x="6581775" y="123825"/>
          <a:ext cx="14192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304800</xdr:colOff>
      <xdr:row>0</xdr:row>
      <xdr:rowOff>161925</xdr:rowOff>
    </xdr:from>
    <xdr:to>
      <xdr:col>11</xdr:col>
      <xdr:colOff>0</xdr:colOff>
      <xdr:row>1</xdr:row>
      <xdr:rowOff>428625</xdr:rowOff>
    </xdr:to>
    <xdr:pic>
      <xdr:nvPicPr>
        <xdr:cNvPr id="57" name="Picture 255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61925"/>
          <a:ext cx="1524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447675</xdr:colOff>
          <xdr:row>99</xdr:row>
          <xdr:rowOff>123825</xdr:rowOff>
        </xdr:from>
        <xdr:to>
          <xdr:col>4</xdr:col>
          <xdr:colOff>828675</xdr:colOff>
          <xdr:row>101</xdr:row>
          <xdr:rowOff>152400</xdr:rowOff>
        </xdr:to>
        <xdr:sp macro="" textlink="">
          <xdr:nvSpPr>
            <xdr:cNvPr id="9217" name="Figura 164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107</xdr:row>
          <xdr:rowOff>0</xdr:rowOff>
        </xdr:from>
        <xdr:to>
          <xdr:col>3</xdr:col>
          <xdr:colOff>304800</xdr:colOff>
          <xdr:row>108</xdr:row>
          <xdr:rowOff>0</xdr:rowOff>
        </xdr:to>
        <xdr:sp macro="" textlink="">
          <xdr:nvSpPr>
            <xdr:cNvPr id="9218" name="Figura 165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447675</xdr:colOff>
          <xdr:row>110</xdr:row>
          <xdr:rowOff>123825</xdr:rowOff>
        </xdr:from>
        <xdr:to>
          <xdr:col>2</xdr:col>
          <xdr:colOff>676275</xdr:colOff>
          <xdr:row>112</xdr:row>
          <xdr:rowOff>123825</xdr:rowOff>
        </xdr:to>
        <xdr:sp macro="" textlink="">
          <xdr:nvSpPr>
            <xdr:cNvPr id="9219" name="Figura 166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114</xdr:row>
          <xdr:rowOff>85725</xdr:rowOff>
        </xdr:from>
        <xdr:to>
          <xdr:col>3</xdr:col>
          <xdr:colOff>342900</xdr:colOff>
          <xdr:row>116</xdr:row>
          <xdr:rowOff>104775</xdr:rowOff>
        </xdr:to>
        <xdr:sp macro="" textlink="">
          <xdr:nvSpPr>
            <xdr:cNvPr id="9220" name="Figura 167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8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118</xdr:row>
          <xdr:rowOff>142875</xdr:rowOff>
        </xdr:from>
        <xdr:to>
          <xdr:col>4</xdr:col>
          <xdr:colOff>428625</xdr:colOff>
          <xdr:row>120</xdr:row>
          <xdr:rowOff>95250</xdr:rowOff>
        </xdr:to>
        <xdr:sp macro="" textlink="">
          <xdr:nvSpPr>
            <xdr:cNvPr id="9221" name="Figura 168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8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123</xdr:row>
          <xdr:rowOff>0</xdr:rowOff>
        </xdr:from>
        <xdr:to>
          <xdr:col>4</xdr:col>
          <xdr:colOff>257175</xdr:colOff>
          <xdr:row>124</xdr:row>
          <xdr:rowOff>38100</xdr:rowOff>
        </xdr:to>
        <xdr:sp macro="" textlink="">
          <xdr:nvSpPr>
            <xdr:cNvPr id="9222" name="Figura 169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8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127</xdr:row>
          <xdr:rowOff>38100</xdr:rowOff>
        </xdr:from>
        <xdr:to>
          <xdr:col>4</xdr:col>
          <xdr:colOff>704850</xdr:colOff>
          <xdr:row>128</xdr:row>
          <xdr:rowOff>38100</xdr:rowOff>
        </xdr:to>
        <xdr:sp macro="" textlink="">
          <xdr:nvSpPr>
            <xdr:cNvPr id="9223" name="Figura 172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8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133</xdr:row>
          <xdr:rowOff>28575</xdr:rowOff>
        </xdr:from>
        <xdr:to>
          <xdr:col>3</xdr:col>
          <xdr:colOff>323850</xdr:colOff>
          <xdr:row>134</xdr:row>
          <xdr:rowOff>28575</xdr:rowOff>
        </xdr:to>
        <xdr:sp macro="" textlink="">
          <xdr:nvSpPr>
            <xdr:cNvPr id="9224" name="Figura 173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8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136</xdr:row>
          <xdr:rowOff>171450</xdr:rowOff>
        </xdr:from>
        <xdr:to>
          <xdr:col>3</xdr:col>
          <xdr:colOff>152400</xdr:colOff>
          <xdr:row>138</xdr:row>
          <xdr:rowOff>0</xdr:rowOff>
        </xdr:to>
        <xdr:sp macro="" textlink="">
          <xdr:nvSpPr>
            <xdr:cNvPr id="9225" name="Figura 174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8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139</xdr:row>
          <xdr:rowOff>28575</xdr:rowOff>
        </xdr:from>
        <xdr:to>
          <xdr:col>4</xdr:col>
          <xdr:colOff>57150</xdr:colOff>
          <xdr:row>140</xdr:row>
          <xdr:rowOff>57150</xdr:rowOff>
        </xdr:to>
        <xdr:sp macro="" textlink="">
          <xdr:nvSpPr>
            <xdr:cNvPr id="9226" name="Figura 175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8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523875</xdr:colOff>
          <xdr:row>142</xdr:row>
          <xdr:rowOff>95250</xdr:rowOff>
        </xdr:from>
        <xdr:to>
          <xdr:col>3</xdr:col>
          <xdr:colOff>666750</xdr:colOff>
          <xdr:row>144</xdr:row>
          <xdr:rowOff>152400</xdr:rowOff>
        </xdr:to>
        <xdr:sp macro="" textlink="">
          <xdr:nvSpPr>
            <xdr:cNvPr id="9227" name="Figura 176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8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147</xdr:row>
          <xdr:rowOff>114300</xdr:rowOff>
        </xdr:from>
        <xdr:to>
          <xdr:col>4</xdr:col>
          <xdr:colOff>638175</xdr:colOff>
          <xdr:row>149</xdr:row>
          <xdr:rowOff>95250</xdr:rowOff>
        </xdr:to>
        <xdr:sp macro="" textlink="">
          <xdr:nvSpPr>
            <xdr:cNvPr id="9228" name="Figura 177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8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151</xdr:row>
          <xdr:rowOff>180975</xdr:rowOff>
        </xdr:from>
        <xdr:to>
          <xdr:col>3</xdr:col>
          <xdr:colOff>314325</xdr:colOff>
          <xdr:row>153</xdr:row>
          <xdr:rowOff>19050</xdr:rowOff>
        </xdr:to>
        <xdr:sp macro="" textlink="">
          <xdr:nvSpPr>
            <xdr:cNvPr id="9229" name="Figura 178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8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154</xdr:row>
          <xdr:rowOff>0</xdr:rowOff>
        </xdr:from>
        <xdr:to>
          <xdr:col>4</xdr:col>
          <xdr:colOff>228600</xdr:colOff>
          <xdr:row>155</xdr:row>
          <xdr:rowOff>28575</xdr:rowOff>
        </xdr:to>
        <xdr:sp macro="" textlink="">
          <xdr:nvSpPr>
            <xdr:cNvPr id="9230" name="Figura 179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8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159</xdr:row>
          <xdr:rowOff>0</xdr:rowOff>
        </xdr:from>
        <xdr:to>
          <xdr:col>4</xdr:col>
          <xdr:colOff>695325</xdr:colOff>
          <xdr:row>160</xdr:row>
          <xdr:rowOff>28575</xdr:rowOff>
        </xdr:to>
        <xdr:sp macro="" textlink="">
          <xdr:nvSpPr>
            <xdr:cNvPr id="9231" name="Figura 180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8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168</xdr:row>
          <xdr:rowOff>9525</xdr:rowOff>
        </xdr:from>
        <xdr:to>
          <xdr:col>3</xdr:col>
          <xdr:colOff>200025</xdr:colOff>
          <xdr:row>169</xdr:row>
          <xdr:rowOff>9525</xdr:rowOff>
        </xdr:to>
        <xdr:sp macro="" textlink="">
          <xdr:nvSpPr>
            <xdr:cNvPr id="9232" name="Figura 181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8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169</xdr:row>
          <xdr:rowOff>0</xdr:rowOff>
        </xdr:from>
        <xdr:to>
          <xdr:col>4</xdr:col>
          <xdr:colOff>1657350</xdr:colOff>
          <xdr:row>170</xdr:row>
          <xdr:rowOff>142875</xdr:rowOff>
        </xdr:to>
        <xdr:sp macro="" textlink="">
          <xdr:nvSpPr>
            <xdr:cNvPr id="9233" name="Figura 182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8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171</xdr:row>
          <xdr:rowOff>9525</xdr:rowOff>
        </xdr:from>
        <xdr:to>
          <xdr:col>3</xdr:col>
          <xdr:colOff>200025</xdr:colOff>
          <xdr:row>172</xdr:row>
          <xdr:rowOff>9525</xdr:rowOff>
        </xdr:to>
        <xdr:sp macro="" textlink="">
          <xdr:nvSpPr>
            <xdr:cNvPr id="9234" name="Figura 183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8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172</xdr:row>
          <xdr:rowOff>19050</xdr:rowOff>
        </xdr:from>
        <xdr:to>
          <xdr:col>4</xdr:col>
          <xdr:colOff>1457325</xdr:colOff>
          <xdr:row>173</xdr:row>
          <xdr:rowOff>161925</xdr:rowOff>
        </xdr:to>
        <xdr:sp macro="" textlink="">
          <xdr:nvSpPr>
            <xdr:cNvPr id="9235" name="Figura 184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8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180</xdr:row>
          <xdr:rowOff>9525</xdr:rowOff>
        </xdr:from>
        <xdr:to>
          <xdr:col>3</xdr:col>
          <xdr:colOff>200025</xdr:colOff>
          <xdr:row>181</xdr:row>
          <xdr:rowOff>9525</xdr:rowOff>
        </xdr:to>
        <xdr:sp macro="" textlink="">
          <xdr:nvSpPr>
            <xdr:cNvPr id="9236" name="Figura 185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8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181</xdr:row>
          <xdr:rowOff>9525</xdr:rowOff>
        </xdr:from>
        <xdr:to>
          <xdr:col>7</xdr:col>
          <xdr:colOff>762000</xdr:colOff>
          <xdr:row>182</xdr:row>
          <xdr:rowOff>142875</xdr:rowOff>
        </xdr:to>
        <xdr:sp macro="" textlink="">
          <xdr:nvSpPr>
            <xdr:cNvPr id="9237" name="Figura 186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8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183</xdr:row>
          <xdr:rowOff>9525</xdr:rowOff>
        </xdr:from>
        <xdr:to>
          <xdr:col>3</xdr:col>
          <xdr:colOff>200025</xdr:colOff>
          <xdr:row>184</xdr:row>
          <xdr:rowOff>9525</xdr:rowOff>
        </xdr:to>
        <xdr:sp macro="" textlink="">
          <xdr:nvSpPr>
            <xdr:cNvPr id="9238" name="Figura 187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8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183</xdr:row>
          <xdr:rowOff>180975</xdr:rowOff>
        </xdr:from>
        <xdr:to>
          <xdr:col>4</xdr:col>
          <xdr:colOff>1619250</xdr:colOff>
          <xdr:row>185</xdr:row>
          <xdr:rowOff>114300</xdr:rowOff>
        </xdr:to>
        <xdr:sp macro="" textlink="">
          <xdr:nvSpPr>
            <xdr:cNvPr id="9239" name="Figura 189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8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198</xdr:row>
          <xdr:rowOff>9525</xdr:rowOff>
        </xdr:from>
        <xdr:to>
          <xdr:col>3</xdr:col>
          <xdr:colOff>95250</xdr:colOff>
          <xdr:row>199</xdr:row>
          <xdr:rowOff>9525</xdr:rowOff>
        </xdr:to>
        <xdr:sp macro="" textlink="">
          <xdr:nvSpPr>
            <xdr:cNvPr id="9240" name="Figura 190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8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199</xdr:row>
          <xdr:rowOff>85725</xdr:rowOff>
        </xdr:from>
        <xdr:to>
          <xdr:col>7</xdr:col>
          <xdr:colOff>238125</xdr:colOff>
          <xdr:row>200</xdr:row>
          <xdr:rowOff>123825</xdr:rowOff>
        </xdr:to>
        <xdr:sp macro="" textlink="">
          <xdr:nvSpPr>
            <xdr:cNvPr id="9241" name="Figura 191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8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201</xdr:row>
          <xdr:rowOff>9525</xdr:rowOff>
        </xdr:from>
        <xdr:to>
          <xdr:col>3</xdr:col>
          <xdr:colOff>95250</xdr:colOff>
          <xdr:row>202</xdr:row>
          <xdr:rowOff>9525</xdr:rowOff>
        </xdr:to>
        <xdr:sp macro="" textlink="">
          <xdr:nvSpPr>
            <xdr:cNvPr id="9242" name="Figura 192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8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210</xdr:row>
          <xdr:rowOff>85725</xdr:rowOff>
        </xdr:from>
        <xdr:to>
          <xdr:col>4</xdr:col>
          <xdr:colOff>1600200</xdr:colOff>
          <xdr:row>211</xdr:row>
          <xdr:rowOff>104775</xdr:rowOff>
        </xdr:to>
        <xdr:sp macro="" textlink="">
          <xdr:nvSpPr>
            <xdr:cNvPr id="9243" name="Figura 196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8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212</xdr:row>
          <xdr:rowOff>9525</xdr:rowOff>
        </xdr:from>
        <xdr:to>
          <xdr:col>3</xdr:col>
          <xdr:colOff>95250</xdr:colOff>
          <xdr:row>213</xdr:row>
          <xdr:rowOff>9525</xdr:rowOff>
        </xdr:to>
        <xdr:sp macro="" textlink="">
          <xdr:nvSpPr>
            <xdr:cNvPr id="9244" name="Figura 197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8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213</xdr:row>
          <xdr:rowOff>85725</xdr:rowOff>
        </xdr:from>
        <xdr:to>
          <xdr:col>4</xdr:col>
          <xdr:colOff>1447800</xdr:colOff>
          <xdr:row>214</xdr:row>
          <xdr:rowOff>114300</xdr:rowOff>
        </xdr:to>
        <xdr:sp macro="" textlink="">
          <xdr:nvSpPr>
            <xdr:cNvPr id="9245" name="Figura 198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8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885825</xdr:colOff>
          <xdr:row>246</xdr:row>
          <xdr:rowOff>142875</xdr:rowOff>
        </xdr:from>
        <xdr:to>
          <xdr:col>3</xdr:col>
          <xdr:colOff>266700</xdr:colOff>
          <xdr:row>247</xdr:row>
          <xdr:rowOff>152400</xdr:rowOff>
        </xdr:to>
        <xdr:sp macro="" textlink="">
          <xdr:nvSpPr>
            <xdr:cNvPr id="9246" name="Figura 199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8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233</xdr:row>
          <xdr:rowOff>0</xdr:rowOff>
        </xdr:from>
        <xdr:to>
          <xdr:col>6</xdr:col>
          <xdr:colOff>485775</xdr:colOff>
          <xdr:row>235</xdr:row>
          <xdr:rowOff>9525</xdr:rowOff>
        </xdr:to>
        <xdr:sp macro="" textlink="">
          <xdr:nvSpPr>
            <xdr:cNvPr id="9247" name="Figura 200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8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235</xdr:row>
          <xdr:rowOff>133350</xdr:rowOff>
        </xdr:from>
        <xdr:to>
          <xdr:col>4</xdr:col>
          <xdr:colOff>1123950</xdr:colOff>
          <xdr:row>237</xdr:row>
          <xdr:rowOff>95250</xdr:rowOff>
        </xdr:to>
        <xdr:sp macro="" textlink="">
          <xdr:nvSpPr>
            <xdr:cNvPr id="9248" name="Figura 203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8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237</xdr:row>
          <xdr:rowOff>142875</xdr:rowOff>
        </xdr:from>
        <xdr:to>
          <xdr:col>4</xdr:col>
          <xdr:colOff>990600</xdr:colOff>
          <xdr:row>239</xdr:row>
          <xdr:rowOff>95250</xdr:rowOff>
        </xdr:to>
        <xdr:sp macro="" textlink="">
          <xdr:nvSpPr>
            <xdr:cNvPr id="9249" name="Figura 204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8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239</xdr:row>
          <xdr:rowOff>142875</xdr:rowOff>
        </xdr:from>
        <xdr:to>
          <xdr:col>4</xdr:col>
          <xdr:colOff>1543050</xdr:colOff>
          <xdr:row>241</xdr:row>
          <xdr:rowOff>95250</xdr:rowOff>
        </xdr:to>
        <xdr:sp macro="" textlink="">
          <xdr:nvSpPr>
            <xdr:cNvPr id="9250" name="Figura 205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8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248</xdr:row>
          <xdr:rowOff>0</xdr:rowOff>
        </xdr:from>
        <xdr:to>
          <xdr:col>3</xdr:col>
          <xdr:colOff>438150</xdr:colOff>
          <xdr:row>249</xdr:row>
          <xdr:rowOff>19050</xdr:rowOff>
        </xdr:to>
        <xdr:sp macro="" textlink="">
          <xdr:nvSpPr>
            <xdr:cNvPr id="9251" name="Figura 207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8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242</xdr:row>
          <xdr:rowOff>9525</xdr:rowOff>
        </xdr:from>
        <xdr:to>
          <xdr:col>3</xdr:col>
          <xdr:colOff>95250</xdr:colOff>
          <xdr:row>243</xdr:row>
          <xdr:rowOff>9525</xdr:rowOff>
        </xdr:to>
        <xdr:sp macro="" textlink="">
          <xdr:nvSpPr>
            <xdr:cNvPr id="9252" name="Figura 208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8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752475</xdr:colOff>
          <xdr:row>243</xdr:row>
          <xdr:rowOff>47625</xdr:rowOff>
        </xdr:from>
        <xdr:to>
          <xdr:col>4</xdr:col>
          <xdr:colOff>1104900</xdr:colOff>
          <xdr:row>244</xdr:row>
          <xdr:rowOff>57150</xdr:rowOff>
        </xdr:to>
        <xdr:sp macro="" textlink="">
          <xdr:nvSpPr>
            <xdr:cNvPr id="9253" name="Figura 209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8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209</xdr:row>
          <xdr:rowOff>9525</xdr:rowOff>
        </xdr:from>
        <xdr:to>
          <xdr:col>3</xdr:col>
          <xdr:colOff>95250</xdr:colOff>
          <xdr:row>210</xdr:row>
          <xdr:rowOff>9525</xdr:rowOff>
        </xdr:to>
        <xdr:sp macro="" textlink="">
          <xdr:nvSpPr>
            <xdr:cNvPr id="9254" name="Figura 212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8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102</xdr:row>
          <xdr:rowOff>180975</xdr:rowOff>
        </xdr:from>
        <xdr:to>
          <xdr:col>3</xdr:col>
          <xdr:colOff>438150</xdr:colOff>
          <xdr:row>104</xdr:row>
          <xdr:rowOff>19050</xdr:rowOff>
        </xdr:to>
        <xdr:sp macro="" textlink="">
          <xdr:nvSpPr>
            <xdr:cNvPr id="9255" name="Figura 216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8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104</xdr:row>
          <xdr:rowOff>104775</xdr:rowOff>
        </xdr:from>
        <xdr:to>
          <xdr:col>3</xdr:col>
          <xdr:colOff>314325</xdr:colOff>
          <xdr:row>106</xdr:row>
          <xdr:rowOff>104775</xdr:rowOff>
        </xdr:to>
        <xdr:sp macro="" textlink="">
          <xdr:nvSpPr>
            <xdr:cNvPr id="9256" name="Figura 217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8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232</xdr:row>
          <xdr:rowOff>9525</xdr:rowOff>
        </xdr:from>
        <xdr:to>
          <xdr:col>3</xdr:col>
          <xdr:colOff>95250</xdr:colOff>
          <xdr:row>233</xdr:row>
          <xdr:rowOff>9525</xdr:rowOff>
        </xdr:to>
        <xdr:sp macro="" textlink="">
          <xdr:nvSpPr>
            <xdr:cNvPr id="9257" name="Figura 218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8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250</xdr:row>
          <xdr:rowOff>9525</xdr:rowOff>
        </xdr:from>
        <xdr:to>
          <xdr:col>3</xdr:col>
          <xdr:colOff>95250</xdr:colOff>
          <xdr:row>251</xdr:row>
          <xdr:rowOff>9525</xdr:rowOff>
        </xdr:to>
        <xdr:sp macro="" textlink="">
          <xdr:nvSpPr>
            <xdr:cNvPr id="9258" name="Figura 219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8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226</xdr:row>
          <xdr:rowOff>28575</xdr:rowOff>
        </xdr:from>
        <xdr:to>
          <xdr:col>4</xdr:col>
          <xdr:colOff>1076325</xdr:colOff>
          <xdr:row>227</xdr:row>
          <xdr:rowOff>28575</xdr:rowOff>
        </xdr:to>
        <xdr:sp macro="" textlink="">
          <xdr:nvSpPr>
            <xdr:cNvPr id="9259" name="Figura 220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8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10</xdr:col>
          <xdr:colOff>190500</xdr:colOff>
          <xdr:row>56</xdr:row>
          <xdr:rowOff>161925</xdr:rowOff>
        </xdr:to>
        <xdr:sp macro="" textlink="">
          <xdr:nvSpPr>
            <xdr:cNvPr id="9260" name="Figura 221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8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9</xdr:col>
          <xdr:colOff>990600</xdr:colOff>
          <xdr:row>89</xdr:row>
          <xdr:rowOff>9525</xdr:rowOff>
        </xdr:to>
        <xdr:sp macro="" textlink="">
          <xdr:nvSpPr>
            <xdr:cNvPr id="9261" name="Figura 222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8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193</xdr:row>
          <xdr:rowOff>152400</xdr:rowOff>
        </xdr:from>
        <xdr:to>
          <xdr:col>4</xdr:col>
          <xdr:colOff>1047750</xdr:colOff>
          <xdr:row>195</xdr:row>
          <xdr:rowOff>104775</xdr:rowOff>
        </xdr:to>
        <xdr:sp macro="" textlink="">
          <xdr:nvSpPr>
            <xdr:cNvPr id="9262" name="Figura 224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8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202</xdr:row>
          <xdr:rowOff>66675</xdr:rowOff>
        </xdr:from>
        <xdr:to>
          <xdr:col>4</xdr:col>
          <xdr:colOff>904875</xdr:colOff>
          <xdr:row>203</xdr:row>
          <xdr:rowOff>104775</xdr:rowOff>
        </xdr:to>
        <xdr:sp macro="" textlink="">
          <xdr:nvSpPr>
            <xdr:cNvPr id="9263" name="Figura 225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8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251</xdr:row>
          <xdr:rowOff>95250</xdr:rowOff>
        </xdr:from>
        <xdr:to>
          <xdr:col>4</xdr:col>
          <xdr:colOff>1152525</xdr:colOff>
          <xdr:row>252</xdr:row>
          <xdr:rowOff>123825</xdr:rowOff>
        </xdr:to>
        <xdr:sp macro="" textlink="">
          <xdr:nvSpPr>
            <xdr:cNvPr id="9264" name="Objeto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8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451</xdr:row>
      <xdr:rowOff>95250</xdr:rowOff>
    </xdr:from>
    <xdr:to>
      <xdr:col>7</xdr:col>
      <xdr:colOff>276225</xdr:colOff>
      <xdr:row>466</xdr:row>
      <xdr:rowOff>76200</xdr:rowOff>
    </xdr:to>
    <xdr:pic>
      <xdr:nvPicPr>
        <xdr:cNvPr id="94" name="Picture 337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86448900"/>
          <a:ext cx="446722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238125</xdr:colOff>
      <xdr:row>431</xdr:row>
      <xdr:rowOff>133350</xdr:rowOff>
    </xdr:from>
    <xdr:to>
      <xdr:col>7</xdr:col>
      <xdr:colOff>171450</xdr:colOff>
      <xdr:row>446</xdr:row>
      <xdr:rowOff>9525</xdr:rowOff>
    </xdr:to>
    <xdr:pic>
      <xdr:nvPicPr>
        <xdr:cNvPr id="95" name="Picture 338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82677000"/>
          <a:ext cx="429577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85725</xdr:colOff>
      <xdr:row>508</xdr:row>
      <xdr:rowOff>76200</xdr:rowOff>
    </xdr:from>
    <xdr:to>
      <xdr:col>7</xdr:col>
      <xdr:colOff>571500</xdr:colOff>
      <xdr:row>522</xdr:row>
      <xdr:rowOff>180975</xdr:rowOff>
    </xdr:to>
    <xdr:pic>
      <xdr:nvPicPr>
        <xdr:cNvPr id="97" name="Picture 343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97459800"/>
          <a:ext cx="5753100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474</xdr:row>
      <xdr:rowOff>0</xdr:rowOff>
    </xdr:from>
    <xdr:to>
      <xdr:col>7</xdr:col>
      <xdr:colOff>342900</xdr:colOff>
      <xdr:row>489</xdr:row>
      <xdr:rowOff>95250</xdr:rowOff>
    </xdr:to>
    <xdr:pic>
      <xdr:nvPicPr>
        <xdr:cNvPr id="100" name="Picture 42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90735150"/>
          <a:ext cx="5610225" cy="295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590</xdr:row>
      <xdr:rowOff>0</xdr:rowOff>
    </xdr:from>
    <xdr:to>
      <xdr:col>7</xdr:col>
      <xdr:colOff>342900</xdr:colOff>
      <xdr:row>605</xdr:row>
      <xdr:rowOff>95250</xdr:rowOff>
    </xdr:to>
    <xdr:pic>
      <xdr:nvPicPr>
        <xdr:cNvPr id="101" name="Picture 43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14014250"/>
          <a:ext cx="5610225" cy="295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619</xdr:row>
      <xdr:rowOff>0</xdr:rowOff>
    </xdr:from>
    <xdr:to>
      <xdr:col>7</xdr:col>
      <xdr:colOff>342900</xdr:colOff>
      <xdr:row>634</xdr:row>
      <xdr:rowOff>95250</xdr:rowOff>
    </xdr:to>
    <xdr:pic>
      <xdr:nvPicPr>
        <xdr:cNvPr id="102" name="Picture 432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19824500"/>
          <a:ext cx="5610225" cy="295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514350</xdr:colOff>
      <xdr:row>546</xdr:row>
      <xdr:rowOff>19050</xdr:rowOff>
    </xdr:from>
    <xdr:to>
      <xdr:col>7</xdr:col>
      <xdr:colOff>381000</xdr:colOff>
      <xdr:row>564</xdr:row>
      <xdr:rowOff>0</xdr:rowOff>
    </xdr:to>
    <xdr:pic>
      <xdr:nvPicPr>
        <xdr:cNvPr id="115" name="Picture 454"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384600"/>
          <a:ext cx="5133975" cy="340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0</xdr:row>
      <xdr:rowOff>133350</xdr:rowOff>
    </xdr:from>
    <xdr:to>
      <xdr:col>0</xdr:col>
      <xdr:colOff>561975</xdr:colOff>
      <xdr:row>1</xdr:row>
      <xdr:rowOff>342900</xdr:rowOff>
    </xdr:to>
    <xdr:pic>
      <xdr:nvPicPr>
        <xdr:cNvPr id="116" name="Picture 460" descr="Ministério de Minas e Energia - MME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3714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733425</xdr:colOff>
      <xdr:row>0</xdr:row>
      <xdr:rowOff>142875</xdr:rowOff>
    </xdr:from>
    <xdr:to>
      <xdr:col>3</xdr:col>
      <xdr:colOff>428625</xdr:colOff>
      <xdr:row>1</xdr:row>
      <xdr:rowOff>314325</xdr:rowOff>
    </xdr:to>
    <xdr:sp macro="" textlink="">
      <xdr:nvSpPr>
        <xdr:cNvPr id="117" name="Text Box 461"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SpPr txBox="1">
          <a:spLocks noChangeArrowheads="1"/>
        </xdr:cNvSpPr>
      </xdr:nvSpPr>
      <xdr:spPr bwMode="auto">
        <a:xfrm>
          <a:off x="733425" y="142875"/>
          <a:ext cx="22383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0" rIns="91440" bIns="0" anchor="t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Ministério de Minas e Energia – MME</a:t>
          </a:r>
        </a:p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SECRETARIA EXECUTIVA</a:t>
          </a: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19050</xdr:colOff>
      <xdr:row>0</xdr:row>
      <xdr:rowOff>123825</xdr:rowOff>
    </xdr:from>
    <xdr:to>
      <xdr:col>9</xdr:col>
      <xdr:colOff>657225</xdr:colOff>
      <xdr:row>1</xdr:row>
      <xdr:rowOff>285750</xdr:rowOff>
    </xdr:to>
    <xdr:pic>
      <xdr:nvPicPr>
        <xdr:cNvPr id="118" name="Picture 462" descr="PCE azul completo"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156"/>
        <a:stretch>
          <a:fillRect/>
        </a:stretch>
      </xdr:blipFill>
      <xdr:spPr bwMode="auto">
        <a:xfrm>
          <a:off x="7134225" y="123825"/>
          <a:ext cx="15430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304800</xdr:colOff>
      <xdr:row>0</xdr:row>
      <xdr:rowOff>161925</xdr:rowOff>
    </xdr:from>
    <xdr:to>
      <xdr:col>11</xdr:col>
      <xdr:colOff>0</xdr:colOff>
      <xdr:row>1</xdr:row>
      <xdr:rowOff>428625</xdr:rowOff>
    </xdr:to>
    <xdr:pic>
      <xdr:nvPicPr>
        <xdr:cNvPr id="119" name="Picture 463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61925"/>
          <a:ext cx="1524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0</xdr:row>
      <xdr:rowOff>133350</xdr:rowOff>
    </xdr:from>
    <xdr:to>
      <xdr:col>0</xdr:col>
      <xdr:colOff>571500</xdr:colOff>
      <xdr:row>1</xdr:row>
      <xdr:rowOff>371475</xdr:rowOff>
    </xdr:to>
    <xdr:pic>
      <xdr:nvPicPr>
        <xdr:cNvPr id="120" name="Picture 464" descr="Ministério de Minas e Energia - MME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3350"/>
          <a:ext cx="3714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733425</xdr:colOff>
      <xdr:row>0</xdr:row>
      <xdr:rowOff>142875</xdr:rowOff>
    </xdr:from>
    <xdr:to>
      <xdr:col>3</xdr:col>
      <xdr:colOff>428625</xdr:colOff>
      <xdr:row>1</xdr:row>
      <xdr:rowOff>314325</xdr:rowOff>
    </xdr:to>
    <xdr:sp macro="" textlink="">
      <xdr:nvSpPr>
        <xdr:cNvPr id="121" name="Text Box 465"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SpPr txBox="1">
          <a:spLocks noChangeArrowheads="1"/>
        </xdr:cNvSpPr>
      </xdr:nvSpPr>
      <xdr:spPr bwMode="auto">
        <a:xfrm>
          <a:off x="733425" y="142875"/>
          <a:ext cx="22383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0" rIns="91440" bIns="0" anchor="t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Ministério de Minas e Energia – MME</a:t>
          </a:r>
        </a:p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SECRETARIA EXECUTIVA</a:t>
          </a: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pt-B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19050</xdr:colOff>
      <xdr:row>0</xdr:row>
      <xdr:rowOff>123825</xdr:rowOff>
    </xdr:from>
    <xdr:to>
      <xdr:col>9</xdr:col>
      <xdr:colOff>657225</xdr:colOff>
      <xdr:row>1</xdr:row>
      <xdr:rowOff>285750</xdr:rowOff>
    </xdr:to>
    <xdr:pic>
      <xdr:nvPicPr>
        <xdr:cNvPr id="122" name="Picture 466" descr="PCE azul completo"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156"/>
        <a:stretch>
          <a:fillRect/>
        </a:stretch>
      </xdr:blipFill>
      <xdr:spPr bwMode="auto">
        <a:xfrm>
          <a:off x="7134225" y="123825"/>
          <a:ext cx="15430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285750</xdr:colOff>
      <xdr:row>0</xdr:row>
      <xdr:rowOff>85725</xdr:rowOff>
    </xdr:from>
    <xdr:to>
      <xdr:col>10</xdr:col>
      <xdr:colOff>762000</xdr:colOff>
      <xdr:row>1</xdr:row>
      <xdr:rowOff>352425</xdr:rowOff>
    </xdr:to>
    <xdr:pic>
      <xdr:nvPicPr>
        <xdr:cNvPr id="123" name="Picture 467"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85725"/>
          <a:ext cx="1524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63</xdr:row>
          <xdr:rowOff>104775</xdr:rowOff>
        </xdr:from>
        <xdr:to>
          <xdr:col>3</xdr:col>
          <xdr:colOff>285750</xdr:colOff>
          <xdr:row>65</xdr:row>
          <xdr:rowOff>114300</xdr:rowOff>
        </xdr:to>
        <xdr:sp macro="" textlink="">
          <xdr:nvSpPr>
            <xdr:cNvPr id="11265" name="Figura 62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9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114</xdr:row>
          <xdr:rowOff>142875</xdr:rowOff>
        </xdr:from>
        <xdr:to>
          <xdr:col>2</xdr:col>
          <xdr:colOff>419100</xdr:colOff>
          <xdr:row>116</xdr:row>
          <xdr:rowOff>133350</xdr:rowOff>
        </xdr:to>
        <xdr:sp macro="" textlink="">
          <xdr:nvSpPr>
            <xdr:cNvPr id="11266" name="Figura 63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9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192</xdr:row>
          <xdr:rowOff>38100</xdr:rowOff>
        </xdr:from>
        <xdr:to>
          <xdr:col>3</xdr:col>
          <xdr:colOff>257175</xdr:colOff>
          <xdr:row>193</xdr:row>
          <xdr:rowOff>38100</xdr:rowOff>
        </xdr:to>
        <xdr:sp macro="" textlink="">
          <xdr:nvSpPr>
            <xdr:cNvPr id="11267" name="Figura 64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9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181</xdr:row>
          <xdr:rowOff>123825</xdr:rowOff>
        </xdr:from>
        <xdr:to>
          <xdr:col>2</xdr:col>
          <xdr:colOff>333375</xdr:colOff>
          <xdr:row>183</xdr:row>
          <xdr:rowOff>114300</xdr:rowOff>
        </xdr:to>
        <xdr:sp macro="" textlink="">
          <xdr:nvSpPr>
            <xdr:cNvPr id="11268" name="Figura 65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9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185</xdr:row>
          <xdr:rowOff>180975</xdr:rowOff>
        </xdr:from>
        <xdr:to>
          <xdr:col>3</xdr:col>
          <xdr:colOff>47625</xdr:colOff>
          <xdr:row>187</xdr:row>
          <xdr:rowOff>9525</xdr:rowOff>
        </xdr:to>
        <xdr:sp macro="" textlink="">
          <xdr:nvSpPr>
            <xdr:cNvPr id="11269" name="Figura 66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9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195</xdr:row>
          <xdr:rowOff>95250</xdr:rowOff>
        </xdr:from>
        <xdr:to>
          <xdr:col>4</xdr:col>
          <xdr:colOff>714375</xdr:colOff>
          <xdr:row>197</xdr:row>
          <xdr:rowOff>123825</xdr:rowOff>
        </xdr:to>
        <xdr:sp macro="" textlink="">
          <xdr:nvSpPr>
            <xdr:cNvPr id="11270" name="Figura 67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9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59</xdr:row>
          <xdr:rowOff>133350</xdr:rowOff>
        </xdr:from>
        <xdr:to>
          <xdr:col>2</xdr:col>
          <xdr:colOff>342900</xdr:colOff>
          <xdr:row>61</xdr:row>
          <xdr:rowOff>123825</xdr:rowOff>
        </xdr:to>
        <xdr:sp macro="" textlink="">
          <xdr:nvSpPr>
            <xdr:cNvPr id="11271" name="Figura 71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9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154</xdr:row>
          <xdr:rowOff>9525</xdr:rowOff>
        </xdr:from>
        <xdr:to>
          <xdr:col>3</xdr:col>
          <xdr:colOff>123825</xdr:colOff>
          <xdr:row>155</xdr:row>
          <xdr:rowOff>28575</xdr:rowOff>
        </xdr:to>
        <xdr:sp macro="" textlink="">
          <xdr:nvSpPr>
            <xdr:cNvPr id="11272" name="Figura 72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9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44</xdr:row>
          <xdr:rowOff>123825</xdr:rowOff>
        </xdr:from>
        <xdr:to>
          <xdr:col>2</xdr:col>
          <xdr:colOff>447675</xdr:colOff>
          <xdr:row>46</xdr:row>
          <xdr:rowOff>76200</xdr:rowOff>
        </xdr:to>
        <xdr:sp macro="" textlink="">
          <xdr:nvSpPr>
            <xdr:cNvPr id="11273" name="Figura 88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9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85</xdr:row>
          <xdr:rowOff>123825</xdr:rowOff>
        </xdr:from>
        <xdr:to>
          <xdr:col>2</xdr:col>
          <xdr:colOff>762000</xdr:colOff>
          <xdr:row>87</xdr:row>
          <xdr:rowOff>104775</xdr:rowOff>
        </xdr:to>
        <xdr:sp macro="" textlink="">
          <xdr:nvSpPr>
            <xdr:cNvPr id="11274" name="Figura 9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9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111</xdr:row>
          <xdr:rowOff>0</xdr:rowOff>
        </xdr:from>
        <xdr:to>
          <xdr:col>2</xdr:col>
          <xdr:colOff>161925</xdr:colOff>
          <xdr:row>112</xdr:row>
          <xdr:rowOff>0</xdr:rowOff>
        </xdr:to>
        <xdr:sp macro="" textlink="">
          <xdr:nvSpPr>
            <xdr:cNvPr id="11275" name="Figura 9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9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200</xdr:row>
          <xdr:rowOff>47625</xdr:rowOff>
        </xdr:from>
        <xdr:to>
          <xdr:col>2</xdr:col>
          <xdr:colOff>381000</xdr:colOff>
          <xdr:row>201</xdr:row>
          <xdr:rowOff>38100</xdr:rowOff>
        </xdr:to>
        <xdr:sp macro="" textlink="">
          <xdr:nvSpPr>
            <xdr:cNvPr id="11276" name="Figura 94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9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762000</xdr:colOff>
          <xdr:row>203</xdr:row>
          <xdr:rowOff>38100</xdr:rowOff>
        </xdr:from>
        <xdr:to>
          <xdr:col>4</xdr:col>
          <xdr:colOff>723900</xdr:colOff>
          <xdr:row>204</xdr:row>
          <xdr:rowOff>38100</xdr:rowOff>
        </xdr:to>
        <xdr:sp macro="" textlink="">
          <xdr:nvSpPr>
            <xdr:cNvPr id="11277" name="Figura 95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9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204</xdr:row>
          <xdr:rowOff>180975</xdr:rowOff>
        </xdr:from>
        <xdr:to>
          <xdr:col>3</xdr:col>
          <xdr:colOff>685800</xdr:colOff>
          <xdr:row>206</xdr:row>
          <xdr:rowOff>9525</xdr:rowOff>
        </xdr:to>
        <xdr:sp macro="" textlink="">
          <xdr:nvSpPr>
            <xdr:cNvPr id="11278" name="Figura 97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9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209</xdr:row>
          <xdr:rowOff>28575</xdr:rowOff>
        </xdr:from>
        <xdr:to>
          <xdr:col>2</xdr:col>
          <xdr:colOff>457200</xdr:colOff>
          <xdr:row>210</xdr:row>
          <xdr:rowOff>19050</xdr:rowOff>
        </xdr:to>
        <xdr:sp macro="" textlink="">
          <xdr:nvSpPr>
            <xdr:cNvPr id="11279" name="Figura 98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9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214</xdr:row>
          <xdr:rowOff>123825</xdr:rowOff>
        </xdr:from>
        <xdr:to>
          <xdr:col>3</xdr:col>
          <xdr:colOff>161925</xdr:colOff>
          <xdr:row>216</xdr:row>
          <xdr:rowOff>133350</xdr:rowOff>
        </xdr:to>
        <xdr:sp macro="" textlink="">
          <xdr:nvSpPr>
            <xdr:cNvPr id="11280" name="Figura 99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9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216</xdr:row>
          <xdr:rowOff>133350</xdr:rowOff>
        </xdr:from>
        <xdr:to>
          <xdr:col>3</xdr:col>
          <xdr:colOff>123825</xdr:colOff>
          <xdr:row>218</xdr:row>
          <xdr:rowOff>142875</xdr:rowOff>
        </xdr:to>
        <xdr:sp macro="" textlink="">
          <xdr:nvSpPr>
            <xdr:cNvPr id="11281" name="Figura 100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9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218</xdr:row>
          <xdr:rowOff>133350</xdr:rowOff>
        </xdr:from>
        <xdr:to>
          <xdr:col>3</xdr:col>
          <xdr:colOff>238125</xdr:colOff>
          <xdr:row>220</xdr:row>
          <xdr:rowOff>142875</xdr:rowOff>
        </xdr:to>
        <xdr:sp macro="" textlink="">
          <xdr:nvSpPr>
            <xdr:cNvPr id="11282" name="Figura 101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9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220</xdr:row>
          <xdr:rowOff>133350</xdr:rowOff>
        </xdr:from>
        <xdr:to>
          <xdr:col>3</xdr:col>
          <xdr:colOff>228600</xdr:colOff>
          <xdr:row>222</xdr:row>
          <xdr:rowOff>142875</xdr:rowOff>
        </xdr:to>
        <xdr:sp macro="" textlink="">
          <xdr:nvSpPr>
            <xdr:cNvPr id="11283" name="Figura 102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9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223</xdr:row>
          <xdr:rowOff>9525</xdr:rowOff>
        </xdr:from>
        <xdr:to>
          <xdr:col>2</xdr:col>
          <xdr:colOff>238125</xdr:colOff>
          <xdr:row>224</xdr:row>
          <xdr:rowOff>0</xdr:rowOff>
        </xdr:to>
        <xdr:sp macro="" textlink="">
          <xdr:nvSpPr>
            <xdr:cNvPr id="11284" name="Figura 105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9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224</xdr:row>
          <xdr:rowOff>152400</xdr:rowOff>
        </xdr:from>
        <xdr:to>
          <xdr:col>3</xdr:col>
          <xdr:colOff>152400</xdr:colOff>
          <xdr:row>226</xdr:row>
          <xdr:rowOff>123825</xdr:rowOff>
        </xdr:to>
        <xdr:sp macro="" textlink="">
          <xdr:nvSpPr>
            <xdr:cNvPr id="11285" name="Figura 106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9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227</xdr:row>
          <xdr:rowOff>114300</xdr:rowOff>
        </xdr:from>
        <xdr:to>
          <xdr:col>3</xdr:col>
          <xdr:colOff>190500</xdr:colOff>
          <xdr:row>229</xdr:row>
          <xdr:rowOff>123825</xdr:rowOff>
        </xdr:to>
        <xdr:sp macro="" textlink="">
          <xdr:nvSpPr>
            <xdr:cNvPr id="11286" name="Figura 108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9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253</xdr:row>
          <xdr:rowOff>28575</xdr:rowOff>
        </xdr:from>
        <xdr:to>
          <xdr:col>3</xdr:col>
          <xdr:colOff>266700</xdr:colOff>
          <xdr:row>255</xdr:row>
          <xdr:rowOff>123825</xdr:rowOff>
        </xdr:to>
        <xdr:sp macro="" textlink="">
          <xdr:nvSpPr>
            <xdr:cNvPr id="11287" name="Figura 112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9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260</xdr:row>
          <xdr:rowOff>114300</xdr:rowOff>
        </xdr:from>
        <xdr:to>
          <xdr:col>4</xdr:col>
          <xdr:colOff>152400</xdr:colOff>
          <xdr:row>262</xdr:row>
          <xdr:rowOff>66675</xdr:rowOff>
        </xdr:to>
        <xdr:sp macro="" textlink="">
          <xdr:nvSpPr>
            <xdr:cNvPr id="11288" name="Figura 11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9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264</xdr:row>
          <xdr:rowOff>28575</xdr:rowOff>
        </xdr:from>
        <xdr:to>
          <xdr:col>3</xdr:col>
          <xdr:colOff>0</xdr:colOff>
          <xdr:row>265</xdr:row>
          <xdr:rowOff>38100</xdr:rowOff>
        </xdr:to>
        <xdr:sp macro="" textlink="">
          <xdr:nvSpPr>
            <xdr:cNvPr id="11289" name="Figura 115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00000000-0008-0000-0900-00001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275</xdr:row>
          <xdr:rowOff>142875</xdr:rowOff>
        </xdr:from>
        <xdr:to>
          <xdr:col>4</xdr:col>
          <xdr:colOff>257175</xdr:colOff>
          <xdr:row>277</xdr:row>
          <xdr:rowOff>95250</xdr:rowOff>
        </xdr:to>
        <xdr:sp macro="" textlink="">
          <xdr:nvSpPr>
            <xdr:cNvPr id="11290" name="Figura 11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0000000-0008-0000-0900-00001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278</xdr:row>
          <xdr:rowOff>47625</xdr:rowOff>
        </xdr:from>
        <xdr:to>
          <xdr:col>4</xdr:col>
          <xdr:colOff>142875</xdr:colOff>
          <xdr:row>279</xdr:row>
          <xdr:rowOff>47625</xdr:rowOff>
        </xdr:to>
        <xdr:sp macro="" textlink="">
          <xdr:nvSpPr>
            <xdr:cNvPr id="11291" name="Figura 118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9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273</xdr:row>
          <xdr:rowOff>9525</xdr:rowOff>
        </xdr:from>
        <xdr:to>
          <xdr:col>2</xdr:col>
          <xdr:colOff>285750</xdr:colOff>
          <xdr:row>274</xdr:row>
          <xdr:rowOff>0</xdr:rowOff>
        </xdr:to>
        <xdr:sp macro="" textlink="">
          <xdr:nvSpPr>
            <xdr:cNvPr id="11292" name="Figura 119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0000000-0008-0000-0900-00001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283</xdr:row>
          <xdr:rowOff>38100</xdr:rowOff>
        </xdr:from>
        <xdr:to>
          <xdr:col>2</xdr:col>
          <xdr:colOff>228600</xdr:colOff>
          <xdr:row>284</xdr:row>
          <xdr:rowOff>28575</xdr:rowOff>
        </xdr:to>
        <xdr:sp macro="" textlink="">
          <xdr:nvSpPr>
            <xdr:cNvPr id="11293" name="Figura 120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00000000-0008-0000-0900-00001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267</xdr:row>
          <xdr:rowOff>19050</xdr:rowOff>
        </xdr:from>
        <xdr:to>
          <xdr:col>3</xdr:col>
          <xdr:colOff>704850</xdr:colOff>
          <xdr:row>269</xdr:row>
          <xdr:rowOff>85725</xdr:rowOff>
        </xdr:to>
        <xdr:sp macro="" textlink="">
          <xdr:nvSpPr>
            <xdr:cNvPr id="11294" name="Figura 121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9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68</xdr:row>
          <xdr:rowOff>19050</xdr:rowOff>
        </xdr:from>
        <xdr:to>
          <xdr:col>5</xdr:col>
          <xdr:colOff>142875</xdr:colOff>
          <xdr:row>69</xdr:row>
          <xdr:rowOff>47625</xdr:rowOff>
        </xdr:to>
        <xdr:sp macro="" textlink="">
          <xdr:nvSpPr>
            <xdr:cNvPr id="11295" name="Figura 125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9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69</xdr:row>
          <xdr:rowOff>133350</xdr:rowOff>
        </xdr:from>
        <xdr:to>
          <xdr:col>4</xdr:col>
          <xdr:colOff>771525</xdr:colOff>
          <xdr:row>70</xdr:row>
          <xdr:rowOff>161925</xdr:rowOff>
        </xdr:to>
        <xdr:sp macro="" textlink="">
          <xdr:nvSpPr>
            <xdr:cNvPr id="11296" name="Figura 126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9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71</xdr:row>
          <xdr:rowOff>104775</xdr:rowOff>
        </xdr:from>
        <xdr:to>
          <xdr:col>4</xdr:col>
          <xdr:colOff>200025</xdr:colOff>
          <xdr:row>72</xdr:row>
          <xdr:rowOff>104775</xdr:rowOff>
        </xdr:to>
        <xdr:sp macro="" textlink="">
          <xdr:nvSpPr>
            <xdr:cNvPr id="11297" name="Figura 127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9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72</xdr:row>
          <xdr:rowOff>171450</xdr:rowOff>
        </xdr:from>
        <xdr:to>
          <xdr:col>5</xdr:col>
          <xdr:colOff>371475</xdr:colOff>
          <xdr:row>74</xdr:row>
          <xdr:rowOff>9525</xdr:rowOff>
        </xdr:to>
        <xdr:sp macro="" textlink="">
          <xdr:nvSpPr>
            <xdr:cNvPr id="11298" name="Figura 128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9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102</xdr:row>
          <xdr:rowOff>76200</xdr:rowOff>
        </xdr:from>
        <xdr:to>
          <xdr:col>3</xdr:col>
          <xdr:colOff>104775</xdr:colOff>
          <xdr:row>104</xdr:row>
          <xdr:rowOff>114300</xdr:rowOff>
        </xdr:to>
        <xdr:sp macro="" textlink="">
          <xdr:nvSpPr>
            <xdr:cNvPr id="11299" name="Figura 134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9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733425</xdr:colOff>
          <xdr:row>104</xdr:row>
          <xdr:rowOff>38100</xdr:rowOff>
        </xdr:from>
        <xdr:to>
          <xdr:col>7</xdr:col>
          <xdr:colOff>904875</xdr:colOff>
          <xdr:row>106</xdr:row>
          <xdr:rowOff>171450</xdr:rowOff>
        </xdr:to>
        <xdr:sp macro="" textlink="">
          <xdr:nvSpPr>
            <xdr:cNvPr id="11300" name="Figura 135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9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133</xdr:row>
          <xdr:rowOff>123825</xdr:rowOff>
        </xdr:from>
        <xdr:to>
          <xdr:col>3</xdr:col>
          <xdr:colOff>0</xdr:colOff>
          <xdr:row>135</xdr:row>
          <xdr:rowOff>104775</xdr:rowOff>
        </xdr:to>
        <xdr:sp macro="" textlink="">
          <xdr:nvSpPr>
            <xdr:cNvPr id="11301" name="Figura 138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00000000-0008-0000-0900-00002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139</xdr:row>
          <xdr:rowOff>123825</xdr:rowOff>
        </xdr:from>
        <xdr:to>
          <xdr:col>6</xdr:col>
          <xdr:colOff>514350</xdr:colOff>
          <xdr:row>141</xdr:row>
          <xdr:rowOff>133350</xdr:rowOff>
        </xdr:to>
        <xdr:sp macro="" textlink="">
          <xdr:nvSpPr>
            <xdr:cNvPr id="11302" name="Figura 139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00000000-0008-0000-0900-00002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141</xdr:row>
          <xdr:rowOff>180975</xdr:rowOff>
        </xdr:from>
        <xdr:to>
          <xdr:col>6</xdr:col>
          <xdr:colOff>419100</xdr:colOff>
          <xdr:row>143</xdr:row>
          <xdr:rowOff>9525</xdr:rowOff>
        </xdr:to>
        <xdr:sp macro="" textlink="">
          <xdr:nvSpPr>
            <xdr:cNvPr id="11303" name="Figura 140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9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143</xdr:row>
          <xdr:rowOff>104775</xdr:rowOff>
        </xdr:from>
        <xdr:to>
          <xdr:col>6</xdr:col>
          <xdr:colOff>504825</xdr:colOff>
          <xdr:row>145</xdr:row>
          <xdr:rowOff>104775</xdr:rowOff>
        </xdr:to>
        <xdr:sp macro="" textlink="">
          <xdr:nvSpPr>
            <xdr:cNvPr id="11304" name="Figura 141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00000000-0008-0000-0900-00002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146</xdr:row>
          <xdr:rowOff>0</xdr:rowOff>
        </xdr:from>
        <xdr:to>
          <xdr:col>6</xdr:col>
          <xdr:colOff>485775</xdr:colOff>
          <xdr:row>147</xdr:row>
          <xdr:rowOff>28575</xdr:rowOff>
        </xdr:to>
        <xdr:sp macro="" textlink="">
          <xdr:nvSpPr>
            <xdr:cNvPr id="11305" name="Figura 142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9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250</xdr:row>
          <xdr:rowOff>47625</xdr:rowOff>
        </xdr:from>
        <xdr:to>
          <xdr:col>2</xdr:col>
          <xdr:colOff>238125</xdr:colOff>
          <xdr:row>251</xdr:row>
          <xdr:rowOff>38100</xdr:rowOff>
        </xdr:to>
        <xdr:sp macro="" textlink="">
          <xdr:nvSpPr>
            <xdr:cNvPr id="11306" name="Figura 149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00000000-0008-0000-0900-00002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229</xdr:row>
          <xdr:rowOff>180975</xdr:rowOff>
        </xdr:from>
        <xdr:to>
          <xdr:col>3</xdr:col>
          <xdr:colOff>885825</xdr:colOff>
          <xdr:row>233</xdr:row>
          <xdr:rowOff>123825</xdr:rowOff>
        </xdr:to>
        <xdr:sp macro="" textlink="">
          <xdr:nvSpPr>
            <xdr:cNvPr id="11307" name="Figura 150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00000000-0008-0000-0900-00002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295</xdr:row>
          <xdr:rowOff>57150</xdr:rowOff>
        </xdr:from>
        <xdr:to>
          <xdr:col>4</xdr:col>
          <xdr:colOff>828675</xdr:colOff>
          <xdr:row>296</xdr:row>
          <xdr:rowOff>85725</xdr:rowOff>
        </xdr:to>
        <xdr:sp macro="" textlink="">
          <xdr:nvSpPr>
            <xdr:cNvPr id="11308" name="Figura 151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00000000-0008-0000-0900-00002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762000</xdr:colOff>
          <xdr:row>298</xdr:row>
          <xdr:rowOff>9525</xdr:rowOff>
        </xdr:from>
        <xdr:to>
          <xdr:col>4</xdr:col>
          <xdr:colOff>47625</xdr:colOff>
          <xdr:row>299</xdr:row>
          <xdr:rowOff>28575</xdr:rowOff>
        </xdr:to>
        <xdr:sp macro="" textlink="">
          <xdr:nvSpPr>
            <xdr:cNvPr id="11309" name="Figura 152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00000000-0008-0000-0900-00002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309</xdr:row>
          <xdr:rowOff>47625</xdr:rowOff>
        </xdr:from>
        <xdr:to>
          <xdr:col>3</xdr:col>
          <xdr:colOff>9525</xdr:colOff>
          <xdr:row>310</xdr:row>
          <xdr:rowOff>57150</xdr:rowOff>
        </xdr:to>
        <xdr:sp macro="" textlink="">
          <xdr:nvSpPr>
            <xdr:cNvPr id="11310" name="Figura 153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00000000-0008-0000-0900-00002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312</xdr:row>
          <xdr:rowOff>0</xdr:rowOff>
        </xdr:from>
        <xdr:to>
          <xdr:col>5</xdr:col>
          <xdr:colOff>552450</xdr:colOff>
          <xdr:row>313</xdr:row>
          <xdr:rowOff>28575</xdr:rowOff>
        </xdr:to>
        <xdr:sp macro="" textlink="">
          <xdr:nvSpPr>
            <xdr:cNvPr id="11311" name="Figura 154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00000000-0008-0000-0900-00002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314</xdr:row>
          <xdr:rowOff>0</xdr:rowOff>
        </xdr:from>
        <xdr:to>
          <xdr:col>4</xdr:col>
          <xdr:colOff>657225</xdr:colOff>
          <xdr:row>315</xdr:row>
          <xdr:rowOff>28575</xdr:rowOff>
        </xdr:to>
        <xdr:sp macro="" textlink="">
          <xdr:nvSpPr>
            <xdr:cNvPr id="11312" name="Figura 155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00000000-0008-0000-0900-00003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316</xdr:row>
          <xdr:rowOff>0</xdr:rowOff>
        </xdr:from>
        <xdr:to>
          <xdr:col>4</xdr:col>
          <xdr:colOff>9525</xdr:colOff>
          <xdr:row>317</xdr:row>
          <xdr:rowOff>38100</xdr:rowOff>
        </xdr:to>
        <xdr:sp macro="" textlink="">
          <xdr:nvSpPr>
            <xdr:cNvPr id="11313" name="Figura 156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00000000-0008-0000-0900-00003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329</xdr:row>
          <xdr:rowOff>38100</xdr:rowOff>
        </xdr:from>
        <xdr:to>
          <xdr:col>4</xdr:col>
          <xdr:colOff>542925</xdr:colOff>
          <xdr:row>330</xdr:row>
          <xdr:rowOff>38100</xdr:rowOff>
        </xdr:to>
        <xdr:sp macro="" textlink="">
          <xdr:nvSpPr>
            <xdr:cNvPr id="11314" name="Figura 157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00000000-0008-0000-0900-00003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346</xdr:row>
          <xdr:rowOff>9525</xdr:rowOff>
        </xdr:from>
        <xdr:to>
          <xdr:col>3</xdr:col>
          <xdr:colOff>323850</xdr:colOff>
          <xdr:row>347</xdr:row>
          <xdr:rowOff>9525</xdr:rowOff>
        </xdr:to>
        <xdr:sp macro="" textlink="">
          <xdr:nvSpPr>
            <xdr:cNvPr id="11315" name="Figura 158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00000000-0008-0000-0900-00003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349</xdr:row>
          <xdr:rowOff>142875</xdr:rowOff>
        </xdr:from>
        <xdr:to>
          <xdr:col>2</xdr:col>
          <xdr:colOff>342900</xdr:colOff>
          <xdr:row>351</xdr:row>
          <xdr:rowOff>76200</xdr:rowOff>
        </xdr:to>
        <xdr:sp macro="" textlink="">
          <xdr:nvSpPr>
            <xdr:cNvPr id="11316" name="Figura 159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00000000-0008-0000-0900-00003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355</xdr:row>
          <xdr:rowOff>180975</xdr:rowOff>
        </xdr:from>
        <xdr:to>
          <xdr:col>6</xdr:col>
          <xdr:colOff>228600</xdr:colOff>
          <xdr:row>357</xdr:row>
          <xdr:rowOff>19050</xdr:rowOff>
        </xdr:to>
        <xdr:sp macro="" textlink="">
          <xdr:nvSpPr>
            <xdr:cNvPr id="11317" name="Figura 160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00000000-0008-0000-0900-00003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365</xdr:row>
          <xdr:rowOff>9525</xdr:rowOff>
        </xdr:from>
        <xdr:to>
          <xdr:col>5</xdr:col>
          <xdr:colOff>409575</xdr:colOff>
          <xdr:row>366</xdr:row>
          <xdr:rowOff>19050</xdr:rowOff>
        </xdr:to>
        <xdr:sp macro="" textlink="">
          <xdr:nvSpPr>
            <xdr:cNvPr id="11318" name="Figura 161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00000000-0008-0000-0900-00003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495</xdr:row>
          <xdr:rowOff>171450</xdr:rowOff>
        </xdr:from>
        <xdr:to>
          <xdr:col>3</xdr:col>
          <xdr:colOff>314325</xdr:colOff>
          <xdr:row>497</xdr:row>
          <xdr:rowOff>123825</xdr:rowOff>
        </xdr:to>
        <xdr:sp macro="" textlink="">
          <xdr:nvSpPr>
            <xdr:cNvPr id="11319" name="Figura 176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00000000-0008-0000-0900-00003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540</xdr:row>
          <xdr:rowOff>38100</xdr:rowOff>
        </xdr:from>
        <xdr:to>
          <xdr:col>3</xdr:col>
          <xdr:colOff>885825</xdr:colOff>
          <xdr:row>541</xdr:row>
          <xdr:rowOff>66675</xdr:rowOff>
        </xdr:to>
        <xdr:sp macro="" textlink="">
          <xdr:nvSpPr>
            <xdr:cNvPr id="11320" name="Figura 18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00000000-0008-0000-0900-00003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609</xdr:row>
          <xdr:rowOff>161925</xdr:rowOff>
        </xdr:from>
        <xdr:to>
          <xdr:col>3</xdr:col>
          <xdr:colOff>352425</xdr:colOff>
          <xdr:row>611</xdr:row>
          <xdr:rowOff>104775</xdr:rowOff>
        </xdr:to>
        <xdr:sp macro="" textlink="">
          <xdr:nvSpPr>
            <xdr:cNvPr id="11321" name="Figura 189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00000000-0008-0000-0900-00003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762000</xdr:colOff>
          <xdr:row>611</xdr:row>
          <xdr:rowOff>133350</xdr:rowOff>
        </xdr:from>
        <xdr:to>
          <xdr:col>2</xdr:col>
          <xdr:colOff>361950</xdr:colOff>
          <xdr:row>613</xdr:row>
          <xdr:rowOff>95250</xdr:rowOff>
        </xdr:to>
        <xdr:sp macro="" textlink="">
          <xdr:nvSpPr>
            <xdr:cNvPr id="11322" name="Figura 190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00000000-0008-0000-0900-00003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309</xdr:row>
          <xdr:rowOff>38100</xdr:rowOff>
        </xdr:from>
        <xdr:to>
          <xdr:col>6</xdr:col>
          <xdr:colOff>619125</xdr:colOff>
          <xdr:row>310</xdr:row>
          <xdr:rowOff>38100</xdr:rowOff>
        </xdr:to>
        <xdr:sp macro="" textlink="">
          <xdr:nvSpPr>
            <xdr:cNvPr id="11323" name="Figura 19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00000000-0008-0000-0900-00003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532</xdr:row>
          <xdr:rowOff>142875</xdr:rowOff>
        </xdr:from>
        <xdr:to>
          <xdr:col>3</xdr:col>
          <xdr:colOff>123825</xdr:colOff>
          <xdr:row>534</xdr:row>
          <xdr:rowOff>95250</xdr:rowOff>
        </xdr:to>
        <xdr:sp macro="" textlink="">
          <xdr:nvSpPr>
            <xdr:cNvPr id="11324" name="Figura 203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00000000-0008-0000-0900-00003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236</xdr:row>
          <xdr:rowOff>104775</xdr:rowOff>
        </xdr:from>
        <xdr:to>
          <xdr:col>4</xdr:col>
          <xdr:colOff>762000</xdr:colOff>
          <xdr:row>238</xdr:row>
          <xdr:rowOff>114300</xdr:rowOff>
        </xdr:to>
        <xdr:sp macro="" textlink="">
          <xdr:nvSpPr>
            <xdr:cNvPr id="11325" name="Figura 204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00000000-0008-0000-0900-00003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493</xdr:row>
          <xdr:rowOff>47625</xdr:rowOff>
        </xdr:from>
        <xdr:to>
          <xdr:col>8</xdr:col>
          <xdr:colOff>752475</xdr:colOff>
          <xdr:row>494</xdr:row>
          <xdr:rowOff>47625</xdr:rowOff>
        </xdr:to>
        <xdr:sp macro="" textlink="">
          <xdr:nvSpPr>
            <xdr:cNvPr id="11326" name="Figura 206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00000000-0008-0000-0900-00003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504</xdr:row>
          <xdr:rowOff>47625</xdr:rowOff>
        </xdr:from>
        <xdr:to>
          <xdr:col>5</xdr:col>
          <xdr:colOff>838200</xdr:colOff>
          <xdr:row>506</xdr:row>
          <xdr:rowOff>180975</xdr:rowOff>
        </xdr:to>
        <xdr:sp macro="" textlink="">
          <xdr:nvSpPr>
            <xdr:cNvPr id="11327" name="Figura 207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00000000-0008-0000-0900-00003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525</xdr:row>
          <xdr:rowOff>19050</xdr:rowOff>
        </xdr:from>
        <xdr:to>
          <xdr:col>4</xdr:col>
          <xdr:colOff>0</xdr:colOff>
          <xdr:row>526</xdr:row>
          <xdr:rowOff>28575</xdr:rowOff>
        </xdr:to>
        <xdr:sp macro="" textlink="">
          <xdr:nvSpPr>
            <xdr:cNvPr id="11328" name="Figura 208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00000000-0008-0000-0900-00004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762000</xdr:colOff>
          <xdr:row>527</xdr:row>
          <xdr:rowOff>114300</xdr:rowOff>
        </xdr:from>
        <xdr:to>
          <xdr:col>3</xdr:col>
          <xdr:colOff>247650</xdr:colOff>
          <xdr:row>529</xdr:row>
          <xdr:rowOff>76200</xdr:rowOff>
        </xdr:to>
        <xdr:sp macro="" textlink="">
          <xdr:nvSpPr>
            <xdr:cNvPr id="11329" name="Figura 209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00000000-0008-0000-0900-00004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606</xdr:row>
          <xdr:rowOff>161925</xdr:rowOff>
        </xdr:from>
        <xdr:to>
          <xdr:col>7</xdr:col>
          <xdr:colOff>762000</xdr:colOff>
          <xdr:row>608</xdr:row>
          <xdr:rowOff>0</xdr:rowOff>
        </xdr:to>
        <xdr:sp macro="" textlink="">
          <xdr:nvSpPr>
            <xdr:cNvPr id="11330" name="Figura 210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00000000-0008-0000-0900-00004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49</xdr:row>
          <xdr:rowOff>19050</xdr:rowOff>
        </xdr:from>
        <xdr:to>
          <xdr:col>5</xdr:col>
          <xdr:colOff>895350</xdr:colOff>
          <xdr:row>50</xdr:row>
          <xdr:rowOff>28575</xdr:rowOff>
        </xdr:to>
        <xdr:sp macro="" textlink="">
          <xdr:nvSpPr>
            <xdr:cNvPr id="11331" name="Figura 212" hidden="1">
              <a:extLst>
                <a:ext uri="{63B3BB69-23CF-44E3-9099-C40C66FF867C}">
                  <a14:compatExt spid="_x0000_s11331"/>
                </a:ext>
                <a:ext uri="{FF2B5EF4-FFF2-40B4-BE49-F238E27FC236}">
                  <a16:creationId xmlns:a16="http://schemas.microsoft.com/office/drawing/2014/main" id="{00000000-0008-0000-0900-00004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158</xdr:row>
          <xdr:rowOff>152400</xdr:rowOff>
        </xdr:from>
        <xdr:to>
          <xdr:col>7</xdr:col>
          <xdr:colOff>933450</xdr:colOff>
          <xdr:row>162</xdr:row>
          <xdr:rowOff>28575</xdr:rowOff>
        </xdr:to>
        <xdr:sp macro="" textlink="">
          <xdr:nvSpPr>
            <xdr:cNvPr id="11332" name="Figura 213" hidden="1">
              <a:extLst>
                <a:ext uri="{63B3BB69-23CF-44E3-9099-C40C66FF867C}">
                  <a14:compatExt spid="_x0000_s11332"/>
                </a:ext>
                <a:ext uri="{FF2B5EF4-FFF2-40B4-BE49-F238E27FC236}">
                  <a16:creationId xmlns:a16="http://schemas.microsoft.com/office/drawing/2014/main" id="{00000000-0008-0000-0900-00004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190500</xdr:colOff>
          <xdr:row>162</xdr:row>
          <xdr:rowOff>123825</xdr:rowOff>
        </xdr:from>
        <xdr:to>
          <xdr:col>4</xdr:col>
          <xdr:colOff>638175</xdr:colOff>
          <xdr:row>164</xdr:row>
          <xdr:rowOff>95250</xdr:rowOff>
        </xdr:to>
        <xdr:sp macro="" textlink="">
          <xdr:nvSpPr>
            <xdr:cNvPr id="11333" name="Figura 214" hidden="1">
              <a:extLst>
                <a:ext uri="{63B3BB69-23CF-44E3-9099-C40C66FF867C}">
                  <a14:compatExt spid="_x0000_s11333"/>
                </a:ext>
                <a:ext uri="{FF2B5EF4-FFF2-40B4-BE49-F238E27FC236}">
                  <a16:creationId xmlns:a16="http://schemas.microsoft.com/office/drawing/2014/main" id="{00000000-0008-0000-0900-00004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165</xdr:row>
          <xdr:rowOff>38100</xdr:rowOff>
        </xdr:from>
        <xdr:to>
          <xdr:col>4</xdr:col>
          <xdr:colOff>704850</xdr:colOff>
          <xdr:row>168</xdr:row>
          <xdr:rowOff>28575</xdr:rowOff>
        </xdr:to>
        <xdr:sp macro="" textlink="">
          <xdr:nvSpPr>
            <xdr:cNvPr id="11334" name="Figura 215" hidden="1">
              <a:extLst>
                <a:ext uri="{63B3BB69-23CF-44E3-9099-C40C66FF867C}">
                  <a14:compatExt spid="_x0000_s11334"/>
                </a:ext>
                <a:ext uri="{FF2B5EF4-FFF2-40B4-BE49-F238E27FC236}">
                  <a16:creationId xmlns:a16="http://schemas.microsoft.com/office/drawing/2014/main" id="{00000000-0008-0000-0900-00004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169</xdr:row>
          <xdr:rowOff>0</xdr:rowOff>
        </xdr:from>
        <xdr:to>
          <xdr:col>6</xdr:col>
          <xdr:colOff>609600</xdr:colOff>
          <xdr:row>172</xdr:row>
          <xdr:rowOff>0</xdr:rowOff>
        </xdr:to>
        <xdr:sp macro="" textlink="">
          <xdr:nvSpPr>
            <xdr:cNvPr id="11335" name="Figura 216" hidden="1">
              <a:extLst>
                <a:ext uri="{63B3BB69-23CF-44E3-9099-C40C66FF867C}">
                  <a14:compatExt spid="_x0000_s11335"/>
                </a:ext>
                <a:ext uri="{FF2B5EF4-FFF2-40B4-BE49-F238E27FC236}">
                  <a16:creationId xmlns:a16="http://schemas.microsoft.com/office/drawing/2014/main" id="{00000000-0008-0000-0900-00004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190500</xdr:colOff>
          <xdr:row>172</xdr:row>
          <xdr:rowOff>171450</xdr:rowOff>
        </xdr:from>
        <xdr:to>
          <xdr:col>4</xdr:col>
          <xdr:colOff>123825</xdr:colOff>
          <xdr:row>174</xdr:row>
          <xdr:rowOff>133350</xdr:rowOff>
        </xdr:to>
        <xdr:sp macro="" textlink="">
          <xdr:nvSpPr>
            <xdr:cNvPr id="11336" name="Figura 217" hidden="1">
              <a:extLst>
                <a:ext uri="{63B3BB69-23CF-44E3-9099-C40C66FF867C}">
                  <a14:compatExt spid="_x0000_s11336"/>
                </a:ext>
                <a:ext uri="{FF2B5EF4-FFF2-40B4-BE49-F238E27FC236}">
                  <a16:creationId xmlns:a16="http://schemas.microsoft.com/office/drawing/2014/main" id="{00000000-0008-0000-0900-00004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238</xdr:row>
          <xdr:rowOff>123825</xdr:rowOff>
        </xdr:from>
        <xdr:to>
          <xdr:col>4</xdr:col>
          <xdr:colOff>828675</xdr:colOff>
          <xdr:row>240</xdr:row>
          <xdr:rowOff>114300</xdr:rowOff>
        </xdr:to>
        <xdr:sp macro="" textlink="">
          <xdr:nvSpPr>
            <xdr:cNvPr id="11337" name="Figura 220" hidden="1">
              <a:extLst>
                <a:ext uri="{63B3BB69-23CF-44E3-9099-C40C66FF867C}">
                  <a14:compatExt spid="_x0000_s11337"/>
                </a:ext>
                <a:ext uri="{FF2B5EF4-FFF2-40B4-BE49-F238E27FC236}">
                  <a16:creationId xmlns:a16="http://schemas.microsoft.com/office/drawing/2014/main" id="{00000000-0008-0000-0900-00004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245</xdr:row>
          <xdr:rowOff>57150</xdr:rowOff>
        </xdr:from>
        <xdr:to>
          <xdr:col>3</xdr:col>
          <xdr:colOff>876300</xdr:colOff>
          <xdr:row>246</xdr:row>
          <xdr:rowOff>85725</xdr:rowOff>
        </xdr:to>
        <xdr:sp macro="" textlink="">
          <xdr:nvSpPr>
            <xdr:cNvPr id="11338" name="Figura 221" hidden="1">
              <a:extLst>
                <a:ext uri="{63B3BB69-23CF-44E3-9099-C40C66FF867C}">
                  <a14:compatExt spid="_x0000_s11338"/>
                </a:ext>
                <a:ext uri="{FF2B5EF4-FFF2-40B4-BE49-F238E27FC236}">
                  <a16:creationId xmlns:a16="http://schemas.microsoft.com/office/drawing/2014/main" id="{00000000-0008-0000-0900-00004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287</xdr:row>
          <xdr:rowOff>19050</xdr:rowOff>
        </xdr:from>
        <xdr:to>
          <xdr:col>2</xdr:col>
          <xdr:colOff>104775</xdr:colOff>
          <xdr:row>288</xdr:row>
          <xdr:rowOff>9525</xdr:rowOff>
        </xdr:to>
        <xdr:sp macro="" textlink="">
          <xdr:nvSpPr>
            <xdr:cNvPr id="11339" name="Figura 222" hidden="1">
              <a:extLst>
                <a:ext uri="{63B3BB69-23CF-44E3-9099-C40C66FF867C}">
                  <a14:compatExt spid="_x0000_s11339"/>
                </a:ext>
                <a:ext uri="{FF2B5EF4-FFF2-40B4-BE49-F238E27FC236}">
                  <a16:creationId xmlns:a16="http://schemas.microsoft.com/office/drawing/2014/main" id="{00000000-0008-0000-0900-00004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122</xdr:row>
          <xdr:rowOff>142875</xdr:rowOff>
        </xdr:from>
        <xdr:to>
          <xdr:col>2</xdr:col>
          <xdr:colOff>295275</xdr:colOff>
          <xdr:row>124</xdr:row>
          <xdr:rowOff>123825</xdr:rowOff>
        </xdr:to>
        <xdr:sp macro="" textlink="">
          <xdr:nvSpPr>
            <xdr:cNvPr id="11340" name="Figura 230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00000000-0008-0000-0900-00004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125</xdr:row>
          <xdr:rowOff>47625</xdr:rowOff>
        </xdr:from>
        <xdr:to>
          <xdr:col>3</xdr:col>
          <xdr:colOff>571500</xdr:colOff>
          <xdr:row>126</xdr:row>
          <xdr:rowOff>57150</xdr:rowOff>
        </xdr:to>
        <xdr:sp macro="" textlink="">
          <xdr:nvSpPr>
            <xdr:cNvPr id="11341" name="Figura 231" hidden="1">
              <a:extLst>
                <a:ext uri="{63B3BB69-23CF-44E3-9099-C40C66FF867C}">
                  <a14:compatExt spid="_x0000_s11341"/>
                </a:ext>
                <a:ext uri="{FF2B5EF4-FFF2-40B4-BE49-F238E27FC236}">
                  <a16:creationId xmlns:a16="http://schemas.microsoft.com/office/drawing/2014/main" id="{00000000-0008-0000-0900-00004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127</xdr:row>
          <xdr:rowOff>38100</xdr:rowOff>
        </xdr:from>
        <xdr:to>
          <xdr:col>2</xdr:col>
          <xdr:colOff>285750</xdr:colOff>
          <xdr:row>128</xdr:row>
          <xdr:rowOff>28575</xdr:rowOff>
        </xdr:to>
        <xdr:sp macro="" textlink="">
          <xdr:nvSpPr>
            <xdr:cNvPr id="11342" name="Figura 232" hidden="1">
              <a:extLst>
                <a:ext uri="{63B3BB69-23CF-44E3-9099-C40C66FF867C}">
                  <a14:compatExt spid="_x0000_s11342"/>
                </a:ext>
                <a:ext uri="{FF2B5EF4-FFF2-40B4-BE49-F238E27FC236}">
                  <a16:creationId xmlns:a16="http://schemas.microsoft.com/office/drawing/2014/main" id="{00000000-0008-0000-0900-00004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129</xdr:row>
          <xdr:rowOff>38100</xdr:rowOff>
        </xdr:from>
        <xdr:to>
          <xdr:col>3</xdr:col>
          <xdr:colOff>371475</xdr:colOff>
          <xdr:row>130</xdr:row>
          <xdr:rowOff>57150</xdr:rowOff>
        </xdr:to>
        <xdr:sp macro="" textlink="">
          <xdr:nvSpPr>
            <xdr:cNvPr id="11343" name="Figura 233" hidden="1">
              <a:extLst>
                <a:ext uri="{63B3BB69-23CF-44E3-9099-C40C66FF867C}">
                  <a14:compatExt spid="_x0000_s11343"/>
                </a:ext>
                <a:ext uri="{FF2B5EF4-FFF2-40B4-BE49-F238E27FC236}">
                  <a16:creationId xmlns:a16="http://schemas.microsoft.com/office/drawing/2014/main" id="{00000000-0008-0000-0900-00004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130</xdr:row>
          <xdr:rowOff>171450</xdr:rowOff>
        </xdr:from>
        <xdr:to>
          <xdr:col>2</xdr:col>
          <xdr:colOff>523875</xdr:colOff>
          <xdr:row>132</xdr:row>
          <xdr:rowOff>133350</xdr:rowOff>
        </xdr:to>
        <xdr:sp macro="" textlink="">
          <xdr:nvSpPr>
            <xdr:cNvPr id="11344" name="Figura 234" hidden="1">
              <a:extLst>
                <a:ext uri="{63B3BB69-23CF-44E3-9099-C40C66FF867C}">
                  <a14:compatExt spid="_x0000_s11344"/>
                </a:ext>
                <a:ext uri="{FF2B5EF4-FFF2-40B4-BE49-F238E27FC236}">
                  <a16:creationId xmlns:a16="http://schemas.microsoft.com/office/drawing/2014/main" id="{00000000-0008-0000-0900-00005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590550</xdr:colOff>
          <xdr:row>123</xdr:row>
          <xdr:rowOff>19050</xdr:rowOff>
        </xdr:from>
        <xdr:to>
          <xdr:col>7</xdr:col>
          <xdr:colOff>257175</xdr:colOff>
          <xdr:row>124</xdr:row>
          <xdr:rowOff>28575</xdr:rowOff>
        </xdr:to>
        <xdr:sp macro="" textlink="">
          <xdr:nvSpPr>
            <xdr:cNvPr id="11345" name="Figura 235" hidden="1">
              <a:extLst>
                <a:ext uri="{63B3BB69-23CF-44E3-9099-C40C66FF867C}">
                  <a14:compatExt spid="_x0000_s11345"/>
                </a:ext>
                <a:ext uri="{FF2B5EF4-FFF2-40B4-BE49-F238E27FC236}">
                  <a16:creationId xmlns:a16="http://schemas.microsoft.com/office/drawing/2014/main" id="{00000000-0008-0000-0900-00005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428625</xdr:colOff>
          <xdr:row>136</xdr:row>
          <xdr:rowOff>47625</xdr:rowOff>
        </xdr:from>
        <xdr:to>
          <xdr:col>4</xdr:col>
          <xdr:colOff>142875</xdr:colOff>
          <xdr:row>137</xdr:row>
          <xdr:rowOff>57150</xdr:rowOff>
        </xdr:to>
        <xdr:sp macro="" textlink="">
          <xdr:nvSpPr>
            <xdr:cNvPr id="11346" name="Figura 236" hidden="1">
              <a:extLst>
                <a:ext uri="{63B3BB69-23CF-44E3-9099-C40C66FF867C}">
                  <a14:compatExt spid="_x0000_s11346"/>
                </a:ext>
                <a:ext uri="{FF2B5EF4-FFF2-40B4-BE49-F238E27FC236}">
                  <a16:creationId xmlns:a16="http://schemas.microsoft.com/office/drawing/2014/main" id="{00000000-0008-0000-0900-00005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335</xdr:row>
          <xdr:rowOff>9525</xdr:rowOff>
        </xdr:from>
        <xdr:to>
          <xdr:col>2</xdr:col>
          <xdr:colOff>95250</xdr:colOff>
          <xdr:row>336</xdr:row>
          <xdr:rowOff>19050</xdr:rowOff>
        </xdr:to>
        <xdr:sp macro="" textlink="">
          <xdr:nvSpPr>
            <xdr:cNvPr id="11347" name="Figura 253" hidden="1">
              <a:extLst>
                <a:ext uri="{63B3BB69-23CF-44E3-9099-C40C66FF867C}">
                  <a14:compatExt spid="_x0000_s11347"/>
                </a:ext>
                <a:ext uri="{FF2B5EF4-FFF2-40B4-BE49-F238E27FC236}">
                  <a16:creationId xmlns:a16="http://schemas.microsoft.com/office/drawing/2014/main" id="{00000000-0008-0000-0900-00005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352</xdr:row>
          <xdr:rowOff>0</xdr:rowOff>
        </xdr:from>
        <xdr:to>
          <xdr:col>4</xdr:col>
          <xdr:colOff>257175</xdr:colOff>
          <xdr:row>353</xdr:row>
          <xdr:rowOff>19050</xdr:rowOff>
        </xdr:to>
        <xdr:sp macro="" textlink="">
          <xdr:nvSpPr>
            <xdr:cNvPr id="11348" name="Figura 263" hidden="1">
              <a:extLst>
                <a:ext uri="{63B3BB69-23CF-44E3-9099-C40C66FF867C}">
                  <a14:compatExt spid="_x0000_s11348"/>
                </a:ext>
                <a:ext uri="{FF2B5EF4-FFF2-40B4-BE49-F238E27FC236}">
                  <a16:creationId xmlns:a16="http://schemas.microsoft.com/office/drawing/2014/main" id="{00000000-0008-0000-0900-00005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216</xdr:row>
          <xdr:rowOff>161925</xdr:rowOff>
        </xdr:from>
        <xdr:to>
          <xdr:col>10</xdr:col>
          <xdr:colOff>0</xdr:colOff>
          <xdr:row>226</xdr:row>
          <xdr:rowOff>47625</xdr:rowOff>
        </xdr:to>
        <xdr:sp macro="" textlink="">
          <xdr:nvSpPr>
            <xdr:cNvPr id="11349" name="Figura 268" hidden="1">
              <a:extLst>
                <a:ext uri="{63B3BB69-23CF-44E3-9099-C40C66FF867C}">
                  <a14:compatExt spid="_x0000_s11349"/>
                </a:ext>
                <a:ext uri="{FF2B5EF4-FFF2-40B4-BE49-F238E27FC236}">
                  <a16:creationId xmlns:a16="http://schemas.microsoft.com/office/drawing/2014/main" id="{00000000-0008-0000-0900-00005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90</xdr:row>
          <xdr:rowOff>19050</xdr:rowOff>
        </xdr:from>
        <xdr:to>
          <xdr:col>3</xdr:col>
          <xdr:colOff>847725</xdr:colOff>
          <xdr:row>90</xdr:row>
          <xdr:rowOff>209550</xdr:rowOff>
        </xdr:to>
        <xdr:sp macro="" textlink="">
          <xdr:nvSpPr>
            <xdr:cNvPr id="11350" name="Figura 130" hidden="1">
              <a:extLst>
                <a:ext uri="{63B3BB69-23CF-44E3-9099-C40C66FF867C}">
                  <a14:compatExt spid="_x0000_s11350"/>
                </a:ext>
                <a:ext uri="{FF2B5EF4-FFF2-40B4-BE49-F238E27FC236}">
                  <a16:creationId xmlns:a16="http://schemas.microsoft.com/office/drawing/2014/main" id="{00000000-0008-0000-0900-00005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91</xdr:row>
          <xdr:rowOff>114300</xdr:rowOff>
        </xdr:from>
        <xdr:to>
          <xdr:col>5</xdr:col>
          <xdr:colOff>47625</xdr:colOff>
          <xdr:row>92</xdr:row>
          <xdr:rowOff>142875</xdr:rowOff>
        </xdr:to>
        <xdr:sp macro="" textlink="">
          <xdr:nvSpPr>
            <xdr:cNvPr id="11351" name="Figura 131" hidden="1">
              <a:extLst>
                <a:ext uri="{63B3BB69-23CF-44E3-9099-C40C66FF867C}">
                  <a14:compatExt spid="_x0000_s11351"/>
                </a:ext>
                <a:ext uri="{FF2B5EF4-FFF2-40B4-BE49-F238E27FC236}">
                  <a16:creationId xmlns:a16="http://schemas.microsoft.com/office/drawing/2014/main" id="{00000000-0008-0000-0900-00005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93</xdr:row>
          <xdr:rowOff>66675</xdr:rowOff>
        </xdr:from>
        <xdr:to>
          <xdr:col>5</xdr:col>
          <xdr:colOff>638175</xdr:colOff>
          <xdr:row>94</xdr:row>
          <xdr:rowOff>123825</xdr:rowOff>
        </xdr:to>
        <xdr:sp macro="" textlink="">
          <xdr:nvSpPr>
            <xdr:cNvPr id="11352" name="Figura 133" hidden="1">
              <a:extLst>
                <a:ext uri="{63B3BB69-23CF-44E3-9099-C40C66FF867C}">
                  <a14:compatExt spid="_x0000_s11352"/>
                </a:ext>
                <a:ext uri="{FF2B5EF4-FFF2-40B4-BE49-F238E27FC236}">
                  <a16:creationId xmlns:a16="http://schemas.microsoft.com/office/drawing/2014/main" id="{00000000-0008-0000-0900-00005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242</xdr:row>
          <xdr:rowOff>123825</xdr:rowOff>
        </xdr:from>
        <xdr:to>
          <xdr:col>4</xdr:col>
          <xdr:colOff>742950</xdr:colOff>
          <xdr:row>244</xdr:row>
          <xdr:rowOff>133350</xdr:rowOff>
        </xdr:to>
        <xdr:sp macro="" textlink="">
          <xdr:nvSpPr>
            <xdr:cNvPr id="11353" name="Figura 205" hidden="1">
              <a:extLst>
                <a:ext uri="{63B3BB69-23CF-44E3-9099-C40C66FF867C}">
                  <a14:compatExt spid="_x0000_s11353"/>
                </a:ext>
                <a:ext uri="{FF2B5EF4-FFF2-40B4-BE49-F238E27FC236}">
                  <a16:creationId xmlns:a16="http://schemas.microsoft.com/office/drawing/2014/main" id="{00000000-0008-0000-0900-00005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338</xdr:row>
          <xdr:rowOff>180975</xdr:rowOff>
        </xdr:from>
        <xdr:to>
          <xdr:col>3</xdr:col>
          <xdr:colOff>533400</xdr:colOff>
          <xdr:row>340</xdr:row>
          <xdr:rowOff>47625</xdr:rowOff>
        </xdr:to>
        <xdr:sp macro="" textlink="">
          <xdr:nvSpPr>
            <xdr:cNvPr id="11354" name="Figura 280" hidden="1">
              <a:extLst>
                <a:ext uri="{63B3BB69-23CF-44E3-9099-C40C66FF867C}">
                  <a14:compatExt spid="_x0000_s11354"/>
                </a:ext>
                <a:ext uri="{FF2B5EF4-FFF2-40B4-BE49-F238E27FC236}">
                  <a16:creationId xmlns:a16="http://schemas.microsoft.com/office/drawing/2014/main" id="{00000000-0008-0000-0900-00005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448</xdr:row>
          <xdr:rowOff>19050</xdr:rowOff>
        </xdr:from>
        <xdr:to>
          <xdr:col>4</xdr:col>
          <xdr:colOff>123825</xdr:colOff>
          <xdr:row>449</xdr:row>
          <xdr:rowOff>38100</xdr:rowOff>
        </xdr:to>
        <xdr:sp macro="" textlink="">
          <xdr:nvSpPr>
            <xdr:cNvPr id="11355" name="Objeto 91" hidden="1">
              <a:extLst>
                <a:ext uri="{63B3BB69-23CF-44E3-9099-C40C66FF867C}">
                  <a14:compatExt spid="_x0000_s11355"/>
                </a:ext>
                <a:ext uri="{FF2B5EF4-FFF2-40B4-BE49-F238E27FC236}">
                  <a16:creationId xmlns:a16="http://schemas.microsoft.com/office/drawing/2014/main" id="{00000000-0008-0000-0900-00005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467</xdr:row>
          <xdr:rowOff>152400</xdr:rowOff>
        </xdr:from>
        <xdr:to>
          <xdr:col>3</xdr:col>
          <xdr:colOff>171450</xdr:colOff>
          <xdr:row>469</xdr:row>
          <xdr:rowOff>9525</xdr:rowOff>
        </xdr:to>
        <xdr:sp macro="" textlink="">
          <xdr:nvSpPr>
            <xdr:cNvPr id="11356" name="Objeto 92" hidden="1">
              <a:extLst>
                <a:ext uri="{63B3BB69-23CF-44E3-9099-C40C66FF867C}">
                  <a14:compatExt spid="_x0000_s11356"/>
                </a:ext>
                <a:ext uri="{FF2B5EF4-FFF2-40B4-BE49-F238E27FC236}">
                  <a16:creationId xmlns:a16="http://schemas.microsoft.com/office/drawing/2014/main" id="{00000000-0008-0000-0900-00005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637</xdr:row>
          <xdr:rowOff>19050</xdr:rowOff>
        </xdr:from>
        <xdr:to>
          <xdr:col>8</xdr:col>
          <xdr:colOff>85725</xdr:colOff>
          <xdr:row>638</xdr:row>
          <xdr:rowOff>47625</xdr:rowOff>
        </xdr:to>
        <xdr:sp macro="" textlink="">
          <xdr:nvSpPr>
            <xdr:cNvPr id="11357" name="Figura 239" hidden="1">
              <a:extLst>
                <a:ext uri="{63B3BB69-23CF-44E3-9099-C40C66FF867C}">
                  <a14:compatExt spid="_x0000_s11357"/>
                </a:ext>
                <a:ext uri="{FF2B5EF4-FFF2-40B4-BE49-F238E27FC236}">
                  <a16:creationId xmlns:a16="http://schemas.microsoft.com/office/drawing/2014/main" id="{00000000-0008-0000-0900-00005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685800</xdr:colOff>
          <xdr:row>569</xdr:row>
          <xdr:rowOff>123825</xdr:rowOff>
        </xdr:from>
        <xdr:to>
          <xdr:col>3</xdr:col>
          <xdr:colOff>57150</xdr:colOff>
          <xdr:row>571</xdr:row>
          <xdr:rowOff>95250</xdr:rowOff>
        </xdr:to>
        <xdr:sp macro="" textlink="">
          <xdr:nvSpPr>
            <xdr:cNvPr id="11358" name="Figura 179" hidden="1">
              <a:extLst>
                <a:ext uri="{63B3BB69-23CF-44E3-9099-C40C66FF867C}">
                  <a14:compatExt spid="_x0000_s11358"/>
                </a:ext>
                <a:ext uri="{FF2B5EF4-FFF2-40B4-BE49-F238E27FC236}">
                  <a16:creationId xmlns:a16="http://schemas.microsoft.com/office/drawing/2014/main" id="{00000000-0008-0000-0900-00005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571</xdr:row>
          <xdr:rowOff>114300</xdr:rowOff>
        </xdr:from>
        <xdr:to>
          <xdr:col>3</xdr:col>
          <xdr:colOff>152400</xdr:colOff>
          <xdr:row>573</xdr:row>
          <xdr:rowOff>114300</xdr:rowOff>
        </xdr:to>
        <xdr:sp macro="" textlink="">
          <xdr:nvSpPr>
            <xdr:cNvPr id="11359" name="Figura 244" hidden="1">
              <a:extLst>
                <a:ext uri="{63B3BB69-23CF-44E3-9099-C40C66FF867C}">
                  <a14:compatExt spid="_x0000_s11359"/>
                </a:ext>
                <a:ext uri="{FF2B5EF4-FFF2-40B4-BE49-F238E27FC236}">
                  <a16:creationId xmlns:a16="http://schemas.microsoft.com/office/drawing/2014/main" id="{00000000-0008-0000-0900-00005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384</xdr:row>
          <xdr:rowOff>0</xdr:rowOff>
        </xdr:from>
        <xdr:to>
          <xdr:col>3</xdr:col>
          <xdr:colOff>809625</xdr:colOff>
          <xdr:row>385</xdr:row>
          <xdr:rowOff>19050</xdr:rowOff>
        </xdr:to>
        <xdr:sp macro="" textlink="">
          <xdr:nvSpPr>
            <xdr:cNvPr id="11360" name="Figura 163" hidden="1">
              <a:extLst>
                <a:ext uri="{63B3BB69-23CF-44E3-9099-C40C66FF867C}">
                  <a14:compatExt spid="_x0000_s11360"/>
                </a:ext>
                <a:ext uri="{FF2B5EF4-FFF2-40B4-BE49-F238E27FC236}">
                  <a16:creationId xmlns:a16="http://schemas.microsoft.com/office/drawing/2014/main" id="{00000000-0008-0000-0900-00006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387</xdr:row>
          <xdr:rowOff>0</xdr:rowOff>
        </xdr:from>
        <xdr:to>
          <xdr:col>3</xdr:col>
          <xdr:colOff>809625</xdr:colOff>
          <xdr:row>388</xdr:row>
          <xdr:rowOff>19050</xdr:rowOff>
        </xdr:to>
        <xdr:sp macro="" textlink="">
          <xdr:nvSpPr>
            <xdr:cNvPr id="11361" name="Figura 164" hidden="1">
              <a:extLst>
                <a:ext uri="{63B3BB69-23CF-44E3-9099-C40C66FF867C}">
                  <a14:compatExt spid="_x0000_s11361"/>
                </a:ext>
                <a:ext uri="{FF2B5EF4-FFF2-40B4-BE49-F238E27FC236}">
                  <a16:creationId xmlns:a16="http://schemas.microsoft.com/office/drawing/2014/main" id="{00000000-0008-0000-0900-00006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390</xdr:row>
          <xdr:rowOff>0</xdr:rowOff>
        </xdr:from>
        <xdr:to>
          <xdr:col>3</xdr:col>
          <xdr:colOff>828675</xdr:colOff>
          <xdr:row>391</xdr:row>
          <xdr:rowOff>19050</xdr:rowOff>
        </xdr:to>
        <xdr:sp macro="" textlink="">
          <xdr:nvSpPr>
            <xdr:cNvPr id="11362" name="Figura 165" hidden="1">
              <a:extLst>
                <a:ext uri="{63B3BB69-23CF-44E3-9099-C40C66FF867C}">
                  <a14:compatExt spid="_x0000_s11362"/>
                </a:ext>
                <a:ext uri="{FF2B5EF4-FFF2-40B4-BE49-F238E27FC236}">
                  <a16:creationId xmlns:a16="http://schemas.microsoft.com/office/drawing/2014/main" id="{00000000-0008-0000-0900-00006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394</xdr:row>
          <xdr:rowOff>0</xdr:rowOff>
        </xdr:from>
        <xdr:to>
          <xdr:col>4</xdr:col>
          <xdr:colOff>200025</xdr:colOff>
          <xdr:row>396</xdr:row>
          <xdr:rowOff>142875</xdr:rowOff>
        </xdr:to>
        <xdr:sp macro="" textlink="">
          <xdr:nvSpPr>
            <xdr:cNvPr id="11363" name="Figura 166" hidden="1">
              <a:extLst>
                <a:ext uri="{63B3BB69-23CF-44E3-9099-C40C66FF867C}">
                  <a14:compatExt spid="_x0000_s11363"/>
                </a:ext>
                <a:ext uri="{FF2B5EF4-FFF2-40B4-BE49-F238E27FC236}">
                  <a16:creationId xmlns:a16="http://schemas.microsoft.com/office/drawing/2014/main" id="{00000000-0008-0000-0900-00006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371</xdr:row>
          <xdr:rowOff>0</xdr:rowOff>
        </xdr:from>
        <xdr:to>
          <xdr:col>5</xdr:col>
          <xdr:colOff>85725</xdr:colOff>
          <xdr:row>372</xdr:row>
          <xdr:rowOff>28575</xdr:rowOff>
        </xdr:to>
        <xdr:sp macro="" textlink="">
          <xdr:nvSpPr>
            <xdr:cNvPr id="11364" name="Figura 168" hidden="1">
              <a:extLst>
                <a:ext uri="{63B3BB69-23CF-44E3-9099-C40C66FF867C}">
                  <a14:compatExt spid="_x0000_s11364"/>
                </a:ext>
                <a:ext uri="{FF2B5EF4-FFF2-40B4-BE49-F238E27FC236}">
                  <a16:creationId xmlns:a16="http://schemas.microsoft.com/office/drawing/2014/main" id="{00000000-0008-0000-0900-00006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374</xdr:row>
          <xdr:rowOff>0</xdr:rowOff>
        </xdr:from>
        <xdr:to>
          <xdr:col>4</xdr:col>
          <xdr:colOff>714375</xdr:colOff>
          <xdr:row>375</xdr:row>
          <xdr:rowOff>28575</xdr:rowOff>
        </xdr:to>
        <xdr:sp macro="" textlink="">
          <xdr:nvSpPr>
            <xdr:cNvPr id="11365" name="Figura 169" hidden="1">
              <a:extLst>
                <a:ext uri="{63B3BB69-23CF-44E3-9099-C40C66FF867C}">
                  <a14:compatExt spid="_x0000_s11365"/>
                </a:ext>
                <a:ext uri="{FF2B5EF4-FFF2-40B4-BE49-F238E27FC236}">
                  <a16:creationId xmlns:a16="http://schemas.microsoft.com/office/drawing/2014/main" id="{00000000-0008-0000-0900-00006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377</xdr:row>
          <xdr:rowOff>0</xdr:rowOff>
        </xdr:from>
        <xdr:to>
          <xdr:col>6</xdr:col>
          <xdr:colOff>190500</xdr:colOff>
          <xdr:row>378</xdr:row>
          <xdr:rowOff>28575</xdr:rowOff>
        </xdr:to>
        <xdr:sp macro="" textlink="">
          <xdr:nvSpPr>
            <xdr:cNvPr id="11366" name="Figura 170" hidden="1">
              <a:extLst>
                <a:ext uri="{63B3BB69-23CF-44E3-9099-C40C66FF867C}">
                  <a14:compatExt spid="_x0000_s11366"/>
                </a:ext>
                <a:ext uri="{FF2B5EF4-FFF2-40B4-BE49-F238E27FC236}">
                  <a16:creationId xmlns:a16="http://schemas.microsoft.com/office/drawing/2014/main" id="{00000000-0008-0000-0900-00006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379</xdr:row>
          <xdr:rowOff>171450</xdr:rowOff>
        </xdr:from>
        <xdr:to>
          <xdr:col>5</xdr:col>
          <xdr:colOff>762000</xdr:colOff>
          <xdr:row>381</xdr:row>
          <xdr:rowOff>0</xdr:rowOff>
        </xdr:to>
        <xdr:sp macro="" textlink="">
          <xdr:nvSpPr>
            <xdr:cNvPr id="11367" name="Figura 171" hidden="1">
              <a:extLst>
                <a:ext uri="{63B3BB69-23CF-44E3-9099-C40C66FF867C}">
                  <a14:compatExt spid="_x0000_s11367"/>
                </a:ext>
                <a:ext uri="{FF2B5EF4-FFF2-40B4-BE49-F238E27FC236}">
                  <a16:creationId xmlns:a16="http://schemas.microsoft.com/office/drawing/2014/main" id="{00000000-0008-0000-0900-00006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399</xdr:row>
          <xdr:rowOff>38100</xdr:rowOff>
        </xdr:from>
        <xdr:to>
          <xdr:col>5</xdr:col>
          <xdr:colOff>85725</xdr:colOff>
          <xdr:row>400</xdr:row>
          <xdr:rowOff>85725</xdr:rowOff>
        </xdr:to>
        <xdr:sp macro="" textlink="">
          <xdr:nvSpPr>
            <xdr:cNvPr id="11368" name="Figura 172" hidden="1">
              <a:extLst>
                <a:ext uri="{63B3BB69-23CF-44E3-9099-C40C66FF867C}">
                  <a14:compatExt spid="_x0000_s11368"/>
                </a:ext>
                <a:ext uri="{FF2B5EF4-FFF2-40B4-BE49-F238E27FC236}">
                  <a16:creationId xmlns:a16="http://schemas.microsoft.com/office/drawing/2014/main" id="{00000000-0008-0000-0900-00006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384</xdr:row>
          <xdr:rowOff>9525</xdr:rowOff>
        </xdr:from>
        <xdr:to>
          <xdr:col>7</xdr:col>
          <xdr:colOff>676275</xdr:colOff>
          <xdr:row>385</xdr:row>
          <xdr:rowOff>9525</xdr:rowOff>
        </xdr:to>
        <xdr:sp macro="" textlink="">
          <xdr:nvSpPr>
            <xdr:cNvPr id="11369" name="Figura 200" hidden="1">
              <a:extLst>
                <a:ext uri="{63B3BB69-23CF-44E3-9099-C40C66FF867C}">
                  <a14:compatExt spid="_x0000_s11369"/>
                </a:ext>
                <a:ext uri="{FF2B5EF4-FFF2-40B4-BE49-F238E27FC236}">
                  <a16:creationId xmlns:a16="http://schemas.microsoft.com/office/drawing/2014/main" id="{00000000-0008-0000-0900-00006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387</xdr:row>
          <xdr:rowOff>9525</xdr:rowOff>
        </xdr:from>
        <xdr:to>
          <xdr:col>7</xdr:col>
          <xdr:colOff>676275</xdr:colOff>
          <xdr:row>388</xdr:row>
          <xdr:rowOff>9525</xdr:rowOff>
        </xdr:to>
        <xdr:sp macro="" textlink="">
          <xdr:nvSpPr>
            <xdr:cNvPr id="11370" name="Figura 201" hidden="1">
              <a:extLst>
                <a:ext uri="{63B3BB69-23CF-44E3-9099-C40C66FF867C}">
                  <a14:compatExt spid="_x0000_s11370"/>
                </a:ext>
                <a:ext uri="{FF2B5EF4-FFF2-40B4-BE49-F238E27FC236}">
                  <a16:creationId xmlns:a16="http://schemas.microsoft.com/office/drawing/2014/main" id="{00000000-0008-0000-0900-00006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390</xdr:row>
          <xdr:rowOff>9525</xdr:rowOff>
        </xdr:from>
        <xdr:to>
          <xdr:col>7</xdr:col>
          <xdr:colOff>676275</xdr:colOff>
          <xdr:row>391</xdr:row>
          <xdr:rowOff>9525</xdr:rowOff>
        </xdr:to>
        <xdr:sp macro="" textlink="">
          <xdr:nvSpPr>
            <xdr:cNvPr id="11371" name="Figura 202" hidden="1">
              <a:extLst>
                <a:ext uri="{63B3BB69-23CF-44E3-9099-C40C66FF867C}">
                  <a14:compatExt spid="_x0000_s11371"/>
                </a:ext>
                <a:ext uri="{FF2B5EF4-FFF2-40B4-BE49-F238E27FC236}">
                  <a16:creationId xmlns:a16="http://schemas.microsoft.com/office/drawing/2014/main" id="{00000000-0008-0000-0900-00006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494</xdr:row>
          <xdr:rowOff>47625</xdr:rowOff>
        </xdr:from>
        <xdr:to>
          <xdr:col>8</xdr:col>
          <xdr:colOff>123825</xdr:colOff>
          <xdr:row>495</xdr:row>
          <xdr:rowOff>47625</xdr:rowOff>
        </xdr:to>
        <xdr:sp macro="" textlink="">
          <xdr:nvSpPr>
            <xdr:cNvPr id="11372" name="Objeto 108" hidden="1">
              <a:extLst>
                <a:ext uri="{63B3BB69-23CF-44E3-9099-C40C66FF867C}">
                  <a14:compatExt spid="_x0000_s11372"/>
                </a:ext>
                <a:ext uri="{FF2B5EF4-FFF2-40B4-BE49-F238E27FC236}">
                  <a16:creationId xmlns:a16="http://schemas.microsoft.com/office/drawing/2014/main" id="{00000000-0008-0000-0900-00006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62.emf"/><Relationship Id="rId21" Type="http://schemas.openxmlformats.org/officeDocument/2006/relationships/image" Target="../media/image122.emf"/><Relationship Id="rId42" Type="http://schemas.openxmlformats.org/officeDocument/2006/relationships/oleObject" Target="../embeddings/oleObject124.bin"/><Relationship Id="rId63" Type="http://schemas.openxmlformats.org/officeDocument/2006/relationships/image" Target="../media/image21.emf"/><Relationship Id="rId84" Type="http://schemas.openxmlformats.org/officeDocument/2006/relationships/oleObject" Target="../embeddings/oleObject145.bin"/><Relationship Id="rId138" Type="http://schemas.openxmlformats.org/officeDocument/2006/relationships/oleObject" Target="../embeddings/oleObject172.bin"/><Relationship Id="rId159" Type="http://schemas.openxmlformats.org/officeDocument/2006/relationships/image" Target="../media/image181.emf"/><Relationship Id="rId170" Type="http://schemas.openxmlformats.org/officeDocument/2006/relationships/oleObject" Target="../embeddings/oleObject188.bin"/><Relationship Id="rId191" Type="http://schemas.openxmlformats.org/officeDocument/2006/relationships/image" Target="../media/image195.emf"/><Relationship Id="rId205" Type="http://schemas.openxmlformats.org/officeDocument/2006/relationships/image" Target="../media/image198.emf"/><Relationship Id="rId107" Type="http://schemas.openxmlformats.org/officeDocument/2006/relationships/image" Target="../media/image158.emf"/><Relationship Id="rId11" Type="http://schemas.openxmlformats.org/officeDocument/2006/relationships/image" Target="../media/image117.emf"/><Relationship Id="rId32" Type="http://schemas.openxmlformats.org/officeDocument/2006/relationships/oleObject" Target="../embeddings/oleObject119.bin"/><Relationship Id="rId53" Type="http://schemas.openxmlformats.org/officeDocument/2006/relationships/image" Target="../media/image20.emf"/><Relationship Id="rId74" Type="http://schemas.openxmlformats.org/officeDocument/2006/relationships/oleObject" Target="../embeddings/oleObject140.bin"/><Relationship Id="rId128" Type="http://schemas.openxmlformats.org/officeDocument/2006/relationships/oleObject" Target="../embeddings/oleObject167.bin"/><Relationship Id="rId149" Type="http://schemas.openxmlformats.org/officeDocument/2006/relationships/image" Target="../media/image177.emf"/><Relationship Id="rId5" Type="http://schemas.openxmlformats.org/officeDocument/2006/relationships/image" Target="../media/image114.emf"/><Relationship Id="rId95" Type="http://schemas.openxmlformats.org/officeDocument/2006/relationships/image" Target="../media/image152.emf"/><Relationship Id="rId160" Type="http://schemas.openxmlformats.org/officeDocument/2006/relationships/oleObject" Target="../embeddings/oleObject183.bin"/><Relationship Id="rId181" Type="http://schemas.openxmlformats.org/officeDocument/2006/relationships/image" Target="../media/image192.emf"/><Relationship Id="rId216" Type="http://schemas.openxmlformats.org/officeDocument/2006/relationships/oleObject" Target="../embeddings/oleObject210.bin"/><Relationship Id="rId22" Type="http://schemas.openxmlformats.org/officeDocument/2006/relationships/oleObject" Target="../embeddings/oleObject114.bin"/><Relationship Id="rId43" Type="http://schemas.openxmlformats.org/officeDocument/2006/relationships/image" Target="../media/image133.emf"/><Relationship Id="rId64" Type="http://schemas.openxmlformats.org/officeDocument/2006/relationships/oleObject" Target="../embeddings/oleObject135.bin"/><Relationship Id="rId118" Type="http://schemas.openxmlformats.org/officeDocument/2006/relationships/oleObject" Target="../embeddings/oleObject162.bin"/><Relationship Id="rId139" Type="http://schemas.openxmlformats.org/officeDocument/2006/relationships/image" Target="../media/image172.emf"/><Relationship Id="rId85" Type="http://schemas.openxmlformats.org/officeDocument/2006/relationships/image" Target="../media/image147.emf"/><Relationship Id="rId150" Type="http://schemas.openxmlformats.org/officeDocument/2006/relationships/oleObject" Target="../embeddings/oleObject178.bin"/><Relationship Id="rId171" Type="http://schemas.openxmlformats.org/officeDocument/2006/relationships/image" Target="../media/image187.emf"/><Relationship Id="rId192" Type="http://schemas.openxmlformats.org/officeDocument/2006/relationships/oleObject" Target="../embeddings/oleObject198.bin"/><Relationship Id="rId206" Type="http://schemas.openxmlformats.org/officeDocument/2006/relationships/oleObject" Target="../embeddings/oleObject205.bin"/><Relationship Id="rId12" Type="http://schemas.openxmlformats.org/officeDocument/2006/relationships/oleObject" Target="../embeddings/oleObject109.bin"/><Relationship Id="rId33" Type="http://schemas.openxmlformats.org/officeDocument/2006/relationships/image" Target="../media/image128.emf"/><Relationship Id="rId108" Type="http://schemas.openxmlformats.org/officeDocument/2006/relationships/oleObject" Target="../embeddings/oleObject157.bin"/><Relationship Id="rId129" Type="http://schemas.openxmlformats.org/officeDocument/2006/relationships/image" Target="../media/image27.emf"/><Relationship Id="rId54" Type="http://schemas.openxmlformats.org/officeDocument/2006/relationships/oleObject" Target="../embeddings/oleObject130.bin"/><Relationship Id="rId75" Type="http://schemas.openxmlformats.org/officeDocument/2006/relationships/image" Target="../media/image142.emf"/><Relationship Id="rId96" Type="http://schemas.openxmlformats.org/officeDocument/2006/relationships/oleObject" Target="../embeddings/oleObject151.bin"/><Relationship Id="rId140" Type="http://schemas.openxmlformats.org/officeDocument/2006/relationships/oleObject" Target="../embeddings/oleObject173.bin"/><Relationship Id="rId161" Type="http://schemas.openxmlformats.org/officeDocument/2006/relationships/image" Target="../media/image182.emf"/><Relationship Id="rId182" Type="http://schemas.openxmlformats.org/officeDocument/2006/relationships/oleObject" Target="../embeddings/oleObject193.bin"/><Relationship Id="rId217" Type="http://schemas.openxmlformats.org/officeDocument/2006/relationships/image" Target="../media/image203.emf"/><Relationship Id="rId6" Type="http://schemas.openxmlformats.org/officeDocument/2006/relationships/oleObject" Target="../embeddings/oleObject106.bin"/><Relationship Id="rId23" Type="http://schemas.openxmlformats.org/officeDocument/2006/relationships/image" Target="../media/image123.emf"/><Relationship Id="rId119" Type="http://schemas.openxmlformats.org/officeDocument/2006/relationships/image" Target="../media/image163.emf"/><Relationship Id="rId44" Type="http://schemas.openxmlformats.org/officeDocument/2006/relationships/oleObject" Target="../embeddings/oleObject125.bin"/><Relationship Id="rId65" Type="http://schemas.openxmlformats.org/officeDocument/2006/relationships/image" Target="../media/image137.emf"/><Relationship Id="rId86" Type="http://schemas.openxmlformats.org/officeDocument/2006/relationships/oleObject" Target="../embeddings/oleObject146.bin"/><Relationship Id="rId130" Type="http://schemas.openxmlformats.org/officeDocument/2006/relationships/oleObject" Target="../embeddings/oleObject168.bin"/><Relationship Id="rId151" Type="http://schemas.openxmlformats.org/officeDocument/2006/relationships/image" Target="../media/image178.emf"/><Relationship Id="rId172" Type="http://schemas.openxmlformats.org/officeDocument/2006/relationships/oleObject" Target="../embeddings/Microsoft_Word_97_-_2003_Document3.doc"/><Relationship Id="rId193" Type="http://schemas.openxmlformats.org/officeDocument/2006/relationships/image" Target="../media/image196.emf"/><Relationship Id="rId207" Type="http://schemas.openxmlformats.org/officeDocument/2006/relationships/image" Target="../media/image199.emf"/><Relationship Id="rId13" Type="http://schemas.openxmlformats.org/officeDocument/2006/relationships/image" Target="../media/image118.emf"/><Relationship Id="rId109" Type="http://schemas.openxmlformats.org/officeDocument/2006/relationships/image" Target="../media/image159.emf"/><Relationship Id="rId34" Type="http://schemas.openxmlformats.org/officeDocument/2006/relationships/oleObject" Target="../embeddings/oleObject120.bin"/><Relationship Id="rId55" Type="http://schemas.openxmlformats.org/officeDocument/2006/relationships/image" Target="../media/image22.emf"/><Relationship Id="rId76" Type="http://schemas.openxmlformats.org/officeDocument/2006/relationships/oleObject" Target="../embeddings/oleObject141.bin"/><Relationship Id="rId97" Type="http://schemas.openxmlformats.org/officeDocument/2006/relationships/image" Target="../media/image153.emf"/><Relationship Id="rId120" Type="http://schemas.openxmlformats.org/officeDocument/2006/relationships/oleObject" Target="../embeddings/oleObject163.bin"/><Relationship Id="rId141" Type="http://schemas.openxmlformats.org/officeDocument/2006/relationships/image" Target="../media/image173.emf"/><Relationship Id="rId7" Type="http://schemas.openxmlformats.org/officeDocument/2006/relationships/image" Target="../media/image115.emf"/><Relationship Id="rId162" Type="http://schemas.openxmlformats.org/officeDocument/2006/relationships/oleObject" Target="../embeddings/oleObject184.bin"/><Relationship Id="rId183" Type="http://schemas.openxmlformats.org/officeDocument/2006/relationships/image" Target="../media/image193.emf"/><Relationship Id="rId218" Type="http://schemas.openxmlformats.org/officeDocument/2006/relationships/oleObject" Target="../embeddings/oleObject211.bin"/><Relationship Id="rId24" Type="http://schemas.openxmlformats.org/officeDocument/2006/relationships/oleObject" Target="../embeddings/oleObject115.bin"/><Relationship Id="rId45" Type="http://schemas.openxmlformats.org/officeDocument/2006/relationships/image" Target="../media/image134.emf"/><Relationship Id="rId66" Type="http://schemas.openxmlformats.org/officeDocument/2006/relationships/oleObject" Target="../embeddings/oleObject136.bin"/><Relationship Id="rId87" Type="http://schemas.openxmlformats.org/officeDocument/2006/relationships/image" Target="../media/image148.emf"/><Relationship Id="rId110" Type="http://schemas.openxmlformats.org/officeDocument/2006/relationships/oleObject" Target="../embeddings/oleObject158.bin"/><Relationship Id="rId131" Type="http://schemas.openxmlformats.org/officeDocument/2006/relationships/image" Target="../media/image168.emf"/><Relationship Id="rId152" Type="http://schemas.openxmlformats.org/officeDocument/2006/relationships/oleObject" Target="../embeddings/oleObject179.bin"/><Relationship Id="rId173" Type="http://schemas.openxmlformats.org/officeDocument/2006/relationships/image" Target="../media/image188.emf"/><Relationship Id="rId194" Type="http://schemas.openxmlformats.org/officeDocument/2006/relationships/oleObject" Target="../embeddings/oleObject199.bin"/><Relationship Id="rId208" Type="http://schemas.openxmlformats.org/officeDocument/2006/relationships/oleObject" Target="../embeddings/oleObject206.bin"/><Relationship Id="rId14" Type="http://schemas.openxmlformats.org/officeDocument/2006/relationships/oleObject" Target="../embeddings/oleObject110.bin"/><Relationship Id="rId30" Type="http://schemas.openxmlformats.org/officeDocument/2006/relationships/oleObject" Target="../embeddings/oleObject118.bin"/><Relationship Id="rId35" Type="http://schemas.openxmlformats.org/officeDocument/2006/relationships/image" Target="../media/image129.emf"/><Relationship Id="rId56" Type="http://schemas.openxmlformats.org/officeDocument/2006/relationships/oleObject" Target="../embeddings/oleObject131.bin"/><Relationship Id="rId77" Type="http://schemas.openxmlformats.org/officeDocument/2006/relationships/image" Target="../media/image143.emf"/><Relationship Id="rId100" Type="http://schemas.openxmlformats.org/officeDocument/2006/relationships/oleObject" Target="../embeddings/oleObject153.bin"/><Relationship Id="rId105" Type="http://schemas.openxmlformats.org/officeDocument/2006/relationships/image" Target="../media/image157.emf"/><Relationship Id="rId126" Type="http://schemas.openxmlformats.org/officeDocument/2006/relationships/oleObject" Target="../embeddings/oleObject166.bin"/><Relationship Id="rId147" Type="http://schemas.openxmlformats.org/officeDocument/2006/relationships/image" Target="../media/image176.emf"/><Relationship Id="rId168" Type="http://schemas.openxmlformats.org/officeDocument/2006/relationships/oleObject" Target="../embeddings/oleObject187.bin"/><Relationship Id="rId8" Type="http://schemas.openxmlformats.org/officeDocument/2006/relationships/oleObject" Target="../embeddings/oleObject107.bin"/><Relationship Id="rId51" Type="http://schemas.openxmlformats.org/officeDocument/2006/relationships/image" Target="../media/image19.emf"/><Relationship Id="rId72" Type="http://schemas.openxmlformats.org/officeDocument/2006/relationships/oleObject" Target="../embeddings/oleObject139.bin"/><Relationship Id="rId93" Type="http://schemas.openxmlformats.org/officeDocument/2006/relationships/image" Target="../media/image151.emf"/><Relationship Id="rId98" Type="http://schemas.openxmlformats.org/officeDocument/2006/relationships/oleObject" Target="../embeddings/oleObject152.bin"/><Relationship Id="rId121" Type="http://schemas.openxmlformats.org/officeDocument/2006/relationships/image" Target="../media/image164.emf"/><Relationship Id="rId142" Type="http://schemas.openxmlformats.org/officeDocument/2006/relationships/oleObject" Target="../embeddings/oleObject174.bin"/><Relationship Id="rId163" Type="http://schemas.openxmlformats.org/officeDocument/2006/relationships/image" Target="../media/image183.emf"/><Relationship Id="rId184" Type="http://schemas.openxmlformats.org/officeDocument/2006/relationships/oleObject" Target="../embeddings/oleObject194.bin"/><Relationship Id="rId189" Type="http://schemas.openxmlformats.org/officeDocument/2006/relationships/image" Target="../media/image194.emf"/><Relationship Id="rId3" Type="http://schemas.openxmlformats.org/officeDocument/2006/relationships/vmlDrawing" Target="../drawings/vmlDrawing9.vml"/><Relationship Id="rId214" Type="http://schemas.openxmlformats.org/officeDocument/2006/relationships/oleObject" Target="../embeddings/oleObject209.bin"/><Relationship Id="rId25" Type="http://schemas.openxmlformats.org/officeDocument/2006/relationships/image" Target="../media/image124.emf"/><Relationship Id="rId46" Type="http://schemas.openxmlformats.org/officeDocument/2006/relationships/oleObject" Target="../embeddings/oleObject126.bin"/><Relationship Id="rId67" Type="http://schemas.openxmlformats.org/officeDocument/2006/relationships/image" Target="../media/image138.emf"/><Relationship Id="rId116" Type="http://schemas.openxmlformats.org/officeDocument/2006/relationships/oleObject" Target="../embeddings/oleObject161.bin"/><Relationship Id="rId137" Type="http://schemas.openxmlformats.org/officeDocument/2006/relationships/image" Target="../media/image171.emf"/><Relationship Id="rId158" Type="http://schemas.openxmlformats.org/officeDocument/2006/relationships/oleObject" Target="../embeddings/oleObject182.bin"/><Relationship Id="rId20" Type="http://schemas.openxmlformats.org/officeDocument/2006/relationships/oleObject" Target="../embeddings/oleObject113.bin"/><Relationship Id="rId41" Type="http://schemas.openxmlformats.org/officeDocument/2006/relationships/image" Target="../media/image132.emf"/><Relationship Id="rId62" Type="http://schemas.openxmlformats.org/officeDocument/2006/relationships/oleObject" Target="../embeddings/oleObject134.bin"/><Relationship Id="rId83" Type="http://schemas.openxmlformats.org/officeDocument/2006/relationships/image" Target="../media/image146.emf"/><Relationship Id="rId88" Type="http://schemas.openxmlformats.org/officeDocument/2006/relationships/oleObject" Target="../embeddings/oleObject147.bin"/><Relationship Id="rId111" Type="http://schemas.openxmlformats.org/officeDocument/2006/relationships/image" Target="../media/image160.emf"/><Relationship Id="rId132" Type="http://schemas.openxmlformats.org/officeDocument/2006/relationships/oleObject" Target="../embeddings/oleObject169.bin"/><Relationship Id="rId153" Type="http://schemas.openxmlformats.org/officeDocument/2006/relationships/image" Target="../media/image26.emf"/><Relationship Id="rId174" Type="http://schemas.openxmlformats.org/officeDocument/2006/relationships/oleObject" Target="../embeddings/oleObject189.bin"/><Relationship Id="rId179" Type="http://schemas.openxmlformats.org/officeDocument/2006/relationships/image" Target="../media/image191.emf"/><Relationship Id="rId195" Type="http://schemas.openxmlformats.org/officeDocument/2006/relationships/image" Target="../media/image28.emf"/><Relationship Id="rId209" Type="http://schemas.openxmlformats.org/officeDocument/2006/relationships/image" Target="../media/image200.emf"/><Relationship Id="rId190" Type="http://schemas.openxmlformats.org/officeDocument/2006/relationships/oleObject" Target="../embeddings/oleObject197.bin"/><Relationship Id="rId204" Type="http://schemas.openxmlformats.org/officeDocument/2006/relationships/oleObject" Target="../embeddings/oleObject204.bin"/><Relationship Id="rId15" Type="http://schemas.openxmlformats.org/officeDocument/2006/relationships/image" Target="../media/image119.emf"/><Relationship Id="rId36" Type="http://schemas.openxmlformats.org/officeDocument/2006/relationships/oleObject" Target="../embeddings/oleObject121.bin"/><Relationship Id="rId57" Type="http://schemas.openxmlformats.org/officeDocument/2006/relationships/image" Target="../media/image23.emf"/><Relationship Id="rId106" Type="http://schemas.openxmlformats.org/officeDocument/2006/relationships/oleObject" Target="../embeddings/oleObject156.bin"/><Relationship Id="rId127" Type="http://schemas.openxmlformats.org/officeDocument/2006/relationships/image" Target="../media/image167.emf"/><Relationship Id="rId10" Type="http://schemas.openxmlformats.org/officeDocument/2006/relationships/oleObject" Target="../embeddings/oleObject108.bin"/><Relationship Id="rId31" Type="http://schemas.openxmlformats.org/officeDocument/2006/relationships/image" Target="../media/image127.emf"/><Relationship Id="rId52" Type="http://schemas.openxmlformats.org/officeDocument/2006/relationships/oleObject" Target="../embeddings/oleObject129.bin"/><Relationship Id="rId73" Type="http://schemas.openxmlformats.org/officeDocument/2006/relationships/image" Target="../media/image141.emf"/><Relationship Id="rId78" Type="http://schemas.openxmlformats.org/officeDocument/2006/relationships/oleObject" Target="../embeddings/oleObject142.bin"/><Relationship Id="rId94" Type="http://schemas.openxmlformats.org/officeDocument/2006/relationships/oleObject" Target="../embeddings/oleObject150.bin"/><Relationship Id="rId99" Type="http://schemas.openxmlformats.org/officeDocument/2006/relationships/image" Target="../media/image154.emf"/><Relationship Id="rId101" Type="http://schemas.openxmlformats.org/officeDocument/2006/relationships/image" Target="../media/image155.emf"/><Relationship Id="rId122" Type="http://schemas.openxmlformats.org/officeDocument/2006/relationships/oleObject" Target="../embeddings/oleObject164.bin"/><Relationship Id="rId143" Type="http://schemas.openxmlformats.org/officeDocument/2006/relationships/image" Target="../media/image174.emf"/><Relationship Id="rId148" Type="http://schemas.openxmlformats.org/officeDocument/2006/relationships/oleObject" Target="../embeddings/oleObject177.bin"/><Relationship Id="rId164" Type="http://schemas.openxmlformats.org/officeDocument/2006/relationships/oleObject" Target="../embeddings/oleObject185.bin"/><Relationship Id="rId169" Type="http://schemas.openxmlformats.org/officeDocument/2006/relationships/image" Target="../media/image186.emf"/><Relationship Id="rId185" Type="http://schemas.openxmlformats.org/officeDocument/2006/relationships/image" Target="../media/image34.emf"/><Relationship Id="rId4" Type="http://schemas.openxmlformats.org/officeDocument/2006/relationships/oleObject" Target="../embeddings/oleObject105.bin"/><Relationship Id="rId9" Type="http://schemas.openxmlformats.org/officeDocument/2006/relationships/image" Target="../media/image116.emf"/><Relationship Id="rId180" Type="http://schemas.openxmlformats.org/officeDocument/2006/relationships/oleObject" Target="../embeddings/oleObject192.bin"/><Relationship Id="rId210" Type="http://schemas.openxmlformats.org/officeDocument/2006/relationships/oleObject" Target="../embeddings/oleObject207.bin"/><Relationship Id="rId215" Type="http://schemas.openxmlformats.org/officeDocument/2006/relationships/image" Target="../media/image202.emf"/><Relationship Id="rId26" Type="http://schemas.openxmlformats.org/officeDocument/2006/relationships/oleObject" Target="../embeddings/oleObject116.bin"/><Relationship Id="rId47" Type="http://schemas.openxmlformats.org/officeDocument/2006/relationships/image" Target="../media/image135.emf"/><Relationship Id="rId68" Type="http://schemas.openxmlformats.org/officeDocument/2006/relationships/oleObject" Target="../embeddings/oleObject137.bin"/><Relationship Id="rId89" Type="http://schemas.openxmlformats.org/officeDocument/2006/relationships/image" Target="../media/image149.emf"/><Relationship Id="rId112" Type="http://schemas.openxmlformats.org/officeDocument/2006/relationships/oleObject" Target="../embeddings/oleObject159.bin"/><Relationship Id="rId133" Type="http://schemas.openxmlformats.org/officeDocument/2006/relationships/image" Target="../media/image169.emf"/><Relationship Id="rId154" Type="http://schemas.openxmlformats.org/officeDocument/2006/relationships/oleObject" Target="../embeddings/oleObject180.bin"/><Relationship Id="rId175" Type="http://schemas.openxmlformats.org/officeDocument/2006/relationships/image" Target="../media/image189.emf"/><Relationship Id="rId196" Type="http://schemas.openxmlformats.org/officeDocument/2006/relationships/oleObject" Target="../embeddings/oleObject200.bin"/><Relationship Id="rId200" Type="http://schemas.openxmlformats.org/officeDocument/2006/relationships/oleObject" Target="../embeddings/oleObject202.bin"/><Relationship Id="rId16" Type="http://schemas.openxmlformats.org/officeDocument/2006/relationships/oleObject" Target="../embeddings/oleObject111.bin"/><Relationship Id="rId37" Type="http://schemas.openxmlformats.org/officeDocument/2006/relationships/image" Target="../media/image130.emf"/><Relationship Id="rId58" Type="http://schemas.openxmlformats.org/officeDocument/2006/relationships/oleObject" Target="../embeddings/oleObject132.bin"/><Relationship Id="rId79" Type="http://schemas.openxmlformats.org/officeDocument/2006/relationships/image" Target="../media/image144.emf"/><Relationship Id="rId102" Type="http://schemas.openxmlformats.org/officeDocument/2006/relationships/oleObject" Target="../embeddings/oleObject154.bin"/><Relationship Id="rId123" Type="http://schemas.openxmlformats.org/officeDocument/2006/relationships/image" Target="../media/image165.emf"/><Relationship Id="rId144" Type="http://schemas.openxmlformats.org/officeDocument/2006/relationships/oleObject" Target="../embeddings/oleObject175.bin"/><Relationship Id="rId90" Type="http://schemas.openxmlformats.org/officeDocument/2006/relationships/oleObject" Target="../embeddings/oleObject148.bin"/><Relationship Id="rId165" Type="http://schemas.openxmlformats.org/officeDocument/2006/relationships/image" Target="../media/image184.emf"/><Relationship Id="rId186" Type="http://schemas.openxmlformats.org/officeDocument/2006/relationships/oleObject" Target="../embeddings/oleObject195.bin"/><Relationship Id="rId211" Type="http://schemas.openxmlformats.org/officeDocument/2006/relationships/image" Target="../media/image32.emf"/><Relationship Id="rId27" Type="http://schemas.openxmlformats.org/officeDocument/2006/relationships/image" Target="../media/image125.emf"/><Relationship Id="rId48" Type="http://schemas.openxmlformats.org/officeDocument/2006/relationships/oleObject" Target="../embeddings/oleObject127.bin"/><Relationship Id="rId69" Type="http://schemas.openxmlformats.org/officeDocument/2006/relationships/image" Target="../media/image139.emf"/><Relationship Id="rId113" Type="http://schemas.openxmlformats.org/officeDocument/2006/relationships/image" Target="../media/image161.emf"/><Relationship Id="rId134" Type="http://schemas.openxmlformats.org/officeDocument/2006/relationships/oleObject" Target="../embeddings/oleObject170.bin"/><Relationship Id="rId80" Type="http://schemas.openxmlformats.org/officeDocument/2006/relationships/oleObject" Target="../embeddings/oleObject143.bin"/><Relationship Id="rId155" Type="http://schemas.openxmlformats.org/officeDocument/2006/relationships/image" Target="../media/image179.emf"/><Relationship Id="rId176" Type="http://schemas.openxmlformats.org/officeDocument/2006/relationships/oleObject" Target="../embeddings/oleObject190.bin"/><Relationship Id="rId197" Type="http://schemas.openxmlformats.org/officeDocument/2006/relationships/image" Target="../media/image29.emf"/><Relationship Id="rId201" Type="http://schemas.openxmlformats.org/officeDocument/2006/relationships/image" Target="../media/image31.emf"/><Relationship Id="rId17" Type="http://schemas.openxmlformats.org/officeDocument/2006/relationships/image" Target="../media/image120.emf"/><Relationship Id="rId38" Type="http://schemas.openxmlformats.org/officeDocument/2006/relationships/oleObject" Target="../embeddings/oleObject122.bin"/><Relationship Id="rId59" Type="http://schemas.openxmlformats.org/officeDocument/2006/relationships/image" Target="../media/image24.emf"/><Relationship Id="rId103" Type="http://schemas.openxmlformats.org/officeDocument/2006/relationships/image" Target="../media/image156.emf"/><Relationship Id="rId124" Type="http://schemas.openxmlformats.org/officeDocument/2006/relationships/oleObject" Target="../embeddings/oleObject165.bin"/><Relationship Id="rId70" Type="http://schemas.openxmlformats.org/officeDocument/2006/relationships/oleObject" Target="../embeddings/oleObject138.bin"/><Relationship Id="rId91" Type="http://schemas.openxmlformats.org/officeDocument/2006/relationships/image" Target="../media/image150.emf"/><Relationship Id="rId145" Type="http://schemas.openxmlformats.org/officeDocument/2006/relationships/image" Target="../media/image175.emf"/><Relationship Id="rId166" Type="http://schemas.openxmlformats.org/officeDocument/2006/relationships/oleObject" Target="../embeddings/oleObject186.bin"/><Relationship Id="rId187" Type="http://schemas.openxmlformats.org/officeDocument/2006/relationships/image" Target="../media/image35.emf"/><Relationship Id="rId1" Type="http://schemas.openxmlformats.org/officeDocument/2006/relationships/printerSettings" Target="../printerSettings/printerSettings10.bin"/><Relationship Id="rId212" Type="http://schemas.openxmlformats.org/officeDocument/2006/relationships/oleObject" Target="../embeddings/oleObject208.bin"/><Relationship Id="rId28" Type="http://schemas.openxmlformats.org/officeDocument/2006/relationships/oleObject" Target="../embeddings/oleObject117.bin"/><Relationship Id="rId49" Type="http://schemas.openxmlformats.org/officeDocument/2006/relationships/image" Target="../media/image136.emf"/><Relationship Id="rId114" Type="http://schemas.openxmlformats.org/officeDocument/2006/relationships/oleObject" Target="../embeddings/oleObject160.bin"/><Relationship Id="rId60" Type="http://schemas.openxmlformats.org/officeDocument/2006/relationships/oleObject" Target="../embeddings/oleObject133.bin"/><Relationship Id="rId81" Type="http://schemas.openxmlformats.org/officeDocument/2006/relationships/image" Target="../media/image145.emf"/><Relationship Id="rId135" Type="http://schemas.openxmlformats.org/officeDocument/2006/relationships/image" Target="../media/image170.emf"/><Relationship Id="rId156" Type="http://schemas.openxmlformats.org/officeDocument/2006/relationships/oleObject" Target="../embeddings/oleObject181.bin"/><Relationship Id="rId177" Type="http://schemas.openxmlformats.org/officeDocument/2006/relationships/image" Target="../media/image190.emf"/><Relationship Id="rId198" Type="http://schemas.openxmlformats.org/officeDocument/2006/relationships/oleObject" Target="../embeddings/oleObject201.bin"/><Relationship Id="rId202" Type="http://schemas.openxmlformats.org/officeDocument/2006/relationships/oleObject" Target="../embeddings/oleObject203.bin"/><Relationship Id="rId18" Type="http://schemas.openxmlformats.org/officeDocument/2006/relationships/oleObject" Target="../embeddings/oleObject112.bin"/><Relationship Id="rId39" Type="http://schemas.openxmlformats.org/officeDocument/2006/relationships/image" Target="../media/image131.emf"/><Relationship Id="rId50" Type="http://schemas.openxmlformats.org/officeDocument/2006/relationships/oleObject" Target="../embeddings/oleObject128.bin"/><Relationship Id="rId104" Type="http://schemas.openxmlformats.org/officeDocument/2006/relationships/oleObject" Target="../embeddings/oleObject155.bin"/><Relationship Id="rId125" Type="http://schemas.openxmlformats.org/officeDocument/2006/relationships/image" Target="../media/image166.emf"/><Relationship Id="rId146" Type="http://schemas.openxmlformats.org/officeDocument/2006/relationships/oleObject" Target="../embeddings/oleObject176.bin"/><Relationship Id="rId167" Type="http://schemas.openxmlformats.org/officeDocument/2006/relationships/image" Target="../media/image185.emf"/><Relationship Id="rId188" Type="http://schemas.openxmlformats.org/officeDocument/2006/relationships/oleObject" Target="../embeddings/oleObject196.bin"/><Relationship Id="rId71" Type="http://schemas.openxmlformats.org/officeDocument/2006/relationships/image" Target="../media/image140.emf"/><Relationship Id="rId92" Type="http://schemas.openxmlformats.org/officeDocument/2006/relationships/oleObject" Target="../embeddings/oleObject149.bin"/><Relationship Id="rId213" Type="http://schemas.openxmlformats.org/officeDocument/2006/relationships/image" Target="../media/image201.emf"/><Relationship Id="rId2" Type="http://schemas.openxmlformats.org/officeDocument/2006/relationships/drawing" Target="../drawings/drawing9.xml"/><Relationship Id="rId29" Type="http://schemas.openxmlformats.org/officeDocument/2006/relationships/image" Target="../media/image126.emf"/><Relationship Id="rId40" Type="http://schemas.openxmlformats.org/officeDocument/2006/relationships/oleObject" Target="../embeddings/oleObject123.bin"/><Relationship Id="rId115" Type="http://schemas.openxmlformats.org/officeDocument/2006/relationships/image" Target="../media/image33.emf"/><Relationship Id="rId136" Type="http://schemas.openxmlformats.org/officeDocument/2006/relationships/oleObject" Target="../embeddings/oleObject171.bin"/><Relationship Id="rId157" Type="http://schemas.openxmlformats.org/officeDocument/2006/relationships/image" Target="../media/image180.emf"/><Relationship Id="rId178" Type="http://schemas.openxmlformats.org/officeDocument/2006/relationships/oleObject" Target="../embeddings/oleObject191.bin"/><Relationship Id="rId61" Type="http://schemas.openxmlformats.org/officeDocument/2006/relationships/image" Target="../media/image25.emf"/><Relationship Id="rId82" Type="http://schemas.openxmlformats.org/officeDocument/2006/relationships/oleObject" Target="../embeddings/oleObject144.bin"/><Relationship Id="rId199" Type="http://schemas.openxmlformats.org/officeDocument/2006/relationships/image" Target="../media/image30.emf"/><Relationship Id="rId203" Type="http://schemas.openxmlformats.org/officeDocument/2006/relationships/image" Target="../media/image197.emf"/><Relationship Id="rId19" Type="http://schemas.openxmlformats.org/officeDocument/2006/relationships/image" Target="../media/image121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4.bin"/><Relationship Id="rId13" Type="http://schemas.openxmlformats.org/officeDocument/2006/relationships/image" Target="../media/image217.emf"/><Relationship Id="rId18" Type="http://schemas.openxmlformats.org/officeDocument/2006/relationships/oleObject" Target="../embeddings/oleObject218.bin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221.emf"/><Relationship Id="rId7" Type="http://schemas.openxmlformats.org/officeDocument/2006/relationships/image" Target="../media/image214.emf"/><Relationship Id="rId12" Type="http://schemas.openxmlformats.org/officeDocument/2006/relationships/oleObject" Target="../embeddings/oleObject216.bin"/><Relationship Id="rId17" Type="http://schemas.openxmlformats.org/officeDocument/2006/relationships/image" Target="../media/image219.emf"/><Relationship Id="rId25" Type="http://schemas.openxmlformats.org/officeDocument/2006/relationships/image" Target="../media/image223.emf"/><Relationship Id="rId2" Type="http://schemas.openxmlformats.org/officeDocument/2006/relationships/drawing" Target="../drawings/drawing10.xml"/><Relationship Id="rId16" Type="http://schemas.openxmlformats.org/officeDocument/2006/relationships/oleObject" Target="../embeddings/oleObject217.bin"/><Relationship Id="rId20" Type="http://schemas.openxmlformats.org/officeDocument/2006/relationships/oleObject" Target="../embeddings/oleObject219.bin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213.bin"/><Relationship Id="rId11" Type="http://schemas.openxmlformats.org/officeDocument/2006/relationships/image" Target="../media/image216.emf"/><Relationship Id="rId24" Type="http://schemas.openxmlformats.org/officeDocument/2006/relationships/oleObject" Target="../embeddings/oleObject221.bin"/><Relationship Id="rId5" Type="http://schemas.openxmlformats.org/officeDocument/2006/relationships/image" Target="../media/image213.emf"/><Relationship Id="rId15" Type="http://schemas.openxmlformats.org/officeDocument/2006/relationships/image" Target="../media/image218.emf"/><Relationship Id="rId23" Type="http://schemas.openxmlformats.org/officeDocument/2006/relationships/image" Target="../media/image222.emf"/><Relationship Id="rId10" Type="http://schemas.openxmlformats.org/officeDocument/2006/relationships/oleObject" Target="../embeddings/oleObject215.bin"/><Relationship Id="rId19" Type="http://schemas.openxmlformats.org/officeDocument/2006/relationships/image" Target="../media/image220.emf"/><Relationship Id="rId4" Type="http://schemas.openxmlformats.org/officeDocument/2006/relationships/oleObject" Target="../embeddings/oleObject212.bin"/><Relationship Id="rId9" Type="http://schemas.openxmlformats.org/officeDocument/2006/relationships/image" Target="../media/image215.emf"/><Relationship Id="rId14" Type="http://schemas.openxmlformats.org/officeDocument/2006/relationships/oleObject" Target="../embeddings/Microsoft_Word_97_-_2003_Document4.doc"/><Relationship Id="rId22" Type="http://schemas.openxmlformats.org/officeDocument/2006/relationships/oleObject" Target="../embeddings/oleObject22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7.bin"/><Relationship Id="rId11" Type="http://schemas.openxmlformats.org/officeDocument/2006/relationships/image" Target="../media/image14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9.bin"/><Relationship Id="rId4" Type="http://schemas.openxmlformats.org/officeDocument/2006/relationships/oleObject" Target="../embeddings/oleObject6.bin"/><Relationship Id="rId9" Type="http://schemas.openxmlformats.org/officeDocument/2006/relationships/image" Target="../media/image13.emf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0.emf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1.bin"/><Relationship Id="rId39" Type="http://schemas.openxmlformats.org/officeDocument/2006/relationships/image" Target="../media/image33.emf"/><Relationship Id="rId21" Type="http://schemas.openxmlformats.org/officeDocument/2006/relationships/image" Target="../media/image24.emf"/><Relationship Id="rId34" Type="http://schemas.openxmlformats.org/officeDocument/2006/relationships/oleObject" Target="../embeddings/oleObject25.bin"/><Relationship Id="rId42" Type="http://schemas.openxmlformats.org/officeDocument/2006/relationships/oleObject" Target="../embeddings/oleObject29.bin"/><Relationship Id="rId7" Type="http://schemas.openxmlformats.org/officeDocument/2006/relationships/image" Target="../media/image17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16.bin"/><Relationship Id="rId20" Type="http://schemas.openxmlformats.org/officeDocument/2006/relationships/oleObject" Target="../embeddings/oleObject18.bin"/><Relationship Id="rId29" Type="http://schemas.openxmlformats.org/officeDocument/2006/relationships/image" Target="../media/image28.emf"/><Relationship Id="rId41" Type="http://schemas.openxmlformats.org/officeDocument/2006/relationships/image" Target="../media/image34.emf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20.bin"/><Relationship Id="rId32" Type="http://schemas.openxmlformats.org/officeDocument/2006/relationships/oleObject" Target="../embeddings/oleObject24.bin"/><Relationship Id="rId37" Type="http://schemas.openxmlformats.org/officeDocument/2006/relationships/image" Target="../media/image32.emf"/><Relationship Id="rId40" Type="http://schemas.openxmlformats.org/officeDocument/2006/relationships/oleObject" Target="../embeddings/oleObject28.bin"/><Relationship Id="rId5" Type="http://schemas.openxmlformats.org/officeDocument/2006/relationships/image" Target="../media/image16.emf"/><Relationship Id="rId15" Type="http://schemas.openxmlformats.org/officeDocument/2006/relationships/image" Target="../media/image21.emf"/><Relationship Id="rId23" Type="http://schemas.openxmlformats.org/officeDocument/2006/relationships/image" Target="../media/image25.emf"/><Relationship Id="rId28" Type="http://schemas.openxmlformats.org/officeDocument/2006/relationships/oleObject" Target="../embeddings/oleObject22.bin"/><Relationship Id="rId36" Type="http://schemas.openxmlformats.org/officeDocument/2006/relationships/oleObject" Target="../embeddings/oleObject26.bin"/><Relationship Id="rId10" Type="http://schemas.openxmlformats.org/officeDocument/2006/relationships/oleObject" Target="../embeddings/oleObject13.bin"/><Relationship Id="rId19" Type="http://schemas.openxmlformats.org/officeDocument/2006/relationships/image" Target="../media/image23.emf"/><Relationship Id="rId31" Type="http://schemas.openxmlformats.org/officeDocument/2006/relationships/image" Target="../media/image29.emf"/><Relationship Id="rId4" Type="http://schemas.openxmlformats.org/officeDocument/2006/relationships/oleObject" Target="../embeddings/oleObject10.bin"/><Relationship Id="rId9" Type="http://schemas.openxmlformats.org/officeDocument/2006/relationships/image" Target="../media/image18.emf"/><Relationship Id="rId14" Type="http://schemas.openxmlformats.org/officeDocument/2006/relationships/oleObject" Target="../embeddings/oleObject15.bin"/><Relationship Id="rId22" Type="http://schemas.openxmlformats.org/officeDocument/2006/relationships/oleObject" Target="../embeddings/oleObject19.bin"/><Relationship Id="rId27" Type="http://schemas.openxmlformats.org/officeDocument/2006/relationships/image" Target="../media/image27.emf"/><Relationship Id="rId30" Type="http://schemas.openxmlformats.org/officeDocument/2006/relationships/oleObject" Target="../embeddings/oleObject23.bin"/><Relationship Id="rId35" Type="http://schemas.openxmlformats.org/officeDocument/2006/relationships/image" Target="../media/image31.emf"/><Relationship Id="rId43" Type="http://schemas.openxmlformats.org/officeDocument/2006/relationships/image" Target="../media/image35.emf"/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5.vml"/><Relationship Id="rId12" Type="http://schemas.openxmlformats.org/officeDocument/2006/relationships/oleObject" Target="../embeddings/oleObject14.bin"/><Relationship Id="rId17" Type="http://schemas.openxmlformats.org/officeDocument/2006/relationships/image" Target="../media/image22.emf"/><Relationship Id="rId25" Type="http://schemas.openxmlformats.org/officeDocument/2006/relationships/image" Target="../media/image26.emf"/><Relationship Id="rId33" Type="http://schemas.openxmlformats.org/officeDocument/2006/relationships/image" Target="../media/image30.emf"/><Relationship Id="rId38" Type="http://schemas.openxmlformats.org/officeDocument/2006/relationships/oleObject" Target="../embeddings/oleObject27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2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1.bin"/><Relationship Id="rId11" Type="http://schemas.openxmlformats.org/officeDocument/2006/relationships/image" Target="../media/image14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33.bin"/><Relationship Id="rId4" Type="http://schemas.openxmlformats.org/officeDocument/2006/relationships/oleObject" Target="../embeddings/oleObject30.bin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0.emf"/><Relationship Id="rId18" Type="http://schemas.openxmlformats.org/officeDocument/2006/relationships/oleObject" Target="../embeddings/oleObject41.bin"/><Relationship Id="rId26" Type="http://schemas.openxmlformats.org/officeDocument/2006/relationships/oleObject" Target="../embeddings/oleObject45.bin"/><Relationship Id="rId39" Type="http://schemas.openxmlformats.org/officeDocument/2006/relationships/image" Target="../media/image52.emf"/><Relationship Id="rId21" Type="http://schemas.openxmlformats.org/officeDocument/2006/relationships/image" Target="../media/image44.emf"/><Relationship Id="rId34" Type="http://schemas.openxmlformats.org/officeDocument/2006/relationships/oleObject" Target="../embeddings/oleObject49.bin"/><Relationship Id="rId42" Type="http://schemas.openxmlformats.org/officeDocument/2006/relationships/oleObject" Target="../embeddings/oleObject53.bin"/><Relationship Id="rId47" Type="http://schemas.openxmlformats.org/officeDocument/2006/relationships/image" Target="../media/image56.emf"/><Relationship Id="rId50" Type="http://schemas.openxmlformats.org/officeDocument/2006/relationships/oleObject" Target="../embeddings/oleObject56.bin"/><Relationship Id="rId7" Type="http://schemas.openxmlformats.org/officeDocument/2006/relationships/image" Target="../media/image37.emf"/><Relationship Id="rId2" Type="http://schemas.openxmlformats.org/officeDocument/2006/relationships/drawing" Target="../drawings/drawing7.xml"/><Relationship Id="rId16" Type="http://schemas.openxmlformats.org/officeDocument/2006/relationships/oleObject" Target="../embeddings/oleObject40.bin"/><Relationship Id="rId29" Type="http://schemas.openxmlformats.org/officeDocument/2006/relationships/image" Target="../media/image48.emf"/><Relationship Id="rId11" Type="http://schemas.openxmlformats.org/officeDocument/2006/relationships/image" Target="../media/image39.emf"/><Relationship Id="rId24" Type="http://schemas.openxmlformats.org/officeDocument/2006/relationships/oleObject" Target="../embeddings/oleObject44.bin"/><Relationship Id="rId32" Type="http://schemas.openxmlformats.org/officeDocument/2006/relationships/oleObject" Target="../embeddings/oleObject48.bin"/><Relationship Id="rId37" Type="http://schemas.openxmlformats.org/officeDocument/2006/relationships/image" Target="../media/image51.emf"/><Relationship Id="rId40" Type="http://schemas.openxmlformats.org/officeDocument/2006/relationships/oleObject" Target="../embeddings/oleObject52.bin"/><Relationship Id="rId45" Type="http://schemas.openxmlformats.org/officeDocument/2006/relationships/image" Target="../media/image55.emf"/><Relationship Id="rId53" Type="http://schemas.openxmlformats.org/officeDocument/2006/relationships/image" Target="../media/image59.emf"/><Relationship Id="rId5" Type="http://schemas.openxmlformats.org/officeDocument/2006/relationships/image" Target="../media/image36.emf"/><Relationship Id="rId10" Type="http://schemas.openxmlformats.org/officeDocument/2006/relationships/oleObject" Target="../embeddings/oleObject37.bin"/><Relationship Id="rId19" Type="http://schemas.openxmlformats.org/officeDocument/2006/relationships/image" Target="../media/image43.emf"/><Relationship Id="rId31" Type="http://schemas.openxmlformats.org/officeDocument/2006/relationships/image" Target="../media/image3.emf"/><Relationship Id="rId44" Type="http://schemas.openxmlformats.org/officeDocument/2006/relationships/oleObject" Target="../embeddings/oleObject54.bin"/><Relationship Id="rId52" Type="http://schemas.openxmlformats.org/officeDocument/2006/relationships/oleObject" Target="../embeddings/oleObject57.bin"/><Relationship Id="rId4" Type="http://schemas.openxmlformats.org/officeDocument/2006/relationships/oleObject" Target="../embeddings/oleObject34.bin"/><Relationship Id="rId9" Type="http://schemas.openxmlformats.org/officeDocument/2006/relationships/image" Target="../media/image38.emf"/><Relationship Id="rId14" Type="http://schemas.openxmlformats.org/officeDocument/2006/relationships/oleObject" Target="../embeddings/oleObject39.bin"/><Relationship Id="rId22" Type="http://schemas.openxmlformats.org/officeDocument/2006/relationships/oleObject" Target="../embeddings/oleObject43.bin"/><Relationship Id="rId27" Type="http://schemas.openxmlformats.org/officeDocument/2006/relationships/image" Target="../media/image47.emf"/><Relationship Id="rId30" Type="http://schemas.openxmlformats.org/officeDocument/2006/relationships/oleObject" Target="../embeddings/oleObject47.bin"/><Relationship Id="rId35" Type="http://schemas.openxmlformats.org/officeDocument/2006/relationships/image" Target="../media/image50.emf"/><Relationship Id="rId43" Type="http://schemas.openxmlformats.org/officeDocument/2006/relationships/image" Target="../media/image54.emf"/><Relationship Id="rId48" Type="http://schemas.openxmlformats.org/officeDocument/2006/relationships/oleObject" Target="../embeddings/oleObject55.bin"/><Relationship Id="rId8" Type="http://schemas.openxmlformats.org/officeDocument/2006/relationships/oleObject" Target="../embeddings/oleObject36.bin"/><Relationship Id="rId51" Type="http://schemas.openxmlformats.org/officeDocument/2006/relationships/image" Target="../media/image58.emf"/><Relationship Id="rId3" Type="http://schemas.openxmlformats.org/officeDocument/2006/relationships/vmlDrawing" Target="../drawings/vmlDrawing7.vml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42.emf"/><Relationship Id="rId25" Type="http://schemas.openxmlformats.org/officeDocument/2006/relationships/image" Target="../media/image46.emf"/><Relationship Id="rId33" Type="http://schemas.openxmlformats.org/officeDocument/2006/relationships/image" Target="../media/image49.emf"/><Relationship Id="rId38" Type="http://schemas.openxmlformats.org/officeDocument/2006/relationships/oleObject" Target="../embeddings/oleObject51.bin"/><Relationship Id="rId46" Type="http://schemas.openxmlformats.org/officeDocument/2006/relationships/oleObject" Target="../embeddings/Microsoft_Word_97_-_2003_Document.doc"/><Relationship Id="rId20" Type="http://schemas.openxmlformats.org/officeDocument/2006/relationships/oleObject" Target="../embeddings/oleObject42.bin"/><Relationship Id="rId41" Type="http://schemas.openxmlformats.org/officeDocument/2006/relationships/image" Target="../media/image53.emf"/><Relationship Id="rId54" Type="http://schemas.openxmlformats.org/officeDocument/2006/relationships/oleObject" Target="../embeddings/oleObject58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35.bin"/><Relationship Id="rId15" Type="http://schemas.openxmlformats.org/officeDocument/2006/relationships/image" Target="../media/image41.emf"/><Relationship Id="rId23" Type="http://schemas.openxmlformats.org/officeDocument/2006/relationships/image" Target="../media/image45.emf"/><Relationship Id="rId28" Type="http://schemas.openxmlformats.org/officeDocument/2006/relationships/oleObject" Target="../embeddings/oleObject46.bin"/><Relationship Id="rId36" Type="http://schemas.openxmlformats.org/officeDocument/2006/relationships/oleObject" Target="../embeddings/oleObject50.bin"/><Relationship Id="rId49" Type="http://schemas.openxmlformats.org/officeDocument/2006/relationships/image" Target="../media/image57.emf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70.bin"/><Relationship Id="rId21" Type="http://schemas.openxmlformats.org/officeDocument/2006/relationships/image" Target="../media/image72.emf"/><Relationship Id="rId42" Type="http://schemas.openxmlformats.org/officeDocument/2006/relationships/oleObject" Target="../embeddings/oleObject78.bin"/><Relationship Id="rId47" Type="http://schemas.openxmlformats.org/officeDocument/2006/relationships/image" Target="../media/image85.emf"/><Relationship Id="rId63" Type="http://schemas.openxmlformats.org/officeDocument/2006/relationships/image" Target="../media/image93.emf"/><Relationship Id="rId68" Type="http://schemas.openxmlformats.org/officeDocument/2006/relationships/oleObject" Target="../embeddings/oleObject91.bin"/><Relationship Id="rId84" Type="http://schemas.openxmlformats.org/officeDocument/2006/relationships/oleObject" Target="../embeddings/oleObject99.bin"/><Relationship Id="rId89" Type="http://schemas.openxmlformats.org/officeDocument/2006/relationships/image" Target="../media/image106.emf"/><Relationship Id="rId16" Type="http://schemas.openxmlformats.org/officeDocument/2006/relationships/oleObject" Target="../embeddings/oleObject65.bin"/><Relationship Id="rId11" Type="http://schemas.openxmlformats.org/officeDocument/2006/relationships/image" Target="../media/image1.emf"/><Relationship Id="rId32" Type="http://schemas.openxmlformats.org/officeDocument/2006/relationships/oleObject" Target="../embeddings/oleObject73.bin"/><Relationship Id="rId37" Type="http://schemas.openxmlformats.org/officeDocument/2006/relationships/image" Target="../media/image80.emf"/><Relationship Id="rId53" Type="http://schemas.openxmlformats.org/officeDocument/2006/relationships/image" Target="../media/image88.emf"/><Relationship Id="rId58" Type="http://schemas.openxmlformats.org/officeDocument/2006/relationships/oleObject" Target="../embeddings/oleObject86.bin"/><Relationship Id="rId74" Type="http://schemas.openxmlformats.org/officeDocument/2006/relationships/oleObject" Target="../embeddings/oleObject94.bin"/><Relationship Id="rId79" Type="http://schemas.openxmlformats.org/officeDocument/2006/relationships/image" Target="../media/image101.emf"/><Relationship Id="rId5" Type="http://schemas.openxmlformats.org/officeDocument/2006/relationships/image" Target="../media/image2.emf"/><Relationship Id="rId90" Type="http://schemas.openxmlformats.org/officeDocument/2006/relationships/oleObject" Target="../embeddings/Microsoft_Word_97_-_2003_Document1.doc"/><Relationship Id="rId95" Type="http://schemas.openxmlformats.org/officeDocument/2006/relationships/image" Target="../media/image109.emf"/><Relationship Id="rId22" Type="http://schemas.openxmlformats.org/officeDocument/2006/relationships/oleObject" Target="../embeddings/oleObject68.bin"/><Relationship Id="rId27" Type="http://schemas.openxmlformats.org/officeDocument/2006/relationships/image" Target="../media/image75.emf"/><Relationship Id="rId43" Type="http://schemas.openxmlformats.org/officeDocument/2006/relationships/image" Target="../media/image83.emf"/><Relationship Id="rId48" Type="http://schemas.openxmlformats.org/officeDocument/2006/relationships/oleObject" Target="../embeddings/oleObject81.bin"/><Relationship Id="rId64" Type="http://schemas.openxmlformats.org/officeDocument/2006/relationships/oleObject" Target="../embeddings/oleObject89.bin"/><Relationship Id="rId69" Type="http://schemas.openxmlformats.org/officeDocument/2006/relationships/image" Target="../media/image96.emf"/><Relationship Id="rId80" Type="http://schemas.openxmlformats.org/officeDocument/2006/relationships/oleObject" Target="../embeddings/oleObject97.bin"/><Relationship Id="rId85" Type="http://schemas.openxmlformats.org/officeDocument/2006/relationships/image" Target="../media/image104.emf"/><Relationship Id="rId3" Type="http://schemas.openxmlformats.org/officeDocument/2006/relationships/vmlDrawing" Target="../drawings/vmlDrawing8.vml"/><Relationship Id="rId12" Type="http://schemas.openxmlformats.org/officeDocument/2006/relationships/oleObject" Target="../embeddings/oleObject63.bin"/><Relationship Id="rId17" Type="http://schemas.openxmlformats.org/officeDocument/2006/relationships/image" Target="../media/image70.emf"/><Relationship Id="rId25" Type="http://schemas.openxmlformats.org/officeDocument/2006/relationships/image" Target="../media/image74.emf"/><Relationship Id="rId33" Type="http://schemas.openxmlformats.org/officeDocument/2006/relationships/image" Target="../media/image78.emf"/><Relationship Id="rId38" Type="http://schemas.openxmlformats.org/officeDocument/2006/relationships/oleObject" Target="../embeddings/oleObject76.bin"/><Relationship Id="rId46" Type="http://schemas.openxmlformats.org/officeDocument/2006/relationships/oleObject" Target="../embeddings/oleObject80.bin"/><Relationship Id="rId59" Type="http://schemas.openxmlformats.org/officeDocument/2006/relationships/image" Target="../media/image91.emf"/><Relationship Id="rId67" Type="http://schemas.openxmlformats.org/officeDocument/2006/relationships/image" Target="../media/image95.emf"/><Relationship Id="rId20" Type="http://schemas.openxmlformats.org/officeDocument/2006/relationships/oleObject" Target="../embeddings/oleObject67.bin"/><Relationship Id="rId41" Type="http://schemas.openxmlformats.org/officeDocument/2006/relationships/image" Target="../media/image82.emf"/><Relationship Id="rId54" Type="http://schemas.openxmlformats.org/officeDocument/2006/relationships/oleObject" Target="../embeddings/oleObject84.bin"/><Relationship Id="rId62" Type="http://schemas.openxmlformats.org/officeDocument/2006/relationships/oleObject" Target="../embeddings/oleObject88.bin"/><Relationship Id="rId70" Type="http://schemas.openxmlformats.org/officeDocument/2006/relationships/oleObject" Target="../embeddings/oleObject92.bin"/><Relationship Id="rId75" Type="http://schemas.openxmlformats.org/officeDocument/2006/relationships/image" Target="../media/image99.emf"/><Relationship Id="rId83" Type="http://schemas.openxmlformats.org/officeDocument/2006/relationships/image" Target="../media/image103.emf"/><Relationship Id="rId88" Type="http://schemas.openxmlformats.org/officeDocument/2006/relationships/oleObject" Target="../embeddings/oleObject101.bin"/><Relationship Id="rId91" Type="http://schemas.openxmlformats.org/officeDocument/2006/relationships/image" Target="../media/image107.emf"/><Relationship Id="rId96" Type="http://schemas.openxmlformats.org/officeDocument/2006/relationships/oleObject" Target="../embeddings/oleObject103.bin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60.bin"/><Relationship Id="rId15" Type="http://schemas.openxmlformats.org/officeDocument/2006/relationships/image" Target="../media/image14.emf"/><Relationship Id="rId23" Type="http://schemas.openxmlformats.org/officeDocument/2006/relationships/image" Target="../media/image73.emf"/><Relationship Id="rId28" Type="http://schemas.openxmlformats.org/officeDocument/2006/relationships/oleObject" Target="../embeddings/oleObject71.bin"/><Relationship Id="rId36" Type="http://schemas.openxmlformats.org/officeDocument/2006/relationships/oleObject" Target="../embeddings/oleObject75.bin"/><Relationship Id="rId49" Type="http://schemas.openxmlformats.org/officeDocument/2006/relationships/image" Target="../media/image86.emf"/><Relationship Id="rId57" Type="http://schemas.openxmlformats.org/officeDocument/2006/relationships/image" Target="../media/image90.emf"/><Relationship Id="rId10" Type="http://schemas.openxmlformats.org/officeDocument/2006/relationships/oleObject" Target="../embeddings/oleObject62.bin"/><Relationship Id="rId31" Type="http://schemas.openxmlformats.org/officeDocument/2006/relationships/image" Target="../media/image77.emf"/><Relationship Id="rId44" Type="http://schemas.openxmlformats.org/officeDocument/2006/relationships/oleObject" Target="../embeddings/oleObject79.bin"/><Relationship Id="rId52" Type="http://schemas.openxmlformats.org/officeDocument/2006/relationships/oleObject" Target="../embeddings/oleObject83.bin"/><Relationship Id="rId60" Type="http://schemas.openxmlformats.org/officeDocument/2006/relationships/oleObject" Target="../embeddings/oleObject87.bin"/><Relationship Id="rId65" Type="http://schemas.openxmlformats.org/officeDocument/2006/relationships/image" Target="../media/image94.emf"/><Relationship Id="rId73" Type="http://schemas.openxmlformats.org/officeDocument/2006/relationships/image" Target="../media/image98.emf"/><Relationship Id="rId78" Type="http://schemas.openxmlformats.org/officeDocument/2006/relationships/oleObject" Target="../embeddings/oleObject96.bin"/><Relationship Id="rId81" Type="http://schemas.openxmlformats.org/officeDocument/2006/relationships/image" Target="../media/image102.emf"/><Relationship Id="rId86" Type="http://schemas.openxmlformats.org/officeDocument/2006/relationships/oleObject" Target="../embeddings/oleObject100.bin"/><Relationship Id="rId94" Type="http://schemas.openxmlformats.org/officeDocument/2006/relationships/oleObject" Target="../embeddings/oleObject102.bin"/><Relationship Id="rId99" Type="http://schemas.openxmlformats.org/officeDocument/2006/relationships/image" Target="../media/image111.emf"/><Relationship Id="rId4" Type="http://schemas.openxmlformats.org/officeDocument/2006/relationships/oleObject" Target="../embeddings/oleObject59.bin"/><Relationship Id="rId9" Type="http://schemas.openxmlformats.org/officeDocument/2006/relationships/image" Target="../media/image69.emf"/><Relationship Id="rId13" Type="http://schemas.openxmlformats.org/officeDocument/2006/relationships/image" Target="../media/image13.emf"/><Relationship Id="rId18" Type="http://schemas.openxmlformats.org/officeDocument/2006/relationships/oleObject" Target="../embeddings/oleObject66.bin"/><Relationship Id="rId39" Type="http://schemas.openxmlformats.org/officeDocument/2006/relationships/image" Target="../media/image81.emf"/><Relationship Id="rId34" Type="http://schemas.openxmlformats.org/officeDocument/2006/relationships/oleObject" Target="../embeddings/oleObject74.bin"/><Relationship Id="rId50" Type="http://schemas.openxmlformats.org/officeDocument/2006/relationships/oleObject" Target="../embeddings/oleObject82.bin"/><Relationship Id="rId55" Type="http://schemas.openxmlformats.org/officeDocument/2006/relationships/image" Target="../media/image89.emf"/><Relationship Id="rId76" Type="http://schemas.openxmlformats.org/officeDocument/2006/relationships/oleObject" Target="../embeddings/oleObject95.bin"/><Relationship Id="rId97" Type="http://schemas.openxmlformats.org/officeDocument/2006/relationships/image" Target="../media/image110.emf"/><Relationship Id="rId7" Type="http://schemas.openxmlformats.org/officeDocument/2006/relationships/image" Target="../media/image68.emf"/><Relationship Id="rId71" Type="http://schemas.openxmlformats.org/officeDocument/2006/relationships/image" Target="../media/image97.emf"/><Relationship Id="rId92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8.xml"/><Relationship Id="rId29" Type="http://schemas.openxmlformats.org/officeDocument/2006/relationships/image" Target="../media/image76.emf"/><Relationship Id="rId24" Type="http://schemas.openxmlformats.org/officeDocument/2006/relationships/oleObject" Target="../embeddings/oleObject69.bin"/><Relationship Id="rId40" Type="http://schemas.openxmlformats.org/officeDocument/2006/relationships/oleObject" Target="../embeddings/oleObject77.bin"/><Relationship Id="rId45" Type="http://schemas.openxmlformats.org/officeDocument/2006/relationships/image" Target="../media/image84.emf"/><Relationship Id="rId66" Type="http://schemas.openxmlformats.org/officeDocument/2006/relationships/oleObject" Target="../embeddings/oleObject90.bin"/><Relationship Id="rId87" Type="http://schemas.openxmlformats.org/officeDocument/2006/relationships/image" Target="../media/image105.emf"/><Relationship Id="rId61" Type="http://schemas.openxmlformats.org/officeDocument/2006/relationships/image" Target="../media/image92.emf"/><Relationship Id="rId82" Type="http://schemas.openxmlformats.org/officeDocument/2006/relationships/oleObject" Target="../embeddings/oleObject98.bin"/><Relationship Id="rId19" Type="http://schemas.openxmlformats.org/officeDocument/2006/relationships/image" Target="../media/image71.emf"/><Relationship Id="rId14" Type="http://schemas.openxmlformats.org/officeDocument/2006/relationships/oleObject" Target="../embeddings/oleObject64.bin"/><Relationship Id="rId30" Type="http://schemas.openxmlformats.org/officeDocument/2006/relationships/oleObject" Target="../embeddings/oleObject72.bin"/><Relationship Id="rId35" Type="http://schemas.openxmlformats.org/officeDocument/2006/relationships/image" Target="../media/image79.emf"/><Relationship Id="rId56" Type="http://schemas.openxmlformats.org/officeDocument/2006/relationships/oleObject" Target="../embeddings/oleObject85.bin"/><Relationship Id="rId77" Type="http://schemas.openxmlformats.org/officeDocument/2006/relationships/image" Target="../media/image100.emf"/><Relationship Id="rId8" Type="http://schemas.openxmlformats.org/officeDocument/2006/relationships/oleObject" Target="../embeddings/oleObject61.bin"/><Relationship Id="rId51" Type="http://schemas.openxmlformats.org/officeDocument/2006/relationships/image" Target="../media/image87.emf"/><Relationship Id="rId72" Type="http://schemas.openxmlformats.org/officeDocument/2006/relationships/oleObject" Target="../embeddings/oleObject93.bin"/><Relationship Id="rId93" Type="http://schemas.openxmlformats.org/officeDocument/2006/relationships/image" Target="../media/image108.emf"/><Relationship Id="rId98" Type="http://schemas.openxmlformats.org/officeDocument/2006/relationships/oleObject" Target="../embeddings/oleObject10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abSelected="1" zoomScaleNormal="100" workbookViewId="0">
      <selection activeCell="I83" sqref="I83"/>
    </sheetView>
  </sheetViews>
  <sheetFormatPr defaultRowHeight="15" customHeight="1" x14ac:dyDescent="0.25"/>
  <cols>
    <col min="1" max="1" width="22.28515625" style="435" bestFit="1" customWidth="1"/>
    <col min="2" max="2" width="7.5703125" style="435" bestFit="1" customWidth="1"/>
    <col min="3" max="3" width="4.7109375" style="435" customWidth="1"/>
    <col min="4" max="4" width="2" style="435" customWidth="1"/>
    <col min="5" max="5" width="6.140625" style="436" customWidth="1"/>
    <col min="6" max="6" width="88.5703125" style="551" customWidth="1"/>
    <col min="7" max="7" width="6" style="435" bestFit="1" customWidth="1"/>
    <col min="8" max="8" width="22.28515625" style="435" bestFit="1" customWidth="1"/>
    <col min="9" max="9" width="12.7109375" style="435" bestFit="1" customWidth="1"/>
    <col min="10" max="10" width="4.42578125" style="435" bestFit="1" customWidth="1"/>
    <col min="11" max="11" width="2.7109375" style="435" customWidth="1"/>
    <col min="12" max="12" width="5.5703125" style="436" customWidth="1"/>
    <col min="13" max="13" width="75" style="435" bestFit="1" customWidth="1"/>
    <col min="14" max="14" width="49.42578125" style="539" bestFit="1" customWidth="1"/>
    <col min="15" max="16384" width="9.140625" style="435"/>
  </cols>
  <sheetData>
    <row r="1" spans="1:13" ht="15" customHeight="1" x14ac:dyDescent="0.25">
      <c r="A1" s="434" t="s">
        <v>708</v>
      </c>
      <c r="F1" s="549" t="s">
        <v>1023</v>
      </c>
      <c r="H1" s="434" t="s">
        <v>709</v>
      </c>
    </row>
    <row r="2" spans="1:13" ht="15" customHeight="1" x14ac:dyDescent="0.25">
      <c r="A2" s="437" t="s">
        <v>755</v>
      </c>
      <c r="B2" s="459">
        <v>1</v>
      </c>
      <c r="D2" s="458">
        <v>1</v>
      </c>
      <c r="E2" s="440"/>
      <c r="F2" s="550" t="s">
        <v>921</v>
      </c>
      <c r="G2" s="582"/>
      <c r="H2" s="437" t="s">
        <v>771</v>
      </c>
      <c r="I2" s="438">
        <f>hsrf2rout!D33</f>
        <v>1585</v>
      </c>
      <c r="J2" s="435" t="s">
        <v>1</v>
      </c>
      <c r="K2" s="458">
        <v>1</v>
      </c>
      <c r="L2" s="440"/>
      <c r="M2" s="439" t="s">
        <v>959</v>
      </c>
    </row>
    <row r="3" spans="1:13" ht="15" customHeight="1" x14ac:dyDescent="0.35">
      <c r="A3" s="530" t="s">
        <v>1308</v>
      </c>
      <c r="B3" s="445">
        <v>0.5</v>
      </c>
      <c r="C3" s="446" t="s">
        <v>1</v>
      </c>
      <c r="D3" s="458">
        <v>1</v>
      </c>
      <c r="E3" s="529" t="s">
        <v>843</v>
      </c>
      <c r="F3" s="548" t="s">
        <v>1514</v>
      </c>
      <c r="G3" s="582"/>
      <c r="H3" s="437" t="s">
        <v>772</v>
      </c>
      <c r="I3" s="438">
        <f>hsrf2rout!D42</f>
        <v>1577</v>
      </c>
      <c r="J3" s="435" t="s">
        <v>1</v>
      </c>
      <c r="K3" s="458">
        <v>1</v>
      </c>
      <c r="L3" s="440"/>
      <c r="M3" s="439" t="s">
        <v>945</v>
      </c>
    </row>
    <row r="4" spans="1:13" ht="15" customHeight="1" x14ac:dyDescent="0.25">
      <c r="A4" s="437" t="s">
        <v>758</v>
      </c>
      <c r="B4" s="459">
        <v>800</v>
      </c>
      <c r="C4" s="435" t="s">
        <v>2</v>
      </c>
      <c r="D4" s="458">
        <v>1</v>
      </c>
      <c r="E4" s="440" t="s">
        <v>710</v>
      </c>
      <c r="F4" s="550" t="s">
        <v>919</v>
      </c>
      <c r="G4" s="582"/>
      <c r="H4" s="437" t="s">
        <v>773</v>
      </c>
      <c r="I4" s="438">
        <f>hsrf2rout!D60</f>
        <v>1437</v>
      </c>
      <c r="J4" s="435" t="s">
        <v>1</v>
      </c>
      <c r="K4" s="458">
        <v>1</v>
      </c>
      <c r="L4" s="440"/>
      <c r="M4" s="439" t="s">
        <v>962</v>
      </c>
    </row>
    <row r="5" spans="1:13" ht="15" customHeight="1" x14ac:dyDescent="0.35">
      <c r="A5" s="437" t="s">
        <v>759</v>
      </c>
      <c r="B5" s="459">
        <v>0.05</v>
      </c>
      <c r="C5" s="446"/>
      <c r="D5" s="458">
        <v>1</v>
      </c>
      <c r="E5" s="319" t="s">
        <v>1031</v>
      </c>
      <c r="F5" s="548" t="s">
        <v>920</v>
      </c>
      <c r="G5" s="582"/>
      <c r="H5" s="437" t="s">
        <v>904</v>
      </c>
      <c r="I5" s="438">
        <f>hsrf2rout!E70</f>
        <v>1485.7702227221562</v>
      </c>
      <c r="J5" s="435" t="s">
        <v>1</v>
      </c>
      <c r="K5" s="458">
        <v>1</v>
      </c>
      <c r="L5" s="440"/>
      <c r="M5" s="439" t="s">
        <v>964</v>
      </c>
    </row>
    <row r="6" spans="1:13" ht="15" customHeight="1" x14ac:dyDescent="0.25">
      <c r="A6" s="530" t="s">
        <v>1323</v>
      </c>
      <c r="B6" s="459">
        <v>7.7</v>
      </c>
      <c r="C6" s="446" t="s">
        <v>1325</v>
      </c>
      <c r="D6" s="458"/>
      <c r="E6" s="453"/>
      <c r="F6" s="548" t="s">
        <v>1326</v>
      </c>
      <c r="G6" s="582"/>
      <c r="H6" s="437" t="s">
        <v>903</v>
      </c>
      <c r="I6" s="438">
        <f>hsrf2rout!E69</f>
        <v>275</v>
      </c>
      <c r="J6" t="s">
        <v>1</v>
      </c>
      <c r="K6" s="458">
        <v>1</v>
      </c>
      <c r="L6" s="440"/>
      <c r="M6" s="439" t="s">
        <v>965</v>
      </c>
    </row>
    <row r="7" spans="1:13" ht="15" customHeight="1" x14ac:dyDescent="0.25">
      <c r="A7" s="530" t="s">
        <v>1324</v>
      </c>
      <c r="B7" s="459">
        <v>9.3000000000000007</v>
      </c>
      <c r="C7" s="460" t="s">
        <v>1325</v>
      </c>
      <c r="D7" s="458"/>
      <c r="E7" s="453"/>
      <c r="F7" s="548" t="s">
        <v>1327</v>
      </c>
      <c r="G7" s="582"/>
      <c r="H7" s="530" t="s">
        <v>1152</v>
      </c>
      <c r="I7" s="438">
        <f>hsrf2rout!E71</f>
        <v>1461.2947315005954</v>
      </c>
      <c r="J7" t="s">
        <v>1</v>
      </c>
      <c r="K7" s="458">
        <v>1</v>
      </c>
      <c r="L7" s="532"/>
      <c r="M7" s="449" t="s">
        <v>1153</v>
      </c>
    </row>
    <row r="8" spans="1:13" ht="15" customHeight="1" x14ac:dyDescent="0.35">
      <c r="A8" s="437" t="s">
        <v>915</v>
      </c>
      <c r="B8" s="459">
        <v>205.64236461739407</v>
      </c>
      <c r="C8" s="435" t="s">
        <v>0</v>
      </c>
      <c r="D8" s="458">
        <v>1</v>
      </c>
      <c r="E8" s="440"/>
      <c r="F8" s="550" t="s">
        <v>977</v>
      </c>
      <c r="G8" s="582"/>
      <c r="H8" s="437" t="s">
        <v>873</v>
      </c>
      <c r="I8" s="438">
        <f>hsrf2intk!B29</f>
        <v>29.391918438905094</v>
      </c>
      <c r="J8" s="435" t="s">
        <v>1</v>
      </c>
      <c r="K8" s="458">
        <v>2</v>
      </c>
      <c r="L8" s="440" t="s">
        <v>842</v>
      </c>
      <c r="M8" s="439" t="s">
        <v>923</v>
      </c>
    </row>
    <row r="9" spans="1:13" ht="15" customHeight="1" x14ac:dyDescent="0.35">
      <c r="A9" s="530" t="s">
        <v>1246</v>
      </c>
      <c r="B9" s="448">
        <v>2000</v>
      </c>
      <c r="C9" s="435" t="s">
        <v>1</v>
      </c>
      <c r="D9" s="458">
        <v>1</v>
      </c>
      <c r="E9" s="558"/>
      <c r="F9" s="548" t="s">
        <v>1413</v>
      </c>
      <c r="G9" s="582"/>
      <c r="H9" s="437" t="s">
        <v>774</v>
      </c>
      <c r="I9" s="438">
        <f>hsrf2intk!B25</f>
        <v>1511.7860731685219</v>
      </c>
      <c r="J9" s="435" t="s">
        <v>1</v>
      </c>
      <c r="K9" s="458">
        <v>2</v>
      </c>
      <c r="L9" s="440" t="s">
        <v>844</v>
      </c>
      <c r="M9" s="439" t="s">
        <v>922</v>
      </c>
    </row>
    <row r="10" spans="1:13" ht="15" customHeight="1" x14ac:dyDescent="0.35">
      <c r="A10" s="437" t="s">
        <v>766</v>
      </c>
      <c r="B10" s="448">
        <v>30</v>
      </c>
      <c r="C10" s="435" t="s">
        <v>1</v>
      </c>
      <c r="D10" s="458">
        <v>2</v>
      </c>
      <c r="E10" s="440"/>
      <c r="F10" s="548" t="s">
        <v>1024</v>
      </c>
      <c r="G10" s="584"/>
      <c r="H10" s="437" t="s">
        <v>775</v>
      </c>
      <c r="I10" s="441">
        <f>hsrf2intk!B22</f>
        <v>1</v>
      </c>
      <c r="K10" s="458">
        <v>2</v>
      </c>
      <c r="L10" s="440" t="s">
        <v>845</v>
      </c>
      <c r="M10" s="439" t="s">
        <v>929</v>
      </c>
    </row>
    <row r="11" spans="1:13" ht="15" customHeight="1" x14ac:dyDescent="0.35">
      <c r="A11" s="437" t="s">
        <v>767</v>
      </c>
      <c r="B11" s="448">
        <v>100</v>
      </c>
      <c r="C11" s="435" t="s">
        <v>1</v>
      </c>
      <c r="D11" s="458">
        <v>2</v>
      </c>
      <c r="E11" s="440"/>
      <c r="F11" s="548" t="s">
        <v>1051</v>
      </c>
      <c r="G11" s="584"/>
      <c r="H11" s="437" t="s">
        <v>776</v>
      </c>
      <c r="I11" s="438">
        <f>hsrf2intk!B23</f>
        <v>20.159932032420912</v>
      </c>
      <c r="J11" s="435" t="s">
        <v>1</v>
      </c>
      <c r="K11" s="458">
        <v>2</v>
      </c>
      <c r="L11" s="440" t="s">
        <v>846</v>
      </c>
      <c r="M11" s="439" t="s">
        <v>930</v>
      </c>
    </row>
    <row r="12" spans="1:13" ht="15" customHeight="1" x14ac:dyDescent="0.35">
      <c r="A12" s="437" t="s">
        <v>768</v>
      </c>
      <c r="B12" s="448">
        <v>2000</v>
      </c>
      <c r="C12" s="435" t="s">
        <v>1</v>
      </c>
      <c r="D12" s="458">
        <v>2</v>
      </c>
      <c r="E12" s="440"/>
      <c r="F12" s="548" t="s">
        <v>1052</v>
      </c>
      <c r="G12" s="584"/>
      <c r="H12" s="437" t="s">
        <v>777</v>
      </c>
      <c r="I12" s="438">
        <f>hsrf2intk!B24</f>
        <v>20.159932032420912</v>
      </c>
      <c r="J12" s="435" t="s">
        <v>1</v>
      </c>
      <c r="K12" s="458">
        <v>2</v>
      </c>
      <c r="L12" s="440" t="s">
        <v>847</v>
      </c>
      <c r="M12" s="439" t="s">
        <v>928</v>
      </c>
    </row>
    <row r="13" spans="1:13" ht="15" customHeight="1" x14ac:dyDescent="0.35">
      <c r="A13" s="437" t="s">
        <v>769</v>
      </c>
      <c r="B13" s="448">
        <v>200</v>
      </c>
      <c r="C13" s="435" t="s">
        <v>1</v>
      </c>
      <c r="D13" s="458">
        <v>2</v>
      </c>
      <c r="E13" s="440"/>
      <c r="F13" s="548" t="s">
        <v>967</v>
      </c>
      <c r="G13" s="584"/>
      <c r="H13" s="437" t="s">
        <v>778</v>
      </c>
      <c r="I13" s="438">
        <f>hsrf2intk!B25</f>
        <v>1511.7860731685219</v>
      </c>
      <c r="J13" s="435" t="s">
        <v>1</v>
      </c>
      <c r="K13" s="458">
        <v>2</v>
      </c>
      <c r="L13" s="440" t="s">
        <v>849</v>
      </c>
      <c r="M13" s="439" t="s">
        <v>932</v>
      </c>
    </row>
    <row r="14" spans="1:13" ht="15" customHeight="1" x14ac:dyDescent="0.35">
      <c r="A14" s="530" t="s">
        <v>1151</v>
      </c>
      <c r="B14" s="448">
        <v>100</v>
      </c>
      <c r="C14" s="435" t="s">
        <v>1</v>
      </c>
      <c r="D14" s="458">
        <v>2</v>
      </c>
      <c r="E14" s="531"/>
      <c r="F14" s="548" t="s">
        <v>1411</v>
      </c>
      <c r="G14" s="584"/>
      <c r="H14" s="437" t="s">
        <v>779</v>
      </c>
      <c r="I14" s="438">
        <f>hsrf2intk!B29</f>
        <v>29.391918438905094</v>
      </c>
      <c r="J14" s="435" t="s">
        <v>1</v>
      </c>
      <c r="K14" s="458">
        <v>2</v>
      </c>
      <c r="L14" s="440" t="s">
        <v>850</v>
      </c>
      <c r="M14" s="439" t="s">
        <v>938</v>
      </c>
    </row>
    <row r="15" spans="1:13" ht="15" customHeight="1" x14ac:dyDescent="0.35">
      <c r="A15" s="530" t="s">
        <v>1235</v>
      </c>
      <c r="B15" s="448">
        <v>200</v>
      </c>
      <c r="C15" s="435" t="s">
        <v>1</v>
      </c>
      <c r="D15" s="458">
        <v>2</v>
      </c>
      <c r="E15" s="532"/>
      <c r="F15" s="548" t="s">
        <v>1412</v>
      </c>
      <c r="G15" s="584"/>
      <c r="H15" s="437" t="s">
        <v>780</v>
      </c>
      <c r="I15" s="438">
        <f>hsrf2intk!B30</f>
        <v>12.14278536629563</v>
      </c>
      <c r="J15" s="435" t="s">
        <v>1</v>
      </c>
      <c r="K15" s="458">
        <v>2</v>
      </c>
      <c r="L15" s="440" t="s">
        <v>851</v>
      </c>
      <c r="M15" s="439" t="s">
        <v>937</v>
      </c>
    </row>
    <row r="16" spans="1:13" ht="15" customHeight="1" x14ac:dyDescent="0.35">
      <c r="A16" s="437" t="s">
        <v>791</v>
      </c>
      <c r="B16" s="445">
        <v>0</v>
      </c>
      <c r="C16" s="446" t="s">
        <v>1</v>
      </c>
      <c r="D16" s="458">
        <v>2</v>
      </c>
      <c r="E16" s="319"/>
      <c r="F16" s="548" t="s">
        <v>1043</v>
      </c>
      <c r="G16" s="584"/>
      <c r="H16" s="437" t="s">
        <v>893</v>
      </c>
      <c r="I16" s="448">
        <f>hsrf2intk!B27</f>
        <v>40.713926831478148</v>
      </c>
      <c r="J16" t="s">
        <v>1</v>
      </c>
      <c r="K16" s="458">
        <v>2</v>
      </c>
      <c r="L16" s="319" t="s">
        <v>894</v>
      </c>
      <c r="M16" s="439" t="s">
        <v>936</v>
      </c>
    </row>
    <row r="17" spans="1:13" ht="15" customHeight="1" x14ac:dyDescent="0.35">
      <c r="A17" s="437" t="s">
        <v>792</v>
      </c>
      <c r="B17" s="445">
        <v>0</v>
      </c>
      <c r="C17" s="460" t="s">
        <v>1</v>
      </c>
      <c r="D17" s="458">
        <v>2</v>
      </c>
      <c r="E17" s="319"/>
      <c r="F17" s="548" t="s">
        <v>1033</v>
      </c>
      <c r="G17" s="584"/>
      <c r="H17" s="437" t="s">
        <v>895</v>
      </c>
      <c r="I17" s="448">
        <f>hsrf2intk!B16</f>
        <v>6.0539947990571328</v>
      </c>
      <c r="J17" t="s">
        <v>1</v>
      </c>
      <c r="K17" s="458">
        <v>2</v>
      </c>
      <c r="L17" s="319" t="s">
        <v>896</v>
      </c>
      <c r="M17" s="439" t="s">
        <v>935</v>
      </c>
    </row>
    <row r="18" spans="1:13" ht="15" customHeight="1" x14ac:dyDescent="0.25">
      <c r="A18" s="437" t="s">
        <v>1045</v>
      </c>
      <c r="B18" s="484">
        <v>0</v>
      </c>
      <c r="C18" s="446"/>
      <c r="D18" s="485">
        <v>2</v>
      </c>
      <c r="E18" s="319"/>
      <c r="F18" s="548" t="s">
        <v>1050</v>
      </c>
      <c r="G18" s="582"/>
      <c r="H18" s="437" t="s">
        <v>767</v>
      </c>
      <c r="I18" s="438">
        <f>hsrf2tunl!F35</f>
        <v>100</v>
      </c>
      <c r="J18" s="435" t="s">
        <v>1</v>
      </c>
      <c r="K18" s="458">
        <v>2</v>
      </c>
      <c r="L18" s="440"/>
      <c r="M18" s="439" t="s">
        <v>957</v>
      </c>
    </row>
    <row r="19" spans="1:13" ht="15" customHeight="1" x14ac:dyDescent="0.25">
      <c r="A19" s="437" t="s">
        <v>1130</v>
      </c>
      <c r="B19" s="484">
        <v>60</v>
      </c>
      <c r="C19" s="446" t="s">
        <v>1131</v>
      </c>
      <c r="D19" s="485">
        <v>1</v>
      </c>
      <c r="E19" s="319"/>
      <c r="F19" s="548" t="s">
        <v>1132</v>
      </c>
      <c r="G19" s="582"/>
      <c r="H19" s="437" t="s">
        <v>781</v>
      </c>
      <c r="I19" s="438">
        <f>VLOOKUP(hsrf2tunl!D26,hsrf2tunl!B29:D31,2)*I18</f>
        <v>20</v>
      </c>
      <c r="J19" s="435" t="s">
        <v>1</v>
      </c>
      <c r="K19" s="458">
        <v>2</v>
      </c>
      <c r="L19" s="440"/>
      <c r="M19" s="439" t="s">
        <v>956</v>
      </c>
    </row>
    <row r="20" spans="1:13" ht="15" customHeight="1" x14ac:dyDescent="0.25">
      <c r="A20" s="530" t="s">
        <v>1331</v>
      </c>
      <c r="B20" s="484">
        <v>0</v>
      </c>
      <c r="C20" s="446"/>
      <c r="D20" s="485">
        <v>1</v>
      </c>
      <c r="E20" s="453"/>
      <c r="F20" s="548" t="s">
        <v>1332</v>
      </c>
      <c r="G20" s="582"/>
      <c r="H20" s="437" t="s">
        <v>782</v>
      </c>
      <c r="I20" s="438">
        <f>VLOOKUP(hsrf2tunl!D26,hsrf2tunl!B29:D31,3)*I18</f>
        <v>0</v>
      </c>
      <c r="J20" s="435" t="s">
        <v>1</v>
      </c>
      <c r="K20" s="458">
        <v>2</v>
      </c>
      <c r="L20" s="440"/>
      <c r="M20" s="439" t="s">
        <v>954</v>
      </c>
    </row>
    <row r="21" spans="1:13" ht="15" customHeight="1" x14ac:dyDescent="0.25">
      <c r="A21" s="437" t="s">
        <v>1025</v>
      </c>
      <c r="B21" s="445">
        <v>0.42735042735042739</v>
      </c>
      <c r="C21"/>
      <c r="D21" s="458">
        <v>1</v>
      </c>
      <c r="E21" s="577"/>
      <c r="F21" s="548" t="s">
        <v>1136</v>
      </c>
      <c r="G21" s="582"/>
      <c r="H21" s="437" t="s">
        <v>783</v>
      </c>
      <c r="I21" s="438">
        <f>hsrf2tunl!F37</f>
        <v>20.159932032420912</v>
      </c>
      <c r="J21" s="435" t="s">
        <v>1</v>
      </c>
      <c r="K21" s="458">
        <v>2</v>
      </c>
      <c r="L21" s="440"/>
      <c r="M21" s="439" t="s">
        <v>953</v>
      </c>
    </row>
    <row r="22" spans="1:13" ht="15" customHeight="1" x14ac:dyDescent="0.25">
      <c r="A22" s="437" t="s">
        <v>1026</v>
      </c>
      <c r="B22" s="445">
        <v>1.1772503980700835</v>
      </c>
      <c r="C22"/>
      <c r="D22" s="458">
        <v>1</v>
      </c>
      <c r="E22" s="577"/>
      <c r="F22" s="548" t="s">
        <v>1137</v>
      </c>
      <c r="G22" s="582"/>
      <c r="H22" s="437" t="s">
        <v>784</v>
      </c>
      <c r="I22" s="438">
        <f>hsrf2tunl!C12</f>
        <v>1511.7860731685219</v>
      </c>
      <c r="J22" s="435" t="s">
        <v>1</v>
      </c>
      <c r="K22" s="458">
        <v>2</v>
      </c>
      <c r="L22" s="440"/>
      <c r="M22" s="439" t="s">
        <v>958</v>
      </c>
    </row>
    <row r="23" spans="1:13" ht="15" customHeight="1" x14ac:dyDescent="0.25">
      <c r="G23" s="582"/>
      <c r="H23" s="437" t="s">
        <v>785</v>
      </c>
      <c r="I23" s="438">
        <f>hsrf2tunl!C13</f>
        <v>1511.2860731685219</v>
      </c>
      <c r="J23" s="435" t="s">
        <v>1</v>
      </c>
      <c r="K23" s="458">
        <v>2</v>
      </c>
      <c r="L23" s="440"/>
      <c r="M23" s="439" t="s">
        <v>955</v>
      </c>
    </row>
    <row r="24" spans="1:13" ht="15" customHeight="1" x14ac:dyDescent="0.25">
      <c r="A24" s="434" t="s">
        <v>1236</v>
      </c>
      <c r="G24" s="584"/>
      <c r="H24" s="437" t="s">
        <v>786</v>
      </c>
      <c r="I24" s="438">
        <f>IF(hsrf2rout!D42=0,0,hsrf2stnk!B22)</f>
        <v>1552.9833900704273</v>
      </c>
      <c r="J24" s="435" t="s">
        <v>1</v>
      </c>
      <c r="K24" s="458">
        <v>2</v>
      </c>
      <c r="L24" s="440"/>
      <c r="M24" s="439" t="s">
        <v>946</v>
      </c>
    </row>
    <row r="25" spans="1:13" ht="15" customHeight="1" x14ac:dyDescent="0.35">
      <c r="A25" s="437" t="s">
        <v>1237</v>
      </c>
      <c r="B25" s="445">
        <v>1548</v>
      </c>
      <c r="C25" s="435" t="s">
        <v>1</v>
      </c>
      <c r="D25" s="458">
        <v>1</v>
      </c>
      <c r="E25" s="543" t="s">
        <v>840</v>
      </c>
      <c r="F25" s="548" t="s">
        <v>1138</v>
      </c>
      <c r="G25" s="584"/>
      <c r="H25" s="437" t="s">
        <v>787</v>
      </c>
      <c r="I25" s="438">
        <f>hsrf2stnk!B23</f>
        <v>1533.14945650862</v>
      </c>
      <c r="J25" s="435" t="s">
        <v>1</v>
      </c>
      <c r="K25" s="458">
        <v>2</v>
      </c>
      <c r="L25" s="440"/>
      <c r="M25" s="439" t="s">
        <v>947</v>
      </c>
    </row>
    <row r="26" spans="1:13" ht="15" customHeight="1" x14ac:dyDescent="0.35">
      <c r="A26" s="437" t="s">
        <v>1238</v>
      </c>
      <c r="B26" s="445">
        <v>1538</v>
      </c>
      <c r="C26" s="435" t="s">
        <v>1</v>
      </c>
      <c r="D26" s="458">
        <v>1</v>
      </c>
      <c r="E26" s="544" t="s">
        <v>1240</v>
      </c>
      <c r="F26" s="548" t="s">
        <v>1139</v>
      </c>
      <c r="G26" s="584"/>
      <c r="H26" s="437" t="s">
        <v>788</v>
      </c>
      <c r="I26" s="438">
        <f>hsrf2stnk!B20</f>
        <v>29.16</v>
      </c>
      <c r="J26" s="435" t="s">
        <v>1</v>
      </c>
      <c r="K26" s="458">
        <v>2</v>
      </c>
      <c r="L26" s="440"/>
      <c r="M26" s="439" t="s">
        <v>944</v>
      </c>
    </row>
    <row r="27" spans="1:13" ht="15" customHeight="1" x14ac:dyDescent="0.25">
      <c r="A27" s="437" t="s">
        <v>763</v>
      </c>
      <c r="B27" s="445">
        <v>1550</v>
      </c>
      <c r="C27" s="435" t="s">
        <v>1</v>
      </c>
      <c r="D27" s="458">
        <v>1</v>
      </c>
      <c r="E27" s="440"/>
      <c r="F27" s="548" t="s">
        <v>1244</v>
      </c>
      <c r="G27" s="582"/>
      <c r="H27" s="437" t="s">
        <v>789</v>
      </c>
      <c r="I27" s="438">
        <f>hsrf2tunl!F52</f>
        <v>156.10817920546293</v>
      </c>
      <c r="J27" s="435" t="s">
        <v>1</v>
      </c>
      <c r="K27" s="458">
        <v>3</v>
      </c>
      <c r="L27" s="440"/>
      <c r="M27" s="439" t="s">
        <v>971</v>
      </c>
    </row>
    <row r="28" spans="1:13" ht="15" customHeight="1" x14ac:dyDescent="0.25">
      <c r="A28" s="437" t="s">
        <v>917</v>
      </c>
      <c r="B28" s="445">
        <v>4</v>
      </c>
      <c r="C28" s="446" t="s">
        <v>1</v>
      </c>
      <c r="D28" s="458">
        <v>2</v>
      </c>
      <c r="E28" s="319"/>
      <c r="F28" s="548" t="s">
        <v>1245</v>
      </c>
      <c r="G28" s="582"/>
      <c r="H28" s="437" t="s">
        <v>790</v>
      </c>
      <c r="I28" s="438">
        <f>hsrf2tunl!F55</f>
        <v>21.492992655875135</v>
      </c>
      <c r="J28" s="435" t="s">
        <v>1</v>
      </c>
      <c r="K28" s="458">
        <v>2</v>
      </c>
      <c r="L28" s="440"/>
      <c r="M28" s="439" t="s">
        <v>970</v>
      </c>
    </row>
    <row r="29" spans="1:13" ht="15" customHeight="1" x14ac:dyDescent="0.25">
      <c r="A29" s="437" t="s">
        <v>1196</v>
      </c>
      <c r="B29" s="484">
        <v>1</v>
      </c>
      <c r="D29" s="458">
        <v>2</v>
      </c>
      <c r="E29" s="537"/>
      <c r="F29" s="548" t="s">
        <v>1197</v>
      </c>
      <c r="G29" s="582"/>
      <c r="H29" s="437" t="s">
        <v>768</v>
      </c>
      <c r="I29" s="438">
        <f>hsrf2tunl!F59</f>
        <v>2000</v>
      </c>
      <c r="J29" s="435" t="s">
        <v>1</v>
      </c>
      <c r="K29" s="458">
        <v>2</v>
      </c>
      <c r="L29" s="440"/>
      <c r="M29" s="439" t="s">
        <v>961</v>
      </c>
    </row>
    <row r="30" spans="1:13" ht="15" customHeight="1" x14ac:dyDescent="0.35">
      <c r="A30" s="437" t="s">
        <v>1243</v>
      </c>
      <c r="B30" s="445">
        <v>1</v>
      </c>
      <c r="C30" s="446" t="s">
        <v>1</v>
      </c>
      <c r="D30" s="458">
        <v>1</v>
      </c>
      <c r="E30" s="529" t="s">
        <v>843</v>
      </c>
      <c r="F30" s="548" t="s">
        <v>1515</v>
      </c>
      <c r="G30" s="582"/>
      <c r="H30" s="437" t="s">
        <v>791</v>
      </c>
      <c r="I30" s="438">
        <f>MAX(hsrf2tunl!D128,hsrf2tunl!F61)</f>
        <v>28.655826345001923</v>
      </c>
      <c r="J30" s="435" t="s">
        <v>1</v>
      </c>
      <c r="K30" s="458">
        <v>3</v>
      </c>
      <c r="L30" s="440"/>
      <c r="M30" s="439" t="s">
        <v>960</v>
      </c>
    </row>
    <row r="31" spans="1:13" ht="15" customHeight="1" x14ac:dyDescent="0.35">
      <c r="A31" s="437" t="s">
        <v>756</v>
      </c>
      <c r="B31" s="445">
        <v>2</v>
      </c>
      <c r="C31" s="435" t="s">
        <v>1</v>
      </c>
      <c r="D31" s="458">
        <v>1</v>
      </c>
      <c r="E31" s="543" t="s">
        <v>843</v>
      </c>
      <c r="F31" s="548" t="s">
        <v>1516</v>
      </c>
      <c r="G31" s="582"/>
      <c r="H31" s="437" t="s">
        <v>769</v>
      </c>
      <c r="I31" s="438">
        <f>hsrf2tunl!F103</f>
        <v>200</v>
      </c>
      <c r="J31" s="435" t="s">
        <v>1</v>
      </c>
      <c r="K31" s="458">
        <v>2</v>
      </c>
      <c r="L31" s="440"/>
      <c r="M31" s="439" t="s">
        <v>967</v>
      </c>
    </row>
    <row r="32" spans="1:13" ht="15" customHeight="1" x14ac:dyDescent="0.35">
      <c r="A32" s="437" t="s">
        <v>757</v>
      </c>
      <c r="B32" s="445">
        <v>3</v>
      </c>
      <c r="C32" s="435" t="s">
        <v>1</v>
      </c>
      <c r="D32" s="458">
        <v>1</v>
      </c>
      <c r="E32" s="543" t="s">
        <v>843</v>
      </c>
      <c r="F32" s="548" t="s">
        <v>1517</v>
      </c>
      <c r="G32" s="582"/>
      <c r="H32" s="437" t="s">
        <v>792</v>
      </c>
      <c r="I32" s="438">
        <f>MAX(hsrf2tunl!F106,hsrf2tunl!D129)</f>
        <v>17.738943271367564</v>
      </c>
      <c r="J32" s="435" t="s">
        <v>1</v>
      </c>
      <c r="K32" s="458">
        <v>2</v>
      </c>
      <c r="L32" s="440"/>
      <c r="M32" s="439" t="s">
        <v>966</v>
      </c>
    </row>
    <row r="33" spans="1:13" ht="15" customHeight="1" x14ac:dyDescent="0.25">
      <c r="A33" s="437" t="s">
        <v>764</v>
      </c>
      <c r="B33" s="482" t="s">
        <v>753</v>
      </c>
      <c r="D33" s="458">
        <v>2</v>
      </c>
      <c r="E33" s="440"/>
      <c r="F33" s="548" t="s">
        <v>1016</v>
      </c>
      <c r="G33" s="582"/>
      <c r="H33" s="437" t="s">
        <v>892</v>
      </c>
      <c r="I33" s="448">
        <f>hsrf2tunl!K104</f>
        <v>85.106820953614388</v>
      </c>
      <c r="J33" t="s">
        <v>114</v>
      </c>
      <c r="K33" s="458">
        <v>3</v>
      </c>
      <c r="L33" s="319"/>
      <c r="M33" s="439" t="s">
        <v>968</v>
      </c>
    </row>
    <row r="34" spans="1:13" ht="15" customHeight="1" x14ac:dyDescent="0.25">
      <c r="A34" s="319"/>
      <c r="B34" s="319"/>
      <c r="C34" s="319"/>
      <c r="D34" s="319"/>
      <c r="E34" s="319"/>
      <c r="F34" s="552"/>
      <c r="G34" s="582"/>
      <c r="H34" s="437" t="s">
        <v>793</v>
      </c>
      <c r="I34" s="438">
        <f>hsrf2tunl!C16</f>
        <v>1372.097706047085</v>
      </c>
      <c r="J34" s="435" t="s">
        <v>1</v>
      </c>
      <c r="K34" s="458">
        <v>3</v>
      </c>
      <c r="L34" s="440"/>
      <c r="M34" s="439" t="s">
        <v>969</v>
      </c>
    </row>
    <row r="35" spans="1:13" ht="15" customHeight="1" x14ac:dyDescent="0.25">
      <c r="A35" s="434" t="s">
        <v>1239</v>
      </c>
      <c r="G35" s="582"/>
      <c r="H35" s="437" t="s">
        <v>794</v>
      </c>
      <c r="I35" s="438">
        <f>hsrf2tunl!C17</f>
        <v>1371.097706047085</v>
      </c>
      <c r="J35" s="435" t="s">
        <v>1</v>
      </c>
      <c r="K35" s="458">
        <v>3</v>
      </c>
      <c r="L35" s="440"/>
      <c r="M35" s="439" t="s">
        <v>963</v>
      </c>
    </row>
    <row r="36" spans="1:13" ht="15" customHeight="1" x14ac:dyDescent="0.35">
      <c r="A36" s="437" t="s">
        <v>1237</v>
      </c>
      <c r="B36" s="445">
        <v>1408</v>
      </c>
      <c r="C36" s="435" t="s">
        <v>1</v>
      </c>
      <c r="D36" s="458"/>
      <c r="E36" s="543" t="s">
        <v>840</v>
      </c>
      <c r="F36" s="548" t="s">
        <v>1140</v>
      </c>
      <c r="G36" s="582"/>
      <c r="H36" s="437" t="s">
        <v>795</v>
      </c>
      <c r="I36" s="441">
        <f>hsrf2tunl!F136</f>
        <v>2</v>
      </c>
      <c r="K36" s="458">
        <v>2</v>
      </c>
      <c r="L36" s="440" t="s">
        <v>852</v>
      </c>
      <c r="M36" s="439" t="s">
        <v>941</v>
      </c>
    </row>
    <row r="37" spans="1:13" ht="15" customHeight="1" x14ac:dyDescent="0.35">
      <c r="A37" s="437" t="s">
        <v>1238</v>
      </c>
      <c r="B37" s="445">
        <v>1403</v>
      </c>
      <c r="C37" s="435" t="s">
        <v>1</v>
      </c>
      <c r="D37" s="458"/>
      <c r="E37" s="544" t="s">
        <v>1240</v>
      </c>
      <c r="F37" s="548" t="s">
        <v>1141</v>
      </c>
      <c r="G37" s="582"/>
      <c r="H37" s="437" t="s">
        <v>796</v>
      </c>
      <c r="I37" s="438">
        <f>hsrf2tunl!F135</f>
        <v>9.6231581546645657</v>
      </c>
      <c r="J37" s="435" t="s">
        <v>1</v>
      </c>
      <c r="K37" s="458">
        <v>3</v>
      </c>
      <c r="L37" s="440" t="s">
        <v>853</v>
      </c>
      <c r="M37" s="439" t="s">
        <v>939</v>
      </c>
    </row>
    <row r="38" spans="1:13" ht="15" customHeight="1" x14ac:dyDescent="0.35">
      <c r="A38" s="437" t="s">
        <v>763</v>
      </c>
      <c r="B38" s="445">
        <v>1410</v>
      </c>
      <c r="C38" s="435" t="s">
        <v>1</v>
      </c>
      <c r="D38" s="458">
        <v>1</v>
      </c>
      <c r="E38" s="556"/>
      <c r="F38" s="548" t="s">
        <v>1561</v>
      </c>
      <c r="G38" s="582"/>
      <c r="H38" s="437" t="s">
        <v>797</v>
      </c>
      <c r="I38" s="442">
        <f>hsrf2tunl!F133</f>
        <v>33</v>
      </c>
      <c r="J38" s="435" t="s">
        <v>1</v>
      </c>
      <c r="K38" s="458">
        <v>2</v>
      </c>
      <c r="L38" s="440" t="s">
        <v>854</v>
      </c>
      <c r="M38" s="439" t="s">
        <v>940</v>
      </c>
    </row>
    <row r="39" spans="1:13" ht="15" customHeight="1" x14ac:dyDescent="0.25">
      <c r="A39" s="437" t="s">
        <v>917</v>
      </c>
      <c r="B39" s="445">
        <v>4</v>
      </c>
      <c r="C39" s="446" t="s">
        <v>1</v>
      </c>
      <c r="D39" s="458">
        <v>2</v>
      </c>
      <c r="E39" s="557"/>
      <c r="F39" s="548" t="s">
        <v>1562</v>
      </c>
      <c r="G39" s="582"/>
      <c r="H39" s="437" t="s">
        <v>891</v>
      </c>
      <c r="I39" s="448">
        <f>hsrf2tunl!K134</f>
        <v>65.969672176303789</v>
      </c>
      <c r="J39" t="s">
        <v>114</v>
      </c>
      <c r="K39" s="458">
        <v>3</v>
      </c>
      <c r="L39" s="319"/>
      <c r="M39" s="439" t="s">
        <v>943</v>
      </c>
    </row>
    <row r="40" spans="1:13" ht="15" customHeight="1" x14ac:dyDescent="0.35">
      <c r="A40" s="437" t="s">
        <v>1196</v>
      </c>
      <c r="B40" s="484">
        <v>0</v>
      </c>
      <c r="D40" s="458">
        <v>2</v>
      </c>
      <c r="E40" s="537"/>
      <c r="F40" s="548" t="s">
        <v>1197</v>
      </c>
      <c r="G40" s="583"/>
      <c r="H40" s="437" t="s">
        <v>798</v>
      </c>
      <c r="I40" s="441">
        <f>hsrf2pwh!B10</f>
        <v>2</v>
      </c>
      <c r="K40" s="458">
        <v>2</v>
      </c>
      <c r="L40" s="532" t="s">
        <v>855</v>
      </c>
      <c r="M40" s="439" t="s">
        <v>990</v>
      </c>
    </row>
    <row r="41" spans="1:13" ht="15" customHeight="1" x14ac:dyDescent="0.35">
      <c r="A41" s="437" t="s">
        <v>1243</v>
      </c>
      <c r="B41" s="445">
        <v>4</v>
      </c>
      <c r="C41" s="446" t="s">
        <v>1</v>
      </c>
      <c r="D41" s="458">
        <v>1</v>
      </c>
      <c r="E41" s="529" t="s">
        <v>843</v>
      </c>
      <c r="F41" s="548" t="s">
        <v>1563</v>
      </c>
      <c r="G41" s="583"/>
      <c r="H41" s="437" t="s">
        <v>799</v>
      </c>
      <c r="I41" s="438">
        <f>hsrf2pwh!B41</f>
        <v>8.7382672038650728</v>
      </c>
      <c r="J41" s="435" t="s">
        <v>1</v>
      </c>
      <c r="K41" s="458">
        <v>2</v>
      </c>
      <c r="L41" s="440" t="s">
        <v>856</v>
      </c>
      <c r="M41" s="439" t="s">
        <v>1007</v>
      </c>
    </row>
    <row r="42" spans="1:13" ht="15" customHeight="1" x14ac:dyDescent="0.35">
      <c r="A42" s="437" t="s">
        <v>756</v>
      </c>
      <c r="B42" s="445">
        <v>5</v>
      </c>
      <c r="C42" s="435" t="s">
        <v>1</v>
      </c>
      <c r="D42" s="458">
        <v>1</v>
      </c>
      <c r="E42" s="543" t="s">
        <v>843</v>
      </c>
      <c r="F42" s="548" t="s">
        <v>1564</v>
      </c>
      <c r="G42" s="583"/>
      <c r="H42" s="437" t="s">
        <v>1133</v>
      </c>
      <c r="I42" s="445">
        <f>hsrf2pwh!C22</f>
        <v>171.86140677320924</v>
      </c>
      <c r="J42" s="446"/>
      <c r="K42" s="458">
        <v>2</v>
      </c>
      <c r="L42" s="319" t="s">
        <v>1134</v>
      </c>
      <c r="M42" s="449" t="s">
        <v>1135</v>
      </c>
    </row>
    <row r="43" spans="1:13" ht="15" customHeight="1" x14ac:dyDescent="0.35">
      <c r="A43" s="437" t="s">
        <v>757</v>
      </c>
      <c r="B43" s="445">
        <v>6</v>
      </c>
      <c r="C43" s="435" t="s">
        <v>1</v>
      </c>
      <c r="D43" s="458">
        <v>1</v>
      </c>
      <c r="E43" s="543" t="s">
        <v>843</v>
      </c>
      <c r="F43" s="548" t="s">
        <v>1565</v>
      </c>
      <c r="G43" s="583"/>
      <c r="H43" s="437" t="s">
        <v>881</v>
      </c>
      <c r="I43" s="445">
        <f>hsrf2pwh!B101</f>
        <v>17.427184314144597</v>
      </c>
      <c r="J43" t="s">
        <v>1</v>
      </c>
      <c r="K43" s="458">
        <v>2</v>
      </c>
      <c r="L43" s="319" t="s">
        <v>874</v>
      </c>
      <c r="M43" s="439" t="s">
        <v>986</v>
      </c>
    </row>
    <row r="44" spans="1:13" ht="15" customHeight="1" x14ac:dyDescent="0.35">
      <c r="A44" s="437" t="s">
        <v>764</v>
      </c>
      <c r="B44" s="482" t="s">
        <v>753</v>
      </c>
      <c r="D44" s="458">
        <v>2</v>
      </c>
      <c r="E44" s="440"/>
      <c r="F44" s="548" t="s">
        <v>1016</v>
      </c>
      <c r="G44" s="583"/>
      <c r="H44" s="437" t="s">
        <v>800</v>
      </c>
      <c r="I44" s="438">
        <f>hsrf2pwh!B34</f>
        <v>1377.9375521149007</v>
      </c>
      <c r="J44" s="435" t="s">
        <v>1</v>
      </c>
      <c r="K44" s="458">
        <v>2</v>
      </c>
      <c r="L44" s="440" t="s">
        <v>857</v>
      </c>
      <c r="M44" s="439" t="s">
        <v>1003</v>
      </c>
    </row>
    <row r="45" spans="1:13" ht="15" customHeight="1" x14ac:dyDescent="0.35">
      <c r="A45" s="319"/>
      <c r="B45" s="319"/>
      <c r="C45" s="319"/>
      <c r="D45" s="319"/>
      <c r="E45" s="319"/>
      <c r="F45" s="552"/>
      <c r="G45" s="583"/>
      <c r="H45" s="437" t="s">
        <v>801</v>
      </c>
      <c r="I45" s="438">
        <f>hsrf2pwh!B79</f>
        <v>57.850474552336856</v>
      </c>
      <c r="J45" s="435" t="s">
        <v>1</v>
      </c>
      <c r="K45" s="458">
        <v>2</v>
      </c>
      <c r="L45" s="440" t="s">
        <v>858</v>
      </c>
      <c r="M45" s="439" t="s">
        <v>1000</v>
      </c>
    </row>
    <row r="46" spans="1:13" ht="15" customHeight="1" x14ac:dyDescent="0.35">
      <c r="D46" s="458">
        <v>1</v>
      </c>
      <c r="E46" s="5"/>
      <c r="F46" s="553" t="s">
        <v>1018</v>
      </c>
      <c r="G46" s="583"/>
      <c r="H46" s="437" t="s">
        <v>882</v>
      </c>
      <c r="I46" s="445">
        <f>hsrf2pwh!B78</f>
        <v>27.925237276168428</v>
      </c>
      <c r="J46" s="446" t="s">
        <v>1</v>
      </c>
      <c r="K46" s="458">
        <v>2</v>
      </c>
      <c r="L46" s="319" t="s">
        <v>875</v>
      </c>
      <c r="M46" s="439" t="s">
        <v>991</v>
      </c>
    </row>
    <row r="47" spans="1:13" ht="15" customHeight="1" x14ac:dyDescent="0.35">
      <c r="D47" s="5"/>
      <c r="E47" s="5"/>
      <c r="F47" s="553" t="s">
        <v>1019</v>
      </c>
      <c r="G47" s="583"/>
      <c r="H47" s="437" t="s">
        <v>802</v>
      </c>
      <c r="I47" s="438">
        <f>hsrf2pwh!B80</f>
        <v>41.88785591425264</v>
      </c>
      <c r="J47" s="435" t="s">
        <v>1</v>
      </c>
      <c r="K47" s="458">
        <v>2</v>
      </c>
      <c r="L47" s="440" t="s">
        <v>859</v>
      </c>
      <c r="M47" s="439" t="s">
        <v>976</v>
      </c>
    </row>
    <row r="48" spans="1:13" ht="15" customHeight="1" x14ac:dyDescent="0.35">
      <c r="D48" s="459">
        <v>2</v>
      </c>
      <c r="E48" s="5"/>
      <c r="F48" s="554" t="s">
        <v>1020</v>
      </c>
      <c r="G48" s="583"/>
      <c r="H48" s="437" t="s">
        <v>803</v>
      </c>
      <c r="I48" s="438">
        <f>hsrf2pwh!B84</f>
        <v>41.675580904257671</v>
      </c>
      <c r="J48" s="435" t="s">
        <v>1</v>
      </c>
      <c r="K48" s="458">
        <v>2</v>
      </c>
      <c r="L48" s="440" t="s">
        <v>860</v>
      </c>
      <c r="M48" s="439" t="s">
        <v>999</v>
      </c>
    </row>
    <row r="49" spans="1:14" ht="15" customHeight="1" x14ac:dyDescent="0.25">
      <c r="D49" s="446"/>
      <c r="E49" s="5"/>
      <c r="F49" s="555" t="s">
        <v>1034</v>
      </c>
      <c r="G49" s="547"/>
      <c r="H49" s="437" t="s">
        <v>804</v>
      </c>
      <c r="I49" s="438">
        <f>hsrf2pwh!B68</f>
        <v>1383.0904690009356</v>
      </c>
      <c r="J49" s="435" t="s">
        <v>1</v>
      </c>
      <c r="K49" s="458">
        <v>2</v>
      </c>
      <c r="L49" s="546"/>
      <c r="M49" s="439" t="s">
        <v>995</v>
      </c>
      <c r="N49" s="540" t="s">
        <v>1196</v>
      </c>
    </row>
    <row r="50" spans="1:14" ht="15" customHeight="1" x14ac:dyDescent="0.35">
      <c r="D50" s="459">
        <v>3</v>
      </c>
      <c r="E50" s="5"/>
      <c r="F50" s="554" t="s">
        <v>1021</v>
      </c>
      <c r="G50" s="585"/>
      <c r="H50" s="437" t="s">
        <v>805</v>
      </c>
      <c r="I50" s="438">
        <f>ph_mi!H16</f>
        <v>1350.3458366498817</v>
      </c>
      <c r="J50" s="435" t="s">
        <v>1</v>
      </c>
      <c r="K50" s="458">
        <v>2</v>
      </c>
      <c r="L50" s="531" t="s">
        <v>861</v>
      </c>
      <c r="M50" s="439" t="s">
        <v>951</v>
      </c>
      <c r="N50" s="541" t="s">
        <v>1212</v>
      </c>
    </row>
    <row r="51" spans="1:14" ht="15" customHeight="1" x14ac:dyDescent="0.35">
      <c r="C51"/>
      <c r="D51" s="446"/>
      <c r="E51" s="5"/>
      <c r="G51" s="585"/>
      <c r="H51" s="437" t="s">
        <v>806</v>
      </c>
      <c r="I51" s="438">
        <f>ph_mi!H17</f>
        <v>1348.8760835098708</v>
      </c>
      <c r="J51" s="435" t="s">
        <v>1</v>
      </c>
      <c r="K51" s="458">
        <v>2</v>
      </c>
      <c r="L51" s="531" t="s">
        <v>862</v>
      </c>
      <c r="M51" s="439" t="s">
        <v>952</v>
      </c>
      <c r="N51" s="541" t="s">
        <v>1213</v>
      </c>
    </row>
    <row r="52" spans="1:14" ht="15" customHeight="1" x14ac:dyDescent="0.35">
      <c r="G52" s="583"/>
      <c r="H52" s="437" t="s">
        <v>807</v>
      </c>
      <c r="I52" s="438">
        <f>hsrf2pwh!B85</f>
        <v>28.257000842094531</v>
      </c>
      <c r="J52" s="435" t="s">
        <v>1</v>
      </c>
      <c r="K52" s="458">
        <v>2</v>
      </c>
      <c r="L52" s="440" t="s">
        <v>863</v>
      </c>
      <c r="M52" s="439" t="s">
        <v>975</v>
      </c>
    </row>
    <row r="53" spans="1:14" ht="15" customHeight="1" x14ac:dyDescent="0.35">
      <c r="A53" s="437" t="s">
        <v>905</v>
      </c>
      <c r="B53" s="445">
        <v>1303</v>
      </c>
      <c r="C53" s="435" t="s">
        <v>1</v>
      </c>
      <c r="D53" s="458">
        <v>1</v>
      </c>
      <c r="E53" s="543" t="s">
        <v>841</v>
      </c>
      <c r="F53" s="550" t="s">
        <v>972</v>
      </c>
      <c r="G53" s="583"/>
      <c r="H53" s="437" t="s">
        <v>808</v>
      </c>
      <c r="I53" s="438">
        <f>hsrf2pwh!B81</f>
        <v>12.561245597845312</v>
      </c>
      <c r="J53" s="435" t="s">
        <v>1</v>
      </c>
      <c r="K53" s="458">
        <v>2</v>
      </c>
      <c r="L53" s="440" t="s">
        <v>864</v>
      </c>
      <c r="M53" s="439" t="s">
        <v>1001</v>
      </c>
    </row>
    <row r="54" spans="1:14" ht="15" customHeight="1" x14ac:dyDescent="0.35">
      <c r="A54" s="437" t="s">
        <v>765</v>
      </c>
      <c r="B54" s="448">
        <v>4210.9820552374849</v>
      </c>
      <c r="C54" s="435" t="s">
        <v>1</v>
      </c>
      <c r="D54" s="458">
        <v>1</v>
      </c>
      <c r="E54" s="559"/>
      <c r="F54" s="550" t="s">
        <v>973</v>
      </c>
      <c r="G54" s="583"/>
      <c r="H54" s="437" t="s">
        <v>883</v>
      </c>
      <c r="I54" s="445">
        <f>hsrf2pwh!B82</f>
        <v>15.695755244249218</v>
      </c>
      <c r="J54" t="s">
        <v>1</v>
      </c>
      <c r="K54" s="458">
        <v>2</v>
      </c>
      <c r="L54" s="319" t="s">
        <v>876</v>
      </c>
      <c r="M54" s="439" t="s">
        <v>993</v>
      </c>
    </row>
    <row r="55" spans="1:14" ht="15" customHeight="1" x14ac:dyDescent="0.25">
      <c r="E55" s="560"/>
      <c r="G55" s="583"/>
      <c r="H55" s="437" t="s">
        <v>884</v>
      </c>
      <c r="I55" s="445">
        <f>hsrf2pwh!B44</f>
        <v>6.3058337720700806</v>
      </c>
      <c r="J55" t="s">
        <v>1</v>
      </c>
      <c r="K55" s="458">
        <v>2</v>
      </c>
      <c r="L55" s="319" t="s">
        <v>877</v>
      </c>
      <c r="M55" s="439" t="s">
        <v>1006</v>
      </c>
    </row>
    <row r="56" spans="1:14" ht="15" customHeight="1" x14ac:dyDescent="0.25">
      <c r="A56" s="437" t="s">
        <v>770</v>
      </c>
      <c r="B56" s="448">
        <v>217.3335645148635</v>
      </c>
      <c r="C56" s="435" t="s">
        <v>1</v>
      </c>
      <c r="D56" s="458">
        <v>2</v>
      </c>
      <c r="E56" s="556"/>
      <c r="F56" s="548" t="s">
        <v>974</v>
      </c>
      <c r="G56" s="583"/>
      <c r="H56" s="437" t="s">
        <v>885</v>
      </c>
      <c r="I56" s="445">
        <f>hsrf2pwh!B45</f>
        <v>9.7378543884521935</v>
      </c>
      <c r="J56" t="s">
        <v>1</v>
      </c>
      <c r="K56" s="458">
        <v>2</v>
      </c>
      <c r="L56" s="319" t="s">
        <v>878</v>
      </c>
      <c r="M56" s="439" t="s">
        <v>1008</v>
      </c>
    </row>
    <row r="57" spans="1:14" ht="15" customHeight="1" x14ac:dyDescent="0.25">
      <c r="G57" s="583"/>
      <c r="H57" s="437" t="s">
        <v>886</v>
      </c>
      <c r="I57" s="445">
        <f>hsrf2pwh!B46</f>
        <v>10.686812560908178</v>
      </c>
      <c r="J57" t="s">
        <v>1</v>
      </c>
      <c r="K57" s="458">
        <v>2</v>
      </c>
      <c r="L57" s="319" t="s">
        <v>879</v>
      </c>
      <c r="M57" s="439" t="s">
        <v>1009</v>
      </c>
    </row>
    <row r="58" spans="1:14" ht="15" customHeight="1" x14ac:dyDescent="0.25">
      <c r="A58" s="437" t="s">
        <v>760</v>
      </c>
      <c r="B58" s="445">
        <v>1347.1354007911805</v>
      </c>
      <c r="C58" s="435" t="s">
        <v>1</v>
      </c>
      <c r="D58" s="458">
        <v>1</v>
      </c>
      <c r="E58" s="440"/>
      <c r="F58" s="550" t="s">
        <v>1015</v>
      </c>
      <c r="G58" s="583"/>
      <c r="H58" s="437" t="s">
        <v>887</v>
      </c>
      <c r="I58" s="445">
        <f>hsrf2pwh!B56</f>
        <v>17.653329917125504</v>
      </c>
      <c r="J58" t="s">
        <v>1</v>
      </c>
      <c r="K58" s="458">
        <v>2</v>
      </c>
      <c r="L58" s="453" t="s">
        <v>1200</v>
      </c>
      <c r="M58" s="439" t="s">
        <v>1004</v>
      </c>
      <c r="N58" s="541" t="s">
        <v>880</v>
      </c>
    </row>
    <row r="59" spans="1:14" ht="15" customHeight="1" x14ac:dyDescent="0.25">
      <c r="A59" s="437" t="s">
        <v>761</v>
      </c>
      <c r="B59" s="445">
        <v>1.6494615908379581E-2</v>
      </c>
      <c r="D59" s="458">
        <v>1</v>
      </c>
      <c r="E59" s="440"/>
      <c r="F59" s="550" t="s">
        <v>1013</v>
      </c>
      <c r="G59" s="583"/>
      <c r="H59" s="437" t="s">
        <v>809</v>
      </c>
      <c r="I59" s="438">
        <f>hsrf2pwh!B61</f>
        <v>29.114335306412361</v>
      </c>
      <c r="J59" s="435" t="s">
        <v>1</v>
      </c>
      <c r="K59" s="458">
        <v>2</v>
      </c>
      <c r="L59" s="440" t="s">
        <v>711</v>
      </c>
      <c r="M59" s="439" t="s">
        <v>1005</v>
      </c>
    </row>
    <row r="60" spans="1:14" ht="15" customHeight="1" x14ac:dyDescent="0.35">
      <c r="A60" s="437" t="s">
        <v>762</v>
      </c>
      <c r="B60" s="445">
        <v>0.88311591431823422</v>
      </c>
      <c r="D60" s="458">
        <v>1</v>
      </c>
      <c r="E60" s="440"/>
      <c r="F60" s="550" t="s">
        <v>1014</v>
      </c>
      <c r="G60" s="583"/>
      <c r="H60" s="437" t="s">
        <v>810</v>
      </c>
      <c r="I60" s="441">
        <f>hsrf2pwh!B63</f>
        <v>2</v>
      </c>
      <c r="K60" s="458">
        <v>2</v>
      </c>
      <c r="L60" s="532" t="s">
        <v>865</v>
      </c>
      <c r="M60" s="439" t="s">
        <v>980</v>
      </c>
      <c r="N60" s="541" t="s">
        <v>1199</v>
      </c>
    </row>
    <row r="61" spans="1:14" ht="15" customHeight="1" x14ac:dyDescent="0.35">
      <c r="G61" s="583"/>
      <c r="H61" s="437" t="s">
        <v>811</v>
      </c>
      <c r="I61" s="438">
        <f>hsrf2pwh!B65</f>
        <v>12.348296620644673</v>
      </c>
      <c r="J61" s="435" t="s">
        <v>1</v>
      </c>
      <c r="K61" s="458">
        <v>2</v>
      </c>
      <c r="L61" s="453" t="s">
        <v>1198</v>
      </c>
      <c r="M61" s="439" t="s">
        <v>981</v>
      </c>
      <c r="N61" s="542" t="s">
        <v>866</v>
      </c>
    </row>
    <row r="62" spans="1:14" ht="15" customHeight="1" x14ac:dyDescent="0.35">
      <c r="A62" s="437" t="s">
        <v>806</v>
      </c>
      <c r="B62" s="445">
        <v>1347.8900068914795</v>
      </c>
      <c r="C62" s="446" t="s">
        <v>1</v>
      </c>
      <c r="D62" s="458">
        <v>2</v>
      </c>
      <c r="E62" s="547" t="s">
        <v>862</v>
      </c>
      <c r="F62" s="548" t="s">
        <v>1017</v>
      </c>
      <c r="G62" s="583"/>
      <c r="H62" s="437" t="s">
        <v>812</v>
      </c>
      <c r="I62" s="438">
        <f>hsrf2pwh!B60</f>
        <v>7.565944840518708</v>
      </c>
      <c r="J62" s="435" t="s">
        <v>1</v>
      </c>
      <c r="K62" s="458">
        <v>2</v>
      </c>
      <c r="L62" s="440" t="s">
        <v>712</v>
      </c>
      <c r="M62" s="439" t="s">
        <v>979</v>
      </c>
    </row>
    <row r="63" spans="1:14" ht="15" customHeight="1" x14ac:dyDescent="0.25">
      <c r="G63" s="576"/>
      <c r="H63" s="437" t="s">
        <v>814</v>
      </c>
      <c r="I63" s="438">
        <f>I44-I55/2-2</f>
        <v>1372.7846352288657</v>
      </c>
      <c r="J63" s="435" t="s">
        <v>1</v>
      </c>
      <c r="K63" s="458">
        <v>2</v>
      </c>
      <c r="L63" s="440"/>
      <c r="M63" s="439" t="s">
        <v>996</v>
      </c>
    </row>
    <row r="64" spans="1:14" ht="15" customHeight="1" x14ac:dyDescent="0.25">
      <c r="G64" s="576"/>
      <c r="H64" s="437" t="s">
        <v>813</v>
      </c>
      <c r="I64" s="438">
        <f>I44-I58-2</f>
        <v>1358.2842221977751</v>
      </c>
      <c r="J64" s="435" t="s">
        <v>1</v>
      </c>
      <c r="K64" s="458">
        <v>2</v>
      </c>
      <c r="L64" s="440"/>
      <c r="M64" s="439" t="s">
        <v>997</v>
      </c>
    </row>
    <row r="65" spans="7:13" ht="15" customHeight="1" x14ac:dyDescent="0.25">
      <c r="G65" s="576"/>
      <c r="H65" s="437" t="s">
        <v>815</v>
      </c>
      <c r="I65" s="438">
        <f>I64+hsrf2pwh!B61/6</f>
        <v>1363.1366114155105</v>
      </c>
      <c r="J65" s="435" t="s">
        <v>1</v>
      </c>
      <c r="K65" s="458">
        <v>2</v>
      </c>
      <c r="L65" s="440"/>
      <c r="M65" s="439" t="s">
        <v>998</v>
      </c>
    </row>
    <row r="66" spans="7:13" ht="15" customHeight="1" x14ac:dyDescent="0.35">
      <c r="G66" s="574"/>
      <c r="H66" s="437" t="s">
        <v>816</v>
      </c>
      <c r="I66" s="438">
        <f>tr_mi!D68</f>
        <v>55.850474552336856</v>
      </c>
      <c r="J66" s="435" t="s">
        <v>1</v>
      </c>
      <c r="K66" s="458">
        <v>2</v>
      </c>
      <c r="L66" s="531" t="s">
        <v>867</v>
      </c>
      <c r="M66" s="439" t="s">
        <v>950</v>
      </c>
    </row>
    <row r="67" spans="7:13" ht="15" customHeight="1" x14ac:dyDescent="0.35">
      <c r="G67" s="574"/>
      <c r="H67" s="437" t="s">
        <v>817</v>
      </c>
      <c r="I67" s="438">
        <f>tr_mi!D72</f>
        <v>1395.1026715015485</v>
      </c>
      <c r="J67" s="435" t="s">
        <v>1</v>
      </c>
      <c r="K67" s="458">
        <v>2</v>
      </c>
      <c r="L67" s="531" t="s">
        <v>868</v>
      </c>
      <c r="M67" s="439" t="s">
        <v>949</v>
      </c>
    </row>
    <row r="68" spans="7:13" ht="15" customHeight="1" x14ac:dyDescent="0.25">
      <c r="G68" s="583"/>
      <c r="H68" s="437" t="s">
        <v>818</v>
      </c>
      <c r="I68" s="444">
        <f>hsrf2intk!B52</f>
        <v>1</v>
      </c>
      <c r="K68" s="458">
        <v>2</v>
      </c>
      <c r="L68" s="440"/>
      <c r="M68" s="439" t="s">
        <v>927</v>
      </c>
    </row>
    <row r="69" spans="7:13" ht="15" customHeight="1" x14ac:dyDescent="0.25">
      <c r="G69" s="583"/>
      <c r="H69" s="437" t="s">
        <v>1106</v>
      </c>
      <c r="I69" s="447">
        <f>hsrf2intk!B64</f>
        <v>489.63498032194815</v>
      </c>
      <c r="J69" t="s">
        <v>115</v>
      </c>
      <c r="K69" s="458">
        <v>2</v>
      </c>
      <c r="L69" s="453"/>
      <c r="M69" s="449" t="s">
        <v>1107</v>
      </c>
    </row>
    <row r="70" spans="7:13" ht="15" customHeight="1" x14ac:dyDescent="0.25">
      <c r="G70" s="664" t="s">
        <v>1410</v>
      </c>
      <c r="H70" s="437" t="s">
        <v>819</v>
      </c>
      <c r="I70" s="444">
        <f>ROUND(hsrf2intk!B68*B21*B22,-3)</f>
        <v>7224000</v>
      </c>
      <c r="J70" s="576" t="s">
        <v>906</v>
      </c>
      <c r="K70" s="458">
        <v>2</v>
      </c>
      <c r="L70" s="440"/>
      <c r="M70" s="439" t="s">
        <v>926</v>
      </c>
    </row>
    <row r="71" spans="7:13" ht="15" customHeight="1" x14ac:dyDescent="0.25">
      <c r="G71" s="583"/>
      <c r="H71" s="437" t="s">
        <v>820</v>
      </c>
      <c r="I71" s="444">
        <f>hsrf2intk!B71</f>
        <v>1</v>
      </c>
      <c r="K71" s="458">
        <v>2</v>
      </c>
      <c r="L71" s="440"/>
      <c r="M71" s="439" t="s">
        <v>934</v>
      </c>
    </row>
    <row r="72" spans="7:13" ht="15" customHeight="1" x14ac:dyDescent="0.25">
      <c r="G72" s="583"/>
      <c r="H72" s="437" t="s">
        <v>1108</v>
      </c>
      <c r="I72" s="447">
        <f>hsrf2intk!B85</f>
        <v>484.71900670783072</v>
      </c>
      <c r="J72" t="s">
        <v>115</v>
      </c>
      <c r="K72" s="458">
        <v>2</v>
      </c>
      <c r="L72" s="453"/>
      <c r="M72" s="449" t="s">
        <v>1109</v>
      </c>
    </row>
    <row r="73" spans="7:13" ht="15" customHeight="1" x14ac:dyDescent="0.25">
      <c r="G73" s="664" t="s">
        <v>1410</v>
      </c>
      <c r="H73" s="437" t="s">
        <v>821</v>
      </c>
      <c r="I73" s="444">
        <f>ROUND(hsrf2intk!B90*B21*B22,-3)</f>
        <v>3594000</v>
      </c>
      <c r="J73" s="576" t="s">
        <v>906</v>
      </c>
      <c r="K73" s="458">
        <v>2</v>
      </c>
      <c r="L73" s="440"/>
      <c r="M73" s="439" t="s">
        <v>933</v>
      </c>
    </row>
    <row r="74" spans="7:13" ht="15" customHeight="1" x14ac:dyDescent="0.25">
      <c r="G74" s="583"/>
      <c r="H74" s="437" t="s">
        <v>1110</v>
      </c>
      <c r="I74" s="447">
        <f>hsrf2intk!B98+hsrf2intk!B99</f>
        <v>412.85830134767849</v>
      </c>
      <c r="J74" t="s">
        <v>115</v>
      </c>
      <c r="K74" s="458">
        <v>2</v>
      </c>
      <c r="L74" s="453"/>
      <c r="M74" s="449" t="s">
        <v>1111</v>
      </c>
    </row>
    <row r="75" spans="7:13" ht="15" customHeight="1" x14ac:dyDescent="0.25">
      <c r="G75" s="664" t="s">
        <v>1410</v>
      </c>
      <c r="H75" s="437" t="s">
        <v>822</v>
      </c>
      <c r="I75" s="444">
        <f>ROUND(hsrf2intk!B103*B21*B22,-3)</f>
        <v>9458000</v>
      </c>
      <c r="J75" s="576" t="s">
        <v>906</v>
      </c>
      <c r="K75" s="458">
        <v>2</v>
      </c>
      <c r="L75" s="440"/>
      <c r="M75" s="439" t="s">
        <v>924</v>
      </c>
    </row>
    <row r="76" spans="7:13" ht="15" customHeight="1" x14ac:dyDescent="0.25">
      <c r="G76" s="583"/>
      <c r="H76" s="437" t="s">
        <v>1112</v>
      </c>
      <c r="I76" s="447">
        <f>hsrf2intk!B123</f>
        <v>73.156114719329537</v>
      </c>
      <c r="J76" t="s">
        <v>115</v>
      </c>
      <c r="K76" s="458">
        <v>2</v>
      </c>
      <c r="L76" s="453"/>
      <c r="M76" s="449" t="s">
        <v>1113</v>
      </c>
    </row>
    <row r="77" spans="7:13" ht="15" customHeight="1" x14ac:dyDescent="0.25">
      <c r="G77" s="664" t="s">
        <v>1410</v>
      </c>
      <c r="H77" s="437" t="s">
        <v>823</v>
      </c>
      <c r="I77" s="444">
        <f>ROUND(hsrf2intk!B125*B21*B22,-3)</f>
        <v>1844000</v>
      </c>
      <c r="J77" s="576" t="s">
        <v>906</v>
      </c>
      <c r="K77" s="458">
        <v>2</v>
      </c>
      <c r="L77" s="440"/>
      <c r="M77" s="439" t="s">
        <v>931</v>
      </c>
    </row>
    <row r="78" spans="7:13" ht="15" customHeight="1" x14ac:dyDescent="0.25">
      <c r="G78" s="583"/>
      <c r="H78" s="437" t="s">
        <v>1114</v>
      </c>
      <c r="I78" s="447">
        <f>(hsrf2intk!B63+hsrf2intk!B84+hsrf2intk!B122)*iohsrf2!I68</f>
        <v>235.50302365983225</v>
      </c>
      <c r="J78" t="s">
        <v>115</v>
      </c>
      <c r="K78" s="458">
        <v>2</v>
      </c>
      <c r="L78" s="453"/>
      <c r="M78" s="449" t="s">
        <v>1115</v>
      </c>
    </row>
    <row r="79" spans="7:13" ht="15" customHeight="1" x14ac:dyDescent="0.25">
      <c r="G79" s="664" t="s">
        <v>1410</v>
      </c>
      <c r="H79" s="437" t="s">
        <v>824</v>
      </c>
      <c r="I79" s="444">
        <f>ROUND(hsrf2intk!$B$49*B21*B22,-3)</f>
        <v>83000</v>
      </c>
      <c r="J79" s="576" t="s">
        <v>906</v>
      </c>
      <c r="K79" s="458">
        <v>2</v>
      </c>
      <c r="L79" s="440"/>
      <c r="M79" s="439" t="s">
        <v>925</v>
      </c>
    </row>
    <row r="80" spans="7:13" ht="15" customHeight="1" x14ac:dyDescent="0.25">
      <c r="G80" s="576"/>
      <c r="H80" s="437" t="s">
        <v>825</v>
      </c>
      <c r="I80" s="444"/>
      <c r="J80" s="576" t="s">
        <v>115</v>
      </c>
      <c r="K80" s="458">
        <v>2</v>
      </c>
      <c r="L80" s="440"/>
      <c r="M80" s="439" t="s">
        <v>948</v>
      </c>
    </row>
    <row r="81" spans="7:13" ht="15" customHeight="1" x14ac:dyDescent="0.25">
      <c r="G81" s="582"/>
      <c r="H81" s="437" t="s">
        <v>826</v>
      </c>
      <c r="I81" s="444">
        <f>hsrf2tunl!K108+hsrf2tunl!K138</f>
        <v>6263.9383446470611</v>
      </c>
      <c r="J81" s="435" t="s">
        <v>115</v>
      </c>
      <c r="K81" s="458">
        <v>2</v>
      </c>
      <c r="L81" s="440"/>
      <c r="M81" s="439" t="s">
        <v>942</v>
      </c>
    </row>
    <row r="82" spans="7:13" ht="15" customHeight="1" x14ac:dyDescent="0.25">
      <c r="G82" s="583"/>
      <c r="H82" s="437" t="s">
        <v>827</v>
      </c>
      <c r="I82" s="444">
        <f>hsrf2pwh!B10</f>
        <v>2</v>
      </c>
      <c r="J82" s="575"/>
      <c r="K82" s="458">
        <v>2</v>
      </c>
      <c r="L82" s="440"/>
      <c r="M82" s="439" t="s">
        <v>1010</v>
      </c>
    </row>
    <row r="83" spans="7:13" ht="15" customHeight="1" x14ac:dyDescent="0.25">
      <c r="G83" s="583"/>
      <c r="H83" s="437" t="s">
        <v>1116</v>
      </c>
      <c r="I83" s="447">
        <f>hsrf2pwh!B71</f>
        <v>1631.6117897136126</v>
      </c>
      <c r="J83" t="s">
        <v>115</v>
      </c>
      <c r="K83" s="458">
        <v>2</v>
      </c>
      <c r="L83" s="453"/>
      <c r="M83" s="449" t="s">
        <v>1117</v>
      </c>
    </row>
    <row r="84" spans="7:13" ht="15" customHeight="1" x14ac:dyDescent="0.25">
      <c r="G84" s="664" t="s">
        <v>1410</v>
      </c>
      <c r="H84" s="437" t="s">
        <v>828</v>
      </c>
      <c r="I84" s="444">
        <f>ROUND(hsrf2pwh!B74*B21*B22,-4)</f>
        <v>29470000</v>
      </c>
      <c r="J84" s="576" t="s">
        <v>906</v>
      </c>
      <c r="K84" s="458">
        <v>2</v>
      </c>
      <c r="L84" s="440"/>
      <c r="M84" s="439" t="s">
        <v>1002</v>
      </c>
    </row>
    <row r="85" spans="7:13" ht="15" customHeight="1" x14ac:dyDescent="0.25">
      <c r="G85" s="582"/>
      <c r="H85" s="437" t="s">
        <v>829</v>
      </c>
      <c r="I85" s="444">
        <f>I82</f>
        <v>2</v>
      </c>
      <c r="J85" s="575"/>
      <c r="K85" s="458">
        <v>2</v>
      </c>
      <c r="L85" s="440"/>
      <c r="M85" s="439" t="s">
        <v>987</v>
      </c>
    </row>
    <row r="86" spans="7:13" ht="15" customHeight="1" x14ac:dyDescent="0.25">
      <c r="G86" s="583"/>
      <c r="H86" s="437" t="s">
        <v>1118</v>
      </c>
      <c r="I86" s="447">
        <f>hsrf2pwh!B107</f>
        <v>1514.0211059525577</v>
      </c>
      <c r="J86" t="s">
        <v>115</v>
      </c>
      <c r="K86" s="458">
        <v>2</v>
      </c>
      <c r="L86" s="453"/>
      <c r="M86" s="449" t="s">
        <v>1119</v>
      </c>
    </row>
    <row r="87" spans="7:13" ht="15" customHeight="1" x14ac:dyDescent="0.25">
      <c r="G87" s="664" t="s">
        <v>1410</v>
      </c>
      <c r="H87" s="437" t="s">
        <v>830</v>
      </c>
      <c r="I87" s="444">
        <f>ROUND(hsrf2pwh!B109*B21*B22,-4)</f>
        <v>36540000</v>
      </c>
      <c r="J87" s="576" t="s">
        <v>906</v>
      </c>
      <c r="K87" s="458">
        <v>2</v>
      </c>
      <c r="L87" s="440"/>
      <c r="M87" s="439" t="s">
        <v>985</v>
      </c>
    </row>
    <row r="88" spans="7:13" ht="15" customHeight="1" x14ac:dyDescent="0.25">
      <c r="G88" s="583"/>
      <c r="H88" s="437" t="s">
        <v>831</v>
      </c>
      <c r="I88" s="444">
        <f>hsrf2pwh!B140</f>
        <v>4</v>
      </c>
      <c r="J88" s="575"/>
      <c r="K88" s="458">
        <v>2</v>
      </c>
      <c r="L88" s="440"/>
      <c r="M88" s="439" t="s">
        <v>984</v>
      </c>
    </row>
    <row r="89" spans="7:13" ht="15" customHeight="1" x14ac:dyDescent="0.25">
      <c r="G89" s="583"/>
      <c r="H89" s="437" t="s">
        <v>1120</v>
      </c>
      <c r="I89" s="447">
        <f>hsrf2pwh!B154</f>
        <v>102.12661026180729</v>
      </c>
      <c r="J89" t="s">
        <v>115</v>
      </c>
      <c r="K89" s="458">
        <v>2</v>
      </c>
      <c r="L89" s="453"/>
      <c r="M89" s="449" t="s">
        <v>1121</v>
      </c>
    </row>
    <row r="90" spans="7:13" ht="15" customHeight="1" x14ac:dyDescent="0.25">
      <c r="G90" s="664" t="s">
        <v>1410</v>
      </c>
      <c r="H90" s="437" t="s">
        <v>832</v>
      </c>
      <c r="I90" s="444">
        <f>ROUND(hsrf2pwh!B159*B21*B22,-3)</f>
        <v>599000</v>
      </c>
      <c r="J90" s="576" t="s">
        <v>906</v>
      </c>
      <c r="K90" s="458">
        <v>2</v>
      </c>
      <c r="L90" s="440"/>
      <c r="M90" s="439" t="s">
        <v>983</v>
      </c>
    </row>
    <row r="91" spans="7:13" ht="15" customHeight="1" x14ac:dyDescent="0.25">
      <c r="G91" s="583"/>
      <c r="H91" s="437" t="s">
        <v>1122</v>
      </c>
      <c r="I91" s="447">
        <f>hsrf2pwh!B118</f>
        <v>569.62581875756359</v>
      </c>
      <c r="J91" t="s">
        <v>115</v>
      </c>
      <c r="K91" s="458">
        <v>2</v>
      </c>
      <c r="L91" s="453"/>
      <c r="M91" s="449" t="s">
        <v>1123</v>
      </c>
    </row>
    <row r="92" spans="7:13" ht="15" customHeight="1" x14ac:dyDescent="0.25">
      <c r="G92" s="664" t="s">
        <v>1410</v>
      </c>
      <c r="H92" s="437" t="s">
        <v>833</v>
      </c>
      <c r="I92" s="444">
        <f>ROUND(hsrf2pwh!B120*B21*B22,-3)</f>
        <v>4141000</v>
      </c>
      <c r="J92" s="576" t="s">
        <v>906</v>
      </c>
      <c r="K92" s="458">
        <v>2</v>
      </c>
      <c r="L92" s="440"/>
      <c r="M92" s="439" t="s">
        <v>992</v>
      </c>
    </row>
    <row r="93" spans="7:13" ht="15" customHeight="1" x14ac:dyDescent="0.25">
      <c r="G93" s="583"/>
      <c r="H93" s="437" t="s">
        <v>1124</v>
      </c>
      <c r="I93" s="447">
        <f>hsrf2pwh!B167+hsrf2pwh!B168</f>
        <v>29.144325339558286</v>
      </c>
      <c r="J93" t="s">
        <v>115</v>
      </c>
      <c r="K93" s="458">
        <v>2</v>
      </c>
      <c r="L93" s="453"/>
      <c r="M93" s="449" t="s">
        <v>1125</v>
      </c>
    </row>
    <row r="94" spans="7:13" ht="15" customHeight="1" x14ac:dyDescent="0.25">
      <c r="G94" s="664" t="s">
        <v>1410</v>
      </c>
      <c r="H94" s="437" t="s">
        <v>834</v>
      </c>
      <c r="I94" s="444">
        <f>ROUND(hsrf2pwh!B170*B21*B22,-3)</f>
        <v>7393000</v>
      </c>
      <c r="J94" s="576" t="s">
        <v>906</v>
      </c>
      <c r="K94" s="458">
        <v>2</v>
      </c>
      <c r="L94" s="440"/>
      <c r="M94" s="439" t="s">
        <v>982</v>
      </c>
    </row>
    <row r="95" spans="7:13" ht="15" customHeight="1" x14ac:dyDescent="0.25">
      <c r="G95" s="583"/>
      <c r="H95" s="437" t="s">
        <v>1126</v>
      </c>
      <c r="I95" s="447">
        <f>hsrf2pwh!B153</f>
        <v>19.128107755363722</v>
      </c>
      <c r="J95" t="s">
        <v>115</v>
      </c>
      <c r="K95" s="458">
        <v>2</v>
      </c>
      <c r="L95" s="453"/>
      <c r="M95" s="449" t="s">
        <v>1127</v>
      </c>
    </row>
    <row r="96" spans="7:13" ht="15" customHeight="1" x14ac:dyDescent="0.25">
      <c r="G96" s="664" t="s">
        <v>1410</v>
      </c>
      <c r="H96" s="437" t="s">
        <v>835</v>
      </c>
      <c r="I96" s="444">
        <f>ROUND(hsrf2pwh!B137*B21*B22,-3)</f>
        <v>376000</v>
      </c>
      <c r="J96" s="576" t="s">
        <v>906</v>
      </c>
      <c r="K96" s="458">
        <v>2</v>
      </c>
      <c r="L96" s="440"/>
      <c r="M96" s="439" t="s">
        <v>978</v>
      </c>
    </row>
    <row r="97" spans="6:13" ht="15" customHeight="1" x14ac:dyDescent="0.25">
      <c r="G97" s="664" t="s">
        <v>1410</v>
      </c>
      <c r="H97" s="437" t="s">
        <v>836</v>
      </c>
      <c r="I97" s="444">
        <f>ROUND(hsrf2pwh!B173*B21*B22,-3)</f>
        <v>1150000</v>
      </c>
      <c r="J97" s="576" t="s">
        <v>906</v>
      </c>
      <c r="K97" s="458">
        <v>2</v>
      </c>
      <c r="L97" s="440"/>
      <c r="M97" s="439" t="s">
        <v>989</v>
      </c>
    </row>
    <row r="98" spans="6:13" ht="15" customHeight="1" x14ac:dyDescent="0.25">
      <c r="G98" s="664" t="s">
        <v>1410</v>
      </c>
      <c r="H98" s="437" t="s">
        <v>837</v>
      </c>
      <c r="I98" s="444">
        <f>ROUND(hsrf2pwh!B174*B21*B22,-4)</f>
        <v>3360000</v>
      </c>
      <c r="J98" s="576" t="s">
        <v>906</v>
      </c>
      <c r="K98" s="458">
        <v>2</v>
      </c>
      <c r="L98" s="440"/>
      <c r="M98" s="439" t="s">
        <v>988</v>
      </c>
    </row>
    <row r="99" spans="6:13" ht="15" customHeight="1" x14ac:dyDescent="0.25">
      <c r="G99" s="582"/>
      <c r="H99" s="437" t="s">
        <v>838</v>
      </c>
      <c r="I99" s="444">
        <f>iohsrf2!I36</f>
        <v>2</v>
      </c>
      <c r="K99" s="458">
        <v>2</v>
      </c>
      <c r="L99" s="440"/>
      <c r="M99" s="439" t="s">
        <v>1012</v>
      </c>
    </row>
    <row r="100" spans="6:13" ht="15" customHeight="1" x14ac:dyDescent="0.25">
      <c r="G100" s="583"/>
      <c r="H100" s="437" t="s">
        <v>1128</v>
      </c>
      <c r="I100" s="444">
        <f>hsrf2tunl!L144</f>
        <v>367.07984972379029</v>
      </c>
      <c r="J100" s="460" t="s">
        <v>115</v>
      </c>
      <c r="K100" s="458">
        <v>2</v>
      </c>
      <c r="L100" s="440"/>
      <c r="M100" s="449" t="s">
        <v>1129</v>
      </c>
    </row>
    <row r="101" spans="6:13" ht="15" customHeight="1" x14ac:dyDescent="0.25">
      <c r="G101" s="664" t="s">
        <v>1410</v>
      </c>
      <c r="H101" s="437" t="s">
        <v>839</v>
      </c>
      <c r="I101" s="444">
        <f>ROUND(hsrf2tunl!L150/I99*B21*B22,-4)</f>
        <v>1940000</v>
      </c>
      <c r="J101" s="576" t="s">
        <v>906</v>
      </c>
      <c r="K101" s="458">
        <v>2</v>
      </c>
      <c r="L101" s="440"/>
      <c r="M101" s="439" t="s">
        <v>1011</v>
      </c>
    </row>
    <row r="102" spans="6:13" ht="15" customHeight="1" x14ac:dyDescent="0.35">
      <c r="G102" s="582"/>
      <c r="H102" s="437" t="s">
        <v>759</v>
      </c>
      <c r="I102" s="443">
        <f>MAX(hsrf2tunl!F149:F150)</f>
        <v>1.397713513985362E-2</v>
      </c>
      <c r="K102" s="458">
        <v>2</v>
      </c>
      <c r="L102" s="440" t="s">
        <v>848</v>
      </c>
      <c r="M102" s="439" t="s">
        <v>920</v>
      </c>
    </row>
    <row r="103" spans="6:13" ht="15" customHeight="1" x14ac:dyDescent="0.25">
      <c r="F103" s="775"/>
      <c r="G103" s="664" t="s">
        <v>1410</v>
      </c>
      <c r="H103" s="437" t="s">
        <v>890</v>
      </c>
      <c r="I103" s="447">
        <f>hsrf2pwh!B93</f>
        <v>53621.87299509078</v>
      </c>
      <c r="J103" s="577" t="s">
        <v>102</v>
      </c>
      <c r="K103" s="458">
        <v>2</v>
      </c>
      <c r="L103" s="5"/>
      <c r="M103" s="439" t="s">
        <v>994</v>
      </c>
    </row>
    <row r="104" spans="6:13" ht="15" customHeight="1" x14ac:dyDescent="0.25">
      <c r="G104" s="664" t="s">
        <v>1410</v>
      </c>
      <c r="H104" s="437" t="s">
        <v>1408</v>
      </c>
      <c r="I104" s="447">
        <f>hsrf2pwh!B94</f>
        <v>1005.1834457130831</v>
      </c>
      <c r="J104" s="577" t="s">
        <v>102</v>
      </c>
      <c r="K104" s="458"/>
      <c r="L104" s="453"/>
      <c r="M104" s="449" t="s">
        <v>1414</v>
      </c>
    </row>
    <row r="105" spans="6:13" ht="15" customHeight="1" x14ac:dyDescent="0.25">
      <c r="F105" s="663"/>
      <c r="G105" s="664" t="s">
        <v>1410</v>
      </c>
      <c r="H105" s="437" t="s">
        <v>1572</v>
      </c>
      <c r="I105" s="447">
        <f>hsrf2pwh!B95</f>
        <v>106017.59261878104</v>
      </c>
      <c r="J105" s="577" t="s">
        <v>102</v>
      </c>
      <c r="K105" s="458"/>
      <c r="L105" s="453"/>
      <c r="M105" s="449" t="s">
        <v>1573</v>
      </c>
    </row>
    <row r="106" spans="6:13" ht="15" customHeight="1" x14ac:dyDescent="0.25">
      <c r="G106" s="583"/>
      <c r="H106" s="530" t="s">
        <v>1328</v>
      </c>
      <c r="I106" s="438">
        <f>hsrf2new!G19</f>
        <v>19.975643053209858</v>
      </c>
      <c r="J106" s="435" t="s">
        <v>1</v>
      </c>
      <c r="K106" s="458">
        <v>2</v>
      </c>
      <c r="L106" s="453"/>
      <c r="M106" s="449" t="s">
        <v>1415</v>
      </c>
    </row>
    <row r="107" spans="6:13" ht="15" customHeight="1" x14ac:dyDescent="0.25">
      <c r="G107" s="583"/>
      <c r="H107" s="530" t="s">
        <v>1409</v>
      </c>
      <c r="I107" s="438">
        <f>hsrf2new!G5</f>
        <v>189.39957594983176</v>
      </c>
      <c r="J107" s="435" t="s">
        <v>1</v>
      </c>
      <c r="K107" s="458">
        <v>2</v>
      </c>
      <c r="L107" s="453"/>
      <c r="M107" s="449" t="s">
        <v>1416</v>
      </c>
    </row>
    <row r="108" spans="6:13" ht="15" customHeight="1" x14ac:dyDescent="0.25">
      <c r="G108" s="583"/>
      <c r="H108" s="530" t="s">
        <v>1329</v>
      </c>
      <c r="I108" s="438">
        <f>hsrf2new!G9</f>
        <v>1365.1366114155105</v>
      </c>
      <c r="J108" s="435" t="s">
        <v>1</v>
      </c>
      <c r="K108" s="458">
        <v>2</v>
      </c>
      <c r="L108" s="453"/>
      <c r="M108" s="449" t="s">
        <v>1376</v>
      </c>
    </row>
    <row r="109" spans="6:13" ht="15" customHeight="1" x14ac:dyDescent="0.25">
      <c r="G109" s="583"/>
      <c r="H109" s="530" t="s">
        <v>1330</v>
      </c>
      <c r="I109" s="438">
        <f>hsrf2new!G10</f>
        <v>1379.4978797491588</v>
      </c>
      <c r="J109" s="435" t="s">
        <v>1</v>
      </c>
      <c r="K109" s="458">
        <v>2</v>
      </c>
      <c r="L109" s="453"/>
      <c r="M109" s="449" t="s">
        <v>1377</v>
      </c>
    </row>
    <row r="110" spans="6:13" ht="15" customHeight="1" x14ac:dyDescent="0.25">
      <c r="G110" s="583"/>
      <c r="H110" s="530" t="s">
        <v>1318</v>
      </c>
      <c r="I110" s="438">
        <f>hsrf2new!G45</f>
        <v>1410.1535467622309</v>
      </c>
      <c r="J110" s="435" t="s">
        <v>1</v>
      </c>
      <c r="K110" s="458">
        <v>2</v>
      </c>
      <c r="L110" s="453"/>
      <c r="M110" s="449" t="s">
        <v>1373</v>
      </c>
    </row>
    <row r="111" spans="6:13" ht="15" customHeight="1" x14ac:dyDescent="0.25">
      <c r="G111" s="583"/>
      <c r="H111" s="530" t="s">
        <v>1319</v>
      </c>
      <c r="I111" s="438">
        <f>hsrf2new!G46</f>
        <v>1406.0137061251667</v>
      </c>
      <c r="J111" s="435" t="s">
        <v>1</v>
      </c>
      <c r="K111" s="458">
        <v>2</v>
      </c>
      <c r="L111" s="453"/>
      <c r="M111" s="449" t="s">
        <v>1374</v>
      </c>
    </row>
    <row r="112" spans="6:13" ht="15" customHeight="1" x14ac:dyDescent="0.25">
      <c r="G112" s="583"/>
      <c r="H112" s="530" t="s">
        <v>1320</v>
      </c>
      <c r="I112" s="438">
        <f>hsrf2new!G43</f>
        <v>100.39</v>
      </c>
      <c r="J112" s="435" t="s">
        <v>1</v>
      </c>
      <c r="K112" s="458">
        <v>2</v>
      </c>
      <c r="L112" s="453"/>
      <c r="M112" s="449" t="s">
        <v>1375</v>
      </c>
    </row>
    <row r="113" spans="7:13" ht="15" customHeight="1" x14ac:dyDescent="0.35">
      <c r="G113" s="583"/>
      <c r="H113" s="530" t="s">
        <v>1353</v>
      </c>
      <c r="I113" s="441">
        <f>hsrf2new!B22</f>
        <v>2</v>
      </c>
      <c r="K113" s="458">
        <v>2</v>
      </c>
      <c r="L113" s="532" t="s">
        <v>845</v>
      </c>
      <c r="M113" s="439" t="s">
        <v>1333</v>
      </c>
    </row>
    <row r="114" spans="7:13" ht="15" customHeight="1" x14ac:dyDescent="0.35">
      <c r="G114" s="583"/>
      <c r="H114" s="530" t="s">
        <v>1354</v>
      </c>
      <c r="I114" s="438">
        <f>hsrf2new!B23</f>
        <v>11.936679467054221</v>
      </c>
      <c r="J114" s="435" t="s">
        <v>1</v>
      </c>
      <c r="K114" s="458">
        <v>2</v>
      </c>
      <c r="L114" s="532" t="s">
        <v>846</v>
      </c>
      <c r="M114" s="439" t="s">
        <v>1334</v>
      </c>
    </row>
    <row r="115" spans="7:13" ht="15" customHeight="1" x14ac:dyDescent="0.35">
      <c r="G115" s="583"/>
      <c r="H115" s="530" t="s">
        <v>1355</v>
      </c>
      <c r="I115" s="438">
        <f>hsrf2new!B24</f>
        <v>14.920849333817777</v>
      </c>
      <c r="J115" s="435" t="s">
        <v>1</v>
      </c>
      <c r="K115" s="458">
        <v>2</v>
      </c>
      <c r="L115" s="532" t="s">
        <v>847</v>
      </c>
      <c r="M115" s="439" t="s">
        <v>1335</v>
      </c>
    </row>
    <row r="116" spans="7:13" ht="15" customHeight="1" x14ac:dyDescent="0.35">
      <c r="G116" s="583"/>
      <c r="H116" s="530" t="s">
        <v>1356</v>
      </c>
      <c r="I116" s="438">
        <f>hsrf2new!B25</f>
        <v>1379.4978797491588</v>
      </c>
      <c r="J116" s="435" t="s">
        <v>1</v>
      </c>
      <c r="K116" s="458">
        <v>2</v>
      </c>
      <c r="L116" s="532" t="s">
        <v>849</v>
      </c>
      <c r="M116" s="439" t="s">
        <v>1336</v>
      </c>
    </row>
    <row r="117" spans="7:13" ht="15" customHeight="1" x14ac:dyDescent="0.35">
      <c r="G117" s="583"/>
      <c r="H117" s="530" t="s">
        <v>1357</v>
      </c>
      <c r="I117" s="438">
        <f>hsrf2new!B29</f>
        <v>35.048030720930129</v>
      </c>
      <c r="J117" s="435" t="s">
        <v>1</v>
      </c>
      <c r="K117" s="458">
        <v>2</v>
      </c>
      <c r="L117" s="532" t="s">
        <v>850</v>
      </c>
      <c r="M117" s="439" t="s">
        <v>1337</v>
      </c>
    </row>
    <row r="118" spans="7:13" ht="15" customHeight="1" x14ac:dyDescent="0.35">
      <c r="G118" s="583"/>
      <c r="H118" s="530" t="s">
        <v>1358</v>
      </c>
      <c r="I118" s="438">
        <f>hsrf2new!B30</f>
        <v>10.60042405016825</v>
      </c>
      <c r="J118" s="435" t="s">
        <v>1</v>
      </c>
      <c r="K118" s="458">
        <v>2</v>
      </c>
      <c r="L118" s="532" t="s">
        <v>851</v>
      </c>
      <c r="M118" s="439" t="s">
        <v>1338</v>
      </c>
    </row>
    <row r="119" spans="7:13" ht="15" customHeight="1" x14ac:dyDescent="0.35">
      <c r="G119" s="583"/>
      <c r="H119" s="530" t="s">
        <v>1359</v>
      </c>
      <c r="I119" s="448">
        <f>hsrf2new!B27</f>
        <v>33.002120250841244</v>
      </c>
      <c r="J119" t="s">
        <v>1</v>
      </c>
      <c r="K119" s="458">
        <v>2</v>
      </c>
      <c r="L119" s="453" t="s">
        <v>894</v>
      </c>
      <c r="M119" s="439" t="s">
        <v>1339</v>
      </c>
    </row>
    <row r="120" spans="7:13" ht="15" customHeight="1" x14ac:dyDescent="0.35">
      <c r="G120" s="583"/>
      <c r="H120" s="530" t="s">
        <v>1360</v>
      </c>
      <c r="I120" s="448">
        <f>hsrf2new!B16</f>
        <v>8.5812709170234704</v>
      </c>
      <c r="J120" t="s">
        <v>1</v>
      </c>
      <c r="K120" s="458">
        <v>2</v>
      </c>
      <c r="L120" s="453" t="s">
        <v>896</v>
      </c>
      <c r="M120" s="439" t="s">
        <v>1340</v>
      </c>
    </row>
    <row r="121" spans="7:13" ht="15" customHeight="1" x14ac:dyDescent="0.25">
      <c r="G121" s="576"/>
      <c r="H121" s="530" t="s">
        <v>1361</v>
      </c>
      <c r="I121" s="444">
        <f>hsrf2new!B52</f>
        <v>1</v>
      </c>
      <c r="K121" s="458">
        <v>2</v>
      </c>
      <c r="L121" s="546"/>
      <c r="M121" s="439" t="s">
        <v>1341</v>
      </c>
    </row>
    <row r="122" spans="7:13" ht="15" customHeight="1" x14ac:dyDescent="0.25">
      <c r="G122" s="576"/>
      <c r="H122" s="530" t="s">
        <v>1362</v>
      </c>
      <c r="I122" s="447">
        <f>hsrf2new!B64</f>
        <v>161.33413212692506</v>
      </c>
      <c r="J122" t="s">
        <v>115</v>
      </c>
      <c r="K122" s="458">
        <v>2</v>
      </c>
      <c r="L122" s="453"/>
      <c r="M122" s="449" t="s">
        <v>1342</v>
      </c>
    </row>
    <row r="123" spans="7:13" ht="15" customHeight="1" x14ac:dyDescent="0.25">
      <c r="G123" s="664" t="s">
        <v>1410</v>
      </c>
      <c r="H123" s="530" t="s">
        <v>1363</v>
      </c>
      <c r="I123" s="444">
        <f>ROUND(hsrf2new!B68*B21*B22,-3)</f>
        <v>1697000</v>
      </c>
      <c r="J123" s="435" t="s">
        <v>906</v>
      </c>
      <c r="K123" s="458">
        <v>2</v>
      </c>
      <c r="L123" s="546"/>
      <c r="M123" s="439" t="s">
        <v>1343</v>
      </c>
    </row>
    <row r="124" spans="7:13" ht="15" customHeight="1" x14ac:dyDescent="0.25">
      <c r="G124" s="576"/>
      <c r="H124" s="530" t="s">
        <v>1364</v>
      </c>
      <c r="I124" s="444">
        <f>hsrf2new!B67</f>
        <v>60.595137749940115</v>
      </c>
      <c r="K124" s="458">
        <v>2</v>
      </c>
      <c r="L124" s="546"/>
      <c r="M124" s="439" t="s">
        <v>1344</v>
      </c>
    </row>
    <row r="125" spans="7:13" ht="15" customHeight="1" x14ac:dyDescent="0.25">
      <c r="G125" s="576"/>
      <c r="H125" s="530" t="s">
        <v>1365</v>
      </c>
      <c r="I125" s="447">
        <f>hsrf2new!B81</f>
        <v>0</v>
      </c>
      <c r="J125" t="s">
        <v>115</v>
      </c>
      <c r="K125" s="458">
        <v>2</v>
      </c>
      <c r="L125" s="453"/>
      <c r="M125" s="449" t="s">
        <v>1345</v>
      </c>
    </row>
    <row r="126" spans="7:13" ht="15" customHeight="1" x14ac:dyDescent="0.25">
      <c r="G126" s="664" t="s">
        <v>1410</v>
      </c>
      <c r="H126" s="530" t="s">
        <v>1366</v>
      </c>
      <c r="I126" s="444">
        <f>ROUND(hsrf2new!B90*B21*B22,-3)</f>
        <v>843000</v>
      </c>
      <c r="J126" s="435" t="s">
        <v>906</v>
      </c>
      <c r="K126" s="458">
        <v>2</v>
      </c>
      <c r="L126" s="546"/>
      <c r="M126" s="439" t="s">
        <v>1346</v>
      </c>
    </row>
    <row r="127" spans="7:13" ht="15" customHeight="1" x14ac:dyDescent="0.25">
      <c r="G127" s="576"/>
      <c r="H127" s="530" t="s">
        <v>1367</v>
      </c>
      <c r="I127" s="447">
        <f>hsrf2new!B98+hsrf2new!B99</f>
        <v>19.777069460262954</v>
      </c>
      <c r="J127" t="s">
        <v>115</v>
      </c>
      <c r="K127" s="458">
        <v>2</v>
      </c>
      <c r="L127" s="453"/>
      <c r="M127" s="449" t="s">
        <v>1347</v>
      </c>
    </row>
    <row r="128" spans="7:13" ht="15" customHeight="1" x14ac:dyDescent="0.25">
      <c r="G128" s="576"/>
      <c r="H128" s="530" t="s">
        <v>1368</v>
      </c>
      <c r="I128" s="444">
        <f>ROUND(hsrf2new!B103*B21*B22,-3)</f>
        <v>2369000</v>
      </c>
      <c r="J128" s="435" t="s">
        <v>906</v>
      </c>
      <c r="K128" s="458">
        <v>2</v>
      </c>
      <c r="L128" s="546"/>
      <c r="M128" s="439" t="s">
        <v>1348</v>
      </c>
    </row>
    <row r="129" spans="7:13" ht="15" customHeight="1" x14ac:dyDescent="0.25">
      <c r="G129" s="576"/>
      <c r="H129" s="530" t="s">
        <v>1369</v>
      </c>
      <c r="I129" s="447">
        <f>hsrf2new!B111</f>
        <v>3</v>
      </c>
      <c r="J129" t="s">
        <v>115</v>
      </c>
      <c r="K129" s="458">
        <v>2</v>
      </c>
      <c r="L129" s="453"/>
      <c r="M129" s="449" t="s">
        <v>1349</v>
      </c>
    </row>
    <row r="130" spans="7:13" ht="15" customHeight="1" x14ac:dyDescent="0.25">
      <c r="G130" s="664" t="s">
        <v>1410</v>
      </c>
      <c r="H130" s="530" t="s">
        <v>1370</v>
      </c>
      <c r="I130" s="444">
        <f>ROUND(hsrf2new!B125*B21*B22,-3)</f>
        <v>2301000</v>
      </c>
      <c r="J130" s="435" t="s">
        <v>906</v>
      </c>
      <c r="K130" s="458">
        <v>2</v>
      </c>
      <c r="L130" s="546"/>
      <c r="M130" s="439" t="s">
        <v>1350</v>
      </c>
    </row>
    <row r="131" spans="7:13" ht="15" customHeight="1" x14ac:dyDescent="0.25">
      <c r="G131" s="576"/>
      <c r="H131" s="530" t="s">
        <v>1371</v>
      </c>
      <c r="I131" s="447">
        <f>(hsrf2new!B63+hsrf2new!B80+hsrf2new!B110)*iohsrf2!I68</f>
        <v>61.176508055119768</v>
      </c>
      <c r="J131" t="s">
        <v>115</v>
      </c>
      <c r="K131" s="458">
        <v>2</v>
      </c>
      <c r="L131" s="453"/>
      <c r="M131" s="449" t="s">
        <v>1351</v>
      </c>
    </row>
    <row r="132" spans="7:13" ht="15" customHeight="1" x14ac:dyDescent="0.25">
      <c r="G132" s="664" t="s">
        <v>1410</v>
      </c>
      <c r="H132" s="530" t="s">
        <v>1372</v>
      </c>
      <c r="I132" s="444">
        <f>ROUND(hsrf2new!B49*B21*B22,-3)</f>
        <v>134000</v>
      </c>
      <c r="J132" s="435" t="s">
        <v>906</v>
      </c>
      <c r="K132" s="458">
        <v>2</v>
      </c>
      <c r="L132" s="546"/>
      <c r="M132" s="439" t="s">
        <v>1352</v>
      </c>
    </row>
    <row r="133" spans="7:13" ht="15" customHeight="1" x14ac:dyDescent="0.25">
      <c r="H133" s="437" t="s">
        <v>1046</v>
      </c>
      <c r="I133" s="444">
        <f>IF(ABS(B17/I32-1)&gt;0.001,1,0)</f>
        <v>1</v>
      </c>
      <c r="J133" s="446"/>
      <c r="K133" s="485">
        <v>2</v>
      </c>
      <c r="L133" s="5"/>
      <c r="M133" s="439" t="s">
        <v>1047</v>
      </c>
    </row>
    <row r="134" spans="7:13" ht="15" customHeight="1" x14ac:dyDescent="0.25">
      <c r="H134" s="437" t="s">
        <v>1048</v>
      </c>
      <c r="I134" s="486" t="str">
        <f>VLOOKUP(1,L137:M139,2,FALSE)</f>
        <v/>
      </c>
      <c r="J134" s="446"/>
      <c r="K134" s="485">
        <v>2</v>
      </c>
      <c r="L134" s="5"/>
      <c r="M134" s="439" t="s">
        <v>1049</v>
      </c>
    </row>
    <row r="136" spans="7:13" ht="15" customHeight="1" x14ac:dyDescent="0.25">
      <c r="L136" s="487" t="s">
        <v>1053</v>
      </c>
      <c r="M136" s="487"/>
    </row>
    <row r="137" spans="7:13" ht="15" customHeight="1" x14ac:dyDescent="0.25">
      <c r="L137" s="105" cm="1">
        <f t="array" ref="L137">IFERROR(MIN(ABS(I2:I133),0),1)</f>
        <v>0</v>
      </c>
      <c r="M137" t="s">
        <v>1055</v>
      </c>
    </row>
    <row r="138" spans="7:13" ht="15" customHeight="1" x14ac:dyDescent="0.25">
      <c r="L138" s="105">
        <f>IF(B18&gt;50,1,0)</f>
        <v>0</v>
      </c>
      <c r="M138" t="s">
        <v>1054</v>
      </c>
    </row>
    <row r="139" spans="7:13" ht="15" customHeight="1" x14ac:dyDescent="0.25">
      <c r="L139" s="488">
        <v>1</v>
      </c>
      <c r="M139" s="446" t="str">
        <f>""</f>
        <v/>
      </c>
    </row>
  </sheetData>
  <phoneticPr fontId="9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729"/>
  <sheetViews>
    <sheetView topLeftCell="A81" workbookViewId="0">
      <selection activeCell="G98" sqref="G98"/>
    </sheetView>
  </sheetViews>
  <sheetFormatPr defaultColWidth="11.42578125" defaultRowHeight="12.75" x14ac:dyDescent="0.2"/>
  <cols>
    <col min="1" max="1" width="12.7109375" style="13" customWidth="1"/>
    <col min="2" max="2" width="13.5703125" style="13" customWidth="1"/>
    <col min="3" max="3" width="11.85546875" style="13" customWidth="1"/>
    <col min="4" max="4" width="13.5703125" style="13" customWidth="1"/>
    <col min="5" max="5" width="13.140625" style="13" customWidth="1"/>
    <col min="6" max="6" width="13.85546875" style="13" customWidth="1"/>
    <col min="7" max="7" width="13" style="13" customWidth="1"/>
    <col min="8" max="8" width="15" style="13" customWidth="1"/>
    <col min="9" max="9" width="13.5703125" style="13" customWidth="1"/>
    <col min="10" max="10" width="15.7109375" style="13" customWidth="1"/>
    <col min="11" max="11" width="11.7109375" style="13" customWidth="1"/>
    <col min="12" max="13" width="6.7109375" style="13" customWidth="1"/>
    <col min="14" max="15" width="11.42578125" style="517"/>
    <col min="16" max="16" width="7.5703125" style="517" bestFit="1" customWidth="1"/>
    <col min="17" max="17" width="2.5703125" style="517" bestFit="1" customWidth="1"/>
    <col min="18" max="18" width="6.7109375" style="517" customWidth="1"/>
    <col min="19" max="19" width="15.28515625" style="517" bestFit="1" customWidth="1"/>
    <col min="20" max="20" width="8.140625" style="517" bestFit="1" customWidth="1"/>
    <col min="21" max="21" width="2.5703125" style="517" bestFit="1" customWidth="1"/>
    <col min="22" max="22" width="6.7109375" style="517" customWidth="1"/>
    <col min="23" max="23" width="11.42578125" style="517"/>
    <col min="24" max="24" width="5.5703125" style="517" bestFit="1" customWidth="1"/>
    <col min="25" max="25" width="1.5703125" style="517" bestFit="1" customWidth="1"/>
    <col min="26" max="31" width="6.7109375" style="517" customWidth="1"/>
    <col min="32" max="256" width="11.42578125" style="13"/>
    <col min="257" max="257" width="12.7109375" style="13" customWidth="1"/>
    <col min="258" max="258" width="13.5703125" style="13" customWidth="1"/>
    <col min="259" max="259" width="11.85546875" style="13" customWidth="1"/>
    <col min="260" max="260" width="13.5703125" style="13" customWidth="1"/>
    <col min="261" max="261" width="13.140625" style="13" customWidth="1"/>
    <col min="262" max="262" width="13.85546875" style="13" customWidth="1"/>
    <col min="263" max="263" width="13" style="13" customWidth="1"/>
    <col min="264" max="264" width="15" style="13" customWidth="1"/>
    <col min="265" max="265" width="13.5703125" style="13" customWidth="1"/>
    <col min="266" max="266" width="15.7109375" style="13" customWidth="1"/>
    <col min="267" max="267" width="11.7109375" style="13" customWidth="1"/>
    <col min="268" max="512" width="11.42578125" style="13"/>
    <col min="513" max="513" width="12.7109375" style="13" customWidth="1"/>
    <col min="514" max="514" width="13.5703125" style="13" customWidth="1"/>
    <col min="515" max="515" width="11.85546875" style="13" customWidth="1"/>
    <col min="516" max="516" width="13.5703125" style="13" customWidth="1"/>
    <col min="517" max="517" width="13.140625" style="13" customWidth="1"/>
    <col min="518" max="518" width="13.85546875" style="13" customWidth="1"/>
    <col min="519" max="519" width="13" style="13" customWidth="1"/>
    <col min="520" max="520" width="15" style="13" customWidth="1"/>
    <col min="521" max="521" width="13.5703125" style="13" customWidth="1"/>
    <col min="522" max="522" width="15.7109375" style="13" customWidth="1"/>
    <col min="523" max="523" width="11.7109375" style="13" customWidth="1"/>
    <col min="524" max="768" width="11.42578125" style="13"/>
    <col min="769" max="769" width="12.7109375" style="13" customWidth="1"/>
    <col min="770" max="770" width="13.5703125" style="13" customWidth="1"/>
    <col min="771" max="771" width="11.85546875" style="13" customWidth="1"/>
    <col min="772" max="772" width="13.5703125" style="13" customWidth="1"/>
    <col min="773" max="773" width="13.140625" style="13" customWidth="1"/>
    <col min="774" max="774" width="13.85546875" style="13" customWidth="1"/>
    <col min="775" max="775" width="13" style="13" customWidth="1"/>
    <col min="776" max="776" width="15" style="13" customWidth="1"/>
    <col min="777" max="777" width="13.5703125" style="13" customWidth="1"/>
    <col min="778" max="778" width="15.7109375" style="13" customWidth="1"/>
    <col min="779" max="779" width="11.7109375" style="13" customWidth="1"/>
    <col min="780" max="1024" width="11.42578125" style="13"/>
    <col min="1025" max="1025" width="12.7109375" style="13" customWidth="1"/>
    <col min="1026" max="1026" width="13.5703125" style="13" customWidth="1"/>
    <col min="1027" max="1027" width="11.85546875" style="13" customWidth="1"/>
    <col min="1028" max="1028" width="13.5703125" style="13" customWidth="1"/>
    <col min="1029" max="1029" width="13.140625" style="13" customWidth="1"/>
    <col min="1030" max="1030" width="13.85546875" style="13" customWidth="1"/>
    <col min="1031" max="1031" width="13" style="13" customWidth="1"/>
    <col min="1032" max="1032" width="15" style="13" customWidth="1"/>
    <col min="1033" max="1033" width="13.5703125" style="13" customWidth="1"/>
    <col min="1034" max="1034" width="15.7109375" style="13" customWidth="1"/>
    <col min="1035" max="1035" width="11.7109375" style="13" customWidth="1"/>
    <col min="1036" max="1280" width="11.42578125" style="13"/>
    <col min="1281" max="1281" width="12.7109375" style="13" customWidth="1"/>
    <col min="1282" max="1282" width="13.5703125" style="13" customWidth="1"/>
    <col min="1283" max="1283" width="11.85546875" style="13" customWidth="1"/>
    <col min="1284" max="1284" width="13.5703125" style="13" customWidth="1"/>
    <col min="1285" max="1285" width="13.140625" style="13" customWidth="1"/>
    <col min="1286" max="1286" width="13.85546875" style="13" customWidth="1"/>
    <col min="1287" max="1287" width="13" style="13" customWidth="1"/>
    <col min="1288" max="1288" width="15" style="13" customWidth="1"/>
    <col min="1289" max="1289" width="13.5703125" style="13" customWidth="1"/>
    <col min="1290" max="1290" width="15.7109375" style="13" customWidth="1"/>
    <col min="1291" max="1291" width="11.7109375" style="13" customWidth="1"/>
    <col min="1292" max="1536" width="11.42578125" style="13"/>
    <col min="1537" max="1537" width="12.7109375" style="13" customWidth="1"/>
    <col min="1538" max="1538" width="13.5703125" style="13" customWidth="1"/>
    <col min="1539" max="1539" width="11.85546875" style="13" customWidth="1"/>
    <col min="1540" max="1540" width="13.5703125" style="13" customWidth="1"/>
    <col min="1541" max="1541" width="13.140625" style="13" customWidth="1"/>
    <col min="1542" max="1542" width="13.85546875" style="13" customWidth="1"/>
    <col min="1543" max="1543" width="13" style="13" customWidth="1"/>
    <col min="1544" max="1544" width="15" style="13" customWidth="1"/>
    <col min="1545" max="1545" width="13.5703125" style="13" customWidth="1"/>
    <col min="1546" max="1546" width="15.7109375" style="13" customWidth="1"/>
    <col min="1547" max="1547" width="11.7109375" style="13" customWidth="1"/>
    <col min="1548" max="1792" width="11.42578125" style="13"/>
    <col min="1793" max="1793" width="12.7109375" style="13" customWidth="1"/>
    <col min="1794" max="1794" width="13.5703125" style="13" customWidth="1"/>
    <col min="1795" max="1795" width="11.85546875" style="13" customWidth="1"/>
    <col min="1796" max="1796" width="13.5703125" style="13" customWidth="1"/>
    <col min="1797" max="1797" width="13.140625" style="13" customWidth="1"/>
    <col min="1798" max="1798" width="13.85546875" style="13" customWidth="1"/>
    <col min="1799" max="1799" width="13" style="13" customWidth="1"/>
    <col min="1800" max="1800" width="15" style="13" customWidth="1"/>
    <col min="1801" max="1801" width="13.5703125" style="13" customWidth="1"/>
    <col min="1802" max="1802" width="15.7109375" style="13" customWidth="1"/>
    <col min="1803" max="1803" width="11.7109375" style="13" customWidth="1"/>
    <col min="1804" max="2048" width="11.42578125" style="13"/>
    <col min="2049" max="2049" width="12.7109375" style="13" customWidth="1"/>
    <col min="2050" max="2050" width="13.5703125" style="13" customWidth="1"/>
    <col min="2051" max="2051" width="11.85546875" style="13" customWidth="1"/>
    <col min="2052" max="2052" width="13.5703125" style="13" customWidth="1"/>
    <col min="2053" max="2053" width="13.140625" style="13" customWidth="1"/>
    <col min="2054" max="2054" width="13.85546875" style="13" customWidth="1"/>
    <col min="2055" max="2055" width="13" style="13" customWidth="1"/>
    <col min="2056" max="2056" width="15" style="13" customWidth="1"/>
    <col min="2057" max="2057" width="13.5703125" style="13" customWidth="1"/>
    <col min="2058" max="2058" width="15.7109375" style="13" customWidth="1"/>
    <col min="2059" max="2059" width="11.7109375" style="13" customWidth="1"/>
    <col min="2060" max="2304" width="11.42578125" style="13"/>
    <col min="2305" max="2305" width="12.7109375" style="13" customWidth="1"/>
    <col min="2306" max="2306" width="13.5703125" style="13" customWidth="1"/>
    <col min="2307" max="2307" width="11.85546875" style="13" customWidth="1"/>
    <col min="2308" max="2308" width="13.5703125" style="13" customWidth="1"/>
    <col min="2309" max="2309" width="13.140625" style="13" customWidth="1"/>
    <col min="2310" max="2310" width="13.85546875" style="13" customWidth="1"/>
    <col min="2311" max="2311" width="13" style="13" customWidth="1"/>
    <col min="2312" max="2312" width="15" style="13" customWidth="1"/>
    <col min="2313" max="2313" width="13.5703125" style="13" customWidth="1"/>
    <col min="2314" max="2314" width="15.7109375" style="13" customWidth="1"/>
    <col min="2315" max="2315" width="11.7109375" style="13" customWidth="1"/>
    <col min="2316" max="2560" width="11.42578125" style="13"/>
    <col min="2561" max="2561" width="12.7109375" style="13" customWidth="1"/>
    <col min="2562" max="2562" width="13.5703125" style="13" customWidth="1"/>
    <col min="2563" max="2563" width="11.85546875" style="13" customWidth="1"/>
    <col min="2564" max="2564" width="13.5703125" style="13" customWidth="1"/>
    <col min="2565" max="2565" width="13.140625" style="13" customWidth="1"/>
    <col min="2566" max="2566" width="13.85546875" style="13" customWidth="1"/>
    <col min="2567" max="2567" width="13" style="13" customWidth="1"/>
    <col min="2568" max="2568" width="15" style="13" customWidth="1"/>
    <col min="2569" max="2569" width="13.5703125" style="13" customWidth="1"/>
    <col min="2570" max="2570" width="15.7109375" style="13" customWidth="1"/>
    <col min="2571" max="2571" width="11.7109375" style="13" customWidth="1"/>
    <col min="2572" max="2816" width="11.42578125" style="13"/>
    <col min="2817" max="2817" width="12.7109375" style="13" customWidth="1"/>
    <col min="2818" max="2818" width="13.5703125" style="13" customWidth="1"/>
    <col min="2819" max="2819" width="11.85546875" style="13" customWidth="1"/>
    <col min="2820" max="2820" width="13.5703125" style="13" customWidth="1"/>
    <col min="2821" max="2821" width="13.140625" style="13" customWidth="1"/>
    <col min="2822" max="2822" width="13.85546875" style="13" customWidth="1"/>
    <col min="2823" max="2823" width="13" style="13" customWidth="1"/>
    <col min="2824" max="2824" width="15" style="13" customWidth="1"/>
    <col min="2825" max="2825" width="13.5703125" style="13" customWidth="1"/>
    <col min="2826" max="2826" width="15.7109375" style="13" customWidth="1"/>
    <col min="2827" max="2827" width="11.7109375" style="13" customWidth="1"/>
    <col min="2828" max="3072" width="11.42578125" style="13"/>
    <col min="3073" max="3073" width="12.7109375" style="13" customWidth="1"/>
    <col min="3074" max="3074" width="13.5703125" style="13" customWidth="1"/>
    <col min="3075" max="3075" width="11.85546875" style="13" customWidth="1"/>
    <col min="3076" max="3076" width="13.5703125" style="13" customWidth="1"/>
    <col min="3077" max="3077" width="13.140625" style="13" customWidth="1"/>
    <col min="3078" max="3078" width="13.85546875" style="13" customWidth="1"/>
    <col min="3079" max="3079" width="13" style="13" customWidth="1"/>
    <col min="3080" max="3080" width="15" style="13" customWidth="1"/>
    <col min="3081" max="3081" width="13.5703125" style="13" customWidth="1"/>
    <col min="3082" max="3082" width="15.7109375" style="13" customWidth="1"/>
    <col min="3083" max="3083" width="11.7109375" style="13" customWidth="1"/>
    <col min="3084" max="3328" width="11.42578125" style="13"/>
    <col min="3329" max="3329" width="12.7109375" style="13" customWidth="1"/>
    <col min="3330" max="3330" width="13.5703125" style="13" customWidth="1"/>
    <col min="3331" max="3331" width="11.85546875" style="13" customWidth="1"/>
    <col min="3332" max="3332" width="13.5703125" style="13" customWidth="1"/>
    <col min="3333" max="3333" width="13.140625" style="13" customWidth="1"/>
    <col min="3334" max="3334" width="13.85546875" style="13" customWidth="1"/>
    <col min="3335" max="3335" width="13" style="13" customWidth="1"/>
    <col min="3336" max="3336" width="15" style="13" customWidth="1"/>
    <col min="3337" max="3337" width="13.5703125" style="13" customWidth="1"/>
    <col min="3338" max="3338" width="15.7109375" style="13" customWidth="1"/>
    <col min="3339" max="3339" width="11.7109375" style="13" customWidth="1"/>
    <col min="3340" max="3584" width="11.42578125" style="13"/>
    <col min="3585" max="3585" width="12.7109375" style="13" customWidth="1"/>
    <col min="3586" max="3586" width="13.5703125" style="13" customWidth="1"/>
    <col min="3587" max="3587" width="11.85546875" style="13" customWidth="1"/>
    <col min="3588" max="3588" width="13.5703125" style="13" customWidth="1"/>
    <col min="3589" max="3589" width="13.140625" style="13" customWidth="1"/>
    <col min="3590" max="3590" width="13.85546875" style="13" customWidth="1"/>
    <col min="3591" max="3591" width="13" style="13" customWidth="1"/>
    <col min="3592" max="3592" width="15" style="13" customWidth="1"/>
    <col min="3593" max="3593" width="13.5703125" style="13" customWidth="1"/>
    <col min="3594" max="3594" width="15.7109375" style="13" customWidth="1"/>
    <col min="3595" max="3595" width="11.7109375" style="13" customWidth="1"/>
    <col min="3596" max="3840" width="11.42578125" style="13"/>
    <col min="3841" max="3841" width="12.7109375" style="13" customWidth="1"/>
    <col min="3842" max="3842" width="13.5703125" style="13" customWidth="1"/>
    <col min="3843" max="3843" width="11.85546875" style="13" customWidth="1"/>
    <col min="3844" max="3844" width="13.5703125" style="13" customWidth="1"/>
    <col min="3845" max="3845" width="13.140625" style="13" customWidth="1"/>
    <col min="3846" max="3846" width="13.85546875" style="13" customWidth="1"/>
    <col min="3847" max="3847" width="13" style="13" customWidth="1"/>
    <col min="3848" max="3848" width="15" style="13" customWidth="1"/>
    <col min="3849" max="3849" width="13.5703125" style="13" customWidth="1"/>
    <col min="3850" max="3850" width="15.7109375" style="13" customWidth="1"/>
    <col min="3851" max="3851" width="11.7109375" style="13" customWidth="1"/>
    <col min="3852" max="4096" width="11.42578125" style="13"/>
    <col min="4097" max="4097" width="12.7109375" style="13" customWidth="1"/>
    <col min="4098" max="4098" width="13.5703125" style="13" customWidth="1"/>
    <col min="4099" max="4099" width="11.85546875" style="13" customWidth="1"/>
    <col min="4100" max="4100" width="13.5703125" style="13" customWidth="1"/>
    <col min="4101" max="4101" width="13.140625" style="13" customWidth="1"/>
    <col min="4102" max="4102" width="13.85546875" style="13" customWidth="1"/>
    <col min="4103" max="4103" width="13" style="13" customWidth="1"/>
    <col min="4104" max="4104" width="15" style="13" customWidth="1"/>
    <col min="4105" max="4105" width="13.5703125" style="13" customWidth="1"/>
    <col min="4106" max="4106" width="15.7109375" style="13" customWidth="1"/>
    <col min="4107" max="4107" width="11.7109375" style="13" customWidth="1"/>
    <col min="4108" max="4352" width="11.42578125" style="13"/>
    <col min="4353" max="4353" width="12.7109375" style="13" customWidth="1"/>
    <col min="4354" max="4354" width="13.5703125" style="13" customWidth="1"/>
    <col min="4355" max="4355" width="11.85546875" style="13" customWidth="1"/>
    <col min="4356" max="4356" width="13.5703125" style="13" customWidth="1"/>
    <col min="4357" max="4357" width="13.140625" style="13" customWidth="1"/>
    <col min="4358" max="4358" width="13.85546875" style="13" customWidth="1"/>
    <col min="4359" max="4359" width="13" style="13" customWidth="1"/>
    <col min="4360" max="4360" width="15" style="13" customWidth="1"/>
    <col min="4361" max="4361" width="13.5703125" style="13" customWidth="1"/>
    <col min="4362" max="4362" width="15.7109375" style="13" customWidth="1"/>
    <col min="4363" max="4363" width="11.7109375" style="13" customWidth="1"/>
    <col min="4364" max="4608" width="11.42578125" style="13"/>
    <col min="4609" max="4609" width="12.7109375" style="13" customWidth="1"/>
    <col min="4610" max="4610" width="13.5703125" style="13" customWidth="1"/>
    <col min="4611" max="4611" width="11.85546875" style="13" customWidth="1"/>
    <col min="4612" max="4612" width="13.5703125" style="13" customWidth="1"/>
    <col min="4613" max="4613" width="13.140625" style="13" customWidth="1"/>
    <col min="4614" max="4614" width="13.85546875" style="13" customWidth="1"/>
    <col min="4615" max="4615" width="13" style="13" customWidth="1"/>
    <col min="4616" max="4616" width="15" style="13" customWidth="1"/>
    <col min="4617" max="4617" width="13.5703125" style="13" customWidth="1"/>
    <col min="4618" max="4618" width="15.7109375" style="13" customWidth="1"/>
    <col min="4619" max="4619" width="11.7109375" style="13" customWidth="1"/>
    <col min="4620" max="4864" width="11.42578125" style="13"/>
    <col min="4865" max="4865" width="12.7109375" style="13" customWidth="1"/>
    <col min="4866" max="4866" width="13.5703125" style="13" customWidth="1"/>
    <col min="4867" max="4867" width="11.85546875" style="13" customWidth="1"/>
    <col min="4868" max="4868" width="13.5703125" style="13" customWidth="1"/>
    <col min="4869" max="4869" width="13.140625" style="13" customWidth="1"/>
    <col min="4870" max="4870" width="13.85546875" style="13" customWidth="1"/>
    <col min="4871" max="4871" width="13" style="13" customWidth="1"/>
    <col min="4872" max="4872" width="15" style="13" customWidth="1"/>
    <col min="4873" max="4873" width="13.5703125" style="13" customWidth="1"/>
    <col min="4874" max="4874" width="15.7109375" style="13" customWidth="1"/>
    <col min="4875" max="4875" width="11.7109375" style="13" customWidth="1"/>
    <col min="4876" max="5120" width="11.42578125" style="13"/>
    <col min="5121" max="5121" width="12.7109375" style="13" customWidth="1"/>
    <col min="5122" max="5122" width="13.5703125" style="13" customWidth="1"/>
    <col min="5123" max="5123" width="11.85546875" style="13" customWidth="1"/>
    <col min="5124" max="5124" width="13.5703125" style="13" customWidth="1"/>
    <col min="5125" max="5125" width="13.140625" style="13" customWidth="1"/>
    <col min="5126" max="5126" width="13.85546875" style="13" customWidth="1"/>
    <col min="5127" max="5127" width="13" style="13" customWidth="1"/>
    <col min="5128" max="5128" width="15" style="13" customWidth="1"/>
    <col min="5129" max="5129" width="13.5703125" style="13" customWidth="1"/>
    <col min="5130" max="5130" width="15.7109375" style="13" customWidth="1"/>
    <col min="5131" max="5131" width="11.7109375" style="13" customWidth="1"/>
    <col min="5132" max="5376" width="11.42578125" style="13"/>
    <col min="5377" max="5377" width="12.7109375" style="13" customWidth="1"/>
    <col min="5378" max="5378" width="13.5703125" style="13" customWidth="1"/>
    <col min="5379" max="5379" width="11.85546875" style="13" customWidth="1"/>
    <col min="5380" max="5380" width="13.5703125" style="13" customWidth="1"/>
    <col min="5381" max="5381" width="13.140625" style="13" customWidth="1"/>
    <col min="5382" max="5382" width="13.85546875" style="13" customWidth="1"/>
    <col min="5383" max="5383" width="13" style="13" customWidth="1"/>
    <col min="5384" max="5384" width="15" style="13" customWidth="1"/>
    <col min="5385" max="5385" width="13.5703125" style="13" customWidth="1"/>
    <col min="5386" max="5386" width="15.7109375" style="13" customWidth="1"/>
    <col min="5387" max="5387" width="11.7109375" style="13" customWidth="1"/>
    <col min="5388" max="5632" width="11.42578125" style="13"/>
    <col min="5633" max="5633" width="12.7109375" style="13" customWidth="1"/>
    <col min="5634" max="5634" width="13.5703125" style="13" customWidth="1"/>
    <col min="5635" max="5635" width="11.85546875" style="13" customWidth="1"/>
    <col min="5636" max="5636" width="13.5703125" style="13" customWidth="1"/>
    <col min="5637" max="5637" width="13.140625" style="13" customWidth="1"/>
    <col min="5638" max="5638" width="13.85546875" style="13" customWidth="1"/>
    <col min="5639" max="5639" width="13" style="13" customWidth="1"/>
    <col min="5640" max="5640" width="15" style="13" customWidth="1"/>
    <col min="5641" max="5641" width="13.5703125" style="13" customWidth="1"/>
    <col min="5642" max="5642" width="15.7109375" style="13" customWidth="1"/>
    <col min="5643" max="5643" width="11.7109375" style="13" customWidth="1"/>
    <col min="5644" max="5888" width="11.42578125" style="13"/>
    <col min="5889" max="5889" width="12.7109375" style="13" customWidth="1"/>
    <col min="5890" max="5890" width="13.5703125" style="13" customWidth="1"/>
    <col min="5891" max="5891" width="11.85546875" style="13" customWidth="1"/>
    <col min="5892" max="5892" width="13.5703125" style="13" customWidth="1"/>
    <col min="5893" max="5893" width="13.140625" style="13" customWidth="1"/>
    <col min="5894" max="5894" width="13.85546875" style="13" customWidth="1"/>
    <col min="5895" max="5895" width="13" style="13" customWidth="1"/>
    <col min="5896" max="5896" width="15" style="13" customWidth="1"/>
    <col min="5897" max="5897" width="13.5703125" style="13" customWidth="1"/>
    <col min="5898" max="5898" width="15.7109375" style="13" customWidth="1"/>
    <col min="5899" max="5899" width="11.7109375" style="13" customWidth="1"/>
    <col min="5900" max="6144" width="11.42578125" style="13"/>
    <col min="6145" max="6145" width="12.7109375" style="13" customWidth="1"/>
    <col min="6146" max="6146" width="13.5703125" style="13" customWidth="1"/>
    <col min="6147" max="6147" width="11.85546875" style="13" customWidth="1"/>
    <col min="6148" max="6148" width="13.5703125" style="13" customWidth="1"/>
    <col min="6149" max="6149" width="13.140625" style="13" customWidth="1"/>
    <col min="6150" max="6150" width="13.85546875" style="13" customWidth="1"/>
    <col min="6151" max="6151" width="13" style="13" customWidth="1"/>
    <col min="6152" max="6152" width="15" style="13" customWidth="1"/>
    <col min="6153" max="6153" width="13.5703125" style="13" customWidth="1"/>
    <col min="6154" max="6154" width="15.7109375" style="13" customWidth="1"/>
    <col min="6155" max="6155" width="11.7109375" style="13" customWidth="1"/>
    <col min="6156" max="6400" width="11.42578125" style="13"/>
    <col min="6401" max="6401" width="12.7109375" style="13" customWidth="1"/>
    <col min="6402" max="6402" width="13.5703125" style="13" customWidth="1"/>
    <col min="6403" max="6403" width="11.85546875" style="13" customWidth="1"/>
    <col min="6404" max="6404" width="13.5703125" style="13" customWidth="1"/>
    <col min="6405" max="6405" width="13.140625" style="13" customWidth="1"/>
    <col min="6406" max="6406" width="13.85546875" style="13" customWidth="1"/>
    <col min="6407" max="6407" width="13" style="13" customWidth="1"/>
    <col min="6408" max="6408" width="15" style="13" customWidth="1"/>
    <col min="6409" max="6409" width="13.5703125" style="13" customWidth="1"/>
    <col min="6410" max="6410" width="15.7109375" style="13" customWidth="1"/>
    <col min="6411" max="6411" width="11.7109375" style="13" customWidth="1"/>
    <col min="6412" max="6656" width="11.42578125" style="13"/>
    <col min="6657" max="6657" width="12.7109375" style="13" customWidth="1"/>
    <col min="6658" max="6658" width="13.5703125" style="13" customWidth="1"/>
    <col min="6659" max="6659" width="11.85546875" style="13" customWidth="1"/>
    <col min="6660" max="6660" width="13.5703125" style="13" customWidth="1"/>
    <col min="6661" max="6661" width="13.140625" style="13" customWidth="1"/>
    <col min="6662" max="6662" width="13.85546875" style="13" customWidth="1"/>
    <col min="6663" max="6663" width="13" style="13" customWidth="1"/>
    <col min="6664" max="6664" width="15" style="13" customWidth="1"/>
    <col min="6665" max="6665" width="13.5703125" style="13" customWidth="1"/>
    <col min="6666" max="6666" width="15.7109375" style="13" customWidth="1"/>
    <col min="6667" max="6667" width="11.7109375" style="13" customWidth="1"/>
    <col min="6668" max="6912" width="11.42578125" style="13"/>
    <col min="6913" max="6913" width="12.7109375" style="13" customWidth="1"/>
    <col min="6914" max="6914" width="13.5703125" style="13" customWidth="1"/>
    <col min="6915" max="6915" width="11.85546875" style="13" customWidth="1"/>
    <col min="6916" max="6916" width="13.5703125" style="13" customWidth="1"/>
    <col min="6917" max="6917" width="13.140625" style="13" customWidth="1"/>
    <col min="6918" max="6918" width="13.85546875" style="13" customWidth="1"/>
    <col min="6919" max="6919" width="13" style="13" customWidth="1"/>
    <col min="6920" max="6920" width="15" style="13" customWidth="1"/>
    <col min="6921" max="6921" width="13.5703125" style="13" customWidth="1"/>
    <col min="6922" max="6922" width="15.7109375" style="13" customWidth="1"/>
    <col min="6923" max="6923" width="11.7109375" style="13" customWidth="1"/>
    <col min="6924" max="7168" width="11.42578125" style="13"/>
    <col min="7169" max="7169" width="12.7109375" style="13" customWidth="1"/>
    <col min="7170" max="7170" width="13.5703125" style="13" customWidth="1"/>
    <col min="7171" max="7171" width="11.85546875" style="13" customWidth="1"/>
    <col min="7172" max="7172" width="13.5703125" style="13" customWidth="1"/>
    <col min="7173" max="7173" width="13.140625" style="13" customWidth="1"/>
    <col min="7174" max="7174" width="13.85546875" style="13" customWidth="1"/>
    <col min="7175" max="7175" width="13" style="13" customWidth="1"/>
    <col min="7176" max="7176" width="15" style="13" customWidth="1"/>
    <col min="7177" max="7177" width="13.5703125" style="13" customWidth="1"/>
    <col min="7178" max="7178" width="15.7109375" style="13" customWidth="1"/>
    <col min="7179" max="7179" width="11.7109375" style="13" customWidth="1"/>
    <col min="7180" max="7424" width="11.42578125" style="13"/>
    <col min="7425" max="7425" width="12.7109375" style="13" customWidth="1"/>
    <col min="7426" max="7426" width="13.5703125" style="13" customWidth="1"/>
    <col min="7427" max="7427" width="11.85546875" style="13" customWidth="1"/>
    <col min="7428" max="7428" width="13.5703125" style="13" customWidth="1"/>
    <col min="7429" max="7429" width="13.140625" style="13" customWidth="1"/>
    <col min="7430" max="7430" width="13.85546875" style="13" customWidth="1"/>
    <col min="7431" max="7431" width="13" style="13" customWidth="1"/>
    <col min="7432" max="7432" width="15" style="13" customWidth="1"/>
    <col min="7433" max="7433" width="13.5703125" style="13" customWidth="1"/>
    <col min="7434" max="7434" width="15.7109375" style="13" customWidth="1"/>
    <col min="7435" max="7435" width="11.7109375" style="13" customWidth="1"/>
    <col min="7436" max="7680" width="11.42578125" style="13"/>
    <col min="7681" max="7681" width="12.7109375" style="13" customWidth="1"/>
    <col min="7682" max="7682" width="13.5703125" style="13" customWidth="1"/>
    <col min="7683" max="7683" width="11.85546875" style="13" customWidth="1"/>
    <col min="7684" max="7684" width="13.5703125" style="13" customWidth="1"/>
    <col min="7685" max="7685" width="13.140625" style="13" customWidth="1"/>
    <col min="7686" max="7686" width="13.85546875" style="13" customWidth="1"/>
    <col min="7687" max="7687" width="13" style="13" customWidth="1"/>
    <col min="7688" max="7688" width="15" style="13" customWidth="1"/>
    <col min="7689" max="7689" width="13.5703125" style="13" customWidth="1"/>
    <col min="7690" max="7690" width="15.7109375" style="13" customWidth="1"/>
    <col min="7691" max="7691" width="11.7109375" style="13" customWidth="1"/>
    <col min="7692" max="7936" width="11.42578125" style="13"/>
    <col min="7937" max="7937" width="12.7109375" style="13" customWidth="1"/>
    <col min="7938" max="7938" width="13.5703125" style="13" customWidth="1"/>
    <col min="7939" max="7939" width="11.85546875" style="13" customWidth="1"/>
    <col min="7940" max="7940" width="13.5703125" style="13" customWidth="1"/>
    <col min="7941" max="7941" width="13.140625" style="13" customWidth="1"/>
    <col min="7942" max="7942" width="13.85546875" style="13" customWidth="1"/>
    <col min="7943" max="7943" width="13" style="13" customWidth="1"/>
    <col min="7944" max="7944" width="15" style="13" customWidth="1"/>
    <col min="7945" max="7945" width="13.5703125" style="13" customWidth="1"/>
    <col min="7946" max="7946" width="15.7109375" style="13" customWidth="1"/>
    <col min="7947" max="7947" width="11.7109375" style="13" customWidth="1"/>
    <col min="7948" max="8192" width="11.42578125" style="13"/>
    <col min="8193" max="8193" width="12.7109375" style="13" customWidth="1"/>
    <col min="8194" max="8194" width="13.5703125" style="13" customWidth="1"/>
    <col min="8195" max="8195" width="11.85546875" style="13" customWidth="1"/>
    <col min="8196" max="8196" width="13.5703125" style="13" customWidth="1"/>
    <col min="8197" max="8197" width="13.140625" style="13" customWidth="1"/>
    <col min="8198" max="8198" width="13.85546875" style="13" customWidth="1"/>
    <col min="8199" max="8199" width="13" style="13" customWidth="1"/>
    <col min="8200" max="8200" width="15" style="13" customWidth="1"/>
    <col min="8201" max="8201" width="13.5703125" style="13" customWidth="1"/>
    <col min="8202" max="8202" width="15.7109375" style="13" customWidth="1"/>
    <col min="8203" max="8203" width="11.7109375" style="13" customWidth="1"/>
    <col min="8204" max="8448" width="11.42578125" style="13"/>
    <col min="8449" max="8449" width="12.7109375" style="13" customWidth="1"/>
    <col min="8450" max="8450" width="13.5703125" style="13" customWidth="1"/>
    <col min="8451" max="8451" width="11.85546875" style="13" customWidth="1"/>
    <col min="8452" max="8452" width="13.5703125" style="13" customWidth="1"/>
    <col min="8453" max="8453" width="13.140625" style="13" customWidth="1"/>
    <col min="8454" max="8454" width="13.85546875" style="13" customWidth="1"/>
    <col min="8455" max="8455" width="13" style="13" customWidth="1"/>
    <col min="8456" max="8456" width="15" style="13" customWidth="1"/>
    <col min="8457" max="8457" width="13.5703125" style="13" customWidth="1"/>
    <col min="8458" max="8458" width="15.7109375" style="13" customWidth="1"/>
    <col min="8459" max="8459" width="11.7109375" style="13" customWidth="1"/>
    <col min="8460" max="8704" width="11.42578125" style="13"/>
    <col min="8705" max="8705" width="12.7109375" style="13" customWidth="1"/>
    <col min="8706" max="8706" width="13.5703125" style="13" customWidth="1"/>
    <col min="8707" max="8707" width="11.85546875" style="13" customWidth="1"/>
    <col min="8708" max="8708" width="13.5703125" style="13" customWidth="1"/>
    <col min="8709" max="8709" width="13.140625" style="13" customWidth="1"/>
    <col min="8710" max="8710" width="13.85546875" style="13" customWidth="1"/>
    <col min="8711" max="8711" width="13" style="13" customWidth="1"/>
    <col min="8712" max="8712" width="15" style="13" customWidth="1"/>
    <col min="8713" max="8713" width="13.5703125" style="13" customWidth="1"/>
    <col min="8714" max="8714" width="15.7109375" style="13" customWidth="1"/>
    <col min="8715" max="8715" width="11.7109375" style="13" customWidth="1"/>
    <col min="8716" max="8960" width="11.42578125" style="13"/>
    <col min="8961" max="8961" width="12.7109375" style="13" customWidth="1"/>
    <col min="8962" max="8962" width="13.5703125" style="13" customWidth="1"/>
    <col min="8963" max="8963" width="11.85546875" style="13" customWidth="1"/>
    <col min="8964" max="8964" width="13.5703125" style="13" customWidth="1"/>
    <col min="8965" max="8965" width="13.140625" style="13" customWidth="1"/>
    <col min="8966" max="8966" width="13.85546875" style="13" customWidth="1"/>
    <col min="8967" max="8967" width="13" style="13" customWidth="1"/>
    <col min="8968" max="8968" width="15" style="13" customWidth="1"/>
    <col min="8969" max="8969" width="13.5703125" style="13" customWidth="1"/>
    <col min="8970" max="8970" width="15.7109375" style="13" customWidth="1"/>
    <col min="8971" max="8971" width="11.7109375" style="13" customWidth="1"/>
    <col min="8972" max="9216" width="11.42578125" style="13"/>
    <col min="9217" max="9217" width="12.7109375" style="13" customWidth="1"/>
    <col min="9218" max="9218" width="13.5703125" style="13" customWidth="1"/>
    <col min="9219" max="9219" width="11.85546875" style="13" customWidth="1"/>
    <col min="9220" max="9220" width="13.5703125" style="13" customWidth="1"/>
    <col min="9221" max="9221" width="13.140625" style="13" customWidth="1"/>
    <col min="9222" max="9222" width="13.85546875" style="13" customWidth="1"/>
    <col min="9223" max="9223" width="13" style="13" customWidth="1"/>
    <col min="9224" max="9224" width="15" style="13" customWidth="1"/>
    <col min="9225" max="9225" width="13.5703125" style="13" customWidth="1"/>
    <col min="9226" max="9226" width="15.7109375" style="13" customWidth="1"/>
    <col min="9227" max="9227" width="11.7109375" style="13" customWidth="1"/>
    <col min="9228" max="9472" width="11.42578125" style="13"/>
    <col min="9473" max="9473" width="12.7109375" style="13" customWidth="1"/>
    <col min="9474" max="9474" width="13.5703125" style="13" customWidth="1"/>
    <col min="9475" max="9475" width="11.85546875" style="13" customWidth="1"/>
    <col min="9476" max="9476" width="13.5703125" style="13" customWidth="1"/>
    <col min="9477" max="9477" width="13.140625" style="13" customWidth="1"/>
    <col min="9478" max="9478" width="13.85546875" style="13" customWidth="1"/>
    <col min="9479" max="9479" width="13" style="13" customWidth="1"/>
    <col min="9480" max="9480" width="15" style="13" customWidth="1"/>
    <col min="9481" max="9481" width="13.5703125" style="13" customWidth="1"/>
    <col min="9482" max="9482" width="15.7109375" style="13" customWidth="1"/>
    <col min="9483" max="9483" width="11.7109375" style="13" customWidth="1"/>
    <col min="9484" max="9728" width="11.42578125" style="13"/>
    <col min="9729" max="9729" width="12.7109375" style="13" customWidth="1"/>
    <col min="9730" max="9730" width="13.5703125" style="13" customWidth="1"/>
    <col min="9731" max="9731" width="11.85546875" style="13" customWidth="1"/>
    <col min="9732" max="9732" width="13.5703125" style="13" customWidth="1"/>
    <col min="9733" max="9733" width="13.140625" style="13" customWidth="1"/>
    <col min="9734" max="9734" width="13.85546875" style="13" customWidth="1"/>
    <col min="9735" max="9735" width="13" style="13" customWidth="1"/>
    <col min="9736" max="9736" width="15" style="13" customWidth="1"/>
    <col min="9737" max="9737" width="13.5703125" style="13" customWidth="1"/>
    <col min="9738" max="9738" width="15.7109375" style="13" customWidth="1"/>
    <col min="9739" max="9739" width="11.7109375" style="13" customWidth="1"/>
    <col min="9740" max="9984" width="11.42578125" style="13"/>
    <col min="9985" max="9985" width="12.7109375" style="13" customWidth="1"/>
    <col min="9986" max="9986" width="13.5703125" style="13" customWidth="1"/>
    <col min="9987" max="9987" width="11.85546875" style="13" customWidth="1"/>
    <col min="9988" max="9988" width="13.5703125" style="13" customWidth="1"/>
    <col min="9989" max="9989" width="13.140625" style="13" customWidth="1"/>
    <col min="9990" max="9990" width="13.85546875" style="13" customWidth="1"/>
    <col min="9991" max="9991" width="13" style="13" customWidth="1"/>
    <col min="9992" max="9992" width="15" style="13" customWidth="1"/>
    <col min="9993" max="9993" width="13.5703125" style="13" customWidth="1"/>
    <col min="9994" max="9994" width="15.7109375" style="13" customWidth="1"/>
    <col min="9995" max="9995" width="11.7109375" style="13" customWidth="1"/>
    <col min="9996" max="10240" width="11.42578125" style="13"/>
    <col min="10241" max="10241" width="12.7109375" style="13" customWidth="1"/>
    <col min="10242" max="10242" width="13.5703125" style="13" customWidth="1"/>
    <col min="10243" max="10243" width="11.85546875" style="13" customWidth="1"/>
    <col min="10244" max="10244" width="13.5703125" style="13" customWidth="1"/>
    <col min="10245" max="10245" width="13.140625" style="13" customWidth="1"/>
    <col min="10246" max="10246" width="13.85546875" style="13" customWidth="1"/>
    <col min="10247" max="10247" width="13" style="13" customWidth="1"/>
    <col min="10248" max="10248" width="15" style="13" customWidth="1"/>
    <col min="10249" max="10249" width="13.5703125" style="13" customWidth="1"/>
    <col min="10250" max="10250" width="15.7109375" style="13" customWidth="1"/>
    <col min="10251" max="10251" width="11.7109375" style="13" customWidth="1"/>
    <col min="10252" max="10496" width="11.42578125" style="13"/>
    <col min="10497" max="10497" width="12.7109375" style="13" customWidth="1"/>
    <col min="10498" max="10498" width="13.5703125" style="13" customWidth="1"/>
    <col min="10499" max="10499" width="11.85546875" style="13" customWidth="1"/>
    <col min="10500" max="10500" width="13.5703125" style="13" customWidth="1"/>
    <col min="10501" max="10501" width="13.140625" style="13" customWidth="1"/>
    <col min="10502" max="10502" width="13.85546875" style="13" customWidth="1"/>
    <col min="10503" max="10503" width="13" style="13" customWidth="1"/>
    <col min="10504" max="10504" width="15" style="13" customWidth="1"/>
    <col min="10505" max="10505" width="13.5703125" style="13" customWidth="1"/>
    <col min="10506" max="10506" width="15.7109375" style="13" customWidth="1"/>
    <col min="10507" max="10507" width="11.7109375" style="13" customWidth="1"/>
    <col min="10508" max="10752" width="11.42578125" style="13"/>
    <col min="10753" max="10753" width="12.7109375" style="13" customWidth="1"/>
    <col min="10754" max="10754" width="13.5703125" style="13" customWidth="1"/>
    <col min="10755" max="10755" width="11.85546875" style="13" customWidth="1"/>
    <col min="10756" max="10756" width="13.5703125" style="13" customWidth="1"/>
    <col min="10757" max="10757" width="13.140625" style="13" customWidth="1"/>
    <col min="10758" max="10758" width="13.85546875" style="13" customWidth="1"/>
    <col min="10759" max="10759" width="13" style="13" customWidth="1"/>
    <col min="10760" max="10760" width="15" style="13" customWidth="1"/>
    <col min="10761" max="10761" width="13.5703125" style="13" customWidth="1"/>
    <col min="10762" max="10762" width="15.7109375" style="13" customWidth="1"/>
    <col min="10763" max="10763" width="11.7109375" style="13" customWidth="1"/>
    <col min="10764" max="11008" width="11.42578125" style="13"/>
    <col min="11009" max="11009" width="12.7109375" style="13" customWidth="1"/>
    <col min="11010" max="11010" width="13.5703125" style="13" customWidth="1"/>
    <col min="11011" max="11011" width="11.85546875" style="13" customWidth="1"/>
    <col min="11012" max="11012" width="13.5703125" style="13" customWidth="1"/>
    <col min="11013" max="11013" width="13.140625" style="13" customWidth="1"/>
    <col min="11014" max="11014" width="13.85546875" style="13" customWidth="1"/>
    <col min="11015" max="11015" width="13" style="13" customWidth="1"/>
    <col min="11016" max="11016" width="15" style="13" customWidth="1"/>
    <col min="11017" max="11017" width="13.5703125" style="13" customWidth="1"/>
    <col min="11018" max="11018" width="15.7109375" style="13" customWidth="1"/>
    <col min="11019" max="11019" width="11.7109375" style="13" customWidth="1"/>
    <col min="11020" max="11264" width="11.42578125" style="13"/>
    <col min="11265" max="11265" width="12.7109375" style="13" customWidth="1"/>
    <col min="11266" max="11266" width="13.5703125" style="13" customWidth="1"/>
    <col min="11267" max="11267" width="11.85546875" style="13" customWidth="1"/>
    <col min="11268" max="11268" width="13.5703125" style="13" customWidth="1"/>
    <col min="11269" max="11269" width="13.140625" style="13" customWidth="1"/>
    <col min="11270" max="11270" width="13.85546875" style="13" customWidth="1"/>
    <col min="11271" max="11271" width="13" style="13" customWidth="1"/>
    <col min="11272" max="11272" width="15" style="13" customWidth="1"/>
    <col min="11273" max="11273" width="13.5703125" style="13" customWidth="1"/>
    <col min="11274" max="11274" width="15.7109375" style="13" customWidth="1"/>
    <col min="11275" max="11275" width="11.7109375" style="13" customWidth="1"/>
    <col min="11276" max="11520" width="11.42578125" style="13"/>
    <col min="11521" max="11521" width="12.7109375" style="13" customWidth="1"/>
    <col min="11522" max="11522" width="13.5703125" style="13" customWidth="1"/>
    <col min="11523" max="11523" width="11.85546875" style="13" customWidth="1"/>
    <col min="11524" max="11524" width="13.5703125" style="13" customWidth="1"/>
    <col min="11525" max="11525" width="13.140625" style="13" customWidth="1"/>
    <col min="11526" max="11526" width="13.85546875" style="13" customWidth="1"/>
    <col min="11527" max="11527" width="13" style="13" customWidth="1"/>
    <col min="11528" max="11528" width="15" style="13" customWidth="1"/>
    <col min="11529" max="11529" width="13.5703125" style="13" customWidth="1"/>
    <col min="11530" max="11530" width="15.7109375" style="13" customWidth="1"/>
    <col min="11531" max="11531" width="11.7109375" style="13" customWidth="1"/>
    <col min="11532" max="11776" width="11.42578125" style="13"/>
    <col min="11777" max="11777" width="12.7109375" style="13" customWidth="1"/>
    <col min="11778" max="11778" width="13.5703125" style="13" customWidth="1"/>
    <col min="11779" max="11779" width="11.85546875" style="13" customWidth="1"/>
    <col min="11780" max="11780" width="13.5703125" style="13" customWidth="1"/>
    <col min="11781" max="11781" width="13.140625" style="13" customWidth="1"/>
    <col min="11782" max="11782" width="13.85546875" style="13" customWidth="1"/>
    <col min="11783" max="11783" width="13" style="13" customWidth="1"/>
    <col min="11784" max="11784" width="15" style="13" customWidth="1"/>
    <col min="11785" max="11785" width="13.5703125" style="13" customWidth="1"/>
    <col min="11786" max="11786" width="15.7109375" style="13" customWidth="1"/>
    <col min="11787" max="11787" width="11.7109375" style="13" customWidth="1"/>
    <col min="11788" max="12032" width="11.42578125" style="13"/>
    <col min="12033" max="12033" width="12.7109375" style="13" customWidth="1"/>
    <col min="12034" max="12034" width="13.5703125" style="13" customWidth="1"/>
    <col min="12035" max="12035" width="11.85546875" style="13" customWidth="1"/>
    <col min="12036" max="12036" width="13.5703125" style="13" customWidth="1"/>
    <col min="12037" max="12037" width="13.140625" style="13" customWidth="1"/>
    <col min="12038" max="12038" width="13.85546875" style="13" customWidth="1"/>
    <col min="12039" max="12039" width="13" style="13" customWidth="1"/>
    <col min="12040" max="12040" width="15" style="13" customWidth="1"/>
    <col min="12041" max="12041" width="13.5703125" style="13" customWidth="1"/>
    <col min="12042" max="12042" width="15.7109375" style="13" customWidth="1"/>
    <col min="12043" max="12043" width="11.7109375" style="13" customWidth="1"/>
    <col min="12044" max="12288" width="11.42578125" style="13"/>
    <col min="12289" max="12289" width="12.7109375" style="13" customWidth="1"/>
    <col min="12290" max="12290" width="13.5703125" style="13" customWidth="1"/>
    <col min="12291" max="12291" width="11.85546875" style="13" customWidth="1"/>
    <col min="12292" max="12292" width="13.5703125" style="13" customWidth="1"/>
    <col min="12293" max="12293" width="13.140625" style="13" customWidth="1"/>
    <col min="12294" max="12294" width="13.85546875" style="13" customWidth="1"/>
    <col min="12295" max="12295" width="13" style="13" customWidth="1"/>
    <col min="12296" max="12296" width="15" style="13" customWidth="1"/>
    <col min="12297" max="12297" width="13.5703125" style="13" customWidth="1"/>
    <col min="12298" max="12298" width="15.7109375" style="13" customWidth="1"/>
    <col min="12299" max="12299" width="11.7109375" style="13" customWidth="1"/>
    <col min="12300" max="12544" width="11.42578125" style="13"/>
    <col min="12545" max="12545" width="12.7109375" style="13" customWidth="1"/>
    <col min="12546" max="12546" width="13.5703125" style="13" customWidth="1"/>
    <col min="12547" max="12547" width="11.85546875" style="13" customWidth="1"/>
    <col min="12548" max="12548" width="13.5703125" style="13" customWidth="1"/>
    <col min="12549" max="12549" width="13.140625" style="13" customWidth="1"/>
    <col min="12550" max="12550" width="13.85546875" style="13" customWidth="1"/>
    <col min="12551" max="12551" width="13" style="13" customWidth="1"/>
    <col min="12552" max="12552" width="15" style="13" customWidth="1"/>
    <col min="12553" max="12553" width="13.5703125" style="13" customWidth="1"/>
    <col min="12554" max="12554" width="15.7109375" style="13" customWidth="1"/>
    <col min="12555" max="12555" width="11.7109375" style="13" customWidth="1"/>
    <col min="12556" max="12800" width="11.42578125" style="13"/>
    <col min="12801" max="12801" width="12.7109375" style="13" customWidth="1"/>
    <col min="12802" max="12802" width="13.5703125" style="13" customWidth="1"/>
    <col min="12803" max="12803" width="11.85546875" style="13" customWidth="1"/>
    <col min="12804" max="12804" width="13.5703125" style="13" customWidth="1"/>
    <col min="12805" max="12805" width="13.140625" style="13" customWidth="1"/>
    <col min="12806" max="12806" width="13.85546875" style="13" customWidth="1"/>
    <col min="12807" max="12807" width="13" style="13" customWidth="1"/>
    <col min="12808" max="12808" width="15" style="13" customWidth="1"/>
    <col min="12809" max="12809" width="13.5703125" style="13" customWidth="1"/>
    <col min="12810" max="12810" width="15.7109375" style="13" customWidth="1"/>
    <col min="12811" max="12811" width="11.7109375" style="13" customWidth="1"/>
    <col min="12812" max="13056" width="11.42578125" style="13"/>
    <col min="13057" max="13057" width="12.7109375" style="13" customWidth="1"/>
    <col min="13058" max="13058" width="13.5703125" style="13" customWidth="1"/>
    <col min="13059" max="13059" width="11.85546875" style="13" customWidth="1"/>
    <col min="13060" max="13060" width="13.5703125" style="13" customWidth="1"/>
    <col min="13061" max="13061" width="13.140625" style="13" customWidth="1"/>
    <col min="13062" max="13062" width="13.85546875" style="13" customWidth="1"/>
    <col min="13063" max="13063" width="13" style="13" customWidth="1"/>
    <col min="13064" max="13064" width="15" style="13" customWidth="1"/>
    <col min="13065" max="13065" width="13.5703125" style="13" customWidth="1"/>
    <col min="13066" max="13066" width="15.7109375" style="13" customWidth="1"/>
    <col min="13067" max="13067" width="11.7109375" style="13" customWidth="1"/>
    <col min="13068" max="13312" width="11.42578125" style="13"/>
    <col min="13313" max="13313" width="12.7109375" style="13" customWidth="1"/>
    <col min="13314" max="13314" width="13.5703125" style="13" customWidth="1"/>
    <col min="13315" max="13315" width="11.85546875" style="13" customWidth="1"/>
    <col min="13316" max="13316" width="13.5703125" style="13" customWidth="1"/>
    <col min="13317" max="13317" width="13.140625" style="13" customWidth="1"/>
    <col min="13318" max="13318" width="13.85546875" style="13" customWidth="1"/>
    <col min="13319" max="13319" width="13" style="13" customWidth="1"/>
    <col min="13320" max="13320" width="15" style="13" customWidth="1"/>
    <col min="13321" max="13321" width="13.5703125" style="13" customWidth="1"/>
    <col min="13322" max="13322" width="15.7109375" style="13" customWidth="1"/>
    <col min="13323" max="13323" width="11.7109375" style="13" customWidth="1"/>
    <col min="13324" max="13568" width="11.42578125" style="13"/>
    <col min="13569" max="13569" width="12.7109375" style="13" customWidth="1"/>
    <col min="13570" max="13570" width="13.5703125" style="13" customWidth="1"/>
    <col min="13571" max="13571" width="11.85546875" style="13" customWidth="1"/>
    <col min="13572" max="13572" width="13.5703125" style="13" customWidth="1"/>
    <col min="13573" max="13573" width="13.140625" style="13" customWidth="1"/>
    <col min="13574" max="13574" width="13.85546875" style="13" customWidth="1"/>
    <col min="13575" max="13575" width="13" style="13" customWidth="1"/>
    <col min="13576" max="13576" width="15" style="13" customWidth="1"/>
    <col min="13577" max="13577" width="13.5703125" style="13" customWidth="1"/>
    <col min="13578" max="13578" width="15.7109375" style="13" customWidth="1"/>
    <col min="13579" max="13579" width="11.7109375" style="13" customWidth="1"/>
    <col min="13580" max="13824" width="11.42578125" style="13"/>
    <col min="13825" max="13825" width="12.7109375" style="13" customWidth="1"/>
    <col min="13826" max="13826" width="13.5703125" style="13" customWidth="1"/>
    <col min="13827" max="13827" width="11.85546875" style="13" customWidth="1"/>
    <col min="13828" max="13828" width="13.5703125" style="13" customWidth="1"/>
    <col min="13829" max="13829" width="13.140625" style="13" customWidth="1"/>
    <col min="13830" max="13830" width="13.85546875" style="13" customWidth="1"/>
    <col min="13831" max="13831" width="13" style="13" customWidth="1"/>
    <col min="13832" max="13832" width="15" style="13" customWidth="1"/>
    <col min="13833" max="13833" width="13.5703125" style="13" customWidth="1"/>
    <col min="13834" max="13834" width="15.7109375" style="13" customWidth="1"/>
    <col min="13835" max="13835" width="11.7109375" style="13" customWidth="1"/>
    <col min="13836" max="14080" width="11.42578125" style="13"/>
    <col min="14081" max="14081" width="12.7109375" style="13" customWidth="1"/>
    <col min="14082" max="14082" width="13.5703125" style="13" customWidth="1"/>
    <col min="14083" max="14083" width="11.85546875" style="13" customWidth="1"/>
    <col min="14084" max="14084" width="13.5703125" style="13" customWidth="1"/>
    <col min="14085" max="14085" width="13.140625" style="13" customWidth="1"/>
    <col min="14086" max="14086" width="13.85546875" style="13" customWidth="1"/>
    <col min="14087" max="14087" width="13" style="13" customWidth="1"/>
    <col min="14088" max="14088" width="15" style="13" customWidth="1"/>
    <col min="14089" max="14089" width="13.5703125" style="13" customWidth="1"/>
    <col min="14090" max="14090" width="15.7109375" style="13" customWidth="1"/>
    <col min="14091" max="14091" width="11.7109375" style="13" customWidth="1"/>
    <col min="14092" max="14336" width="11.42578125" style="13"/>
    <col min="14337" max="14337" width="12.7109375" style="13" customWidth="1"/>
    <col min="14338" max="14338" width="13.5703125" style="13" customWidth="1"/>
    <col min="14339" max="14339" width="11.85546875" style="13" customWidth="1"/>
    <col min="14340" max="14340" width="13.5703125" style="13" customWidth="1"/>
    <col min="14341" max="14341" width="13.140625" style="13" customWidth="1"/>
    <col min="14342" max="14342" width="13.85546875" style="13" customWidth="1"/>
    <col min="14343" max="14343" width="13" style="13" customWidth="1"/>
    <col min="14344" max="14344" width="15" style="13" customWidth="1"/>
    <col min="14345" max="14345" width="13.5703125" style="13" customWidth="1"/>
    <col min="14346" max="14346" width="15.7109375" style="13" customWidth="1"/>
    <col min="14347" max="14347" width="11.7109375" style="13" customWidth="1"/>
    <col min="14348" max="14592" width="11.42578125" style="13"/>
    <col min="14593" max="14593" width="12.7109375" style="13" customWidth="1"/>
    <col min="14594" max="14594" width="13.5703125" style="13" customWidth="1"/>
    <col min="14595" max="14595" width="11.85546875" style="13" customWidth="1"/>
    <col min="14596" max="14596" width="13.5703125" style="13" customWidth="1"/>
    <col min="14597" max="14597" width="13.140625" style="13" customWidth="1"/>
    <col min="14598" max="14598" width="13.85546875" style="13" customWidth="1"/>
    <col min="14599" max="14599" width="13" style="13" customWidth="1"/>
    <col min="14600" max="14600" width="15" style="13" customWidth="1"/>
    <col min="14601" max="14601" width="13.5703125" style="13" customWidth="1"/>
    <col min="14602" max="14602" width="15.7109375" style="13" customWidth="1"/>
    <col min="14603" max="14603" width="11.7109375" style="13" customWidth="1"/>
    <col min="14604" max="14848" width="11.42578125" style="13"/>
    <col min="14849" max="14849" width="12.7109375" style="13" customWidth="1"/>
    <col min="14850" max="14850" width="13.5703125" style="13" customWidth="1"/>
    <col min="14851" max="14851" width="11.85546875" style="13" customWidth="1"/>
    <col min="14852" max="14852" width="13.5703125" style="13" customWidth="1"/>
    <col min="14853" max="14853" width="13.140625" style="13" customWidth="1"/>
    <col min="14854" max="14854" width="13.85546875" style="13" customWidth="1"/>
    <col min="14855" max="14855" width="13" style="13" customWidth="1"/>
    <col min="14856" max="14856" width="15" style="13" customWidth="1"/>
    <col min="14857" max="14857" width="13.5703125" style="13" customWidth="1"/>
    <col min="14858" max="14858" width="15.7109375" style="13" customWidth="1"/>
    <col min="14859" max="14859" width="11.7109375" style="13" customWidth="1"/>
    <col min="14860" max="15104" width="11.42578125" style="13"/>
    <col min="15105" max="15105" width="12.7109375" style="13" customWidth="1"/>
    <col min="15106" max="15106" width="13.5703125" style="13" customWidth="1"/>
    <col min="15107" max="15107" width="11.85546875" style="13" customWidth="1"/>
    <col min="15108" max="15108" width="13.5703125" style="13" customWidth="1"/>
    <col min="15109" max="15109" width="13.140625" style="13" customWidth="1"/>
    <col min="15110" max="15110" width="13.85546875" style="13" customWidth="1"/>
    <col min="15111" max="15111" width="13" style="13" customWidth="1"/>
    <col min="15112" max="15112" width="15" style="13" customWidth="1"/>
    <col min="15113" max="15113" width="13.5703125" style="13" customWidth="1"/>
    <col min="15114" max="15114" width="15.7109375" style="13" customWidth="1"/>
    <col min="15115" max="15115" width="11.7109375" style="13" customWidth="1"/>
    <col min="15116" max="15360" width="11.42578125" style="13"/>
    <col min="15361" max="15361" width="12.7109375" style="13" customWidth="1"/>
    <col min="15362" max="15362" width="13.5703125" style="13" customWidth="1"/>
    <col min="15363" max="15363" width="11.85546875" style="13" customWidth="1"/>
    <col min="15364" max="15364" width="13.5703125" style="13" customWidth="1"/>
    <col min="15365" max="15365" width="13.140625" style="13" customWidth="1"/>
    <col min="15366" max="15366" width="13.85546875" style="13" customWidth="1"/>
    <col min="15367" max="15367" width="13" style="13" customWidth="1"/>
    <col min="15368" max="15368" width="15" style="13" customWidth="1"/>
    <col min="15369" max="15369" width="13.5703125" style="13" customWidth="1"/>
    <col min="15370" max="15370" width="15.7109375" style="13" customWidth="1"/>
    <col min="15371" max="15371" width="11.7109375" style="13" customWidth="1"/>
    <col min="15372" max="15616" width="11.42578125" style="13"/>
    <col min="15617" max="15617" width="12.7109375" style="13" customWidth="1"/>
    <col min="15618" max="15618" width="13.5703125" style="13" customWidth="1"/>
    <col min="15619" max="15619" width="11.85546875" style="13" customWidth="1"/>
    <col min="15620" max="15620" width="13.5703125" style="13" customWidth="1"/>
    <col min="15621" max="15621" width="13.140625" style="13" customWidth="1"/>
    <col min="15622" max="15622" width="13.85546875" style="13" customWidth="1"/>
    <col min="15623" max="15623" width="13" style="13" customWidth="1"/>
    <col min="15624" max="15624" width="15" style="13" customWidth="1"/>
    <col min="15625" max="15625" width="13.5703125" style="13" customWidth="1"/>
    <col min="15626" max="15626" width="15.7109375" style="13" customWidth="1"/>
    <col min="15627" max="15627" width="11.7109375" style="13" customWidth="1"/>
    <col min="15628" max="15872" width="11.42578125" style="13"/>
    <col min="15873" max="15873" width="12.7109375" style="13" customWidth="1"/>
    <col min="15874" max="15874" width="13.5703125" style="13" customWidth="1"/>
    <col min="15875" max="15875" width="11.85546875" style="13" customWidth="1"/>
    <col min="15876" max="15876" width="13.5703125" style="13" customWidth="1"/>
    <col min="15877" max="15877" width="13.140625" style="13" customWidth="1"/>
    <col min="15878" max="15878" width="13.85546875" style="13" customWidth="1"/>
    <col min="15879" max="15879" width="13" style="13" customWidth="1"/>
    <col min="15880" max="15880" width="15" style="13" customWidth="1"/>
    <col min="15881" max="15881" width="13.5703125" style="13" customWidth="1"/>
    <col min="15882" max="15882" width="15.7109375" style="13" customWidth="1"/>
    <col min="15883" max="15883" width="11.7109375" style="13" customWidth="1"/>
    <col min="15884" max="16128" width="11.42578125" style="13"/>
    <col min="16129" max="16129" width="12.7109375" style="13" customWidth="1"/>
    <col min="16130" max="16130" width="13.5703125" style="13" customWidth="1"/>
    <col min="16131" max="16131" width="11.85546875" style="13" customWidth="1"/>
    <col min="16132" max="16132" width="13.5703125" style="13" customWidth="1"/>
    <col min="16133" max="16133" width="13.140625" style="13" customWidth="1"/>
    <col min="16134" max="16134" width="13.85546875" style="13" customWidth="1"/>
    <col min="16135" max="16135" width="13" style="13" customWidth="1"/>
    <col min="16136" max="16136" width="15" style="13" customWidth="1"/>
    <col min="16137" max="16137" width="13.5703125" style="13" customWidth="1"/>
    <col min="16138" max="16138" width="15.7109375" style="13" customWidth="1"/>
    <col min="16139" max="16139" width="11.7109375" style="13" customWidth="1"/>
    <col min="16140" max="16384" width="11.42578125" style="13"/>
  </cols>
  <sheetData>
    <row r="1" spans="1:31" s="6" customFormat="1" ht="15" customHeight="1" x14ac:dyDescent="0.2">
      <c r="A1" s="25"/>
      <c r="B1" s="26"/>
      <c r="C1" s="27" t="s">
        <v>116</v>
      </c>
      <c r="D1" s="28"/>
      <c r="E1" s="749" t="s">
        <v>117</v>
      </c>
      <c r="F1" s="750"/>
      <c r="G1" s="750"/>
      <c r="H1" s="751"/>
      <c r="I1" s="29"/>
      <c r="J1" s="26"/>
      <c r="K1" s="30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  <c r="AD1" s="491"/>
      <c r="AE1" s="491"/>
    </row>
    <row r="2" spans="1:31" s="6" customFormat="1" ht="40.5" customHeight="1" x14ac:dyDescent="0.2">
      <c r="A2" s="31"/>
      <c r="B2" s="32"/>
      <c r="C2" s="33"/>
      <c r="D2" s="34"/>
      <c r="E2" s="752"/>
      <c r="F2" s="753"/>
      <c r="G2" s="753"/>
      <c r="H2" s="754"/>
      <c r="I2" s="35"/>
      <c r="J2" s="36"/>
      <c r="K2" s="37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1"/>
      <c r="AE2" s="491"/>
    </row>
    <row r="3" spans="1:31" s="6" customFormat="1" ht="15" customHeight="1" x14ac:dyDescent="0.2">
      <c r="A3" s="755" t="s">
        <v>334</v>
      </c>
      <c r="B3" s="756"/>
      <c r="C3" s="756"/>
      <c r="D3" s="757"/>
      <c r="E3" s="38" t="s">
        <v>119</v>
      </c>
      <c r="F3" s="369" t="s">
        <v>335</v>
      </c>
      <c r="G3" s="39"/>
      <c r="H3" s="40"/>
      <c r="I3" s="41" t="s">
        <v>121</v>
      </c>
      <c r="J3" s="758">
        <v>2007</v>
      </c>
      <c r="K3" s="759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  <c r="AD3" s="491"/>
      <c r="AE3" s="491"/>
    </row>
    <row r="4" spans="1:31" s="6" customFormat="1" x14ac:dyDescent="0.2">
      <c r="A4" s="160"/>
      <c r="B4" s="160"/>
      <c r="C4" s="160"/>
      <c r="D4" s="76"/>
      <c r="E4" s="76"/>
      <c r="F4" s="76"/>
      <c r="G4" s="76"/>
      <c r="H4" s="76"/>
      <c r="I4" s="76"/>
      <c r="J4" s="161"/>
      <c r="K4" s="16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491"/>
      <c r="AA4" s="491"/>
      <c r="AB4" s="491"/>
      <c r="AC4" s="491"/>
      <c r="AD4" s="491"/>
      <c r="AE4" s="491"/>
    </row>
    <row r="5" spans="1:31" s="6" customFormat="1" ht="25.5" x14ac:dyDescent="0.2">
      <c r="A5" s="76"/>
      <c r="B5" s="76"/>
      <c r="C5" s="76"/>
      <c r="D5" s="76"/>
      <c r="E5" s="76"/>
      <c r="F5" s="76"/>
      <c r="G5" s="378" t="s">
        <v>751</v>
      </c>
      <c r="H5" s="378" t="s">
        <v>752</v>
      </c>
      <c r="I5" s="44"/>
      <c r="J5" s="161"/>
      <c r="K5" s="16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491"/>
      <c r="AA5" s="491"/>
      <c r="AB5" s="491"/>
      <c r="AC5" s="491"/>
      <c r="AD5" s="491"/>
      <c r="AE5" s="491"/>
    </row>
    <row r="6" spans="1:31" s="6" customFormat="1" x14ac:dyDescent="0.2">
      <c r="A6" s="76"/>
      <c r="B6" s="76"/>
      <c r="C6" s="76"/>
      <c r="D6" s="76"/>
      <c r="E6" s="76"/>
      <c r="F6" s="76"/>
      <c r="G6" s="379" t="s">
        <v>753</v>
      </c>
      <c r="H6" s="379">
        <f>iohsrf2!B42</f>
        <v>5</v>
      </c>
      <c r="I6" s="44"/>
      <c r="J6" s="161"/>
      <c r="K6" s="161"/>
      <c r="N6" s="491"/>
      <c r="O6" s="491"/>
      <c r="P6" s="491"/>
      <c r="Q6" s="491"/>
      <c r="R6" s="491"/>
      <c r="S6" s="491"/>
      <c r="T6" s="491"/>
      <c r="U6" s="491"/>
      <c r="V6" s="491"/>
      <c r="W6" s="491"/>
      <c r="X6" s="491"/>
      <c r="Y6" s="491"/>
      <c r="Z6" s="491"/>
      <c r="AA6" s="491"/>
      <c r="AB6" s="491"/>
      <c r="AC6" s="491"/>
      <c r="AD6" s="491"/>
      <c r="AE6" s="491"/>
    </row>
    <row r="7" spans="1:31" s="6" customFormat="1" x14ac:dyDescent="0.2">
      <c r="A7" s="76"/>
      <c r="B7" s="76"/>
      <c r="C7" s="76"/>
      <c r="D7" s="76"/>
      <c r="E7" s="76"/>
      <c r="F7" s="76"/>
      <c r="G7" s="379"/>
      <c r="H7" s="379"/>
      <c r="I7" s="44"/>
      <c r="J7" s="161"/>
      <c r="K7" s="16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491"/>
      <c r="AA7" s="491"/>
      <c r="AB7" s="491"/>
      <c r="AC7" s="491"/>
      <c r="AD7" s="491"/>
      <c r="AE7" s="491"/>
    </row>
    <row r="8" spans="1:31" s="47" customFormat="1" x14ac:dyDescent="0.2">
      <c r="A8" s="162"/>
      <c r="B8" s="163"/>
      <c r="C8" s="163"/>
      <c r="D8" s="163"/>
      <c r="E8" s="163"/>
      <c r="F8" s="163"/>
      <c r="G8" s="379" t="s">
        <v>754</v>
      </c>
      <c r="H8" s="379">
        <f>iohsrf2!B43</f>
        <v>6</v>
      </c>
      <c r="I8" s="162"/>
      <c r="J8" s="162"/>
      <c r="K8" s="162"/>
      <c r="N8" s="494"/>
      <c r="O8" s="494"/>
      <c r="P8" s="494"/>
      <c r="Q8" s="494"/>
      <c r="R8" s="494"/>
      <c r="S8" s="494"/>
      <c r="T8" s="494"/>
      <c r="U8" s="494"/>
      <c r="V8" s="494"/>
      <c r="W8" s="494"/>
      <c r="X8" s="494"/>
      <c r="Y8" s="494"/>
      <c r="Z8" s="494"/>
      <c r="AA8" s="494"/>
      <c r="AB8" s="494"/>
      <c r="AC8" s="494"/>
      <c r="AD8" s="494"/>
      <c r="AE8" s="494"/>
    </row>
    <row r="10" spans="1:31" ht="15" customHeight="1" x14ac:dyDescent="0.2">
      <c r="A10" s="65" t="s">
        <v>110</v>
      </c>
    </row>
    <row r="11" spans="1:31" ht="15" customHeight="1" x14ac:dyDescent="0.2">
      <c r="B11" s="13" t="s">
        <v>74</v>
      </c>
    </row>
    <row r="12" spans="1:31" ht="15" customHeight="1" x14ac:dyDescent="0.25">
      <c r="B12" s="14" t="s">
        <v>75</v>
      </c>
      <c r="C12" s="19">
        <f>iohsrf2!B4</f>
        <v>800</v>
      </c>
      <c r="D12" s="14" t="s">
        <v>2</v>
      </c>
      <c r="E12" s="14" t="s">
        <v>76</v>
      </c>
      <c r="L12" s="5" t="s">
        <v>713</v>
      </c>
    </row>
    <row r="13" spans="1:31" ht="15" customHeight="1" x14ac:dyDescent="0.3">
      <c r="B13" s="15" t="s">
        <v>77</v>
      </c>
      <c r="C13" s="20">
        <v>0</v>
      </c>
      <c r="D13" s="14" t="s">
        <v>61</v>
      </c>
      <c r="E13" s="14" t="s">
        <v>78</v>
      </c>
      <c r="L13" s="5" t="s">
        <v>714</v>
      </c>
    </row>
    <row r="14" spans="1:31" ht="15" customHeight="1" x14ac:dyDescent="0.3">
      <c r="B14" s="13" t="s">
        <v>47</v>
      </c>
      <c r="C14" s="222">
        <f>iohsrf2!B25</f>
        <v>1548</v>
      </c>
      <c r="E14" s="13" t="s">
        <v>48</v>
      </c>
      <c r="L14" s="5" t="s">
        <v>713</v>
      </c>
    </row>
    <row r="15" spans="1:31" ht="15" customHeight="1" x14ac:dyDescent="0.3">
      <c r="B15" s="13" t="s">
        <v>79</v>
      </c>
      <c r="C15" s="222">
        <f>(iohsrf2!B25+iohsrf2!B26)/2</f>
        <v>1543</v>
      </c>
      <c r="E15" s="13" t="s">
        <v>80</v>
      </c>
      <c r="H15" s="370" t="s">
        <v>718</v>
      </c>
      <c r="L15" s="5" t="s">
        <v>900</v>
      </c>
    </row>
    <row r="16" spans="1:31" ht="15" customHeight="1" x14ac:dyDescent="0.3">
      <c r="A16" s="538"/>
      <c r="B16" s="13" t="s">
        <v>81</v>
      </c>
      <c r="C16" s="222">
        <f>iohsrf2!B53</f>
        <v>1303</v>
      </c>
      <c r="E16" s="13" t="s">
        <v>82</v>
      </c>
      <c r="H16" s="370">
        <f>iohsrf2!B58+iohsrf2!B59*J16^iohsrf2!B60</f>
        <v>1350.3458366498817</v>
      </c>
      <c r="I16" s="370" t="s">
        <v>719</v>
      </c>
      <c r="J16" s="371">
        <f>J17*G98</f>
        <v>391.02981384041072</v>
      </c>
      <c r="K16" s="371" t="s">
        <v>0</v>
      </c>
      <c r="L16" s="5" t="s">
        <v>713</v>
      </c>
    </row>
    <row r="17" spans="1:12" ht="15" customHeight="1" x14ac:dyDescent="0.3">
      <c r="A17" s="538"/>
      <c r="B17" s="13" t="s">
        <v>83</v>
      </c>
      <c r="C17" s="222">
        <f>IF(iohsrf2!B62=0,C16-1,iohsrf2!B62)</f>
        <v>1347.8900068914795</v>
      </c>
      <c r="E17" s="13" t="s">
        <v>84</v>
      </c>
      <c r="H17" s="370">
        <f>iohsrf2!B58+iohsrf2!B59*J17^iohsrf2!B60</f>
        <v>1348.8760835098708</v>
      </c>
      <c r="I17" s="370" t="s">
        <v>1022</v>
      </c>
      <c r="J17" s="371">
        <f>D135</f>
        <v>195.51490692020536</v>
      </c>
      <c r="K17" s="371" t="s">
        <v>0</v>
      </c>
      <c r="L17" s="5" t="s">
        <v>715</v>
      </c>
    </row>
    <row r="18" spans="1:12" ht="15" customHeight="1" x14ac:dyDescent="0.3">
      <c r="A18" s="65"/>
      <c r="B18" s="13" t="s">
        <v>85</v>
      </c>
      <c r="C18" s="222">
        <f>iohsrf2!B5*100</f>
        <v>5</v>
      </c>
      <c r="D18" s="13" t="s">
        <v>86</v>
      </c>
      <c r="E18" s="13" t="s">
        <v>87</v>
      </c>
      <c r="L18" s="5" t="s">
        <v>713</v>
      </c>
    </row>
    <row r="19" spans="1:12" ht="15" customHeight="1" x14ac:dyDescent="0.3">
      <c r="B19" s="13" t="s">
        <v>88</v>
      </c>
      <c r="C19" s="222">
        <v>0.9</v>
      </c>
      <c r="E19" s="16" t="s">
        <v>89</v>
      </c>
      <c r="L19" s="5" t="s">
        <v>714</v>
      </c>
    </row>
    <row r="20" spans="1:12" ht="15" customHeight="1" x14ac:dyDescent="0.3">
      <c r="B20" s="17" t="s">
        <v>90</v>
      </c>
      <c r="C20" s="222">
        <v>0.97</v>
      </c>
      <c r="E20" s="13" t="s">
        <v>91</v>
      </c>
      <c r="L20" s="5" t="s">
        <v>714</v>
      </c>
    </row>
    <row r="21" spans="1:12" ht="15" customHeight="1" x14ac:dyDescent="0.25">
      <c r="B21" s="13" t="s">
        <v>92</v>
      </c>
      <c r="C21" s="222">
        <v>25</v>
      </c>
      <c r="D21" s="13" t="s">
        <v>93</v>
      </c>
      <c r="E21" s="13" t="s">
        <v>94</v>
      </c>
      <c r="L21" s="5" t="s">
        <v>716</v>
      </c>
    </row>
    <row r="22" spans="1:12" ht="15" customHeight="1" x14ac:dyDescent="0.25">
      <c r="B22" s="13" t="s">
        <v>95</v>
      </c>
      <c r="C22" s="222">
        <f>iohsrf2!B19</f>
        <v>60</v>
      </c>
      <c r="D22" s="13" t="s">
        <v>96</v>
      </c>
      <c r="E22" s="13" t="s">
        <v>97</v>
      </c>
      <c r="L22" s="5" t="s">
        <v>713</v>
      </c>
    </row>
    <row r="23" spans="1:12" ht="15" customHeight="1" x14ac:dyDescent="0.25">
      <c r="B23" s="13" t="s">
        <v>98</v>
      </c>
      <c r="L23" s="5"/>
    </row>
    <row r="24" spans="1:12" ht="15" customHeight="1" x14ac:dyDescent="0.3">
      <c r="B24" s="13" t="s">
        <v>55</v>
      </c>
      <c r="C24" s="222"/>
      <c r="E24" s="13" t="s">
        <v>99</v>
      </c>
      <c r="L24" s="5"/>
    </row>
    <row r="25" spans="1:12" ht="15" customHeight="1" x14ac:dyDescent="0.3">
      <c r="B25" s="13" t="s">
        <v>57</v>
      </c>
      <c r="C25" s="222">
        <f>VLOOKUP(iohsrf2!B33,G6:H8,2,FALSE)</f>
        <v>5</v>
      </c>
      <c r="D25" s="13" t="s">
        <v>1</v>
      </c>
      <c r="E25" s="13" t="s">
        <v>100</v>
      </c>
      <c r="L25" s="5" t="s">
        <v>713</v>
      </c>
    </row>
    <row r="26" spans="1:12" ht="15" customHeight="1" x14ac:dyDescent="0.3">
      <c r="B26" s="13" t="s">
        <v>101</v>
      </c>
      <c r="C26" s="223">
        <v>0</v>
      </c>
      <c r="D26" s="13" t="s">
        <v>102</v>
      </c>
      <c r="E26" s="18" t="s">
        <v>103</v>
      </c>
      <c r="L26" s="5"/>
    </row>
    <row r="27" spans="1:12" ht="15" customHeight="1" x14ac:dyDescent="0.3">
      <c r="B27" s="13" t="s">
        <v>104</v>
      </c>
      <c r="C27" s="223">
        <v>0</v>
      </c>
      <c r="D27" s="13" t="s">
        <v>102</v>
      </c>
      <c r="E27" s="18" t="s">
        <v>105</v>
      </c>
      <c r="L27" s="5"/>
    </row>
    <row r="28" spans="1:12" ht="15" customHeight="1" x14ac:dyDescent="0.25">
      <c r="B28" s="13" t="s">
        <v>106</v>
      </c>
      <c r="C28" s="223">
        <v>4</v>
      </c>
      <c r="E28" s="13" t="s">
        <v>107</v>
      </c>
      <c r="L28" s="5" t="s">
        <v>714</v>
      </c>
    </row>
    <row r="29" spans="1:12" ht="15" customHeight="1" x14ac:dyDescent="0.3">
      <c r="B29" s="13" t="s">
        <v>108</v>
      </c>
      <c r="C29" s="222">
        <f>iohsrf2!B58+iohsrf2!B59*iohsrf2!B8^iohsrf2!B60</f>
        <v>1348.9554735352121</v>
      </c>
      <c r="E29" s="13" t="s">
        <v>109</v>
      </c>
      <c r="L29" s="5" t="s">
        <v>717</v>
      </c>
    </row>
    <row r="30" spans="1:12" ht="15" customHeight="1" x14ac:dyDescent="0.2">
      <c r="C30" s="65"/>
    </row>
    <row r="31" spans="1:12" ht="15" customHeight="1" x14ac:dyDescent="0.2">
      <c r="B31" s="65" t="s">
        <v>336</v>
      </c>
      <c r="C31" s="65"/>
    </row>
    <row r="32" spans="1:12" ht="15" customHeight="1" x14ac:dyDescent="0.2">
      <c r="B32" s="224" t="str">
        <f>IF(C13&lt;E80,"Potência da unidade geradora maior que a máxima recomendada. Foi aumentado o número de unidades",IF(G98&lt;G82,"Potência da unidade geradora menor que a mínima recomendada. Foi diminuído o número de unidades"," "))</f>
        <v>Potência da unidade geradora maior que a máxima recomendada. Foi aumentado o número de unidades</v>
      </c>
      <c r="C32" s="65"/>
    </row>
    <row r="33" spans="1:10" ht="15" customHeight="1" x14ac:dyDescent="0.2">
      <c r="B33" s="225"/>
    </row>
    <row r="34" spans="1:10" ht="15" customHeight="1" x14ac:dyDescent="0.2">
      <c r="A34" s="65" t="s">
        <v>337</v>
      </c>
    </row>
    <row r="35" spans="1:10" ht="15" customHeight="1" x14ac:dyDescent="0.2">
      <c r="C35" s="226"/>
    </row>
    <row r="36" spans="1:10" ht="15" customHeight="1" x14ac:dyDescent="0.2">
      <c r="A36" s="87" t="s">
        <v>249</v>
      </c>
      <c r="B36" s="13" t="s">
        <v>338</v>
      </c>
      <c r="D36" s="16"/>
    </row>
    <row r="37" spans="1:10" ht="15" customHeight="1" x14ac:dyDescent="0.2">
      <c r="A37" s="87"/>
      <c r="D37" s="16"/>
    </row>
    <row r="38" spans="1:10" ht="15" customHeight="1" x14ac:dyDescent="0.3">
      <c r="A38" s="87"/>
      <c r="B38" s="13" t="s">
        <v>339</v>
      </c>
      <c r="D38" s="65">
        <f>C14-C16</f>
        <v>245</v>
      </c>
      <c r="E38" s="65" t="s">
        <v>1</v>
      </c>
      <c r="F38" s="6"/>
      <c r="I38" s="65"/>
      <c r="J38" s="65"/>
    </row>
    <row r="39" spans="1:10" ht="15" customHeight="1" x14ac:dyDescent="0.2">
      <c r="A39" s="87"/>
      <c r="E39" s="65"/>
      <c r="F39" s="65"/>
      <c r="I39" s="65"/>
      <c r="J39" s="65"/>
    </row>
    <row r="40" spans="1:10" ht="15" customHeight="1" x14ac:dyDescent="0.2">
      <c r="A40" s="87" t="s">
        <v>263</v>
      </c>
      <c r="B40" s="13" t="s">
        <v>340</v>
      </c>
      <c r="D40" s="16"/>
      <c r="I40" s="65"/>
      <c r="J40" s="65"/>
    </row>
    <row r="41" spans="1:10" ht="15" customHeight="1" x14ac:dyDescent="0.2">
      <c r="A41" s="87"/>
      <c r="D41" s="16"/>
      <c r="I41" s="65"/>
      <c r="J41" s="65"/>
    </row>
    <row r="42" spans="1:10" ht="15" customHeight="1" x14ac:dyDescent="0.3">
      <c r="A42" s="87"/>
      <c r="B42" s="13" t="s">
        <v>341</v>
      </c>
      <c r="D42" s="65">
        <f>C15-C16</f>
        <v>240</v>
      </c>
      <c r="E42" s="65" t="s">
        <v>1</v>
      </c>
      <c r="F42" s="6"/>
      <c r="G42" s="94"/>
      <c r="I42" s="65"/>
      <c r="J42" s="65"/>
    </row>
    <row r="43" spans="1:10" ht="15" customHeight="1" x14ac:dyDescent="0.2">
      <c r="A43" s="87"/>
      <c r="E43" s="65"/>
      <c r="F43" s="65"/>
      <c r="I43" s="65"/>
      <c r="J43" s="65"/>
    </row>
    <row r="44" spans="1:10" ht="15" customHeight="1" x14ac:dyDescent="0.2">
      <c r="A44" s="87" t="s">
        <v>273</v>
      </c>
      <c r="B44" s="13" t="s">
        <v>4</v>
      </c>
    </row>
    <row r="45" spans="1:10" ht="15" customHeight="1" x14ac:dyDescent="0.2">
      <c r="A45" s="87"/>
    </row>
    <row r="46" spans="1:10" ht="15" customHeight="1" x14ac:dyDescent="0.2">
      <c r="A46" s="87"/>
      <c r="D46" s="65">
        <f>ROUND(C18*D38/100,2)</f>
        <v>12.25</v>
      </c>
      <c r="E46" s="65" t="s">
        <v>1</v>
      </c>
      <c r="I46" s="65"/>
      <c r="J46" s="65"/>
    </row>
    <row r="47" spans="1:10" ht="15" customHeight="1" x14ac:dyDescent="0.2">
      <c r="A47" s="87"/>
      <c r="E47" s="65"/>
      <c r="F47" s="65"/>
      <c r="I47" s="65"/>
      <c r="J47" s="65"/>
    </row>
    <row r="48" spans="1:10" ht="15" customHeight="1" x14ac:dyDescent="0.2">
      <c r="A48" s="87" t="s">
        <v>342</v>
      </c>
      <c r="B48" s="13" t="s">
        <v>343</v>
      </c>
    </row>
    <row r="49" spans="1:11" ht="15" customHeight="1" x14ac:dyDescent="0.2">
      <c r="A49" s="87"/>
    </row>
    <row r="50" spans="1:11" ht="15" customHeight="1" x14ac:dyDescent="0.3">
      <c r="A50" s="87"/>
      <c r="B50" s="13" t="s">
        <v>344</v>
      </c>
      <c r="D50" s="65">
        <f>IF((D38-D46)&lt;27,"Valor inadequado - muito baixo.",IF((D38-D46)&gt;600,"Valor inadequado - muito alto.",D38-D46))</f>
        <v>232.75</v>
      </c>
      <c r="E50" s="65" t="s">
        <v>1</v>
      </c>
      <c r="J50" s="65"/>
      <c r="K50" s="65"/>
    </row>
    <row r="51" spans="1:11" ht="15" customHeight="1" x14ac:dyDescent="0.2">
      <c r="A51" s="87"/>
      <c r="D51" s="65"/>
      <c r="E51" s="65"/>
      <c r="J51" s="65"/>
      <c r="K51" s="65"/>
    </row>
    <row r="52" spans="1:11" ht="15" customHeight="1" x14ac:dyDescent="0.2">
      <c r="A52" s="87" t="s">
        <v>345</v>
      </c>
      <c r="B52" s="13" t="s">
        <v>346</v>
      </c>
    </row>
    <row r="53" spans="1:11" ht="15" customHeight="1" x14ac:dyDescent="0.2">
      <c r="A53" s="87"/>
    </row>
    <row r="54" spans="1:11" ht="15" customHeight="1" x14ac:dyDescent="0.3">
      <c r="A54" s="87"/>
      <c r="B54" s="13" t="s">
        <v>347</v>
      </c>
      <c r="D54" s="65">
        <f>D42-D46</f>
        <v>227.75</v>
      </c>
      <c r="E54" s="65" t="s">
        <v>1</v>
      </c>
      <c r="F54" s="6"/>
      <c r="G54" s="94"/>
      <c r="J54" s="65"/>
    </row>
    <row r="55" spans="1:11" ht="15" customHeight="1" x14ac:dyDescent="0.2">
      <c r="A55" s="87"/>
      <c r="D55" s="65"/>
      <c r="E55" s="65"/>
      <c r="J55" s="65"/>
    </row>
    <row r="56" spans="1:11" ht="15" customHeight="1" x14ac:dyDescent="0.2">
      <c r="A56" s="87"/>
      <c r="D56" s="65"/>
      <c r="E56" s="65"/>
      <c r="J56" s="65"/>
    </row>
    <row r="57" spans="1:11" ht="15" customHeight="1" x14ac:dyDescent="0.2">
      <c r="A57" s="65" t="s">
        <v>348</v>
      </c>
      <c r="D57" s="65"/>
      <c r="E57" s="65"/>
      <c r="J57" s="65"/>
    </row>
    <row r="58" spans="1:11" ht="15" customHeight="1" x14ac:dyDescent="0.2">
      <c r="D58" s="65"/>
      <c r="E58" s="65"/>
      <c r="J58" s="65"/>
    </row>
    <row r="59" spans="1:11" ht="15" customHeight="1" x14ac:dyDescent="0.2">
      <c r="A59" s="10" t="s">
        <v>249</v>
      </c>
      <c r="B59" s="13" t="s">
        <v>349</v>
      </c>
    </row>
    <row r="60" spans="1:11" ht="15" customHeight="1" x14ac:dyDescent="0.2"/>
    <row r="61" spans="1:11" ht="15" customHeight="1" x14ac:dyDescent="0.2">
      <c r="D61" s="82">
        <f>1000*C12/C20</f>
        <v>824742.26804123714</v>
      </c>
      <c r="E61" s="65" t="s">
        <v>350</v>
      </c>
    </row>
    <row r="62" spans="1:11" ht="15" customHeight="1" x14ac:dyDescent="0.2"/>
    <row r="63" spans="1:11" ht="15" customHeight="1" x14ac:dyDescent="0.2">
      <c r="A63" s="10" t="s">
        <v>263</v>
      </c>
      <c r="B63" s="13" t="s">
        <v>351</v>
      </c>
    </row>
    <row r="64" spans="1:11" ht="15" customHeight="1" x14ac:dyDescent="0.2">
      <c r="A64" s="10"/>
    </row>
    <row r="65" spans="1:10" ht="15" customHeight="1" x14ac:dyDescent="0.2">
      <c r="A65" s="10"/>
    </row>
    <row r="66" spans="1:10" ht="15" customHeight="1" x14ac:dyDescent="0.2">
      <c r="A66" s="10"/>
    </row>
    <row r="67" spans="1:10" ht="15" customHeight="1" x14ac:dyDescent="0.3">
      <c r="A67" s="10"/>
      <c r="B67" s="13" t="s">
        <v>352</v>
      </c>
      <c r="C67" s="6"/>
    </row>
    <row r="68" spans="1:10" ht="15" customHeight="1" x14ac:dyDescent="0.2">
      <c r="A68" s="10"/>
    </row>
    <row r="69" spans="1:10" ht="15" customHeight="1" x14ac:dyDescent="0.2">
      <c r="A69" s="10"/>
      <c r="G69" s="785">
        <f>0.000000000155*F76^7.3423</f>
        <v>37046387.622725151</v>
      </c>
      <c r="H69" s="527">
        <f>0.000000000155*27^7.3423</f>
        <v>5.0099554470572274</v>
      </c>
      <c r="I69" s="527">
        <f>0.000000000155*46^7.3423</f>
        <v>250.49469093612959</v>
      </c>
    </row>
    <row r="70" spans="1:10" ht="15" customHeight="1" x14ac:dyDescent="0.2">
      <c r="A70" s="10"/>
      <c r="G70" s="527"/>
      <c r="H70" s="527"/>
      <c r="I70" s="527"/>
    </row>
    <row r="71" spans="1:10" ht="15" customHeight="1" x14ac:dyDescent="0.25">
      <c r="A71"/>
      <c r="G71" s="527">
        <f>2.0076*F76^1.2601</f>
        <v>1928.3900632057018</v>
      </c>
      <c r="H71" s="527">
        <f>2.0076*46^1.2601</f>
        <v>249.98752147451341</v>
      </c>
      <c r="I71" s="527">
        <f>2.0076*110^1.2601</f>
        <v>749.95656216042801</v>
      </c>
    </row>
    <row r="72" spans="1:10" ht="15" customHeight="1" x14ac:dyDescent="0.25">
      <c r="A72"/>
      <c r="G72" s="527">
        <v>750</v>
      </c>
      <c r="H72" s="527">
        <v>750</v>
      </c>
      <c r="I72" s="527">
        <v>750</v>
      </c>
    </row>
    <row r="73" spans="1:10" ht="15" customHeight="1" x14ac:dyDescent="0.25">
      <c r="A73"/>
      <c r="G73" s="527"/>
      <c r="H73" s="527"/>
      <c r="I73" s="527"/>
    </row>
    <row r="74" spans="1:10" ht="15" customHeight="1" x14ac:dyDescent="0.25">
      <c r="A74"/>
      <c r="G74" s="527">
        <f>440010*F76^-1.2031</f>
        <v>624.96768367538573</v>
      </c>
      <c r="H74" s="527">
        <f>440010*200^-1.2031</f>
        <v>750.05542906161168</v>
      </c>
      <c r="I74" s="527">
        <f>440010*600^-1.2031</f>
        <v>200.0178604315056</v>
      </c>
    </row>
    <row r="75" spans="1:10" ht="15" customHeight="1" x14ac:dyDescent="0.25">
      <c r="A75"/>
    </row>
    <row r="76" spans="1:10" ht="15" customHeight="1" x14ac:dyDescent="0.3">
      <c r="A76" s="10"/>
      <c r="C76"/>
      <c r="D76"/>
      <c r="E76" s="87" t="s">
        <v>353</v>
      </c>
      <c r="F76" s="87">
        <f>D50</f>
        <v>232.75</v>
      </c>
      <c r="G76" s="6" t="s">
        <v>354</v>
      </c>
      <c r="H76" s="87" t="s">
        <v>355</v>
      </c>
      <c r="I76" s="227">
        <f>IF(AND(F76&gt;=27,F76&lt;46),0.000000000155*F76^7.3423,IF(AND(F76&gt;=46,F76&lt;110),2.0076*F76^1.2601,IF(AND(F76&gt;=110,F76&lt;200),750,IF(AND(F76&gt;=200,F76&lt;=600),440010*F76^-1.2031,"Valor fora da faixa de variacao!"))))</f>
        <v>624.96768367538573</v>
      </c>
      <c r="J76" s="13" t="s">
        <v>2</v>
      </c>
    </row>
    <row r="77" spans="1:10" ht="15" customHeight="1" x14ac:dyDescent="0.25">
      <c r="A77" s="10"/>
      <c r="B77"/>
      <c r="C77"/>
      <c r="E77" s="87"/>
      <c r="F77" s="87"/>
      <c r="G77" s="6"/>
      <c r="H77" s="228"/>
      <c r="I77" s="87"/>
    </row>
    <row r="78" spans="1:10" ht="15" customHeight="1" x14ac:dyDescent="0.2">
      <c r="A78" s="10"/>
      <c r="C78" s="224" t="s">
        <v>356</v>
      </c>
      <c r="D78" s="229"/>
      <c r="G78" s="230">
        <f>INT($D$61/($I$76*1000)+0.999)</f>
        <v>2</v>
      </c>
      <c r="H78" s="15"/>
    </row>
    <row r="79" spans="1:10" ht="15" customHeight="1" x14ac:dyDescent="0.2">
      <c r="A79" s="10"/>
      <c r="C79" s="18" t="s">
        <v>357</v>
      </c>
      <c r="D79" s="231"/>
    </row>
    <row r="80" spans="1:10" ht="15" customHeight="1" x14ac:dyDescent="0.3">
      <c r="A80" s="10"/>
      <c r="C80" s="87" t="s">
        <v>135</v>
      </c>
      <c r="D80" s="87" t="s">
        <v>77</v>
      </c>
      <c r="E80" s="232">
        <f>IF(G78&lt;2,2,G78)</f>
        <v>2</v>
      </c>
      <c r="F80" s="13" t="s">
        <v>61</v>
      </c>
      <c r="G80" s="13" t="s">
        <v>358</v>
      </c>
      <c r="H80"/>
    </row>
    <row r="81" spans="1:9" ht="15" customHeight="1" x14ac:dyDescent="0.25">
      <c r="A81" s="10"/>
      <c r="C81" s="87"/>
      <c r="D81" s="87"/>
      <c r="E81" s="87"/>
      <c r="H81"/>
    </row>
    <row r="82" spans="1:9" ht="15" customHeight="1" x14ac:dyDescent="0.2">
      <c r="A82" s="10"/>
      <c r="B82" s="233" t="str">
        <f>IF(C13&lt;E80,"      Como a condição acima não foi verificada, o novo valor inicial de Ng =","      Como a condição acima foi verificada, manteve-se o valor inicial de Ng =")</f>
        <v xml:space="preserve">      Como a condição acima não foi verificada, o novo valor inicial de Ng =</v>
      </c>
      <c r="C82" s="234"/>
      <c r="D82" s="235"/>
      <c r="E82" s="234"/>
      <c r="F82" s="235"/>
      <c r="G82" s="236">
        <f>MAX(C13,E80)</f>
        <v>2</v>
      </c>
      <c r="H82" s="65" t="s">
        <v>61</v>
      </c>
    </row>
    <row r="83" spans="1:9" ht="15" customHeight="1" x14ac:dyDescent="0.2">
      <c r="A83" s="10"/>
      <c r="C83" s="87"/>
      <c r="D83" s="87"/>
      <c r="E83" s="91"/>
      <c r="F83" s="65"/>
    </row>
    <row r="84" spans="1:9" ht="15" customHeight="1" x14ac:dyDescent="0.2">
      <c r="A84" s="10"/>
    </row>
    <row r="85" spans="1:9" ht="15" customHeight="1" x14ac:dyDescent="0.2">
      <c r="A85" s="10" t="s">
        <v>273</v>
      </c>
      <c r="B85" s="13" t="s">
        <v>359</v>
      </c>
    </row>
    <row r="86" spans="1:9" ht="15" customHeight="1" x14ac:dyDescent="0.2">
      <c r="A86" s="10"/>
    </row>
    <row r="87" spans="1:9" ht="15" customHeight="1" x14ac:dyDescent="0.2">
      <c r="A87" s="10"/>
    </row>
    <row r="88" spans="1:9" ht="15" customHeight="1" x14ac:dyDescent="0.2">
      <c r="A88" s="10"/>
    </row>
    <row r="89" spans="1:9" ht="15" customHeight="1" x14ac:dyDescent="0.3">
      <c r="A89" s="10"/>
      <c r="B89" s="13" t="s">
        <v>360</v>
      </c>
    </row>
    <row r="90" spans="1:9" ht="15" customHeight="1" x14ac:dyDescent="0.2">
      <c r="A90" s="10"/>
    </row>
    <row r="91" spans="1:9" ht="17.25" customHeight="1" x14ac:dyDescent="0.2">
      <c r="A91" s="10"/>
      <c r="G91" s="527">
        <v>5</v>
      </c>
      <c r="H91" s="527">
        <v>5</v>
      </c>
      <c r="I91" s="527">
        <v>5</v>
      </c>
    </row>
    <row r="92" spans="1:9" ht="15" customHeight="1" x14ac:dyDescent="0.25">
      <c r="A92"/>
      <c r="G92" s="527"/>
      <c r="H92" s="527"/>
      <c r="I92" s="527"/>
    </row>
    <row r="93" spans="1:9" ht="16.5" customHeight="1" x14ac:dyDescent="0.2">
      <c r="A93" s="10"/>
      <c r="G93" s="527">
        <f>0.0071*F97^1.2386</f>
        <v>6.0657976473840618</v>
      </c>
      <c r="H93" s="527">
        <f>0.0071*200^1.2386</f>
        <v>5.0270603774531937</v>
      </c>
      <c r="I93" s="527">
        <f>0.0071*350^1.2386</f>
        <v>10.054049716529185</v>
      </c>
    </row>
    <row r="94" spans="1:9" ht="15" customHeight="1" x14ac:dyDescent="0.2">
      <c r="A94" s="10"/>
      <c r="G94" s="527"/>
      <c r="H94" s="527"/>
      <c r="I94" s="527"/>
    </row>
    <row r="95" spans="1:9" ht="15" customHeight="1" x14ac:dyDescent="0.2">
      <c r="A95" s="10"/>
      <c r="G95" s="527">
        <f>0.00000836*F97^2.5312</f>
        <v>8.189878518994627</v>
      </c>
      <c r="H95" s="527">
        <f>0.00000836*350^2.5312</f>
        <v>23.001243271731013</v>
      </c>
      <c r="I95" s="527">
        <f>0.00000836*600^2.5312</f>
        <v>90.004188885145268</v>
      </c>
    </row>
    <row r="96" spans="1:9" ht="15" customHeight="1" x14ac:dyDescent="0.2">
      <c r="A96" s="10"/>
    </row>
    <row r="97" spans="1:11" ht="15" customHeight="1" x14ac:dyDescent="0.3">
      <c r="A97" s="10"/>
      <c r="D97"/>
      <c r="E97" s="87" t="s">
        <v>361</v>
      </c>
      <c r="F97" s="13">
        <f>D50</f>
        <v>232.75</v>
      </c>
      <c r="G97" s="13" t="s">
        <v>362</v>
      </c>
      <c r="H97" s="87" t="s">
        <v>363</v>
      </c>
      <c r="I97" s="80">
        <f>IF(AND(F97&gt;=27,F97&lt;200),5,IF(AND(F97&gt;=200,F97&lt;350),0.0071*F97^1.2386,IF(AND(F97&gt;=350,F97&lt;=600),0.00000836*F97^2.5312,"Valor fora da faixa de variacao!")))</f>
        <v>6.0657976473840618</v>
      </c>
      <c r="J97" s="13" t="s">
        <v>2</v>
      </c>
    </row>
    <row r="98" spans="1:11" ht="15" customHeight="1" x14ac:dyDescent="0.25">
      <c r="A98" s="10"/>
      <c r="C98" s="233" t="str">
        <f>IF((C12/G82)&lt;C20*I97,"Como a condição acima não foi verificada, o novo Ng =","Como a condição acima foi verificada, manteve-se        Ng =")</f>
        <v>Como a condição acima foi verificada, manteve-se        Ng =</v>
      </c>
      <c r="D98" s="237"/>
      <c r="E98" s="235"/>
      <c r="F98" s="235"/>
      <c r="G98" s="321">
        <f>IF((C12/G82)&lt;C20*I97,INT(C12/I97),G82)</f>
        <v>2</v>
      </c>
      <c r="H98" s="238" t="s">
        <v>61</v>
      </c>
      <c r="I98" s="91"/>
    </row>
    <row r="99" spans="1:11" ht="15" customHeight="1" x14ac:dyDescent="0.25">
      <c r="A99" s="10"/>
      <c r="B99" s="231"/>
      <c r="C99"/>
      <c r="D99" s="87"/>
      <c r="F99" s="239"/>
      <c r="G99" s="240"/>
      <c r="I99" s="91"/>
    </row>
    <row r="100" spans="1:11" ht="15" customHeight="1" x14ac:dyDescent="0.3">
      <c r="A100" s="10"/>
      <c r="B100" s="241" t="s">
        <v>364</v>
      </c>
      <c r="C100" s="87"/>
      <c r="F100" s="87" t="s">
        <v>365</v>
      </c>
      <c r="G100" s="242">
        <f>IF((C12/G98)&lt;C20*I97,C20*I97,C12/G98)</f>
        <v>400</v>
      </c>
      <c r="H100" s="65" t="s">
        <v>2</v>
      </c>
    </row>
    <row r="101" spans="1:11" ht="15" customHeight="1" x14ac:dyDescent="0.25">
      <c r="A101"/>
    </row>
    <row r="102" spans="1:11" ht="15" customHeight="1" x14ac:dyDescent="0.2">
      <c r="A102" s="10" t="s">
        <v>342</v>
      </c>
      <c r="B102" s="13" t="s">
        <v>366</v>
      </c>
    </row>
    <row r="103" spans="1:11" ht="15" customHeight="1" x14ac:dyDescent="0.25">
      <c r="A103" s="10"/>
      <c r="F103"/>
      <c r="G103"/>
      <c r="H103"/>
      <c r="I103"/>
      <c r="J103"/>
      <c r="K103"/>
    </row>
    <row r="104" spans="1:11" ht="15" customHeight="1" x14ac:dyDescent="0.3">
      <c r="A104" s="10"/>
      <c r="D104" s="65">
        <f>H108*INT(G100/H108+0.5)</f>
        <v>400</v>
      </c>
      <c r="E104" s="65" t="s">
        <v>2</v>
      </c>
      <c r="F104" s="87" t="s">
        <v>128</v>
      </c>
      <c r="G104" s="243" t="s">
        <v>367</v>
      </c>
      <c r="H104" s="244" t="s">
        <v>368</v>
      </c>
      <c r="J104"/>
      <c r="K104"/>
    </row>
    <row r="105" spans="1:11" ht="15.6" customHeight="1" x14ac:dyDescent="0.25">
      <c r="A105" s="10"/>
      <c r="F105"/>
      <c r="G105" s="228">
        <v>0.1</v>
      </c>
      <c r="J105"/>
      <c r="K105" s="87"/>
    </row>
    <row r="106" spans="1:11" ht="15.6" customHeight="1" x14ac:dyDescent="0.25">
      <c r="A106"/>
      <c r="B106"/>
      <c r="C106"/>
      <c r="D106"/>
      <c r="E106"/>
      <c r="F106"/>
      <c r="G106" s="228">
        <v>0.5</v>
      </c>
      <c r="J106"/>
      <c r="K106"/>
    </row>
    <row r="107" spans="1:11" ht="15.75" customHeight="1" x14ac:dyDescent="0.25">
      <c r="A107" s="10"/>
      <c r="B107"/>
      <c r="C107"/>
      <c r="D107"/>
      <c r="E107"/>
      <c r="F107"/>
      <c r="G107" s="243">
        <v>1</v>
      </c>
      <c r="H107" s="245"/>
      <c r="I107"/>
      <c r="J107"/>
      <c r="K107"/>
    </row>
    <row r="108" spans="1:11" ht="15.95" customHeight="1" x14ac:dyDescent="0.3">
      <c r="A108"/>
      <c r="B108"/>
      <c r="C108"/>
      <c r="D108"/>
      <c r="E108"/>
      <c r="F108" s="87" t="s">
        <v>369</v>
      </c>
      <c r="G108" s="228" t="s">
        <v>370</v>
      </c>
      <c r="H108" s="15">
        <f>IF(G100&lt;=10,0.1,IF(AND(G100&gt;10,G100&lt;=80),0.5,IF(G100&gt;80,1)))</f>
        <v>1</v>
      </c>
    </row>
    <row r="109" spans="1:11" ht="15.95" customHeight="1" x14ac:dyDescent="0.25">
      <c r="A109" s="10"/>
      <c r="B109"/>
      <c r="C109"/>
      <c r="D109"/>
      <c r="E109"/>
      <c r="F109"/>
      <c r="G109"/>
      <c r="H109"/>
    </row>
    <row r="110" spans="1:11" ht="15" customHeight="1" x14ac:dyDescent="0.2">
      <c r="A110" s="10" t="s">
        <v>345</v>
      </c>
      <c r="B110" s="13" t="s">
        <v>371</v>
      </c>
    </row>
    <row r="111" spans="1:11" ht="15" customHeight="1" x14ac:dyDescent="0.5">
      <c r="A111" s="10"/>
      <c r="B111" s="246"/>
    </row>
    <row r="112" spans="1:11" ht="15" customHeight="1" x14ac:dyDescent="0.25">
      <c r="A112" s="10"/>
      <c r="C112"/>
      <c r="D112" s="242">
        <f>D104*G98</f>
        <v>800</v>
      </c>
      <c r="E112" s="65" t="s">
        <v>2</v>
      </c>
    </row>
    <row r="113" spans="1:9" ht="15" customHeight="1" x14ac:dyDescent="0.2">
      <c r="A113" s="10"/>
    </row>
    <row r="114" spans="1:9" ht="15" customHeight="1" x14ac:dyDescent="0.2">
      <c r="A114" s="10" t="s">
        <v>372</v>
      </c>
      <c r="B114" s="13" t="s">
        <v>373</v>
      </c>
    </row>
    <row r="115" spans="1:9" ht="15" customHeight="1" x14ac:dyDescent="0.2"/>
    <row r="116" spans="1:9" ht="15" customHeight="1" x14ac:dyDescent="0.2">
      <c r="D116" s="65">
        <f>ROUND(1000*D104/C20,0)</f>
        <v>412371</v>
      </c>
      <c r="E116" s="65" t="s">
        <v>350</v>
      </c>
    </row>
    <row r="117" spans="1:9" ht="15" customHeight="1" x14ac:dyDescent="0.2"/>
    <row r="118" spans="1:9" ht="15" customHeight="1" x14ac:dyDescent="0.25">
      <c r="A118" s="65" t="s">
        <v>374</v>
      </c>
      <c r="B118"/>
    </row>
    <row r="119" spans="1:9" ht="15" customHeight="1" x14ac:dyDescent="0.25">
      <c r="A119" s="65"/>
      <c r="B119"/>
    </row>
    <row r="120" spans="1:9" ht="15" customHeight="1" x14ac:dyDescent="0.2">
      <c r="A120" s="87" t="s">
        <v>249</v>
      </c>
      <c r="B120" s="6" t="s">
        <v>375</v>
      </c>
    </row>
    <row r="121" spans="1:9" ht="15" customHeight="1" x14ac:dyDescent="0.2"/>
    <row r="122" spans="1:9" ht="15" customHeight="1" x14ac:dyDescent="0.5">
      <c r="B122" s="246" t="s">
        <v>376</v>
      </c>
    </row>
    <row r="123" spans="1:9" ht="15" customHeight="1" x14ac:dyDescent="0.5">
      <c r="B123" s="246"/>
    </row>
    <row r="124" spans="1:9" ht="15" customHeight="1" x14ac:dyDescent="0.5">
      <c r="B124" s="246"/>
      <c r="D124" s="13">
        <f>1000000*D104/(E126*D50)</f>
        <v>188.58697174611007</v>
      </c>
      <c r="E124" s="13" t="s">
        <v>377</v>
      </c>
      <c r="H124" s="13">
        <f>0.856*D124^0.013</f>
        <v>0.91633740864538449</v>
      </c>
    </row>
    <row r="125" spans="1:9" ht="15" customHeight="1" x14ac:dyDescent="0.5">
      <c r="B125" s="246"/>
    </row>
    <row r="126" spans="1:9" ht="15" customHeight="1" x14ac:dyDescent="0.25">
      <c r="B126" s="87" t="s">
        <v>128</v>
      </c>
      <c r="D126"/>
      <c r="E126" s="13">
        <f>1000*9.81*C128*D130</f>
        <v>9112.9421815186342</v>
      </c>
      <c r="F126" s="13" t="s">
        <v>378</v>
      </c>
      <c r="H126" s="534"/>
      <c r="I126" s="533">
        <f>E126/1000000</f>
        <v>9.1129421815186341E-3</v>
      </c>
    </row>
    <row r="127" spans="1:9" ht="15" customHeight="1" x14ac:dyDescent="0.5">
      <c r="B127" s="246"/>
    </row>
    <row r="128" spans="1:9" ht="15" customHeight="1" x14ac:dyDescent="0.5">
      <c r="B128" s="246"/>
      <c r="C128" s="13">
        <v>0.95</v>
      </c>
      <c r="D128" s="13" t="s">
        <v>379</v>
      </c>
    </row>
    <row r="129" spans="2:5" ht="15" customHeight="1" x14ac:dyDescent="0.5">
      <c r="B129" s="246"/>
    </row>
    <row r="130" spans="2:5" ht="15" customHeight="1" x14ac:dyDescent="0.5">
      <c r="B130" s="246"/>
      <c r="D130" s="13">
        <f>0.92*D132^0.01</f>
        <v>0.97783595488155317</v>
      </c>
    </row>
    <row r="131" spans="2:5" ht="15" customHeight="1" x14ac:dyDescent="0.5">
      <c r="B131" s="246"/>
    </row>
    <row r="132" spans="2:5" ht="15" customHeight="1" x14ac:dyDescent="0.5">
      <c r="B132" s="246"/>
      <c r="C132"/>
      <c r="D132" s="13">
        <f>D104/C19</f>
        <v>444.44444444444446</v>
      </c>
    </row>
    <row r="133" spans="2:5" ht="15" customHeight="1" x14ac:dyDescent="0.2"/>
    <row r="134" spans="2:5" ht="15" customHeight="1" x14ac:dyDescent="0.2">
      <c r="B134" s="13" t="s">
        <v>135</v>
      </c>
    </row>
    <row r="135" spans="2:5" ht="15" customHeight="1" x14ac:dyDescent="0.2">
      <c r="D135" s="65">
        <f>(1000000*D104)/(E137*D50)</f>
        <v>195.51490692020536</v>
      </c>
      <c r="E135" s="65" t="s">
        <v>380</v>
      </c>
    </row>
    <row r="136" spans="2:5" ht="15" customHeight="1" x14ac:dyDescent="0.25">
      <c r="B136"/>
      <c r="C136"/>
      <c r="D136"/>
    </row>
    <row r="137" spans="2:5" ht="15" customHeight="1" x14ac:dyDescent="0.2">
      <c r="C137" s="13" t="s">
        <v>381</v>
      </c>
      <c r="E137" s="13">
        <f>1000*9.81*H124*D130</f>
        <v>8790.0313934189508</v>
      </c>
    </row>
    <row r="138" spans="2:5" ht="15" customHeight="1" x14ac:dyDescent="0.2"/>
    <row r="139" spans="2:5" ht="15" customHeight="1" x14ac:dyDescent="0.5">
      <c r="B139" s="246" t="s">
        <v>382</v>
      </c>
    </row>
    <row r="140" spans="2:5" ht="15" customHeight="1" x14ac:dyDescent="0.5">
      <c r="B140" s="246"/>
    </row>
    <row r="141" spans="2:5" ht="15" customHeight="1" x14ac:dyDescent="0.2"/>
    <row r="142" spans="2:5" ht="15" customHeight="1" x14ac:dyDescent="0.2"/>
    <row r="143" spans="2:5" ht="15" customHeight="1" x14ac:dyDescent="0.2"/>
    <row r="144" spans="2:5" ht="15" customHeight="1" x14ac:dyDescent="0.2"/>
    <row r="145" spans="2:9" ht="15" customHeight="1" x14ac:dyDescent="0.2"/>
    <row r="146" spans="2:9" ht="15" customHeight="1" x14ac:dyDescent="0.2"/>
    <row r="147" spans="2:9" ht="15" customHeight="1" x14ac:dyDescent="0.2"/>
    <row r="148" spans="2:9" ht="15" customHeight="1" x14ac:dyDescent="0.2"/>
    <row r="149" spans="2:9" ht="15" customHeight="1" x14ac:dyDescent="0.3">
      <c r="B149"/>
      <c r="E149" s="87" t="s">
        <v>383</v>
      </c>
      <c r="F149" s="13">
        <f>D135</f>
        <v>195.51490692020536</v>
      </c>
      <c r="G149" s="13" t="s">
        <v>384</v>
      </c>
      <c r="H149" s="13">
        <f>D50</f>
        <v>232.75</v>
      </c>
      <c r="I149" s="13" t="s">
        <v>385</v>
      </c>
    </row>
    <row r="150" spans="2:9" ht="15" customHeight="1" x14ac:dyDescent="0.25">
      <c r="B150"/>
      <c r="C150" s="13" t="s">
        <v>386</v>
      </c>
    </row>
    <row r="151" spans="2:9" ht="15" customHeight="1" x14ac:dyDescent="0.3">
      <c r="B151"/>
      <c r="C151" s="87" t="s">
        <v>387</v>
      </c>
      <c r="D151" s="65">
        <f>IF(AND(F149&lt;=20,AND(H149&gt;=27,H149&lt;193)),117.6*LN(502/H149),IF(AND(F149&lt;=20,AND(H149&gt;=193,H149&lt;=350)),3364*H149^-0.646,IF(AND(F149&gt;20,AND(H149&gt;=27,H149&lt;=358)),95.2*LN(1006/H149),IF(AND(F149&gt;20,AND(H149&gt;358,H149&lt;=600)),2772*H149^-0.568,"Valores fora da faixa de variacao!"))))</f>
        <v>139.35113576463877</v>
      </c>
    </row>
    <row r="152" spans="2:9" ht="15" customHeight="1" x14ac:dyDescent="0.2"/>
    <row r="153" spans="2:9" ht="15" customHeight="1" x14ac:dyDescent="0.5">
      <c r="B153" s="246" t="s">
        <v>388</v>
      </c>
    </row>
    <row r="154" spans="2:9" ht="15" customHeight="1" x14ac:dyDescent="0.25">
      <c r="B154"/>
    </row>
    <row r="155" spans="2:9" ht="15" customHeight="1" x14ac:dyDescent="0.2">
      <c r="D155" s="65">
        <f>D151*D50^1.25*D116^(-0.5)</f>
        <v>197.27795931342905</v>
      </c>
      <c r="E155" s="65" t="s">
        <v>389</v>
      </c>
    </row>
    <row r="156" spans="2:9" ht="15" customHeight="1" x14ac:dyDescent="0.2"/>
    <row r="157" spans="2:9" ht="15" customHeight="1" x14ac:dyDescent="0.2"/>
    <row r="158" spans="2:9" ht="15" customHeight="1" x14ac:dyDescent="0.5">
      <c r="B158" s="246" t="s">
        <v>390</v>
      </c>
    </row>
    <row r="159" spans="2:9" ht="15" customHeight="1" x14ac:dyDescent="0.5">
      <c r="B159" s="246"/>
    </row>
    <row r="160" spans="2:9" ht="15" customHeight="1" x14ac:dyDescent="0.5">
      <c r="B160" s="246"/>
    </row>
    <row r="161" spans="2:2" ht="15" customHeight="1" x14ac:dyDescent="0.5">
      <c r="B161" s="246"/>
    </row>
    <row r="162" spans="2:2" ht="15" customHeight="1" x14ac:dyDescent="0.5">
      <c r="B162" s="246"/>
    </row>
    <row r="163" spans="2:2" ht="15" customHeight="1" x14ac:dyDescent="0.5">
      <c r="B163" s="246"/>
    </row>
    <row r="164" spans="2:2" ht="15" customHeight="1" x14ac:dyDescent="0.5">
      <c r="B164" s="246"/>
    </row>
    <row r="165" spans="2:2" ht="15" customHeight="1" x14ac:dyDescent="0.5">
      <c r="B165" s="246"/>
    </row>
    <row r="166" spans="2:2" ht="15" customHeight="1" x14ac:dyDescent="0.5">
      <c r="B166" s="246"/>
    </row>
    <row r="167" spans="2:2" ht="15" customHeight="1" x14ac:dyDescent="0.5">
      <c r="B167" s="246"/>
    </row>
    <row r="168" spans="2:2" ht="15" customHeight="1" x14ac:dyDescent="0.5">
      <c r="B168" s="246"/>
    </row>
    <row r="169" spans="2:2" ht="15" customHeight="1" x14ac:dyDescent="0.5">
      <c r="B169" s="246"/>
    </row>
    <row r="170" spans="2:2" ht="15" customHeight="1" x14ac:dyDescent="0.5">
      <c r="B170" s="246"/>
    </row>
    <row r="171" spans="2:2" ht="15" customHeight="1" x14ac:dyDescent="0.5">
      <c r="B171" s="246"/>
    </row>
    <row r="172" spans="2:2" ht="15" customHeight="1" x14ac:dyDescent="0.5">
      <c r="B172" s="246"/>
    </row>
    <row r="173" spans="2:2" ht="15" customHeight="1" x14ac:dyDescent="0.5">
      <c r="B173" s="246"/>
    </row>
    <row r="174" spans="2:2" ht="15" customHeight="1" x14ac:dyDescent="0.5">
      <c r="B174" s="246"/>
    </row>
    <row r="175" spans="2:2" ht="15" customHeight="1" x14ac:dyDescent="0.5">
      <c r="B175" s="246"/>
    </row>
    <row r="176" spans="2:2" ht="15" customHeight="1" x14ac:dyDescent="0.5">
      <c r="B176" s="246"/>
    </row>
    <row r="177" spans="1:8" ht="15" customHeight="1" x14ac:dyDescent="0.25">
      <c r="B177"/>
      <c r="C177"/>
      <c r="D177"/>
      <c r="E177" s="87" t="s">
        <v>391</v>
      </c>
      <c r="F177" s="13">
        <f>C22</f>
        <v>60</v>
      </c>
      <c r="G177" s="13" t="s">
        <v>392</v>
      </c>
    </row>
    <row r="178" spans="1:8" ht="15" customHeight="1" x14ac:dyDescent="0.2"/>
    <row r="179" spans="1:8" ht="15" customHeight="1" x14ac:dyDescent="0.2">
      <c r="C179" s="87" t="s">
        <v>393</v>
      </c>
      <c r="D179" s="82">
        <f>IF(AND(D135&lt;=20,D155&gt;=1.2*F177),2*INT(120*F177/D155*(1/2)+0.999),IF(AND(D135&lt;=20,D155&lt;1.2*F177),4*INT(120*F177/D155*(1/4)+0.999),IF(AND(D135&gt;20,D155&gt;=5*F177),2*INT(120*F177/D155*(1/2)+0.778),IF(AND(D135&gt;20,AND(D155&gt;=1.2*F177,D155&lt;5*F177)),2*INT(120*F177/D155*(1/2)),IF(AND(D135&gt;20,D155&lt;1.2*F177),4*INT(120*F177/D155*(1/4)))))))</f>
        <v>36</v>
      </c>
      <c r="E179" s="65" t="s">
        <v>394</v>
      </c>
    </row>
    <row r="180" spans="1:8" ht="15" customHeight="1" x14ac:dyDescent="0.25">
      <c r="B180"/>
      <c r="C180"/>
      <c r="D180"/>
      <c r="E180"/>
    </row>
    <row r="181" spans="1:8" ht="15" customHeight="1" x14ac:dyDescent="0.5">
      <c r="B181" s="246" t="s">
        <v>395</v>
      </c>
    </row>
    <row r="182" spans="1:8" ht="15" customHeight="1" x14ac:dyDescent="0.2"/>
    <row r="183" spans="1:8" ht="15" customHeight="1" x14ac:dyDescent="0.2">
      <c r="D183" s="65">
        <f>120*C22/D179</f>
        <v>200</v>
      </c>
      <c r="E183" s="65" t="s">
        <v>389</v>
      </c>
    </row>
    <row r="184" spans="1:8" ht="15" customHeight="1" x14ac:dyDescent="0.2"/>
    <row r="185" spans="1:8" ht="15" customHeight="1" x14ac:dyDescent="0.5">
      <c r="B185" s="246" t="s">
        <v>396</v>
      </c>
    </row>
    <row r="186" spans="1:8" ht="15" customHeight="1" x14ac:dyDescent="0.25">
      <c r="B186"/>
    </row>
    <row r="187" spans="1:8" ht="15" customHeight="1" x14ac:dyDescent="0.2">
      <c r="D187" s="65">
        <f>ROUND(D183*D50^(-1.25)*D116^(0.5),2)</f>
        <v>141.27000000000001</v>
      </c>
      <c r="H187" s="65"/>
    </row>
    <row r="188" spans="1:8" ht="15" customHeight="1" x14ac:dyDescent="0.2"/>
    <row r="189" spans="1:8" ht="15" customHeight="1" x14ac:dyDescent="0.2">
      <c r="A189" s="10" t="s">
        <v>263</v>
      </c>
      <c r="B189" s="13" t="s">
        <v>397</v>
      </c>
    </row>
    <row r="190" spans="1:8" ht="15" customHeight="1" x14ac:dyDescent="0.2"/>
    <row r="191" spans="1:8" ht="15" customHeight="1" x14ac:dyDescent="0.5">
      <c r="B191" s="246" t="s">
        <v>398</v>
      </c>
    </row>
    <row r="192" spans="1:8" ht="15" customHeight="1" x14ac:dyDescent="0.25">
      <c r="B192"/>
    </row>
    <row r="193" spans="2:7" ht="15" customHeight="1" x14ac:dyDescent="0.2">
      <c r="D193" s="65">
        <f>0.293+D187*0.0027</f>
        <v>0.67442900000000006</v>
      </c>
    </row>
    <row r="194" spans="2:7" ht="15" customHeight="1" x14ac:dyDescent="0.2"/>
    <row r="195" spans="2:7" ht="15" customHeight="1" x14ac:dyDescent="0.5">
      <c r="B195" s="246" t="s">
        <v>399</v>
      </c>
    </row>
    <row r="196" spans="2:7" ht="15" customHeight="1" x14ac:dyDescent="0.2"/>
    <row r="197" spans="2:7" ht="15" customHeight="1" x14ac:dyDescent="0.25">
      <c r="E197"/>
      <c r="F197" s="65">
        <f>0.01*INT(84.5*D193*(D50^0.5/D183)*(1/0.01)+0.5)</f>
        <v>4.3500000000000005</v>
      </c>
      <c r="G197" s="65" t="s">
        <v>1</v>
      </c>
    </row>
    <row r="198" spans="2:7" ht="15" customHeight="1" x14ac:dyDescent="0.2"/>
    <row r="199" spans="2:7" ht="15" customHeight="1" x14ac:dyDescent="0.5">
      <c r="B199" s="246" t="s">
        <v>400</v>
      </c>
    </row>
    <row r="200" spans="2:7" ht="15" customHeight="1" x14ac:dyDescent="0.2"/>
    <row r="201" spans="2:7" ht="15" customHeight="1" x14ac:dyDescent="0.2">
      <c r="D201" s="65">
        <f>F204-F206*D50</f>
        <v>-10.431187961104058</v>
      </c>
      <c r="E201" s="65" t="s">
        <v>1</v>
      </c>
    </row>
    <row r="202" spans="2:7" ht="15" customHeight="1" x14ac:dyDescent="0.2"/>
    <row r="203" spans="2:7" ht="15" customHeight="1" x14ac:dyDescent="0.2">
      <c r="B203" s="87" t="s">
        <v>128</v>
      </c>
    </row>
    <row r="204" spans="2:7" ht="15" customHeight="1" x14ac:dyDescent="0.25">
      <c r="E204"/>
      <c r="F204" s="13">
        <f>10.33-0.0012*C16-0.013*C21</f>
        <v>8.4414000000000016</v>
      </c>
      <c r="G204" s="13" t="s">
        <v>401</v>
      </c>
    </row>
    <row r="205" spans="2:7" ht="15" customHeight="1" x14ac:dyDescent="0.25">
      <c r="E205"/>
      <c r="F205"/>
      <c r="G205"/>
    </row>
    <row r="206" spans="2:7" ht="15" customHeight="1" x14ac:dyDescent="0.2">
      <c r="F206" s="13">
        <f>0.0000754*D187^1.41</f>
        <v>8.1085232915592095E-2</v>
      </c>
      <c r="G206" s="13" t="s">
        <v>402</v>
      </c>
    </row>
    <row r="207" spans="2:7" ht="15" customHeight="1" x14ac:dyDescent="0.25">
      <c r="D207"/>
      <c r="E207"/>
    </row>
    <row r="208" spans="2:7" ht="15" customHeight="1" x14ac:dyDescent="0.5">
      <c r="B208" s="246" t="s">
        <v>403</v>
      </c>
    </row>
    <row r="209" spans="1:10" ht="15" customHeight="1" x14ac:dyDescent="0.25">
      <c r="B209"/>
      <c r="C209" s="65"/>
      <c r="D209" s="65"/>
    </row>
    <row r="210" spans="1:10" ht="15" customHeight="1" x14ac:dyDescent="0.2">
      <c r="D210" s="318">
        <f>C17+D201</f>
        <v>1337.4588189303754</v>
      </c>
    </row>
    <row r="211" spans="1:10" ht="15" customHeight="1" x14ac:dyDescent="0.2"/>
    <row r="212" spans="1:10" ht="15" customHeight="1" x14ac:dyDescent="0.2"/>
    <row r="213" spans="1:10" ht="15" customHeight="1" x14ac:dyDescent="0.2">
      <c r="A213" s="87" t="s">
        <v>273</v>
      </c>
      <c r="B213" s="13" t="s">
        <v>404</v>
      </c>
    </row>
    <row r="214" spans="1:10" ht="15" customHeight="1" x14ac:dyDescent="0.2"/>
    <row r="215" spans="1:10" ht="15" customHeight="1" x14ac:dyDescent="0.2"/>
    <row r="216" spans="1:10" ht="15" customHeight="1" x14ac:dyDescent="0.2">
      <c r="D216" s="318">
        <f>F197*(1.2-19.56/D187)</f>
        <v>4.6177065194308771</v>
      </c>
      <c r="E216" s="65" t="s">
        <v>1</v>
      </c>
    </row>
    <row r="217" spans="1:10" ht="15" customHeight="1" x14ac:dyDescent="0.2"/>
    <row r="218" spans="1:10" ht="15" customHeight="1" x14ac:dyDescent="0.2">
      <c r="D218" s="65">
        <f>F197*(1.1+54.8/D187)</f>
        <v>6.4724070928010207</v>
      </c>
      <c r="E218" s="65" t="s">
        <v>1</v>
      </c>
    </row>
    <row r="219" spans="1:10" ht="15" customHeight="1" x14ac:dyDescent="0.2"/>
    <row r="220" spans="1:10" ht="15" customHeight="1" x14ac:dyDescent="0.2">
      <c r="D220" s="65">
        <f>F197*(1.32+49.25/D187)</f>
        <v>7.2585109365045666</v>
      </c>
      <c r="E220" s="65" t="s">
        <v>1</v>
      </c>
      <c r="J220" s="16" t="s">
        <v>405</v>
      </c>
    </row>
    <row r="221" spans="1:10" ht="15" customHeight="1" x14ac:dyDescent="0.2"/>
    <row r="222" spans="1:10" ht="15" customHeight="1" x14ac:dyDescent="0.2">
      <c r="D222" s="65">
        <f>F197*(1.5+48.8/D187)</f>
        <v>8.0276544913994492</v>
      </c>
      <c r="E222" s="65" t="s">
        <v>1</v>
      </c>
    </row>
    <row r="223" spans="1:10" ht="15" customHeight="1" x14ac:dyDescent="0.2"/>
    <row r="224" spans="1:10" ht="15" customHeight="1" x14ac:dyDescent="0.2">
      <c r="D224" s="65">
        <f>F197*1.3</f>
        <v>5.6550000000000011</v>
      </c>
      <c r="E224" s="65" t="s">
        <v>1</v>
      </c>
    </row>
    <row r="225" spans="2:6" ht="15" customHeight="1" x14ac:dyDescent="0.2"/>
    <row r="226" spans="2:6" ht="15" customHeight="1" x14ac:dyDescent="0.2">
      <c r="D226" s="65">
        <f>F197*D187/(-9.28+0.25*D187)</f>
        <v>23.60151704272684</v>
      </c>
      <c r="E226" s="65" t="s">
        <v>1</v>
      </c>
    </row>
    <row r="227" spans="2:6" ht="15" customHeight="1" x14ac:dyDescent="0.2"/>
    <row r="228" spans="2:6" ht="15" customHeight="1" x14ac:dyDescent="0.25">
      <c r="D228"/>
      <c r="E228"/>
    </row>
    <row r="229" spans="2:6" ht="15" customHeight="1" x14ac:dyDescent="0.2">
      <c r="D229" s="65">
        <f>F197*(2.63+33.8/D187)</f>
        <v>12.481272987895521</v>
      </c>
      <c r="E229" s="65" t="s">
        <v>1</v>
      </c>
    </row>
    <row r="230" spans="2:6" ht="15" customHeight="1" x14ac:dyDescent="0.25">
      <c r="B230"/>
      <c r="C230" s="18"/>
      <c r="D230" s="18"/>
      <c r="E230" s="247"/>
      <c r="F230" s="247"/>
    </row>
    <row r="231" spans="2:6" ht="15" customHeight="1" x14ac:dyDescent="0.25">
      <c r="B231"/>
      <c r="C231" s="18"/>
      <c r="D231" s="18"/>
      <c r="E231" s="247"/>
      <c r="F231" s="247"/>
    </row>
    <row r="232" spans="2:6" ht="15" customHeight="1" x14ac:dyDescent="0.25">
      <c r="B232"/>
      <c r="C232" s="18"/>
      <c r="D232" s="18"/>
      <c r="E232" s="247"/>
      <c r="F232" s="247"/>
    </row>
    <row r="233" spans="2:6" ht="15" customHeight="1" x14ac:dyDescent="0.25">
      <c r="B233"/>
      <c r="C233" s="18"/>
      <c r="D233" s="18"/>
      <c r="E233" s="247"/>
      <c r="F233" s="247"/>
    </row>
    <row r="234" spans="2:6" ht="15" customHeight="1" x14ac:dyDescent="0.25">
      <c r="B234"/>
      <c r="C234" s="18"/>
      <c r="D234" s="18"/>
      <c r="E234" s="247"/>
      <c r="F234" s="247"/>
    </row>
    <row r="235" spans="2:6" ht="15" customHeight="1" x14ac:dyDescent="0.25">
      <c r="B235" s="87" t="s">
        <v>135</v>
      </c>
      <c r="C235" s="87" t="s">
        <v>406</v>
      </c>
      <c r="D235" s="65">
        <f>IF(D229*D224&gt;=30,1.7,0)</f>
        <v>1.7</v>
      </c>
      <c r="E235" s="65" t="s">
        <v>1</v>
      </c>
      <c r="F235"/>
    </row>
    <row r="236" spans="2:6" ht="15" customHeight="1" x14ac:dyDescent="0.3">
      <c r="B236"/>
      <c r="C236" s="87" t="s">
        <v>407</v>
      </c>
      <c r="D236" s="82">
        <f>(D229*D224&gt;=30)+1</f>
        <v>2</v>
      </c>
      <c r="E236" s="65" t="s">
        <v>61</v>
      </c>
      <c r="F236" s="65"/>
    </row>
    <row r="237" spans="2:6" ht="15" customHeight="1" x14ac:dyDescent="0.25">
      <c r="B237"/>
      <c r="C237" s="16"/>
    </row>
    <row r="238" spans="2:6" ht="15" customHeight="1" x14ac:dyDescent="0.25">
      <c r="B238"/>
    </row>
    <row r="239" spans="2:6" ht="15" customHeight="1" x14ac:dyDescent="0.25">
      <c r="B239"/>
    </row>
    <row r="240" spans="2:6" ht="15" customHeight="1" x14ac:dyDescent="0.25">
      <c r="B240"/>
      <c r="C240" s="16"/>
    </row>
    <row r="241" spans="1:10" ht="15" customHeight="1" x14ac:dyDescent="0.25">
      <c r="B241"/>
    </row>
    <row r="242" spans="1:10" ht="15" customHeight="1" x14ac:dyDescent="0.3">
      <c r="B242" s="87" t="s">
        <v>135</v>
      </c>
      <c r="C242" s="87" t="s">
        <v>408</v>
      </c>
      <c r="D242" s="65">
        <f>IF(D187&lt;=110,F197*(-0.05+42/D187),F197/(3.16-0.0013*D187))</f>
        <v>1.461522153484017</v>
      </c>
      <c r="E242" s="65" t="s">
        <v>1</v>
      </c>
      <c r="F242"/>
      <c r="I242" s="65"/>
      <c r="J242" s="65"/>
    </row>
    <row r="243" spans="1:10" ht="15" customHeight="1" x14ac:dyDescent="0.2">
      <c r="D243" s="65"/>
      <c r="E243" s="65"/>
      <c r="I243" s="65"/>
      <c r="J243" s="65"/>
    </row>
    <row r="244" spans="1:10" ht="15" customHeight="1" x14ac:dyDescent="0.2">
      <c r="B244" s="16"/>
    </row>
    <row r="245" spans="1:10" ht="15" customHeight="1" x14ac:dyDescent="0.2"/>
    <row r="246" spans="1:10" ht="15" customHeight="1" x14ac:dyDescent="0.2"/>
    <row r="247" spans="1:10" ht="15" customHeight="1" x14ac:dyDescent="0.2">
      <c r="B247" s="16"/>
    </row>
    <row r="248" spans="1:10" ht="15" customHeight="1" x14ac:dyDescent="0.2"/>
    <row r="249" spans="1:10" ht="15" customHeight="1" x14ac:dyDescent="0.2">
      <c r="B249" s="87" t="s">
        <v>135</v>
      </c>
      <c r="C249" s="87" t="s">
        <v>409</v>
      </c>
      <c r="D249" s="65">
        <f>IF(D187&lt;=240,F197*(1.54+203.5/D187),F197*2.4)</f>
        <v>12.965192397536633</v>
      </c>
      <c r="E249" s="65" t="s">
        <v>1</v>
      </c>
    </row>
    <row r="250" spans="1:10" ht="15" customHeight="1" x14ac:dyDescent="0.2">
      <c r="B250" s="18"/>
      <c r="C250" s="18"/>
      <c r="D250" s="247"/>
      <c r="E250" s="247"/>
      <c r="I250" s="65"/>
      <c r="J250" s="65"/>
    </row>
    <row r="251" spans="1:10" ht="15" customHeight="1" x14ac:dyDescent="0.25">
      <c r="B251" s="18"/>
      <c r="C251" s="247">
        <f>D242+D249</f>
        <v>14.42671455102065</v>
      </c>
      <c r="D251" s="247" t="s">
        <v>1</v>
      </c>
      <c r="E251"/>
      <c r="I251" s="65"/>
      <c r="J251" s="65"/>
    </row>
    <row r="252" spans="1:10" ht="15" customHeight="1" x14ac:dyDescent="0.25">
      <c r="A252"/>
      <c r="B252"/>
      <c r="C252"/>
      <c r="D252"/>
      <c r="E252"/>
      <c r="I252" s="65"/>
      <c r="J252" s="65"/>
    </row>
    <row r="253" spans="1:10" ht="15" customHeight="1" x14ac:dyDescent="0.5">
      <c r="B253" s="248" t="s">
        <v>410</v>
      </c>
      <c r="C253" s="18"/>
      <c r="D253" s="247"/>
      <c r="E253" s="247"/>
      <c r="I253" s="65"/>
      <c r="J253" s="65"/>
    </row>
    <row r="254" spans="1:10" ht="15" customHeight="1" x14ac:dyDescent="0.2">
      <c r="B254" s="18"/>
      <c r="C254" s="18"/>
      <c r="D254" s="247"/>
      <c r="E254" s="247"/>
      <c r="I254" s="65"/>
      <c r="J254" s="65"/>
    </row>
    <row r="255" spans="1:10" ht="15" customHeight="1" x14ac:dyDescent="0.2">
      <c r="B255" s="18"/>
      <c r="C255" s="18"/>
      <c r="D255" s="247">
        <f>9*((1000*D104)/(C19*D183^2))^0.2</f>
        <v>14.567801244906114</v>
      </c>
      <c r="E255" s="247" t="s">
        <v>1</v>
      </c>
      <c r="I255" s="65"/>
      <c r="J255" s="65"/>
    </row>
    <row r="256" spans="1:10" ht="15" customHeight="1" x14ac:dyDescent="0.2">
      <c r="B256" s="18"/>
      <c r="C256" s="18"/>
      <c r="D256" s="247"/>
      <c r="E256" s="247"/>
      <c r="I256" s="65"/>
      <c r="J256" s="65"/>
    </row>
    <row r="257" spans="1:11" ht="15" customHeight="1" x14ac:dyDescent="0.2">
      <c r="B257" s="18"/>
      <c r="C257" s="18"/>
      <c r="D257" s="247"/>
      <c r="E257" s="247"/>
      <c r="I257" s="65"/>
      <c r="J257" s="65"/>
    </row>
    <row r="258" spans="1:11" ht="15" customHeight="1" x14ac:dyDescent="0.2">
      <c r="A258" s="249" t="s">
        <v>342</v>
      </c>
      <c r="B258" s="18" t="s">
        <v>411</v>
      </c>
      <c r="C258" s="18"/>
      <c r="D258" s="247"/>
      <c r="E258" s="247"/>
      <c r="F258" s="18"/>
      <c r="G258" s="18"/>
      <c r="H258" s="18"/>
      <c r="I258" s="247"/>
      <c r="J258" s="247"/>
      <c r="K258" s="18"/>
    </row>
    <row r="259" spans="1:11" ht="15" customHeight="1" x14ac:dyDescent="0.2">
      <c r="A259" s="18"/>
      <c r="B259" s="18"/>
      <c r="C259" s="18"/>
      <c r="D259" s="247"/>
      <c r="E259" s="247"/>
      <c r="F259" s="18"/>
      <c r="G259" s="18"/>
      <c r="H259" s="18"/>
      <c r="I259" s="247"/>
      <c r="J259" s="247"/>
      <c r="K259" s="18"/>
    </row>
    <row r="260" spans="1:11" ht="15" customHeight="1" x14ac:dyDescent="0.5">
      <c r="A260" s="18"/>
      <c r="B260" s="250" t="s">
        <v>412</v>
      </c>
      <c r="C260" s="18"/>
      <c r="D260" s="247"/>
      <c r="E260" s="247"/>
      <c r="F260" s="18"/>
      <c r="G260" s="18"/>
      <c r="H260" s="18"/>
      <c r="I260" s="247"/>
      <c r="J260" s="247"/>
      <c r="K260" s="18"/>
    </row>
    <row r="261" spans="1:11" ht="15" customHeight="1" x14ac:dyDescent="0.2">
      <c r="A261" s="18"/>
      <c r="B261" s="18"/>
      <c r="C261" s="18"/>
      <c r="D261" s="247"/>
      <c r="G261" s="18"/>
      <c r="H261" s="18"/>
      <c r="I261" s="247"/>
      <c r="J261" s="247"/>
      <c r="K261" s="18"/>
    </row>
    <row r="262" spans="1:11" ht="15" customHeight="1" x14ac:dyDescent="0.2">
      <c r="A262" s="18"/>
      <c r="B262" s="18"/>
      <c r="C262" s="18"/>
      <c r="D262" s="247"/>
      <c r="E262" s="247">
        <f>D216/2+D218+D220+2*(1.3+0.1*F197)</f>
        <v>19.509771289021025</v>
      </c>
      <c r="F262" s="247" t="s">
        <v>1</v>
      </c>
      <c r="G262" s="247"/>
      <c r="H262" s="247"/>
      <c r="I262" s="251"/>
      <c r="J262" s="252"/>
      <c r="K262" s="18"/>
    </row>
    <row r="263" spans="1:11" ht="15" customHeight="1" x14ac:dyDescent="0.2">
      <c r="A263" s="18"/>
      <c r="B263" s="18"/>
      <c r="C263" s="18"/>
      <c r="D263" s="247"/>
      <c r="G263" s="18"/>
      <c r="H263" s="18"/>
      <c r="I263" s="247"/>
      <c r="J263" s="247"/>
      <c r="K263" s="18"/>
    </row>
    <row r="264" spans="1:11" ht="15" customHeight="1" x14ac:dyDescent="0.5">
      <c r="A264" s="18"/>
      <c r="B264" s="250" t="s">
        <v>413</v>
      </c>
      <c r="C264" s="18"/>
      <c r="D264" s="247"/>
      <c r="E264" s="247"/>
      <c r="F264" s="18"/>
      <c r="G264" s="18"/>
      <c r="H264" s="18"/>
      <c r="I264" s="247"/>
      <c r="J264" s="247"/>
      <c r="K264" s="18"/>
    </row>
    <row r="265" spans="1:11" ht="15" customHeight="1" x14ac:dyDescent="0.2">
      <c r="A265" s="18"/>
      <c r="B265" s="18"/>
      <c r="C265" s="18"/>
      <c r="D265" s="320">
        <f>G98*E262+2</f>
        <v>41.019542578042049</v>
      </c>
      <c r="E265" s="247" t="s">
        <v>1</v>
      </c>
      <c r="F265" s="247"/>
      <c r="G265" s="247"/>
      <c r="H265" s="251"/>
      <c r="I265" s="252"/>
      <c r="J265" s="247"/>
      <c r="K265" s="18"/>
    </row>
    <row r="266" spans="1:11" ht="15" customHeight="1" x14ac:dyDescent="0.2">
      <c r="A266" s="18"/>
      <c r="B266" s="18"/>
      <c r="C266" s="18"/>
      <c r="D266" s="247"/>
      <c r="E266" s="247"/>
      <c r="F266" s="18"/>
      <c r="G266" s="18"/>
      <c r="H266" s="18"/>
      <c r="I266" s="247"/>
      <c r="J266" s="247"/>
      <c r="K266" s="18"/>
    </row>
    <row r="267" spans="1:11" ht="15" customHeight="1" x14ac:dyDescent="0.5">
      <c r="A267" s="18"/>
      <c r="B267" s="250" t="s">
        <v>414</v>
      </c>
      <c r="C267" s="18"/>
      <c r="D267" s="247"/>
      <c r="E267" s="247"/>
      <c r="F267" s="18"/>
      <c r="G267" s="18"/>
      <c r="H267" s="18"/>
      <c r="I267" s="247"/>
      <c r="J267" s="247"/>
      <c r="K267" s="18"/>
    </row>
    <row r="268" spans="1:11" ht="15" customHeight="1" x14ac:dyDescent="0.2">
      <c r="A268" s="18"/>
      <c r="B268" s="18"/>
      <c r="C268" s="18"/>
      <c r="D268" s="247"/>
      <c r="E268" s="247"/>
      <c r="F268" s="18"/>
      <c r="G268" s="18"/>
      <c r="H268" s="18"/>
      <c r="I268" s="247"/>
      <c r="J268" s="247"/>
      <c r="K268" s="18"/>
    </row>
    <row r="269" spans="1:11" ht="15" customHeight="1" x14ac:dyDescent="0.2">
      <c r="A269" s="18"/>
      <c r="B269" s="18"/>
      <c r="C269" s="18"/>
      <c r="D269" s="247"/>
      <c r="E269" s="247"/>
      <c r="F269" s="18"/>
      <c r="G269" s="18"/>
      <c r="H269" s="18"/>
      <c r="I269" s="247"/>
      <c r="J269" s="247"/>
      <c r="K269" s="18"/>
    </row>
    <row r="270" spans="1:11" ht="15" customHeight="1" x14ac:dyDescent="0.2">
      <c r="A270" s="18"/>
      <c r="B270" s="18"/>
      <c r="C270" s="18"/>
      <c r="D270" s="247"/>
      <c r="E270" s="247"/>
      <c r="F270" s="18"/>
      <c r="G270" s="18"/>
      <c r="H270" s="18"/>
      <c r="I270" s="247"/>
      <c r="J270" s="247"/>
      <c r="K270" s="18"/>
    </row>
    <row r="271" spans="1:11" ht="15" customHeight="1" x14ac:dyDescent="0.3">
      <c r="A271" s="18"/>
      <c r="B271" s="249" t="s">
        <v>415</v>
      </c>
      <c r="C271" s="253" t="s">
        <v>416</v>
      </c>
      <c r="D271" s="320">
        <f>IF(G98&gt;3,2.25*E262,1.5*E262)</f>
        <v>29.264656933531537</v>
      </c>
      <c r="E271" s="247" t="s">
        <v>1</v>
      </c>
      <c r="F271" s="247"/>
      <c r="G271" s="247"/>
      <c r="H271" s="251"/>
      <c r="I271" s="252"/>
      <c r="J271" s="247"/>
      <c r="K271" s="18"/>
    </row>
    <row r="272" spans="1:11" ht="15" customHeight="1" x14ac:dyDescent="0.5">
      <c r="A272" s="18"/>
      <c r="B272" s="250" t="s">
        <v>417</v>
      </c>
      <c r="C272" s="18"/>
      <c r="D272" s="247"/>
      <c r="E272" s="247"/>
      <c r="F272" s="18"/>
      <c r="G272" s="18"/>
      <c r="H272" s="18"/>
      <c r="I272" s="247"/>
      <c r="J272" s="247"/>
      <c r="K272" s="18"/>
    </row>
    <row r="273" spans="1:14" ht="15" customHeight="1" x14ac:dyDescent="0.2">
      <c r="A273" s="18"/>
      <c r="B273" s="254"/>
      <c r="C273" s="18"/>
      <c r="D273" s="247"/>
      <c r="E273" s="247"/>
      <c r="F273" s="18"/>
      <c r="G273" s="18"/>
      <c r="H273" s="18"/>
      <c r="I273" s="247"/>
      <c r="J273" s="247"/>
      <c r="K273" s="18"/>
    </row>
    <row r="274" spans="1:14" ht="15" customHeight="1" x14ac:dyDescent="0.2">
      <c r="A274" s="18"/>
      <c r="B274" s="18"/>
      <c r="C274" s="18"/>
      <c r="D274" s="247">
        <f>E277+E279</f>
        <v>21.251555113852504</v>
      </c>
      <c r="E274" s="247" t="s">
        <v>1</v>
      </c>
      <c r="F274" s="247"/>
      <c r="G274" s="247"/>
      <c r="H274" s="251"/>
      <c r="I274" s="252"/>
      <c r="J274" s="247"/>
      <c r="K274" s="18"/>
    </row>
    <row r="275" spans="1:14" ht="15" customHeight="1" x14ac:dyDescent="0.2">
      <c r="A275" s="18"/>
      <c r="B275" s="18"/>
      <c r="C275" s="18"/>
      <c r="D275" s="247"/>
      <c r="E275" s="247"/>
      <c r="F275" s="18"/>
      <c r="G275" s="18"/>
      <c r="H275" s="18"/>
      <c r="I275" s="247"/>
      <c r="J275" s="247"/>
      <c r="K275" s="18"/>
    </row>
    <row r="276" spans="1:14" ht="15" customHeight="1" x14ac:dyDescent="0.25">
      <c r="A276" s="18"/>
      <c r="B276" s="116" t="s">
        <v>128</v>
      </c>
      <c r="C276" s="18"/>
      <c r="D276" s="18"/>
      <c r="G276" s="18"/>
      <c r="H276" s="18"/>
      <c r="I276" s="247"/>
      <c r="J276" s="247"/>
      <c r="K276" s="18"/>
    </row>
    <row r="277" spans="1:14" ht="15" customHeight="1" x14ac:dyDescent="0.25">
      <c r="A277" s="18"/>
      <c r="B277"/>
      <c r="C277" s="18"/>
      <c r="D277" s="18"/>
      <c r="E277" s="247">
        <f>D255/2+2.1+0.2*F197</f>
        <v>10.253900622453056</v>
      </c>
      <c r="F277" s="247" t="s">
        <v>418</v>
      </c>
      <c r="G277" s="18"/>
      <c r="H277" s="18"/>
      <c r="I277" s="247"/>
      <c r="J277" s="247"/>
      <c r="K277" s="247"/>
      <c r="L277" s="247"/>
      <c r="M277" s="251"/>
      <c r="N277" s="521"/>
    </row>
    <row r="278" spans="1:14" ht="15" customHeight="1" x14ac:dyDescent="0.2">
      <c r="A278" s="18"/>
      <c r="B278" s="18"/>
      <c r="C278" s="18"/>
      <c r="D278" s="18"/>
      <c r="F278" s="13" t="s">
        <v>419</v>
      </c>
      <c r="G278" s="18"/>
      <c r="H278" s="18"/>
      <c r="I278" s="247"/>
      <c r="J278" s="247"/>
      <c r="K278" s="18"/>
    </row>
    <row r="279" spans="1:14" ht="15" customHeight="1" x14ac:dyDescent="0.25">
      <c r="A279" s="18"/>
      <c r="B279"/>
      <c r="C279" s="18"/>
      <c r="D279" s="18"/>
      <c r="E279" s="247">
        <f>D222+2.1+0.2*F197</f>
        <v>10.997654491399448</v>
      </c>
      <c r="F279" s="247" t="s">
        <v>420</v>
      </c>
      <c r="G279" s="18"/>
      <c r="H279" s="18"/>
      <c r="I279" s="247"/>
      <c r="J279" s="247"/>
      <c r="K279" s="247"/>
      <c r="L279" s="247"/>
      <c r="M279" s="251"/>
      <c r="N279" s="521"/>
    </row>
    <row r="280" spans="1:14" ht="15" customHeight="1" x14ac:dyDescent="0.25">
      <c r="A280" s="18"/>
      <c r="B280"/>
      <c r="C280" s="18"/>
      <c r="D280" s="18"/>
      <c r="E280" s="247"/>
      <c r="F280" s="18" t="s">
        <v>421</v>
      </c>
      <c r="G280" s="18"/>
      <c r="H280" s="18"/>
      <c r="I280" s="247"/>
      <c r="J280" s="247"/>
      <c r="K280" s="18"/>
    </row>
    <row r="281" spans="1:14" ht="15" customHeight="1" x14ac:dyDescent="0.25">
      <c r="A281" s="18"/>
      <c r="B281"/>
      <c r="C281"/>
      <c r="D281"/>
      <c r="E281"/>
      <c r="F281" s="18"/>
      <c r="G281" s="18"/>
      <c r="H281" s="18"/>
      <c r="I281" s="247"/>
      <c r="J281" s="247"/>
      <c r="K281" s="18"/>
    </row>
    <row r="282" spans="1:14" ht="15" customHeight="1" x14ac:dyDescent="0.5">
      <c r="A282" s="18"/>
      <c r="B282" s="250" t="s">
        <v>422</v>
      </c>
      <c r="C282" s="18"/>
      <c r="D282" s="247"/>
      <c r="E282" s="247"/>
      <c r="F282" s="18"/>
      <c r="G282" s="18"/>
      <c r="H282" s="18"/>
      <c r="I282" s="247"/>
      <c r="J282" s="247"/>
      <c r="K282" s="18"/>
    </row>
    <row r="283" spans="1:14" ht="15" customHeight="1" x14ac:dyDescent="0.25">
      <c r="A283" s="18"/>
      <c r="B283" s="18"/>
      <c r="C283" s="18"/>
      <c r="D283"/>
      <c r="E283"/>
      <c r="F283" s="18"/>
      <c r="G283" s="18"/>
      <c r="H283" s="18"/>
      <c r="I283" s="247"/>
      <c r="J283" s="247"/>
      <c r="K283" s="18"/>
    </row>
    <row r="284" spans="1:14" ht="15" customHeight="1" x14ac:dyDescent="0.2">
      <c r="A284" s="18"/>
      <c r="B284" s="18"/>
      <c r="C284" s="320">
        <f>E277+D226</f>
        <v>33.8554176651799</v>
      </c>
      <c r="D284" s="247" t="s">
        <v>1</v>
      </c>
      <c r="E284" s="247"/>
      <c r="F284" s="247"/>
      <c r="G284" s="251"/>
      <c r="H284" s="252"/>
      <c r="I284" s="247"/>
      <c r="J284" s="247"/>
      <c r="K284" s="18"/>
    </row>
    <row r="285" spans="1:14" ht="15" customHeight="1" x14ac:dyDescent="0.2">
      <c r="A285" s="18"/>
      <c r="B285" s="18"/>
      <c r="C285" s="18"/>
      <c r="D285" s="247"/>
      <c r="E285" s="247"/>
      <c r="F285" s="18"/>
      <c r="G285" s="18"/>
      <c r="H285" s="18"/>
      <c r="I285" s="247"/>
      <c r="J285" s="247"/>
      <c r="K285" s="18"/>
    </row>
    <row r="286" spans="1:14" ht="15" customHeight="1" x14ac:dyDescent="0.5">
      <c r="A286" s="18"/>
      <c r="B286" s="250" t="s">
        <v>423</v>
      </c>
      <c r="C286" s="18"/>
      <c r="D286" s="247"/>
      <c r="E286" s="247"/>
      <c r="F286" s="18"/>
      <c r="G286" s="254"/>
      <c r="H286"/>
      <c r="I286"/>
      <c r="K286" s="18"/>
    </row>
    <row r="287" spans="1:14" ht="15" customHeight="1" x14ac:dyDescent="0.2">
      <c r="A287" s="18"/>
      <c r="B287" s="18"/>
      <c r="C287" s="18"/>
      <c r="D287" s="247"/>
      <c r="E287" s="247"/>
      <c r="F287" s="18"/>
      <c r="G287" s="18"/>
      <c r="H287" s="18"/>
      <c r="I287" s="247"/>
      <c r="J287" s="247"/>
      <c r="K287" s="18"/>
    </row>
    <row r="288" spans="1:14" ht="15" customHeight="1" x14ac:dyDescent="0.2">
      <c r="A288" s="18"/>
      <c r="B288" s="18"/>
      <c r="C288" s="247">
        <f>D274</f>
        <v>21.251555113852504</v>
      </c>
      <c r="D288" s="247" t="s">
        <v>1</v>
      </c>
      <c r="E288" s="247"/>
      <c r="F288" s="247"/>
      <c r="G288" s="251"/>
      <c r="H288" s="252"/>
      <c r="I288" s="247"/>
      <c r="J288" s="247"/>
      <c r="K288" s="18"/>
    </row>
    <row r="289" spans="1:11" ht="15" customHeight="1" x14ac:dyDescent="0.2">
      <c r="A289" s="18"/>
      <c r="B289" s="18"/>
      <c r="C289" s="18"/>
      <c r="D289" s="247"/>
      <c r="E289" s="247"/>
      <c r="F289" s="18"/>
      <c r="G289" s="18"/>
      <c r="H289" s="18"/>
      <c r="I289" s="247"/>
      <c r="J289" s="247"/>
      <c r="K289" s="18"/>
    </row>
    <row r="290" spans="1:11" ht="15" customHeight="1" x14ac:dyDescent="0.2">
      <c r="A290" s="65" t="s">
        <v>424</v>
      </c>
      <c r="G290" s="65"/>
      <c r="H290" s="65"/>
    </row>
    <row r="291" spans="1:11" ht="15" customHeight="1" x14ac:dyDescent="0.2">
      <c r="G291" s="65"/>
      <c r="H291" s="65"/>
    </row>
    <row r="292" spans="1:11" ht="15" customHeight="1" x14ac:dyDescent="0.2">
      <c r="A292" s="87" t="s">
        <v>249</v>
      </c>
      <c r="B292" s="13" t="s">
        <v>29</v>
      </c>
      <c r="G292" s="65"/>
      <c r="H292" s="65"/>
    </row>
    <row r="293" spans="1:11" ht="15" customHeight="1" x14ac:dyDescent="0.5">
      <c r="B293" s="250" t="s">
        <v>425</v>
      </c>
      <c r="G293" s="65"/>
      <c r="H293" s="65"/>
    </row>
    <row r="294" spans="1:11" ht="15" customHeight="1" x14ac:dyDescent="0.25">
      <c r="B294"/>
      <c r="G294" s="65"/>
      <c r="H294" s="65"/>
    </row>
    <row r="295" spans="1:11" ht="15" customHeight="1" x14ac:dyDescent="0.2">
      <c r="B295" s="13" t="s">
        <v>426</v>
      </c>
      <c r="G295" s="65"/>
      <c r="H295" s="65"/>
    </row>
    <row r="296" spans="1:11" ht="15" customHeight="1" x14ac:dyDescent="0.2">
      <c r="C296" s="18"/>
      <c r="F296" s="80">
        <f>(D265+D271+2*E262+2*0.6*E299)*C284*C25</f>
        <v>-256834.44789447763</v>
      </c>
      <c r="G296" s="13" t="s">
        <v>102</v>
      </c>
      <c r="H296" s="247"/>
      <c r="I296" s="247"/>
      <c r="J296" s="251"/>
      <c r="K296" s="252"/>
    </row>
    <row r="297" spans="1:11" ht="15" customHeight="1" x14ac:dyDescent="0.2">
      <c r="G297" s="65"/>
      <c r="H297" s="65"/>
    </row>
    <row r="298" spans="1:11" ht="15" customHeight="1" x14ac:dyDescent="0.25">
      <c r="B298" s="87" t="s">
        <v>128</v>
      </c>
      <c r="E298"/>
      <c r="F298"/>
      <c r="G298" s="65"/>
      <c r="H298" s="65"/>
    </row>
    <row r="299" spans="1:11" ht="15" customHeight="1" x14ac:dyDescent="0.2">
      <c r="B299" s="87"/>
      <c r="E299" s="13">
        <f>C24-C25-(C29+1.5)</f>
        <v>-1355.4554735352121</v>
      </c>
      <c r="F299" s="13" t="s">
        <v>1</v>
      </c>
      <c r="G299" s="65"/>
      <c r="H299" s="65"/>
    </row>
    <row r="300" spans="1:11" ht="15" customHeight="1" x14ac:dyDescent="0.2">
      <c r="G300" s="65"/>
      <c r="H300" s="65"/>
    </row>
    <row r="301" spans="1:11" ht="15" customHeight="1" x14ac:dyDescent="0.25">
      <c r="B301" s="13" t="s">
        <v>427</v>
      </c>
      <c r="E301"/>
      <c r="F301"/>
      <c r="G301" s="65"/>
      <c r="H301" s="65"/>
    </row>
    <row r="302" spans="1:11" ht="15" customHeight="1" x14ac:dyDescent="0.3">
      <c r="C302" s="87" t="s">
        <v>428</v>
      </c>
      <c r="D302" s="80">
        <v>0</v>
      </c>
      <c r="E302" t="s">
        <v>102</v>
      </c>
      <c r="G302" s="65"/>
      <c r="H302" s="65"/>
    </row>
    <row r="303" spans="1:11" ht="15" customHeight="1" x14ac:dyDescent="0.2">
      <c r="G303" s="65"/>
      <c r="H303" s="65"/>
    </row>
    <row r="304" spans="1:11" ht="15" customHeight="1" x14ac:dyDescent="0.3">
      <c r="D304" s="87" t="s">
        <v>429</v>
      </c>
      <c r="E304" s="87" t="s">
        <v>428</v>
      </c>
      <c r="F304" s="82">
        <f>IF(OR(C28=1,C28=2,C28=3),F296,D302)</f>
        <v>0</v>
      </c>
      <c r="G304" s="65" t="s">
        <v>102</v>
      </c>
      <c r="H304" s="247"/>
      <c r="I304" s="247"/>
      <c r="J304" s="251"/>
      <c r="K304" s="252"/>
    </row>
    <row r="305" spans="2:11" ht="15" customHeight="1" x14ac:dyDescent="0.2">
      <c r="G305" s="65"/>
      <c r="H305" s="65"/>
    </row>
    <row r="306" spans="2:11" ht="15" customHeight="1" x14ac:dyDescent="0.2">
      <c r="G306" s="65"/>
      <c r="H306" s="65"/>
    </row>
    <row r="307" spans="2:11" ht="15" customHeight="1" x14ac:dyDescent="0.5">
      <c r="B307" s="250" t="s">
        <v>430</v>
      </c>
      <c r="G307" s="65"/>
      <c r="H307" s="65"/>
    </row>
    <row r="308" spans="2:11" ht="15" customHeight="1" x14ac:dyDescent="0.2">
      <c r="B308" s="254"/>
      <c r="G308" s="65"/>
      <c r="H308" s="65"/>
    </row>
    <row r="309" spans="2:11" ht="15" customHeight="1" x14ac:dyDescent="0.2">
      <c r="B309" s="13" t="s">
        <v>426</v>
      </c>
      <c r="G309" s="65"/>
      <c r="H309" s="65"/>
    </row>
    <row r="310" spans="2:11" ht="15" customHeight="1" x14ac:dyDescent="0.2">
      <c r="D310" s="80">
        <f>G313+F315+E317</f>
        <v>32337532.189603645</v>
      </c>
      <c r="E310" s="13" t="s">
        <v>102</v>
      </c>
      <c r="G310" s="65"/>
      <c r="H310" s="247"/>
      <c r="I310" s="247"/>
      <c r="J310" s="251"/>
      <c r="K310" s="252"/>
    </row>
    <row r="311" spans="2:11" ht="15" customHeight="1" x14ac:dyDescent="0.2">
      <c r="G311" s="65"/>
      <c r="H311" s="65"/>
    </row>
    <row r="312" spans="2:11" ht="15" customHeight="1" x14ac:dyDescent="0.2">
      <c r="B312" s="87" t="s">
        <v>128</v>
      </c>
      <c r="G312" s="65"/>
      <c r="H312" s="65"/>
    </row>
    <row r="313" spans="2:11" ht="15" customHeight="1" x14ac:dyDescent="0.25">
      <c r="B313"/>
      <c r="G313" s="80">
        <f>(D265+D271+2*E262+0.6*E299)*C284*E299</f>
        <v>32304818.171608962</v>
      </c>
      <c r="H313" s="13" t="s">
        <v>102</v>
      </c>
    </row>
    <row r="314" spans="2:11" ht="15" customHeight="1" x14ac:dyDescent="0.2">
      <c r="G314" s="65"/>
      <c r="H314" s="65"/>
    </row>
    <row r="315" spans="2:11" ht="15" customHeight="1" x14ac:dyDescent="0.2">
      <c r="F315" s="80">
        <f>D265*C284*(C29+1.5-D210)</f>
        <v>18048.892840226872</v>
      </c>
      <c r="G315" s="13" t="s">
        <v>102</v>
      </c>
      <c r="H315" s="65"/>
    </row>
    <row r="316" spans="2:11" ht="15" customHeight="1" x14ac:dyDescent="0.2">
      <c r="G316" s="65"/>
      <c r="H316" s="65"/>
    </row>
    <row r="317" spans="2:11" ht="15" customHeight="1" x14ac:dyDescent="0.2">
      <c r="E317" s="80">
        <f>IF(AND(F197&gt;=1.5,F197&lt;=8),G98*700*EXP(0.54*F197),"Fora da faixa de validade da curva! ERRO!")</f>
        <v>14665.12515445678</v>
      </c>
      <c r="F317" s="13" t="s">
        <v>102</v>
      </c>
      <c r="G317" s="65"/>
      <c r="H317" s="65"/>
    </row>
    <row r="318" spans="2:11" ht="15" customHeight="1" x14ac:dyDescent="0.2">
      <c r="E318" s="65"/>
      <c r="F318" s="65"/>
      <c r="G318" s="65"/>
      <c r="H318" s="65"/>
    </row>
    <row r="319" spans="2:11" ht="15" customHeight="1" x14ac:dyDescent="0.25">
      <c r="B319" s="13" t="s">
        <v>427</v>
      </c>
      <c r="E319"/>
      <c r="F319"/>
      <c r="G319" s="65"/>
      <c r="H319" s="65"/>
    </row>
    <row r="320" spans="2:11" ht="15" customHeight="1" x14ac:dyDescent="0.3">
      <c r="C320" s="87" t="s">
        <v>113</v>
      </c>
      <c r="D320" s="80">
        <v>0</v>
      </c>
      <c r="G320" s="65"/>
      <c r="H320" s="65"/>
    </row>
    <row r="321" spans="2:11" ht="15" customHeight="1" x14ac:dyDescent="0.2">
      <c r="G321" s="65"/>
      <c r="H321" s="65"/>
    </row>
    <row r="322" spans="2:11" ht="15" customHeight="1" x14ac:dyDescent="0.3">
      <c r="D322" s="87" t="s">
        <v>429</v>
      </c>
      <c r="E322" s="87" t="s">
        <v>113</v>
      </c>
      <c r="F322" s="82">
        <f>IF(OR(C28=1,C28=2,C28=3),D310,D320)</f>
        <v>0</v>
      </c>
      <c r="G322" s="65" t="s">
        <v>102</v>
      </c>
      <c r="H322" s="247"/>
      <c r="I322" s="247"/>
      <c r="J322" s="251"/>
      <c r="K322" s="252"/>
    </row>
    <row r="323" spans="2:11" ht="15" customHeight="1" x14ac:dyDescent="0.2">
      <c r="G323" s="65"/>
      <c r="H323" s="65"/>
    </row>
    <row r="324" spans="2:11" ht="15" customHeight="1" x14ac:dyDescent="0.5">
      <c r="B324" s="250" t="s">
        <v>431</v>
      </c>
      <c r="G324" s="65"/>
      <c r="H324" s="65"/>
    </row>
    <row r="325" spans="2:11" ht="15" customHeight="1" x14ac:dyDescent="0.2">
      <c r="B325" s="254"/>
      <c r="G325" s="65"/>
      <c r="H325" s="65"/>
    </row>
    <row r="326" spans="2:11" ht="15" customHeight="1" x14ac:dyDescent="0.25">
      <c r="B326" s="13" t="s">
        <v>426</v>
      </c>
      <c r="E326"/>
      <c r="F326"/>
      <c r="G326" s="65"/>
      <c r="H326" s="65"/>
    </row>
    <row r="327" spans="2:11" ht="15" customHeight="1" x14ac:dyDescent="0.3">
      <c r="C327" s="87" t="s">
        <v>432</v>
      </c>
      <c r="D327" s="80">
        <v>0</v>
      </c>
      <c r="G327" s="65"/>
      <c r="H327" s="65"/>
    </row>
    <row r="328" spans="2:11" ht="15" customHeight="1" x14ac:dyDescent="0.2">
      <c r="G328" s="65"/>
      <c r="H328" s="65"/>
    </row>
    <row r="329" spans="2:11" ht="15" customHeight="1" x14ac:dyDescent="0.2">
      <c r="B329" s="13" t="s">
        <v>427</v>
      </c>
      <c r="E329" s="65"/>
      <c r="F329" s="65"/>
      <c r="G329" s="65"/>
      <c r="H329" s="65"/>
    </row>
    <row r="330" spans="2:11" ht="15" customHeight="1" x14ac:dyDescent="0.2">
      <c r="E330" s="6"/>
      <c r="F330" s="80">
        <f>D265*D274*2*D274+D271*D274*D274</f>
        <v>50267.952631140965</v>
      </c>
      <c r="G330" s="13" t="s">
        <v>102</v>
      </c>
      <c r="H330" s="247"/>
      <c r="I330" s="247"/>
      <c r="J330" s="251"/>
      <c r="K330" s="252"/>
    </row>
    <row r="331" spans="2:11" ht="15" customHeight="1" x14ac:dyDescent="0.2">
      <c r="G331" s="65"/>
      <c r="H331" s="65"/>
    </row>
    <row r="332" spans="2:11" ht="15" customHeight="1" x14ac:dyDescent="0.3">
      <c r="D332" s="87" t="s">
        <v>429</v>
      </c>
      <c r="E332" s="87" t="s">
        <v>432</v>
      </c>
      <c r="F332" s="82">
        <f>IF(OR(C28=1,C28=2,C28=3),D327,F330)</f>
        <v>50267.952631140965</v>
      </c>
      <c r="G332" s="65" t="s">
        <v>102</v>
      </c>
      <c r="H332" s="65"/>
    </row>
    <row r="333" spans="2:11" ht="15" customHeight="1" x14ac:dyDescent="0.2">
      <c r="G333" s="65"/>
      <c r="H333" s="65"/>
    </row>
    <row r="334" spans="2:11" ht="15" customHeight="1" x14ac:dyDescent="0.2">
      <c r="B334" s="13" t="s">
        <v>433</v>
      </c>
      <c r="G334" s="65"/>
      <c r="H334" s="65"/>
    </row>
    <row r="335" spans="2:11" ht="15" customHeight="1" x14ac:dyDescent="0.2">
      <c r="G335" s="65"/>
      <c r="H335" s="65"/>
    </row>
    <row r="336" spans="2:11" ht="15" customHeight="1" x14ac:dyDescent="0.2">
      <c r="C336" s="13">
        <f>D274^2</f>
        <v>451.62859475711053</v>
      </c>
      <c r="E336" s="247"/>
      <c r="F336" s="247"/>
      <c r="G336" s="251"/>
      <c r="H336" s="252"/>
    </row>
    <row r="337" spans="1:9" ht="15" customHeight="1" x14ac:dyDescent="0.2">
      <c r="G337" s="65"/>
      <c r="H337" s="65"/>
    </row>
    <row r="338" spans="1:9" ht="15" customHeight="1" x14ac:dyDescent="0.25">
      <c r="B338" s="6" t="s">
        <v>434</v>
      </c>
      <c r="C338" s="8"/>
      <c r="D338" s="79"/>
      <c r="E338"/>
      <c r="G338" s="65"/>
      <c r="H338" s="65"/>
    </row>
    <row r="339" spans="1:9" ht="15" customHeight="1" x14ac:dyDescent="0.25">
      <c r="B339" s="6"/>
      <c r="C339" s="8"/>
      <c r="D339" s="79"/>
      <c r="E339"/>
      <c r="G339" s="65"/>
      <c r="H339" s="65"/>
    </row>
    <row r="340" spans="1:9" ht="15" customHeight="1" x14ac:dyDescent="0.2">
      <c r="B340" s="6"/>
      <c r="C340" s="8"/>
      <c r="D340" s="65" t="str">
        <f>IF(AND(C336&gt;=4,C336&lt;=300),474.08*C336^(-0.3987),"Área de escavação fora da validade do gráfico B33.")</f>
        <v>Área de escavação fora da validade do gráfico B33.</v>
      </c>
      <c r="E340" s="21" t="s">
        <v>158</v>
      </c>
      <c r="G340" s="65"/>
      <c r="H340" s="65"/>
    </row>
    <row r="341" spans="1:9" ht="15" customHeight="1" x14ac:dyDescent="0.2">
      <c r="G341" s="65"/>
      <c r="H341" s="65"/>
    </row>
    <row r="342" spans="1:9" ht="15" customHeight="1" x14ac:dyDescent="0.2">
      <c r="G342" s="65"/>
      <c r="H342" s="65"/>
    </row>
    <row r="343" spans="1:9" ht="15" customHeight="1" x14ac:dyDescent="0.2">
      <c r="A343" s="87" t="s">
        <v>263</v>
      </c>
      <c r="B343" s="13" t="s">
        <v>435</v>
      </c>
      <c r="G343" s="65"/>
      <c r="H343" s="65"/>
    </row>
    <row r="344" spans="1:9" ht="15" customHeight="1" x14ac:dyDescent="0.2">
      <c r="G344" s="65"/>
      <c r="H344" s="65"/>
    </row>
    <row r="345" spans="1:9" ht="15" customHeight="1" x14ac:dyDescent="0.5">
      <c r="B345" s="250" t="s">
        <v>436</v>
      </c>
      <c r="G345" s="65"/>
      <c r="H345" s="65"/>
    </row>
    <row r="346" spans="1:9" ht="15" customHeight="1" x14ac:dyDescent="0.2">
      <c r="G346" s="65"/>
      <c r="H346" s="65"/>
    </row>
    <row r="347" spans="1:9" ht="15" customHeight="1" x14ac:dyDescent="0.2">
      <c r="D347" s="82">
        <f>D265*C284+D271*D274</f>
        <v>2010.653216125175</v>
      </c>
      <c r="E347" s="65" t="s">
        <v>112</v>
      </c>
      <c r="F347" s="247"/>
      <c r="G347" s="247"/>
      <c r="H347" s="251"/>
      <c r="I347" s="252"/>
    </row>
    <row r="348" spans="1:9" ht="15" customHeight="1" x14ac:dyDescent="0.2">
      <c r="G348" s="65"/>
      <c r="H348" s="65"/>
    </row>
    <row r="349" spans="1:9" ht="15" customHeight="1" x14ac:dyDescent="0.5">
      <c r="B349" s="250" t="s">
        <v>437</v>
      </c>
      <c r="G349" s="65"/>
      <c r="H349" s="65"/>
    </row>
    <row r="350" spans="1:9" ht="15" customHeight="1" x14ac:dyDescent="0.2">
      <c r="G350" s="65"/>
      <c r="H350" s="65"/>
    </row>
    <row r="351" spans="1:9" ht="15" customHeight="1" x14ac:dyDescent="0.2">
      <c r="D351" s="82">
        <f>(D265/3)*E353</f>
        <v>531.68237242749728</v>
      </c>
      <c r="E351" s="65" t="s">
        <v>1</v>
      </c>
      <c r="F351" s="247"/>
      <c r="G351" s="247"/>
      <c r="H351" s="251"/>
      <c r="I351" s="252"/>
    </row>
    <row r="352" spans="1:9" ht="15" customHeight="1" x14ac:dyDescent="0.2">
      <c r="E352" s="82"/>
      <c r="F352" s="65"/>
      <c r="G352" s="65"/>
      <c r="H352" s="65"/>
    </row>
    <row r="353" spans="2:10" ht="15" customHeight="1" x14ac:dyDescent="0.2">
      <c r="B353" s="87" t="s">
        <v>128</v>
      </c>
      <c r="E353" s="80">
        <f>IF(1.5*(C29-D210+C251)&gt;40,40,1.5*(C29-D210+C251))</f>
        <v>38.885053733786101</v>
      </c>
      <c r="F353" s="13" t="s">
        <v>438</v>
      </c>
      <c r="G353" s="65"/>
      <c r="H353" s="65"/>
    </row>
    <row r="354" spans="2:10" ht="15" customHeight="1" x14ac:dyDescent="0.25">
      <c r="C354"/>
      <c r="D354"/>
      <c r="E354"/>
      <c r="F354"/>
      <c r="G354"/>
      <c r="H354"/>
      <c r="I354"/>
      <c r="J354"/>
    </row>
    <row r="355" spans="2:10" ht="15" customHeight="1" x14ac:dyDescent="0.5">
      <c r="B355" s="250" t="s">
        <v>439</v>
      </c>
      <c r="G355" s="65"/>
      <c r="H355" s="65"/>
    </row>
    <row r="356" spans="2:10" ht="15" customHeight="1" x14ac:dyDescent="0.2">
      <c r="G356" s="65"/>
      <c r="H356" s="65"/>
    </row>
    <row r="357" spans="2:10" ht="15" customHeight="1" x14ac:dyDescent="0.2">
      <c r="G357" s="82">
        <f>IF(C28=4,4*D274*(D265+D271)+3.5*D274*(2*D265+D271+2*D274),0)</f>
        <v>17414.81595439684</v>
      </c>
      <c r="H357" s="65" t="s">
        <v>1</v>
      </c>
    </row>
    <row r="358" spans="2:10" ht="15" customHeight="1" x14ac:dyDescent="0.2">
      <c r="G358" s="65"/>
      <c r="H358" s="65"/>
    </row>
    <row r="359" spans="2:10" ht="15" customHeight="1" x14ac:dyDescent="0.2">
      <c r="B359" s="13" t="s">
        <v>440</v>
      </c>
      <c r="G359" s="65"/>
      <c r="H359" s="65"/>
    </row>
    <row r="360" spans="2:10" ht="15" customHeight="1" x14ac:dyDescent="0.2">
      <c r="G360" s="65"/>
      <c r="H360" s="65"/>
    </row>
    <row r="361" spans="2:10" ht="15" customHeight="1" x14ac:dyDescent="0.3">
      <c r="B361" s="87" t="s">
        <v>441</v>
      </c>
      <c r="C361" s="255">
        <v>39.700000000000003</v>
      </c>
      <c r="D361" s="13" t="s">
        <v>166</v>
      </c>
      <c r="E361" s="13" t="s">
        <v>167</v>
      </c>
      <c r="G361" s="65"/>
      <c r="H361" s="65"/>
    </row>
    <row r="362" spans="2:10" ht="15" customHeight="1" x14ac:dyDescent="0.3">
      <c r="B362" s="87" t="s">
        <v>168</v>
      </c>
      <c r="C362" s="255">
        <v>168</v>
      </c>
      <c r="D362" s="13" t="s">
        <v>169</v>
      </c>
      <c r="E362" s="13" t="s">
        <v>170</v>
      </c>
      <c r="G362" s="65"/>
      <c r="H362" s="65"/>
    </row>
    <row r="363" spans="2:10" ht="15" customHeight="1" x14ac:dyDescent="0.3">
      <c r="B363" s="87" t="s">
        <v>171</v>
      </c>
      <c r="C363" s="255">
        <v>72</v>
      </c>
      <c r="D363" s="13" t="s">
        <v>169</v>
      </c>
      <c r="E363" s="13" t="s">
        <v>442</v>
      </c>
      <c r="G363" s="65"/>
      <c r="H363" s="65"/>
    </row>
    <row r="364" spans="2:10" ht="15" customHeight="1" x14ac:dyDescent="0.3">
      <c r="B364" s="87" t="s">
        <v>443</v>
      </c>
      <c r="C364" s="255">
        <v>248</v>
      </c>
      <c r="D364" s="13" t="s">
        <v>169</v>
      </c>
      <c r="E364" s="13" t="s">
        <v>444</v>
      </c>
      <c r="G364" s="65"/>
      <c r="H364" s="65"/>
    </row>
    <row r="365" spans="2:10" ht="15" customHeight="1" x14ac:dyDescent="0.2">
      <c r="G365" s="65"/>
      <c r="H365" s="65"/>
    </row>
    <row r="366" spans="2:10" ht="15" customHeight="1" x14ac:dyDescent="0.25">
      <c r="E366"/>
      <c r="F366" s="82">
        <f>IF(C28=4,C361*D347+C362*D351+C363*D351+C362*G357+C364*G357,IF(OR(C28=1,C28=2,C28=3),C361*D347+C362*D351+C363*D351,"ERRO! Opção inválida!"))</f>
        <v>7451990.139091854</v>
      </c>
      <c r="G366" s="65" t="s">
        <v>173</v>
      </c>
      <c r="H366" s="65"/>
    </row>
    <row r="367" spans="2:10" ht="15" customHeight="1" x14ac:dyDescent="0.25">
      <c r="E367"/>
      <c r="F367" s="82"/>
      <c r="G367" s="65"/>
      <c r="H367" s="65"/>
    </row>
    <row r="368" spans="2:10" ht="15" customHeight="1" x14ac:dyDescent="0.2">
      <c r="G368" s="65"/>
      <c r="H368" s="65"/>
    </row>
    <row r="369" spans="1:8" ht="15" customHeight="1" x14ac:dyDescent="0.2">
      <c r="A369" s="87" t="s">
        <v>273</v>
      </c>
      <c r="B369" s="13" t="s">
        <v>34</v>
      </c>
      <c r="G369" s="65"/>
      <c r="H369" s="65"/>
    </row>
    <row r="370" spans="1:8" ht="15" customHeight="1" x14ac:dyDescent="0.2"/>
    <row r="371" spans="1:8" ht="15" customHeight="1" x14ac:dyDescent="0.2">
      <c r="B371" s="13" t="s">
        <v>445</v>
      </c>
      <c r="G371" s="65"/>
    </row>
    <row r="372" spans="1:8" ht="15" customHeight="1" x14ac:dyDescent="0.2">
      <c r="F372" s="80" t="str">
        <f>IF(C28=1,G98*(E385+1.5*E388)+E391+C26+C27+G396,IF(C28=2,"-",IF(C28=3,"-",IF(C28=4,"-","Tipo invalido!"))))</f>
        <v>-</v>
      </c>
      <c r="G372" s="13" t="s">
        <v>102</v>
      </c>
    </row>
    <row r="373" spans="1:8" ht="15" customHeight="1" x14ac:dyDescent="0.2"/>
    <row r="374" spans="1:8" ht="15" customHeight="1" x14ac:dyDescent="0.2">
      <c r="B374" s="13" t="s">
        <v>446</v>
      </c>
      <c r="G374" s="65"/>
    </row>
    <row r="375" spans="1:8" ht="15" customHeight="1" x14ac:dyDescent="0.2">
      <c r="F375" s="80" t="str">
        <f>IF(C28=1,"-",IF(C28=2,G98*(E385+E388)+E391+C26+C27+G396,IF(C28=3,"-",IF(C28=4,"-","Tipo invalido!"))))</f>
        <v>-</v>
      </c>
      <c r="G375" s="13" t="s">
        <v>102</v>
      </c>
    </row>
    <row r="376" spans="1:8" ht="15" customHeight="1" x14ac:dyDescent="0.2"/>
    <row r="377" spans="1:8" ht="15" customHeight="1" x14ac:dyDescent="0.2">
      <c r="B377" s="13" t="s">
        <v>447</v>
      </c>
      <c r="G377" s="65"/>
    </row>
    <row r="378" spans="1:8" ht="15" customHeight="1" x14ac:dyDescent="0.2">
      <c r="G378" s="80" t="str">
        <f>IF(C28=1,"-",IF(C28=2,"-",IF(C28=3,G98*(E385+0.15*E388)+0.6*E391+C26+C27+0.25*G396,IF(C28=4,"-","Tipo invalido!"))))</f>
        <v>-</v>
      </c>
      <c r="H378" s="13" t="s">
        <v>102</v>
      </c>
    </row>
    <row r="379" spans="1:8" ht="15" customHeight="1" x14ac:dyDescent="0.2"/>
    <row r="380" spans="1:8" ht="15" customHeight="1" x14ac:dyDescent="0.2">
      <c r="B380" s="13" t="s">
        <v>448</v>
      </c>
      <c r="G380" s="65"/>
    </row>
    <row r="381" spans="1:8" ht="15" customHeight="1" x14ac:dyDescent="0.2">
      <c r="G381" s="80">
        <f>IF(OR(C28=1,C28=2,C28=3),"-",IF(C28=4,G98*(E385+0.5*E388)+0.6*E391+0.25*G396+F400,"Tipo invalido!"))</f>
        <v>12760.417185599195</v>
      </c>
      <c r="H381" s="13" t="s">
        <v>102</v>
      </c>
    </row>
    <row r="382" spans="1:8" ht="15" customHeight="1" x14ac:dyDescent="0.2"/>
    <row r="383" spans="1:8" ht="15" customHeight="1" x14ac:dyDescent="0.2">
      <c r="B383" s="87" t="s">
        <v>128</v>
      </c>
      <c r="G383" s="65"/>
      <c r="H383" s="65"/>
    </row>
    <row r="384" spans="1:8" ht="15" customHeight="1" x14ac:dyDescent="0.2">
      <c r="B384" s="87"/>
      <c r="C384" s="13" t="s">
        <v>449</v>
      </c>
      <c r="G384" s="65"/>
      <c r="H384" s="65"/>
    </row>
    <row r="385" spans="2:9" ht="15" customHeight="1" x14ac:dyDescent="0.25">
      <c r="E385" s="80">
        <f>IF(AND(F197&gt;=1,F197&lt;=9),485*EXP(0.535*F197),"Fora da faixa de validade da curva! ERRO!")</f>
        <v>4971.1122705214138</v>
      </c>
      <c r="F385" s="13" t="s">
        <v>102</v>
      </c>
      <c r="G385" s="65"/>
      <c r="H385"/>
      <c r="I385" s="5" t="s">
        <v>888</v>
      </c>
    </row>
    <row r="386" spans="2:9" ht="15" customHeight="1" x14ac:dyDescent="0.25">
      <c r="G386" s="65"/>
      <c r="H386" s="65"/>
      <c r="I386" s="5" t="s">
        <v>889</v>
      </c>
    </row>
    <row r="387" spans="2:9" ht="15" customHeight="1" x14ac:dyDescent="0.2">
      <c r="C387" s="13" t="s">
        <v>450</v>
      </c>
      <c r="G387" s="65"/>
      <c r="H387" s="65"/>
    </row>
    <row r="388" spans="2:9" ht="15" customHeight="1" x14ac:dyDescent="0.25">
      <c r="B388"/>
      <c r="E388" s="80">
        <f>IF(AND(F197&gt;=1,F197&lt;=9),215*EXP(0.381*F197),"Fora da faixa de validade da curva! ERRO!")</f>
        <v>1127.7593060500062</v>
      </c>
      <c r="F388" s="13" t="s">
        <v>102</v>
      </c>
      <c r="H388"/>
      <c r="I388"/>
    </row>
    <row r="389" spans="2:9" ht="15" customHeight="1" x14ac:dyDescent="0.25">
      <c r="E389"/>
      <c r="F389"/>
    </row>
    <row r="390" spans="2:9" ht="15" customHeight="1" x14ac:dyDescent="0.25">
      <c r="C390" s="13" t="s">
        <v>451</v>
      </c>
      <c r="E390"/>
      <c r="F390"/>
    </row>
    <row r="391" spans="2:9" ht="15" customHeight="1" x14ac:dyDescent="0.25">
      <c r="B391"/>
      <c r="E391" s="80">
        <f>IF(AND(F197&gt;=1,F197&lt;=9),370*EXP(0.314*F197),"Fora da faixa de validade da curva! ERRO!")</f>
        <v>1450.1220519607912</v>
      </c>
      <c r="F391" s="13" t="s">
        <v>102</v>
      </c>
      <c r="H391"/>
      <c r="I391"/>
    </row>
    <row r="392" spans="2:9" ht="15" customHeight="1" x14ac:dyDescent="0.25">
      <c r="B392"/>
      <c r="H392"/>
      <c r="I392"/>
    </row>
    <row r="393" spans="2:9" ht="15" customHeight="1" x14ac:dyDescent="0.25">
      <c r="C393" s="13" t="s">
        <v>452</v>
      </c>
      <c r="E393"/>
      <c r="F393"/>
    </row>
    <row r="394" spans="2:9" ht="15" customHeight="1" x14ac:dyDescent="0.25">
      <c r="E394"/>
      <c r="F394"/>
    </row>
    <row r="395" spans="2:9" ht="15" customHeight="1" x14ac:dyDescent="0.25">
      <c r="B395"/>
    </row>
    <row r="396" spans="2:9" ht="15" customHeight="1" x14ac:dyDescent="0.3">
      <c r="B396"/>
      <c r="E396" s="87"/>
      <c r="F396" s="87" t="s">
        <v>453</v>
      </c>
      <c r="G396" s="80">
        <f>IF(G98&lt;=3,E388,2*E388)</f>
        <v>1127.7593060500062</v>
      </c>
      <c r="H396" s="13" t="s">
        <v>102</v>
      </c>
    </row>
    <row r="397" spans="2:9" ht="15" customHeight="1" x14ac:dyDescent="0.25">
      <c r="E397"/>
      <c r="F397"/>
      <c r="G397"/>
      <c r="H397"/>
      <c r="I397"/>
    </row>
    <row r="398" spans="2:9" ht="15" customHeight="1" x14ac:dyDescent="0.25">
      <c r="B398"/>
      <c r="G398"/>
      <c r="H398"/>
    </row>
    <row r="399" spans="2:9" ht="15" customHeight="1" x14ac:dyDescent="0.2">
      <c r="C399" s="13" t="s">
        <v>454</v>
      </c>
    </row>
    <row r="400" spans="2:9" ht="15" customHeight="1" x14ac:dyDescent="0.2">
      <c r="F400" s="80">
        <f>IF(OR(C28=1,C28=2,C28=3),0,IF(C28=4,0.1*((D265+D271)*3*D274+2*D274*D274),"Tipo invalido!"))</f>
        <v>538.42028081738545</v>
      </c>
      <c r="G400" s="13" t="s">
        <v>102</v>
      </c>
    </row>
    <row r="401" spans="2:7" ht="15" customHeight="1" x14ac:dyDescent="0.2"/>
    <row r="402" spans="2:7" ht="15" customHeight="1" x14ac:dyDescent="0.2">
      <c r="E402" s="87" t="s">
        <v>455</v>
      </c>
      <c r="F402" s="13" t="str">
        <f>IF(C28=1,"abrigada,",IF(C28=2,"semi-abrigada,",IF(C28=3,"aberta,",IF(C28=4,"subterrânea,","Tipo inválido!"))))</f>
        <v>subterrânea,</v>
      </c>
      <c r="G402" s="13" t="s">
        <v>456</v>
      </c>
    </row>
    <row r="403" spans="2:7" ht="15" customHeight="1" x14ac:dyDescent="0.2"/>
    <row r="404" spans="2:7" ht="15" customHeight="1" x14ac:dyDescent="0.3">
      <c r="B404" s="87" t="s">
        <v>457</v>
      </c>
      <c r="C404" s="82">
        <f>IF(C28=1,F372,IF(C28=2,F375,IF(C28=3,G378,IF(C28=4,G381,"Tipo invalido!"))))</f>
        <v>12760.417185599195</v>
      </c>
      <c r="D404" s="65" t="s">
        <v>102</v>
      </c>
    </row>
    <row r="405" spans="2:7" ht="15" customHeight="1" x14ac:dyDescent="0.2"/>
    <row r="406" spans="2:7" ht="15" customHeight="1" x14ac:dyDescent="0.2"/>
    <row r="407" spans="2:7" ht="15" customHeight="1" x14ac:dyDescent="0.2">
      <c r="B407" s="13" t="s">
        <v>179</v>
      </c>
    </row>
    <row r="408" spans="2:7" ht="15" customHeight="1" x14ac:dyDescent="0.25">
      <c r="B408"/>
    </row>
    <row r="409" spans="2:7" ht="15" customHeight="1" x14ac:dyDescent="0.25">
      <c r="B409"/>
      <c r="E409" s="256" t="s">
        <v>180</v>
      </c>
      <c r="F409" s="256" t="s">
        <v>181</v>
      </c>
    </row>
    <row r="410" spans="2:7" ht="15" customHeight="1" x14ac:dyDescent="0.25">
      <c r="B410"/>
      <c r="C410" s="245"/>
      <c r="D410" s="245"/>
      <c r="E410" s="243" t="s">
        <v>458</v>
      </c>
      <c r="F410" s="243" t="s">
        <v>458</v>
      </c>
    </row>
    <row r="411" spans="2:7" ht="15" customHeight="1" x14ac:dyDescent="0.25">
      <c r="B411"/>
      <c r="C411" s="13" t="s">
        <v>459</v>
      </c>
      <c r="E411" s="257">
        <v>275</v>
      </c>
      <c r="F411" s="257">
        <v>50</v>
      </c>
    </row>
    <row r="412" spans="2:7" ht="15" customHeight="1" x14ac:dyDescent="0.25">
      <c r="B412"/>
      <c r="C412" s="13" t="s">
        <v>460</v>
      </c>
      <c r="E412" s="257">
        <v>300</v>
      </c>
      <c r="F412" s="257">
        <v>100</v>
      </c>
    </row>
    <row r="413" spans="2:7" ht="15" customHeight="1" x14ac:dyDescent="0.25">
      <c r="B413"/>
      <c r="C413" s="13" t="s">
        <v>461</v>
      </c>
      <c r="E413" s="257">
        <v>250</v>
      </c>
      <c r="F413" s="257">
        <v>75</v>
      </c>
    </row>
    <row r="414" spans="2:7" ht="15" customHeight="1" x14ac:dyDescent="0.25">
      <c r="B414"/>
      <c r="C414" s="13" t="s">
        <v>462</v>
      </c>
      <c r="E414" s="257">
        <v>200</v>
      </c>
      <c r="F414" s="257">
        <v>0</v>
      </c>
    </row>
    <row r="415" spans="2:7" ht="15" customHeight="1" x14ac:dyDescent="0.25">
      <c r="B415"/>
      <c r="C415" s="245" t="s">
        <v>184</v>
      </c>
      <c r="D415" s="245"/>
      <c r="E415" s="258">
        <v>300</v>
      </c>
      <c r="F415" s="258">
        <v>70</v>
      </c>
    </row>
    <row r="416" spans="2:7" ht="15" customHeight="1" x14ac:dyDescent="0.25">
      <c r="B416"/>
      <c r="E416" s="108"/>
      <c r="F416" s="108"/>
    </row>
    <row r="417" spans="1:9" ht="15" customHeight="1" x14ac:dyDescent="0.25">
      <c r="B417" t="s">
        <v>185</v>
      </c>
      <c r="E417" s="108"/>
      <c r="F417" s="108"/>
    </row>
    <row r="418" spans="1:9" ht="15" customHeight="1" x14ac:dyDescent="0.2">
      <c r="G418" s="245"/>
      <c r="H418" s="245"/>
      <c r="I418" s="245"/>
    </row>
    <row r="419" spans="1:9" ht="15" customHeight="1" x14ac:dyDescent="0.2">
      <c r="B419" s="6"/>
      <c r="E419" s="256" t="s">
        <v>180</v>
      </c>
      <c r="F419" s="256" t="s">
        <v>181</v>
      </c>
      <c r="G419" s="104" t="s">
        <v>186</v>
      </c>
      <c r="H419" s="104"/>
      <c r="I419" s="104"/>
    </row>
    <row r="420" spans="1:9" ht="15" customHeight="1" x14ac:dyDescent="0.2">
      <c r="B420" s="6"/>
      <c r="E420" s="228"/>
      <c r="F420" s="228"/>
      <c r="G420" s="53" t="s">
        <v>187</v>
      </c>
      <c r="H420" s="106" t="s">
        <v>188</v>
      </c>
      <c r="I420" s="106" t="s">
        <v>189</v>
      </c>
    </row>
    <row r="421" spans="1:9" ht="15" customHeight="1" x14ac:dyDescent="0.2">
      <c r="B421" s="6"/>
      <c r="C421" s="245"/>
      <c r="D421" s="245"/>
      <c r="E421" s="243" t="s">
        <v>190</v>
      </c>
      <c r="F421" s="243" t="s">
        <v>190</v>
      </c>
      <c r="G421" s="107" t="s">
        <v>191</v>
      </c>
      <c r="H421" s="107" t="s">
        <v>192</v>
      </c>
      <c r="I421" s="107" t="s">
        <v>193</v>
      </c>
    </row>
    <row r="422" spans="1:9" ht="15" customHeight="1" x14ac:dyDescent="0.2">
      <c r="B422" s="6"/>
      <c r="C422" s="13" t="s">
        <v>459</v>
      </c>
      <c r="E422" s="259">
        <f t="shared" ref="E422:F425" si="0">E411*$G422/1000</f>
        <v>2734.1117487867778</v>
      </c>
      <c r="F422" s="259">
        <f t="shared" si="0"/>
        <v>497.11122705214137</v>
      </c>
      <c r="G422" s="259">
        <f>G98*E385</f>
        <v>9942.2245410428277</v>
      </c>
      <c r="H422" s="260">
        <v>214</v>
      </c>
      <c r="I422" s="108">
        <f>G422*H422</f>
        <v>2127636.051783165</v>
      </c>
    </row>
    <row r="423" spans="1:9" ht="15" customHeight="1" x14ac:dyDescent="0.2">
      <c r="B423" s="6"/>
      <c r="C423" s="13" t="s">
        <v>460</v>
      </c>
      <c r="E423" s="259">
        <f t="shared" si="0"/>
        <v>422.90973976875233</v>
      </c>
      <c r="F423" s="259">
        <f t="shared" si="0"/>
        <v>140.96991325625075</v>
      </c>
      <c r="G423" s="259">
        <f>IF(C28=1,1.5*G98*E388+G396+C27,IF(C28=2,G98*E388+G396+C27,IF(C28=3,0.15*G98*E388+0.25*G396+C27,IF(C28=4,0.5*G98*E388+0.25*G396,"Tipo inválido!"))))</f>
        <v>1409.6991325625077</v>
      </c>
      <c r="H423" s="260">
        <v>214</v>
      </c>
      <c r="I423" s="108">
        <f>G423*H423</f>
        <v>301675.61436837661</v>
      </c>
    </row>
    <row r="424" spans="1:9" ht="15" customHeight="1" x14ac:dyDescent="0.2">
      <c r="B424" s="6"/>
      <c r="C424" s="13" t="s">
        <v>461</v>
      </c>
      <c r="E424" s="259">
        <f t="shared" si="0"/>
        <v>217.51830779411867</v>
      </c>
      <c r="F424" s="259">
        <f t="shared" si="0"/>
        <v>65.255492338235598</v>
      </c>
      <c r="G424" s="259">
        <f>IF(OR(C28=1,C28=2),E391,IF(OR(C28=3,C28=4),0.6*E391,"Tipo inválido!"))</f>
        <v>870.07323117647468</v>
      </c>
      <c r="H424" s="260">
        <v>214</v>
      </c>
      <c r="I424" s="108">
        <f>G424*H424</f>
        <v>186195.67147176559</v>
      </c>
    </row>
    <row r="425" spans="1:9" ht="15" customHeight="1" x14ac:dyDescent="0.2">
      <c r="B425" s="6"/>
      <c r="C425" s="13" t="s">
        <v>462</v>
      </c>
      <c r="E425" s="259">
        <f t="shared" si="0"/>
        <v>0</v>
      </c>
      <c r="F425" s="259">
        <f t="shared" si="0"/>
        <v>0</v>
      </c>
      <c r="G425" s="259">
        <f>IF(OR(C28=1,C28=2,C28=3),C26,IF(C28=4,0,"Tipo inválido!"))</f>
        <v>0</v>
      </c>
      <c r="H425" s="260">
        <v>113</v>
      </c>
      <c r="I425" s="108">
        <f>G425*H425</f>
        <v>0</v>
      </c>
    </row>
    <row r="426" spans="1:9" ht="15" customHeight="1" x14ac:dyDescent="0.2">
      <c r="B426" s="6"/>
      <c r="C426" s="245" t="s">
        <v>184</v>
      </c>
      <c r="D426" s="245"/>
      <c r="E426" s="259">
        <f>E415*$G426/1000</f>
        <v>161.52608424521563</v>
      </c>
      <c r="F426" s="259">
        <f>F415*$G426/1000</f>
        <v>37.68941965721698</v>
      </c>
      <c r="G426" s="261">
        <f>$F$400</f>
        <v>538.42028081738545</v>
      </c>
      <c r="H426" s="260">
        <v>378</v>
      </c>
      <c r="I426" s="108">
        <f>G426*H426</f>
        <v>203522.86614897169</v>
      </c>
    </row>
    <row r="427" spans="1:9" ht="15" customHeight="1" x14ac:dyDescent="0.2">
      <c r="C427" s="262" t="s">
        <v>194</v>
      </c>
      <c r="D427" s="262"/>
      <c r="E427" s="115">
        <f>SUM(E422:E426)</f>
        <v>3536.0658805948647</v>
      </c>
      <c r="F427" s="115">
        <f>SUM(F422:F426)</f>
        <v>741.02605230384472</v>
      </c>
      <c r="G427" s="115">
        <f>SUM(G422:G426)</f>
        <v>12760.417185599195</v>
      </c>
      <c r="H427" s="263" t="s">
        <v>195</v>
      </c>
      <c r="I427" s="115">
        <f>SUM(I422:I426)</f>
        <v>2819030.203772279</v>
      </c>
    </row>
    <row r="428" spans="1:9" ht="15" customHeight="1" x14ac:dyDescent="0.2">
      <c r="E428" s="264"/>
      <c r="F428" s="264"/>
      <c r="G428" s="264"/>
    </row>
    <row r="429" spans="1:9" ht="15" customHeight="1" x14ac:dyDescent="0.25">
      <c r="B429"/>
      <c r="C429" s="10" t="s">
        <v>196</v>
      </c>
      <c r="D429" s="8">
        <f>I427/G427</f>
        <v>220.91990902567852</v>
      </c>
      <c r="E429" s="49" t="s">
        <v>158</v>
      </c>
      <c r="F429" s="49" t="s">
        <v>197</v>
      </c>
      <c r="G429" s="6"/>
    </row>
    <row r="430" spans="1:9" ht="15" customHeight="1" x14ac:dyDescent="0.25">
      <c r="B430"/>
      <c r="C430" s="10"/>
      <c r="D430" s="8"/>
      <c r="E430" s="49"/>
      <c r="F430" s="49"/>
      <c r="G430" s="6"/>
    </row>
    <row r="431" spans="1:9" ht="15" customHeight="1" x14ac:dyDescent="0.2"/>
    <row r="432" spans="1:9" ht="15" customHeight="1" x14ac:dyDescent="0.2">
      <c r="A432" s="87" t="s">
        <v>342</v>
      </c>
      <c r="B432" s="13" t="s">
        <v>463</v>
      </c>
    </row>
    <row r="433" spans="2:2" ht="15" customHeight="1" x14ac:dyDescent="0.2"/>
    <row r="434" spans="2:2" ht="15" customHeight="1" x14ac:dyDescent="0.2"/>
    <row r="435" spans="2:2" ht="15" customHeight="1" x14ac:dyDescent="0.2"/>
    <row r="436" spans="2:2" ht="15" customHeight="1" x14ac:dyDescent="0.2"/>
    <row r="437" spans="2:2" ht="15" customHeight="1" x14ac:dyDescent="0.2"/>
    <row r="438" spans="2:2" ht="15" customHeight="1" x14ac:dyDescent="0.2"/>
    <row r="439" spans="2:2" ht="15" customHeight="1" x14ac:dyDescent="0.2"/>
    <row r="440" spans="2:2" ht="15" customHeight="1" x14ac:dyDescent="0.2"/>
    <row r="441" spans="2:2" ht="15" customHeight="1" x14ac:dyDescent="0.2"/>
    <row r="442" spans="2:2" ht="15" customHeight="1" x14ac:dyDescent="0.2"/>
    <row r="443" spans="2:2" ht="15" customHeight="1" x14ac:dyDescent="0.2"/>
    <row r="444" spans="2:2" ht="15" customHeight="1" x14ac:dyDescent="0.2"/>
    <row r="445" spans="2:2" ht="15" customHeight="1" x14ac:dyDescent="0.2"/>
    <row r="446" spans="2:2" ht="15" customHeight="1" x14ac:dyDescent="0.2"/>
    <row r="447" spans="2:2" ht="15" customHeight="1" x14ac:dyDescent="0.2">
      <c r="B447" s="13" t="s">
        <v>464</v>
      </c>
    </row>
    <row r="448" spans="2:2" ht="15" customHeight="1" x14ac:dyDescent="0.2"/>
    <row r="449" spans="1:9" ht="15" customHeight="1" x14ac:dyDescent="0.2">
      <c r="E449" s="82">
        <f>IF(AND(D112&gt;=30),1565*D112+772973,1565*30+772973)</f>
        <v>2024973</v>
      </c>
      <c r="F449" s="65" t="s">
        <v>173</v>
      </c>
      <c r="I449" s="339" t="s">
        <v>727</v>
      </c>
    </row>
    <row r="450" spans="1:9" ht="15" customHeight="1" x14ac:dyDescent="0.2"/>
    <row r="451" spans="1:9" ht="15" customHeight="1" x14ac:dyDescent="0.2"/>
    <row r="452" spans="1:9" ht="15" customHeight="1" x14ac:dyDescent="0.2">
      <c r="A452" s="87" t="s">
        <v>345</v>
      </c>
      <c r="B452" s="13" t="s">
        <v>465</v>
      </c>
    </row>
    <row r="453" spans="1:9" ht="15" customHeight="1" x14ac:dyDescent="0.2"/>
    <row r="454" spans="1:9" ht="15" customHeight="1" x14ac:dyDescent="0.2"/>
    <row r="455" spans="1:9" ht="15" customHeight="1" x14ac:dyDescent="0.2"/>
    <row r="456" spans="1:9" ht="15" customHeight="1" x14ac:dyDescent="0.2"/>
    <row r="457" spans="1:9" ht="15" customHeight="1" x14ac:dyDescent="0.2"/>
    <row r="458" spans="1:9" ht="15" customHeight="1" x14ac:dyDescent="0.2"/>
    <row r="459" spans="1:9" ht="15" customHeight="1" x14ac:dyDescent="0.2"/>
    <row r="460" spans="1:9" ht="15" customHeight="1" x14ac:dyDescent="0.2"/>
    <row r="461" spans="1:9" ht="15" customHeight="1" x14ac:dyDescent="0.2"/>
    <row r="462" spans="1:9" ht="15" customHeight="1" x14ac:dyDescent="0.2"/>
    <row r="463" spans="1:9" ht="15" customHeight="1" x14ac:dyDescent="0.2"/>
    <row r="464" spans="1:9" ht="15" customHeight="1" x14ac:dyDescent="0.2"/>
    <row r="465" spans="1:16" ht="15" customHeight="1" x14ac:dyDescent="0.2"/>
    <row r="466" spans="1:16" ht="15" customHeight="1" x14ac:dyDescent="0.2"/>
    <row r="467" spans="1:16" ht="15" customHeight="1" x14ac:dyDescent="0.2">
      <c r="B467" s="13" t="s">
        <v>466</v>
      </c>
    </row>
    <row r="468" spans="1:16" ht="15" customHeight="1" x14ac:dyDescent="0.2"/>
    <row r="469" spans="1:16" ht="15" customHeight="1" x14ac:dyDescent="0.25">
      <c r="D469" s="82">
        <f>IF(AND(D112&gt;=30),6190*D112^(1+15.34/D112),6190*30^(1+15.34/30))</f>
        <v>5629209.1706500612</v>
      </c>
      <c r="E469" s="65" t="s">
        <v>173</v>
      </c>
      <c r="F469"/>
      <c r="I469" s="339" t="s">
        <v>727</v>
      </c>
    </row>
    <row r="470" spans="1:16" ht="15" customHeight="1" x14ac:dyDescent="0.2">
      <c r="E470" s="65"/>
      <c r="F470" s="65"/>
    </row>
    <row r="471" spans="1:16" ht="15" customHeight="1" x14ac:dyDescent="0.2">
      <c r="E471" s="65"/>
      <c r="F471" s="65"/>
    </row>
    <row r="472" spans="1:16" ht="15" customHeight="1" x14ac:dyDescent="0.2">
      <c r="A472" s="87" t="s">
        <v>372</v>
      </c>
      <c r="B472" s="13" t="s">
        <v>467</v>
      </c>
      <c r="E472" s="65"/>
      <c r="F472" s="65"/>
      <c r="N472" s="331" t="s">
        <v>1057</v>
      </c>
    </row>
    <row r="473" spans="1:16" ht="15" customHeight="1" x14ac:dyDescent="0.2">
      <c r="A473" s="87"/>
      <c r="E473" s="65"/>
      <c r="F473" s="65"/>
    </row>
    <row r="474" spans="1:16" ht="15" customHeight="1" x14ac:dyDescent="0.5">
      <c r="B474" s="246" t="s">
        <v>468</v>
      </c>
      <c r="E474" s="65"/>
      <c r="F474" s="65"/>
    </row>
    <row r="475" spans="1:16" ht="15" customHeight="1" x14ac:dyDescent="0.2">
      <c r="N475" s="331" t="s">
        <v>1082</v>
      </c>
    </row>
    <row r="476" spans="1:16" ht="15" customHeight="1" x14ac:dyDescent="0.2">
      <c r="N476" s="517" t="s">
        <v>1097</v>
      </c>
      <c r="O476" s="517">
        <f>F197</f>
        <v>4.3500000000000005</v>
      </c>
      <c r="P476" s="517" t="s">
        <v>1</v>
      </c>
    </row>
    <row r="477" spans="1:16" ht="15" customHeight="1" x14ac:dyDescent="0.2">
      <c r="N477" s="517" t="s">
        <v>1098</v>
      </c>
      <c r="O477" s="517">
        <f>D183</f>
        <v>200</v>
      </c>
      <c r="P477" s="517" t="s">
        <v>389</v>
      </c>
    </row>
    <row r="478" spans="1:16" ht="15" customHeight="1" x14ac:dyDescent="0.2"/>
    <row r="479" spans="1:16" ht="15" customHeight="1" x14ac:dyDescent="0.2">
      <c r="N479" s="331" t="s">
        <v>1060</v>
      </c>
    </row>
    <row r="480" spans="1:16" ht="15" customHeight="1" x14ac:dyDescent="0.2">
      <c r="N480" s="517" t="s">
        <v>1099</v>
      </c>
      <c r="O480" s="500">
        <f>((((O476*3.28)^3)*3)*(O477^0.5))*(0.4536/1000)</f>
        <v>55.89830003531273</v>
      </c>
      <c r="P480" s="517" t="s">
        <v>115</v>
      </c>
    </row>
    <row r="481" spans="2:16" ht="15" customHeight="1" x14ac:dyDescent="0.2">
      <c r="N481" s="517" t="s">
        <v>1100</v>
      </c>
      <c r="O481" s="500">
        <f>((O476*3.28)^2.33)*(2100*0.4536/1000)</f>
        <v>466.18507476494364</v>
      </c>
      <c r="P481" s="517" t="s">
        <v>115</v>
      </c>
    </row>
    <row r="482" spans="2:16" ht="15" customHeight="1" x14ac:dyDescent="0.2"/>
    <row r="483" spans="2:16" ht="15" customHeight="1" x14ac:dyDescent="0.2">
      <c r="N483" s="517" t="s">
        <v>1101</v>
      </c>
    </row>
    <row r="484" spans="2:16" ht="15" customHeight="1" x14ac:dyDescent="0.2"/>
    <row r="485" spans="2:16" ht="15" customHeight="1" x14ac:dyDescent="0.2"/>
    <row r="486" spans="2:16" ht="15" customHeight="1" x14ac:dyDescent="0.2"/>
    <row r="487" spans="2:16" ht="15" customHeight="1" x14ac:dyDescent="0.2"/>
    <row r="488" spans="2:16" ht="15" customHeight="1" x14ac:dyDescent="0.2"/>
    <row r="489" spans="2:16" ht="15" customHeight="1" x14ac:dyDescent="0.2"/>
    <row r="490" spans="2:16" ht="15" customHeight="1" x14ac:dyDescent="0.2"/>
    <row r="491" spans="2:16" ht="15" customHeight="1" x14ac:dyDescent="0.2"/>
    <row r="492" spans="2:16" ht="15" customHeight="1" x14ac:dyDescent="0.2">
      <c r="B492" s="13" t="s">
        <v>469</v>
      </c>
    </row>
    <row r="493" spans="2:16" ht="15" customHeight="1" x14ac:dyDescent="0.2"/>
    <row r="494" spans="2:16" ht="15" customHeight="1" x14ac:dyDescent="0.2">
      <c r="B494" s="13" t="s">
        <v>470</v>
      </c>
      <c r="F494" s="82">
        <f>IF(AND(D497&gt;=10,D497&lt;=10000),1000*(-0.0011*D497^2+18.162*D497+3279.8),"Fora da faixa de variacao da curva!  ERRO!")</f>
        <v>36050839.864872508</v>
      </c>
      <c r="G494" s="65" t="s">
        <v>282</v>
      </c>
      <c r="J494" s="339" t="s">
        <v>912</v>
      </c>
      <c r="L494" s="88"/>
      <c r="M494" s="374">
        <v>10</v>
      </c>
    </row>
    <row r="495" spans="2:16" ht="15" customHeight="1" x14ac:dyDescent="0.2">
      <c r="J495" s="339" t="s">
        <v>728</v>
      </c>
      <c r="K495" s="339"/>
      <c r="L495" s="373"/>
      <c r="M495" s="374">
        <v>10000</v>
      </c>
    </row>
    <row r="496" spans="2:16" ht="15" customHeight="1" x14ac:dyDescent="0.25">
      <c r="C496" s="13" t="s">
        <v>128</v>
      </c>
      <c r="D496"/>
      <c r="E496"/>
    </row>
    <row r="497" spans="1:25" ht="15" customHeight="1" x14ac:dyDescent="0.2">
      <c r="D497" s="13">
        <f>D116/D183</f>
        <v>2061.855</v>
      </c>
      <c r="E497" s="13" t="s">
        <v>471</v>
      </c>
    </row>
    <row r="498" spans="1:25" ht="15" customHeight="1" x14ac:dyDescent="0.25">
      <c r="A498" s="87"/>
      <c r="B498"/>
    </row>
    <row r="499" spans="1:25" ht="28.5" customHeight="1" x14ac:dyDescent="0.2">
      <c r="A499" s="526"/>
      <c r="B499" s="766" t="s">
        <v>281</v>
      </c>
      <c r="C499" s="766"/>
      <c r="D499" s="766"/>
      <c r="E499" s="766"/>
      <c r="G499" s="65" t="s">
        <v>282</v>
      </c>
    </row>
    <row r="500" spans="1:25" ht="15" customHeight="1" x14ac:dyDescent="0.2">
      <c r="A500" s="87"/>
      <c r="B500" s="13" t="s">
        <v>472</v>
      </c>
      <c r="F500" s="6">
        <f>F494+F499</f>
        <v>36050839.864872508</v>
      </c>
      <c r="G500" s="65" t="s">
        <v>282</v>
      </c>
    </row>
    <row r="501" spans="1:25" ht="15" customHeight="1" x14ac:dyDescent="0.25">
      <c r="A501" s="87"/>
      <c r="B501"/>
    </row>
    <row r="502" spans="1:25" ht="15" customHeight="1" x14ac:dyDescent="0.25">
      <c r="A502" s="87"/>
      <c r="B502"/>
    </row>
    <row r="503" spans="1:25" ht="15" customHeight="1" x14ac:dyDescent="0.5">
      <c r="A503" s="87"/>
      <c r="B503" s="246" t="s">
        <v>473</v>
      </c>
    </row>
    <row r="504" spans="1:25" ht="15" customHeight="1" x14ac:dyDescent="0.2">
      <c r="A504" s="87"/>
    </row>
    <row r="505" spans="1:25" ht="15" customHeight="1" x14ac:dyDescent="0.2">
      <c r="A505" s="87"/>
      <c r="B505" s="13" t="s">
        <v>474</v>
      </c>
      <c r="N505" s="496" t="s">
        <v>1058</v>
      </c>
      <c r="O505" s="497"/>
      <c r="P505" s="491"/>
      <c r="Q505" s="491"/>
      <c r="R505" s="491"/>
      <c r="S505" s="496" t="s">
        <v>1059</v>
      </c>
      <c r="T505" s="491"/>
      <c r="U505" s="491"/>
      <c r="V505" s="491"/>
      <c r="W505" s="496" t="s">
        <v>1060</v>
      </c>
      <c r="X505" s="491"/>
      <c r="Y505" s="491"/>
    </row>
    <row r="506" spans="1:25" ht="15" customHeight="1" x14ac:dyDescent="0.25">
      <c r="A506" s="87"/>
      <c r="H506"/>
      <c r="I506"/>
      <c r="J506"/>
      <c r="N506" s="491" t="s">
        <v>1061</v>
      </c>
      <c r="O506" s="497"/>
      <c r="P506" s="14"/>
      <c r="Q506" s="491" t="s">
        <v>1</v>
      </c>
      <c r="R506" s="491"/>
      <c r="S506" s="491" t="s">
        <v>1062</v>
      </c>
      <c r="T506" s="491"/>
      <c r="U506" s="491" t="s">
        <v>1</v>
      </c>
      <c r="V506" s="491"/>
      <c r="W506" s="491" t="s">
        <v>1062</v>
      </c>
      <c r="X506" s="500">
        <f>((100*((2*T515)+(T507)))+(((P507-P510)^2)*(T515^2)*T510*0.005))/(1000)</f>
        <v>7.0912211792058972</v>
      </c>
      <c r="Y506" s="491" t="s">
        <v>115</v>
      </c>
    </row>
    <row r="507" spans="1:25" ht="15" customHeight="1" x14ac:dyDescent="0.2">
      <c r="A507" s="87"/>
      <c r="N507" s="491" t="s">
        <v>1063</v>
      </c>
      <c r="O507" s="497"/>
      <c r="P507" s="499">
        <f>C29</f>
        <v>1348.9554735352121</v>
      </c>
      <c r="Q507" s="491" t="s">
        <v>1</v>
      </c>
      <c r="R507" s="491" t="s">
        <v>1077</v>
      </c>
      <c r="S507" s="491" t="s">
        <v>1064</v>
      </c>
      <c r="T507" s="14">
        <f>(P509-P510-1.5)</f>
        <v>54.624778447793233</v>
      </c>
      <c r="U507" s="491" t="s">
        <v>1</v>
      </c>
      <c r="V507" s="491"/>
      <c r="W507" s="491" t="s">
        <v>1065</v>
      </c>
      <c r="X507" s="500">
        <f>((T515*T510/1000)*(((T511^0.5)*30.074)+((19.989+(1.113*T511))*T515)))</f>
        <v>12.442677396264482</v>
      </c>
      <c r="Y507" s="491" t="s">
        <v>115</v>
      </c>
    </row>
    <row r="508" spans="1:25" ht="15" customHeight="1" x14ac:dyDescent="0.3">
      <c r="A508" s="87"/>
      <c r="D508"/>
      <c r="E508" s="87" t="s">
        <v>475</v>
      </c>
      <c r="F508" s="82">
        <f>IF(G98&lt;=10,2*D236,3*D236)</f>
        <v>4</v>
      </c>
      <c r="G508" s="65" t="s">
        <v>476</v>
      </c>
      <c r="N508" s="491" t="s">
        <v>1066</v>
      </c>
      <c r="O508" s="497"/>
      <c r="P508" s="14"/>
      <c r="Q508" s="491" t="s">
        <v>1</v>
      </c>
      <c r="R508" s="491"/>
      <c r="S508" s="501"/>
      <c r="T508" s="491"/>
      <c r="U508" s="491"/>
      <c r="V508" s="491"/>
      <c r="W508" s="491" t="s">
        <v>1079</v>
      </c>
      <c r="X508" s="505">
        <f>X507/P517</f>
        <v>4.1475591320881611</v>
      </c>
      <c r="Y508" s="491" t="s">
        <v>115</v>
      </c>
    </row>
    <row r="509" spans="1:25" ht="15" customHeight="1" x14ac:dyDescent="0.2">
      <c r="A509" s="87"/>
      <c r="B509" s="13" t="s">
        <v>477</v>
      </c>
      <c r="F509" s="82"/>
      <c r="N509" s="491" t="s">
        <v>1067</v>
      </c>
      <c r="O509" s="497"/>
      <c r="P509" s="499">
        <f>iohsrf2!I49</f>
        <v>1383.0904690009356</v>
      </c>
      <c r="Q509" s="491" t="s">
        <v>1</v>
      </c>
      <c r="R509" s="491" t="s">
        <v>1102</v>
      </c>
      <c r="S509" s="496" t="s">
        <v>1068</v>
      </c>
      <c r="T509" s="491"/>
      <c r="U509" s="491"/>
      <c r="V509" s="491"/>
      <c r="W509" s="491"/>
      <c r="X509" s="491"/>
      <c r="Y509" s="491"/>
    </row>
    <row r="510" spans="1:25" ht="15" customHeight="1" x14ac:dyDescent="0.2">
      <c r="A510" s="87"/>
      <c r="N510" s="491" t="s">
        <v>1069</v>
      </c>
      <c r="O510" s="497"/>
      <c r="P510" s="499">
        <f>D210-C251+D226/6</f>
        <v>1326.9656905531424</v>
      </c>
      <c r="Q510" s="491" t="s">
        <v>1</v>
      </c>
      <c r="R510" s="491"/>
      <c r="S510" s="491" t="s">
        <v>1070</v>
      </c>
      <c r="T510" s="14">
        <f>(P515+0.15)</f>
        <v>5.8050000000000015</v>
      </c>
      <c r="U510" s="491" t="s">
        <v>1</v>
      </c>
      <c r="V510" s="491"/>
      <c r="W510" s="491"/>
      <c r="X510" s="491"/>
      <c r="Y510" s="491"/>
    </row>
    <row r="511" spans="1:25" ht="15" customHeight="1" x14ac:dyDescent="0.2">
      <c r="A511" s="87"/>
      <c r="N511" s="491"/>
      <c r="O511" s="491"/>
      <c r="P511" s="14"/>
      <c r="Q511" s="491"/>
      <c r="R511" s="491"/>
      <c r="S511" s="491" t="s">
        <v>1071</v>
      </c>
      <c r="T511" s="14">
        <f>((P507-P510)-(T510/2))</f>
        <v>19.087282982069755</v>
      </c>
      <c r="U511" s="491" t="s">
        <v>1</v>
      </c>
      <c r="V511" s="491"/>
      <c r="W511" s="491"/>
      <c r="X511" s="491"/>
      <c r="Y511" s="491"/>
    </row>
    <row r="512" spans="1:25" ht="15" customHeight="1" x14ac:dyDescent="0.2">
      <c r="A512" s="87"/>
      <c r="N512" s="491"/>
      <c r="O512" s="502"/>
      <c r="P512" s="14"/>
      <c r="Q512" s="491"/>
      <c r="R512" s="491"/>
      <c r="S512" s="491" t="s">
        <v>1072</v>
      </c>
      <c r="T512" s="14"/>
      <c r="U512" s="491" t="s">
        <v>1</v>
      </c>
      <c r="V512" s="491"/>
      <c r="W512" s="491"/>
      <c r="X512" s="491"/>
      <c r="Y512" s="491"/>
    </row>
    <row r="513" spans="1:25" ht="15" customHeight="1" x14ac:dyDescent="0.2">
      <c r="A513" s="87"/>
      <c r="N513" s="496" t="s">
        <v>1073</v>
      </c>
      <c r="O513" s="497"/>
      <c r="P513" s="14"/>
      <c r="Q513" s="491"/>
      <c r="R513" s="491"/>
      <c r="S513" s="491"/>
      <c r="T513" s="491"/>
      <c r="U513" s="491"/>
      <c r="V513" s="491"/>
      <c r="W513" s="491"/>
      <c r="X513" s="491"/>
      <c r="Y513" s="491"/>
    </row>
    <row r="514" spans="1:25" ht="15" customHeight="1" x14ac:dyDescent="0.2">
      <c r="A514" s="87"/>
      <c r="N514" s="491" t="s">
        <v>1074</v>
      </c>
      <c r="P514" s="14">
        <f>D534</f>
        <v>5.3906364939477607</v>
      </c>
      <c r="Q514" s="491" t="s">
        <v>1</v>
      </c>
      <c r="R514" s="491"/>
      <c r="S514" s="496" t="s">
        <v>1075</v>
      </c>
      <c r="T514" s="491"/>
      <c r="U514" s="491"/>
      <c r="V514" s="491"/>
      <c r="W514" s="491"/>
      <c r="X514" s="491"/>
      <c r="Y514" s="491"/>
    </row>
    <row r="515" spans="1:25" ht="15" customHeight="1" x14ac:dyDescent="0.2">
      <c r="A515" s="87"/>
      <c r="N515" s="491" t="s">
        <v>8</v>
      </c>
      <c r="O515" s="502"/>
      <c r="P515" s="517">
        <f>E532</f>
        <v>5.6550000000000011</v>
      </c>
      <c r="Q515" s="491" t="s">
        <v>1</v>
      </c>
      <c r="R515" s="491"/>
      <c r="S515" s="491" t="s">
        <v>1076</v>
      </c>
      <c r="T515" s="14">
        <f>(P514+0.4)</f>
        <v>5.790636493947761</v>
      </c>
      <c r="U515" s="491" t="s">
        <v>1</v>
      </c>
      <c r="V515" s="491"/>
      <c r="W515" s="491"/>
      <c r="X515" s="491"/>
      <c r="Y515" s="491"/>
    </row>
    <row r="516" spans="1:25" ht="15" customHeight="1" x14ac:dyDescent="0.2">
      <c r="A516" s="87"/>
      <c r="N516" s="506" t="s">
        <v>1080</v>
      </c>
      <c r="O516" s="491"/>
      <c r="P516" s="505">
        <v>2</v>
      </c>
      <c r="Q516" s="491" t="s">
        <v>1</v>
      </c>
      <c r="R516" s="491"/>
      <c r="S516" s="491"/>
      <c r="T516" s="491"/>
      <c r="U516" s="491"/>
      <c r="V516" s="491"/>
      <c r="W516" s="491"/>
      <c r="X516" s="491"/>
      <c r="Y516" s="491"/>
    </row>
    <row r="517" spans="1:25" ht="15" customHeight="1" x14ac:dyDescent="0.2">
      <c r="A517" s="87"/>
      <c r="N517" s="491" t="s">
        <v>1081</v>
      </c>
      <c r="O517" s="491"/>
      <c r="P517" s="507">
        <f>TRUNC(P515/2)+1</f>
        <v>3</v>
      </c>
      <c r="Q517" s="491"/>
    </row>
    <row r="518" spans="1:25" ht="15" customHeight="1" x14ac:dyDescent="0.2">
      <c r="A518" s="87"/>
    </row>
    <row r="519" spans="1:25" ht="15" customHeight="1" x14ac:dyDescent="0.2">
      <c r="A519" s="87"/>
    </row>
    <row r="520" spans="1:25" ht="15" customHeight="1" x14ac:dyDescent="0.2">
      <c r="A520" s="87"/>
    </row>
    <row r="521" spans="1:25" ht="15" customHeight="1" x14ac:dyDescent="0.2">
      <c r="A521" s="87"/>
    </row>
    <row r="522" spans="1:25" ht="15" customHeight="1" x14ac:dyDescent="0.2">
      <c r="A522" s="87"/>
    </row>
    <row r="523" spans="1:25" ht="15" customHeight="1" x14ac:dyDescent="0.2">
      <c r="A523" s="87"/>
    </row>
    <row r="524" spans="1:25" ht="15" customHeight="1" x14ac:dyDescent="0.2">
      <c r="A524" s="87"/>
      <c r="B524" s="13" t="s">
        <v>478</v>
      </c>
    </row>
    <row r="525" spans="1:25" ht="15" customHeight="1" x14ac:dyDescent="0.2">
      <c r="A525" s="87"/>
    </row>
    <row r="526" spans="1:25" ht="15" customHeight="1" x14ac:dyDescent="0.2">
      <c r="A526" s="87"/>
      <c r="E526" s="82">
        <f>IF(AND(E529&gt;=0.16,E529&lt;=54.5),1000*72.9*E529^0.716,"Fora da faixa de variacao da curva!")</f>
        <v>205769.45066494992</v>
      </c>
      <c r="F526" s="65" t="s">
        <v>282</v>
      </c>
      <c r="I526" s="339" t="s">
        <v>729</v>
      </c>
    </row>
    <row r="527" spans="1:25" ht="15" customHeight="1" x14ac:dyDescent="0.2">
      <c r="A527" s="87"/>
    </row>
    <row r="528" spans="1:25" ht="15" customHeight="1" x14ac:dyDescent="0.2">
      <c r="A528" s="87"/>
      <c r="B528" s="87" t="s">
        <v>128</v>
      </c>
    </row>
    <row r="529" spans="1:17" ht="15" customHeight="1" x14ac:dyDescent="0.25">
      <c r="A529" s="87"/>
      <c r="B529"/>
      <c r="C529"/>
      <c r="E529" s="13">
        <f>D534^2*E532*E531/1000</f>
        <v>4.2599465286732938</v>
      </c>
      <c r="F529" s="13" t="s">
        <v>280</v>
      </c>
      <c r="H529" s="265"/>
    </row>
    <row r="530" spans="1:17" ht="15" customHeight="1" x14ac:dyDescent="0.2">
      <c r="A530" s="87"/>
    </row>
    <row r="531" spans="1:17" ht="15" customHeight="1" x14ac:dyDescent="0.3">
      <c r="A531" s="87"/>
      <c r="C531" s="13" t="s">
        <v>479</v>
      </c>
      <c r="E531" s="13">
        <f>C29-D210+C251</f>
        <v>25.923369155857401</v>
      </c>
      <c r="F531" s="13" t="s">
        <v>1</v>
      </c>
    </row>
    <row r="532" spans="1:17" ht="15" customHeight="1" x14ac:dyDescent="0.3">
      <c r="A532" s="87"/>
      <c r="C532" s="13" t="s">
        <v>480</v>
      </c>
      <c r="D532"/>
      <c r="E532" s="13">
        <f>D224</f>
        <v>5.6550000000000011</v>
      </c>
      <c r="F532" s="13" t="s">
        <v>1</v>
      </c>
    </row>
    <row r="533" spans="1:17" ht="15" customHeight="1" x14ac:dyDescent="0.2">
      <c r="A533" s="87"/>
    </row>
    <row r="534" spans="1:17" ht="15" customHeight="1" x14ac:dyDescent="0.2">
      <c r="A534" s="87"/>
      <c r="D534" s="13">
        <f>IF(D229*D224&lt;30,D229,(D229-D235)/2)</f>
        <v>5.3906364939477607</v>
      </c>
      <c r="E534" s="13" t="s">
        <v>1</v>
      </c>
    </row>
    <row r="535" spans="1:17" ht="15" customHeight="1" x14ac:dyDescent="0.2">
      <c r="A535" s="87"/>
      <c r="Q535" s="503"/>
    </row>
    <row r="536" spans="1:17" ht="41.25" customHeight="1" x14ac:dyDescent="0.2">
      <c r="A536" s="526"/>
      <c r="B536" s="766" t="s">
        <v>281</v>
      </c>
      <c r="C536" s="766"/>
      <c r="D536" s="766"/>
      <c r="F536" s="65" t="s">
        <v>282</v>
      </c>
    </row>
    <row r="537" spans="1:17" ht="15" customHeight="1" x14ac:dyDescent="0.2">
      <c r="A537" s="87"/>
      <c r="B537" s="13" t="s">
        <v>283</v>
      </c>
      <c r="E537" s="6">
        <f>E526+E536</f>
        <v>205769.45066494992</v>
      </c>
      <c r="F537" s="65" t="s">
        <v>282</v>
      </c>
    </row>
    <row r="538" spans="1:17" ht="15" customHeight="1" x14ac:dyDescent="0.25">
      <c r="A538" s="87"/>
      <c r="B538"/>
      <c r="C538"/>
      <c r="D538"/>
      <c r="E538"/>
      <c r="F538"/>
      <c r="G538"/>
    </row>
    <row r="539" spans="1:17" ht="15" customHeight="1" x14ac:dyDescent="0.2">
      <c r="A539" s="87"/>
      <c r="B539" s="13" t="s">
        <v>481</v>
      </c>
    </row>
    <row r="540" spans="1:17" ht="15" customHeight="1" x14ac:dyDescent="0.2">
      <c r="A540" s="87"/>
    </row>
    <row r="541" spans="1:17" ht="15" customHeight="1" x14ac:dyDescent="0.2">
      <c r="A541" s="87"/>
      <c r="E541" s="65">
        <f>2*D236*G98*(E531+2)*2084.8</f>
        <v>465717.12012905214</v>
      </c>
      <c r="F541" s="65" t="s">
        <v>173</v>
      </c>
    </row>
    <row r="542" spans="1:17" ht="15" customHeight="1" x14ac:dyDescent="0.2">
      <c r="A542" s="87"/>
      <c r="E542" s="65"/>
      <c r="F542" s="65"/>
    </row>
    <row r="543" spans="1:17" ht="39.75" customHeight="1" x14ac:dyDescent="0.2">
      <c r="A543" s="526"/>
      <c r="B543" s="766" t="s">
        <v>281</v>
      </c>
      <c r="C543" s="766"/>
      <c r="D543" s="766"/>
      <c r="F543" s="65" t="s">
        <v>173</v>
      </c>
    </row>
    <row r="544" spans="1:17" ht="22.5" customHeight="1" x14ac:dyDescent="0.2">
      <c r="A544" s="87"/>
      <c r="B544" s="13" t="s">
        <v>290</v>
      </c>
      <c r="E544" s="13">
        <f>E541+E543</f>
        <v>465717.12012905214</v>
      </c>
      <c r="F544" s="65" t="s">
        <v>173</v>
      </c>
    </row>
    <row r="545" spans="1:16" ht="15" customHeight="1" x14ac:dyDescent="0.2">
      <c r="A545" s="87"/>
      <c r="E545" s="65"/>
      <c r="F545" s="65"/>
    </row>
    <row r="546" spans="1:16" ht="15" customHeight="1" x14ac:dyDescent="0.2">
      <c r="A546" s="87"/>
    </row>
    <row r="547" spans="1:16" ht="15" customHeight="1" x14ac:dyDescent="0.5">
      <c r="B547" s="246" t="s">
        <v>482</v>
      </c>
    </row>
    <row r="548" spans="1:16" ht="15" customHeight="1" x14ac:dyDescent="0.2"/>
    <row r="549" spans="1:16" ht="15" customHeight="1" x14ac:dyDescent="0.2">
      <c r="N549" s="331" t="s">
        <v>1082</v>
      </c>
    </row>
    <row r="550" spans="1:16" ht="15" customHeight="1" x14ac:dyDescent="0.2">
      <c r="N550" s="517" t="s">
        <v>642</v>
      </c>
      <c r="O550" s="517">
        <f>D573</f>
        <v>444.44444444444446</v>
      </c>
      <c r="P550" s="517" t="s">
        <v>486</v>
      </c>
    </row>
    <row r="551" spans="1:16" ht="15" customHeight="1" x14ac:dyDescent="0.2">
      <c r="N551" s="517" t="s">
        <v>1098</v>
      </c>
      <c r="O551" s="517">
        <f>O477</f>
        <v>200</v>
      </c>
      <c r="P551" s="517" t="s">
        <v>389</v>
      </c>
    </row>
    <row r="552" spans="1:16" ht="15" customHeight="1" x14ac:dyDescent="0.2"/>
    <row r="553" spans="1:16" ht="15" customHeight="1" x14ac:dyDescent="0.2">
      <c r="N553" s="331" t="s">
        <v>1060</v>
      </c>
    </row>
    <row r="554" spans="1:16" ht="15" customHeight="1" x14ac:dyDescent="0.2">
      <c r="N554" s="517" t="s">
        <v>1099</v>
      </c>
      <c r="O554" s="500">
        <f>50*(O550/(O551^0.5))^0.74</f>
        <v>641.17095783502032</v>
      </c>
      <c r="P554" s="517" t="s">
        <v>115</v>
      </c>
    </row>
    <row r="555" spans="1:16" ht="15" customHeight="1" x14ac:dyDescent="0.2">
      <c r="N555" s="517" t="s">
        <v>1103</v>
      </c>
      <c r="O555" s="500">
        <f>0.65*O554</f>
        <v>416.76112259276323</v>
      </c>
      <c r="P555" s="517" t="s">
        <v>115</v>
      </c>
    </row>
    <row r="556" spans="1:16" ht="15" customHeight="1" x14ac:dyDescent="0.2">
      <c r="N556" s="517" t="s">
        <v>1104</v>
      </c>
      <c r="O556" s="500">
        <f>2.15*O554</f>
        <v>1378.5175593452936</v>
      </c>
      <c r="P556" s="517" t="s">
        <v>115</v>
      </c>
    </row>
    <row r="557" spans="1:16" ht="15" customHeight="1" x14ac:dyDescent="0.2"/>
    <row r="558" spans="1:16" ht="15" customHeight="1" x14ac:dyDescent="0.2"/>
    <row r="559" spans="1:16" ht="15" customHeight="1" x14ac:dyDescent="0.2"/>
    <row r="560" spans="1:16" ht="15" customHeight="1" x14ac:dyDescent="0.2"/>
    <row r="561" spans="1:13" ht="15" customHeight="1" x14ac:dyDescent="0.2"/>
    <row r="562" spans="1:13" ht="15" customHeight="1" x14ac:dyDescent="0.2"/>
    <row r="563" spans="1:13" ht="15" customHeight="1" x14ac:dyDescent="0.2"/>
    <row r="564" spans="1:13" ht="15" customHeight="1" x14ac:dyDescent="0.2"/>
    <row r="565" spans="1:13" ht="15" customHeight="1" x14ac:dyDescent="0.2">
      <c r="B565" s="13" t="s">
        <v>483</v>
      </c>
    </row>
    <row r="566" spans="1:13" ht="15" customHeight="1" x14ac:dyDescent="0.2">
      <c r="I566" s="339" t="s">
        <v>913</v>
      </c>
      <c r="M566" s="457" t="s">
        <v>914</v>
      </c>
    </row>
    <row r="567" spans="1:13" ht="15" customHeight="1" x14ac:dyDescent="0.2">
      <c r="B567" s="13" t="s">
        <v>484</v>
      </c>
      <c r="I567" s="339" t="s">
        <v>733</v>
      </c>
      <c r="K567" s="88"/>
      <c r="L567" s="450">
        <v>0</v>
      </c>
      <c r="M567" s="375"/>
    </row>
    <row r="568" spans="1:13" ht="15" customHeight="1" x14ac:dyDescent="0.2">
      <c r="I568" s="339" t="s">
        <v>730</v>
      </c>
      <c r="J568" s="339"/>
      <c r="K568" s="373"/>
      <c r="L568" s="376">
        <v>8</v>
      </c>
    </row>
    <row r="569" spans="1:13" ht="15" customHeight="1" x14ac:dyDescent="0.2">
      <c r="B569" s="13" t="s">
        <v>128</v>
      </c>
    </row>
    <row r="570" spans="1:13" ht="15" customHeight="1" x14ac:dyDescent="0.2"/>
    <row r="571" spans="1:13" ht="15" customHeight="1" x14ac:dyDescent="0.2">
      <c r="A571" s="762"/>
      <c r="B571" s="762"/>
      <c r="D571" s="65">
        <f>D573/D183</f>
        <v>2.2222222222222223</v>
      </c>
      <c r="E571" s="13" t="s">
        <v>485</v>
      </c>
    </row>
    <row r="572" spans="1:13" ht="15" customHeight="1" x14ac:dyDescent="0.2">
      <c r="A572" s="87"/>
      <c r="B572" s="87"/>
    </row>
    <row r="573" spans="1:13" ht="15" customHeight="1" x14ac:dyDescent="0.2">
      <c r="A573" s="87"/>
      <c r="B573" s="15"/>
      <c r="D573" s="13">
        <f>D104/C19</f>
        <v>444.44444444444446</v>
      </c>
      <c r="E573" s="13" t="s">
        <v>486</v>
      </c>
    </row>
    <row r="574" spans="1:13" ht="15" customHeight="1" x14ac:dyDescent="0.2">
      <c r="A574" s="87"/>
      <c r="B574" s="87"/>
    </row>
    <row r="575" spans="1:13" ht="15" customHeight="1" x14ac:dyDescent="0.25">
      <c r="B575" s="15" t="s">
        <v>487</v>
      </c>
      <c r="C575"/>
      <c r="E575" s="266"/>
    </row>
    <row r="576" spans="1:13" ht="15" customHeight="1" x14ac:dyDescent="0.25">
      <c r="C576"/>
      <c r="D576"/>
      <c r="E576"/>
    </row>
    <row r="577" spans="1:28" ht="15" customHeight="1" x14ac:dyDescent="0.2">
      <c r="E577" s="10" t="s">
        <v>488</v>
      </c>
      <c r="F577" s="264">
        <f>IF(AND(D571&gt;=0,D571&lt;=8),1000*32000*(D571)^0.58, "Relacao MVA/rpm fora da validade do grafico B16.")</f>
        <v>50849503.915487878</v>
      </c>
      <c r="G577" s="65" t="s">
        <v>282</v>
      </c>
    </row>
    <row r="578" spans="1:28" ht="29.25" customHeight="1" x14ac:dyDescent="0.2">
      <c r="A578" s="527"/>
      <c r="B578" s="740" t="s">
        <v>281</v>
      </c>
      <c r="C578" s="740"/>
      <c r="D578" s="740"/>
      <c r="E578" s="740"/>
      <c r="G578" s="65" t="s">
        <v>282</v>
      </c>
    </row>
    <row r="579" spans="1:28" ht="21.75" customHeight="1" x14ac:dyDescent="0.2">
      <c r="B579" s="13" t="s">
        <v>489</v>
      </c>
      <c r="F579" s="6">
        <f>F577+F578</f>
        <v>50849503.915487878</v>
      </c>
      <c r="G579" s="65" t="s">
        <v>282</v>
      </c>
    </row>
    <row r="580" spans="1:28" ht="15" customHeight="1" x14ac:dyDescent="0.2">
      <c r="C580" s="10"/>
      <c r="D580" s="267"/>
      <c r="E580" s="65"/>
    </row>
    <row r="581" spans="1:28" ht="15" customHeight="1" x14ac:dyDescent="0.2">
      <c r="C581" s="10"/>
      <c r="D581" s="91"/>
      <c r="E581" s="65"/>
    </row>
    <row r="582" spans="1:28" ht="15" customHeight="1" x14ac:dyDescent="0.25">
      <c r="C582"/>
      <c r="D582"/>
      <c r="E582"/>
    </row>
    <row r="583" spans="1:28" ht="15" customHeight="1" x14ac:dyDescent="0.5">
      <c r="A583" s="87"/>
      <c r="B583" s="246" t="s">
        <v>490</v>
      </c>
    </row>
    <row r="584" spans="1:28" ht="15" customHeight="1" x14ac:dyDescent="0.5">
      <c r="A584" s="87"/>
      <c r="B584" s="246"/>
    </row>
    <row r="585" spans="1:28" ht="15" customHeight="1" x14ac:dyDescent="0.25">
      <c r="A585" s="87"/>
      <c r="B585" s="15" t="s">
        <v>491</v>
      </c>
      <c r="D585"/>
    </row>
    <row r="586" spans="1:28" ht="15" customHeight="1" x14ac:dyDescent="0.25">
      <c r="A586" s="87"/>
      <c r="B586" s="15"/>
      <c r="D586"/>
    </row>
    <row r="587" spans="1:28" ht="15" customHeight="1" x14ac:dyDescent="0.2"/>
    <row r="588" spans="1:28" ht="15" customHeight="1" x14ac:dyDescent="0.5">
      <c r="A588" s="87"/>
      <c r="B588" s="246" t="s">
        <v>492</v>
      </c>
    </row>
    <row r="589" spans="1:28" ht="15" customHeight="1" x14ac:dyDescent="0.2"/>
    <row r="590" spans="1:28" ht="15" customHeight="1" x14ac:dyDescent="0.2">
      <c r="B590" s="13" t="s">
        <v>493</v>
      </c>
      <c r="N590" s="496" t="s">
        <v>1082</v>
      </c>
      <c r="O590" s="491"/>
      <c r="P590" s="491"/>
      <c r="Q590" s="491"/>
      <c r="R590" s="491"/>
      <c r="S590" s="491"/>
      <c r="T590" s="491"/>
      <c r="U590" s="491"/>
      <c r="V590" s="491"/>
      <c r="W590" s="496" t="s">
        <v>1060</v>
      </c>
      <c r="X590" s="491"/>
      <c r="Y590" s="491"/>
      <c r="Z590" s="491"/>
      <c r="AA590" s="496" t="s">
        <v>1086</v>
      </c>
      <c r="AB590" s="496" t="s">
        <v>1060</v>
      </c>
    </row>
    <row r="591" spans="1:28" ht="15" customHeight="1" x14ac:dyDescent="0.2">
      <c r="N591" s="491" t="s">
        <v>1085</v>
      </c>
      <c r="O591" s="491"/>
      <c r="P591" s="505">
        <f>1.05*O554</f>
        <v>673.22950572677132</v>
      </c>
      <c r="Q591" s="491" t="s">
        <v>115</v>
      </c>
      <c r="R591" s="491"/>
      <c r="S591" s="491"/>
      <c r="T591" s="491"/>
      <c r="U591" s="491"/>
      <c r="V591" s="491"/>
      <c r="W591" s="491" t="s">
        <v>1105</v>
      </c>
      <c r="X591" s="500">
        <f>(VLOOKUP(P592+5,AA592:AB598,2)-VLOOKUP(P592,AA592:AB598,2))*(P592-(VLOOKUP(P592,AA592:AB598,1)))/5+VLOOKUP(P592,AA592:AB598,2)</f>
        <v>469.11785658439055</v>
      </c>
      <c r="Y591" s="491" t="s">
        <v>115</v>
      </c>
      <c r="Z591" s="491"/>
      <c r="AA591" s="518" t="s">
        <v>1089</v>
      </c>
      <c r="AB591" s="518" t="s">
        <v>190</v>
      </c>
    </row>
    <row r="592" spans="1:28" ht="15" customHeight="1" x14ac:dyDescent="0.2">
      <c r="N592" s="491" t="s">
        <v>1087</v>
      </c>
      <c r="O592" s="491"/>
      <c r="P592" s="499">
        <f>C288-2*(0.5+0.02*C288)</f>
        <v>19.401492909298405</v>
      </c>
      <c r="Q592" s="491" t="s">
        <v>1</v>
      </c>
      <c r="R592" s="491"/>
      <c r="S592" s="491"/>
      <c r="T592" s="491"/>
      <c r="U592" s="491"/>
      <c r="V592" s="491"/>
      <c r="W592" s="491"/>
      <c r="X592" s="491"/>
      <c r="Y592" s="491"/>
      <c r="Z592" s="491"/>
      <c r="AA592" s="519">
        <v>5</v>
      </c>
      <c r="AB592" s="520">
        <f>8.053996037+0.500809115*P591</f>
        <v>345.21346899191178</v>
      </c>
    </row>
    <row r="593" spans="2:28" ht="15" customHeight="1" x14ac:dyDescent="0.2">
      <c r="N593" s="491"/>
      <c r="O593" s="491"/>
      <c r="P593" s="491"/>
      <c r="Q593" s="491"/>
      <c r="R593" s="491"/>
      <c r="S593" s="491"/>
      <c r="T593" s="491"/>
      <c r="U593" s="491"/>
      <c r="V593" s="491"/>
      <c r="W593" s="491"/>
      <c r="X593" s="491"/>
      <c r="Y593" s="491"/>
      <c r="Z593" s="491"/>
      <c r="AA593" s="519">
        <v>10</v>
      </c>
      <c r="AB593" s="520">
        <f>5.60006605+0.569848085*P591</f>
        <v>389.23861065389713</v>
      </c>
    </row>
    <row r="594" spans="2:28" ht="15" customHeight="1" x14ac:dyDescent="0.2">
      <c r="N594" s="491"/>
      <c r="O594" s="491"/>
      <c r="P594" s="491"/>
      <c r="Q594" s="491"/>
      <c r="R594" s="491"/>
      <c r="S594" s="491"/>
      <c r="T594" s="491"/>
      <c r="U594" s="491"/>
      <c r="V594" s="491"/>
      <c r="W594" s="491"/>
      <c r="X594" s="491"/>
      <c r="Y594" s="491"/>
      <c r="Z594" s="491"/>
      <c r="AA594" s="519">
        <v>15</v>
      </c>
      <c r="AB594" s="520">
        <f>7.432298547+0.630713342*P591</f>
        <v>432.04713003694008</v>
      </c>
    </row>
    <row r="595" spans="2:28" ht="15" customHeight="1" x14ac:dyDescent="0.2">
      <c r="N595" s="491"/>
      <c r="O595" s="491"/>
      <c r="P595" s="491"/>
      <c r="Q595" s="491"/>
      <c r="R595" s="491"/>
      <c r="S595" s="491"/>
      <c r="T595" s="491"/>
      <c r="U595" s="491"/>
      <c r="V595" s="491"/>
      <c r="W595" s="491"/>
      <c r="X595" s="491"/>
      <c r="Y595" s="491"/>
      <c r="Z595" s="491"/>
      <c r="AA595" s="519">
        <v>20</v>
      </c>
      <c r="AB595" s="520">
        <f>8.307959049+0.691964188*P591</f>
        <v>474.15866731686668</v>
      </c>
    </row>
    <row r="596" spans="2:28" ht="15" customHeight="1" x14ac:dyDescent="0.2">
      <c r="N596" s="491"/>
      <c r="O596" s="491"/>
      <c r="P596" s="491"/>
      <c r="Q596" s="491"/>
      <c r="R596" s="491"/>
      <c r="S596" s="491"/>
      <c r="T596" s="491"/>
      <c r="U596" s="491"/>
      <c r="V596" s="491"/>
      <c r="W596" s="491"/>
      <c r="X596" s="491"/>
      <c r="Y596" s="491"/>
      <c r="Z596" s="491"/>
      <c r="AA596" s="519">
        <v>25</v>
      </c>
      <c r="AB596" s="520">
        <f>11.40042933+0.74151255*P591</f>
        <v>510.60855685669787</v>
      </c>
    </row>
    <row r="597" spans="2:28" ht="15" customHeight="1" x14ac:dyDescent="0.2">
      <c r="N597" s="491"/>
      <c r="O597" s="491"/>
      <c r="P597" s="491"/>
      <c r="Q597" s="491"/>
      <c r="R597" s="491"/>
      <c r="S597" s="491"/>
      <c r="T597" s="491"/>
      <c r="U597" s="491"/>
      <c r="V597" s="491"/>
      <c r="W597" s="491"/>
      <c r="X597" s="491"/>
      <c r="Y597" s="491"/>
      <c r="Z597" s="491"/>
      <c r="AA597" s="519">
        <v>30</v>
      </c>
      <c r="AB597" s="520">
        <f>15.01585205+0.788540291*P591</f>
        <v>545.88444240557442</v>
      </c>
    </row>
    <row r="598" spans="2:28" ht="15" customHeight="1" x14ac:dyDescent="0.2">
      <c r="N598" s="491"/>
      <c r="O598" s="491"/>
      <c r="P598" s="491"/>
      <c r="Q598" s="491"/>
      <c r="R598" s="491"/>
      <c r="S598" s="491"/>
      <c r="T598" s="491"/>
      <c r="U598" s="491"/>
      <c r="V598" s="491"/>
      <c r="W598" s="491"/>
      <c r="X598" s="491"/>
      <c r="Y598" s="491"/>
      <c r="Z598" s="491"/>
      <c r="AA598" s="519">
        <v>35</v>
      </c>
      <c r="AB598" s="520">
        <f>16.01304491+0.844996697*P591</f>
        <v>584.88975357206436</v>
      </c>
    </row>
    <row r="599" spans="2:28" ht="15" customHeight="1" x14ac:dyDescent="0.2"/>
    <row r="600" spans="2:28" ht="15" customHeight="1" x14ac:dyDescent="0.2"/>
    <row r="601" spans="2:28" ht="15" customHeight="1" x14ac:dyDescent="0.2"/>
    <row r="602" spans="2:28" ht="15" customHeight="1" x14ac:dyDescent="0.2"/>
    <row r="603" spans="2:28" ht="15" customHeight="1" x14ac:dyDescent="0.2"/>
    <row r="604" spans="2:28" ht="15" customHeight="1" x14ac:dyDescent="0.2"/>
    <row r="605" spans="2:28" ht="15" customHeight="1" x14ac:dyDescent="0.2"/>
    <row r="606" spans="2:28" ht="15" customHeight="1" x14ac:dyDescent="0.2">
      <c r="B606" s="13" t="s">
        <v>494</v>
      </c>
    </row>
    <row r="607" spans="2:28" ht="15" customHeight="1" x14ac:dyDescent="0.2"/>
    <row r="608" spans="2:28" ht="15" customHeight="1" x14ac:dyDescent="0.2">
      <c r="B608" s="13" t="s">
        <v>495</v>
      </c>
      <c r="D608" s="82">
        <f>IF(AND(E611&gt;=22,E611&lt;=11100),1000*25.12*E611^0.6961,"Relacao kVA/rpm fora da faixa de validade do Grafico B17.")</f>
        <v>5366836.9876855286</v>
      </c>
      <c r="E608" s="65" t="s">
        <v>173</v>
      </c>
      <c r="I608" s="339" t="s">
        <v>731</v>
      </c>
      <c r="K608" s="88"/>
      <c r="L608" s="374">
        <f>20/C19</f>
        <v>22.222222222222221</v>
      </c>
    </row>
    <row r="609" spans="1:26" ht="15" customHeight="1" x14ac:dyDescent="0.2">
      <c r="D609" s="65"/>
      <c r="E609" s="65"/>
      <c r="I609" s="339" t="s">
        <v>732</v>
      </c>
      <c r="J609" s="339"/>
      <c r="K609" s="373"/>
      <c r="L609" s="374">
        <f>L568*1000</f>
        <v>8000</v>
      </c>
    </row>
    <row r="610" spans="1:26" ht="15" customHeight="1" x14ac:dyDescent="0.2">
      <c r="B610" s="87" t="s">
        <v>128</v>
      </c>
    </row>
    <row r="611" spans="1:26" ht="15" customHeight="1" x14ac:dyDescent="0.25">
      <c r="C611"/>
      <c r="E611" s="13">
        <f>1000*D613/D183</f>
        <v>2222.2222222222222</v>
      </c>
      <c r="F611" s="13" t="s">
        <v>496</v>
      </c>
    </row>
    <row r="612" spans="1:26" ht="15" customHeight="1" x14ac:dyDescent="0.2"/>
    <row r="613" spans="1:26" ht="15" customHeight="1" x14ac:dyDescent="0.2">
      <c r="D613" s="13">
        <f>D104/C19</f>
        <v>444.44444444444446</v>
      </c>
      <c r="E613" s="13" t="s">
        <v>486</v>
      </c>
    </row>
    <row r="614" spans="1:26" ht="15" customHeight="1" x14ac:dyDescent="0.2"/>
    <row r="615" spans="1:26" ht="30" customHeight="1" x14ac:dyDescent="0.2">
      <c r="A615" s="527"/>
      <c r="B615" s="740" t="s">
        <v>281</v>
      </c>
      <c r="C615" s="740"/>
      <c r="D615" s="740"/>
      <c r="E615" s="740"/>
      <c r="G615" s="65" t="s">
        <v>173</v>
      </c>
    </row>
    <row r="616" spans="1:26" ht="22.5" customHeight="1" x14ac:dyDescent="0.2">
      <c r="B616" s="13" t="s">
        <v>497</v>
      </c>
      <c r="F616" s="13">
        <f>D608+F615</f>
        <v>5366836.9876855286</v>
      </c>
      <c r="G616" s="65" t="s">
        <v>173</v>
      </c>
    </row>
    <row r="617" spans="1:26" ht="15" customHeight="1" x14ac:dyDescent="0.2"/>
    <row r="618" spans="1:26" ht="15" customHeight="1" x14ac:dyDescent="0.2"/>
    <row r="619" spans="1:26" ht="15" customHeight="1" x14ac:dyDescent="0.2">
      <c r="B619" s="13" t="s">
        <v>498</v>
      </c>
    </row>
    <row r="620" spans="1:26" ht="15" customHeight="1" x14ac:dyDescent="0.2"/>
    <row r="621" spans="1:26" ht="15" customHeight="1" x14ac:dyDescent="0.2">
      <c r="N621" s="496" t="s">
        <v>1082</v>
      </c>
      <c r="O621" s="491"/>
      <c r="P621" s="491"/>
      <c r="Q621" s="491"/>
      <c r="R621" s="491"/>
      <c r="S621" s="491"/>
      <c r="T621" s="491"/>
      <c r="U621" s="491"/>
      <c r="V621" s="491"/>
      <c r="W621" s="496" t="s">
        <v>1060</v>
      </c>
      <c r="X621" s="491"/>
      <c r="Y621" s="491"/>
      <c r="Z621" s="491"/>
    </row>
    <row r="622" spans="1:26" ht="15" customHeight="1" x14ac:dyDescent="0.2">
      <c r="N622" s="491" t="s">
        <v>1085</v>
      </c>
      <c r="O622" s="491"/>
      <c r="P622" s="505">
        <f>1.1*X508</f>
        <v>4.5623150452969776</v>
      </c>
      <c r="Q622" s="491" t="s">
        <v>115</v>
      </c>
      <c r="R622" s="491"/>
      <c r="S622" s="491"/>
      <c r="T622" s="491"/>
      <c r="U622" s="491"/>
      <c r="V622" s="491"/>
      <c r="W622" s="491" t="s">
        <v>1083</v>
      </c>
      <c r="X622" s="500">
        <f>(VLOOKUP(P623+5,hsrf2pwh!G163:H169,2)-VLOOKUP(P623,hsrf2pwh!G163:H169,2))*(P623-(VLOOKUP(P623,hsrf2pwh!G163:H169,1)))/5+VLOOKUP(P623,hsrf2pwh!G163:H169,2)</f>
        <v>22.11912879537055</v>
      </c>
      <c r="Y622" s="491" t="s">
        <v>115</v>
      </c>
      <c r="Z622" s="491"/>
    </row>
    <row r="623" spans="1:26" ht="15" customHeight="1" x14ac:dyDescent="0.2">
      <c r="N623" s="491" t="s">
        <v>1087</v>
      </c>
      <c r="O623" s="491"/>
      <c r="P623" s="499">
        <v>5</v>
      </c>
      <c r="Q623" s="491" t="s">
        <v>1</v>
      </c>
      <c r="R623" s="491" t="s">
        <v>1088</v>
      </c>
      <c r="S623" s="491"/>
      <c r="T623" s="491"/>
      <c r="U623" s="491"/>
      <c r="V623" s="491"/>
      <c r="W623" s="491" t="s">
        <v>1084</v>
      </c>
      <c r="X623" s="500">
        <f>(VLOOKUP(P624+5,hsrf2pwh!J163:K173,2)-VLOOKUP(P624,hsrf2pwh!J163:K173,2))*(P624-(VLOOKUP(P624,hsrf2pwh!J163:K173,1)))/5+VLOOKUP(P624,hsrf2pwh!J163:K173,2)</f>
        <v>7.0251965441877351</v>
      </c>
      <c r="Y623" s="491" t="s">
        <v>115</v>
      </c>
      <c r="Z623" s="491"/>
    </row>
    <row r="624" spans="1:26" ht="15" customHeight="1" x14ac:dyDescent="0.2">
      <c r="N624" s="491" t="s">
        <v>8</v>
      </c>
      <c r="O624" s="491"/>
      <c r="P624" s="499">
        <v>5</v>
      </c>
      <c r="Q624" s="491" t="s">
        <v>1</v>
      </c>
      <c r="R624" s="491" t="s">
        <v>1088</v>
      </c>
      <c r="S624" s="491"/>
      <c r="T624" s="491"/>
      <c r="U624" s="491"/>
      <c r="V624" s="491"/>
      <c r="W624" s="491"/>
      <c r="X624" s="491"/>
      <c r="Y624" s="491"/>
      <c r="Z624" s="491"/>
    </row>
    <row r="625" spans="2:26" ht="15" customHeight="1" x14ac:dyDescent="0.2">
      <c r="N625" s="491"/>
      <c r="O625" s="491"/>
      <c r="P625" s="491"/>
      <c r="Q625" s="491"/>
      <c r="R625" s="491"/>
      <c r="S625" s="491"/>
      <c r="T625" s="491"/>
      <c r="U625" s="491"/>
      <c r="V625" s="491"/>
      <c r="W625" s="491"/>
      <c r="X625" s="491"/>
      <c r="Y625" s="491"/>
      <c r="Z625" s="491"/>
    </row>
    <row r="626" spans="2:26" ht="15" customHeight="1" x14ac:dyDescent="0.2">
      <c r="N626" s="491"/>
      <c r="O626" s="491"/>
      <c r="P626" s="491"/>
      <c r="Q626" s="491"/>
      <c r="R626" s="491"/>
      <c r="S626" s="491"/>
      <c r="T626" s="491"/>
      <c r="U626" s="491"/>
      <c r="V626" s="491"/>
      <c r="W626" s="491"/>
      <c r="X626" s="491"/>
      <c r="Y626" s="491"/>
      <c r="Z626" s="491"/>
    </row>
    <row r="627" spans="2:26" ht="15" customHeight="1" x14ac:dyDescent="0.2">
      <c r="N627" s="491"/>
      <c r="O627" s="491"/>
      <c r="P627" s="491"/>
      <c r="Q627" s="491"/>
      <c r="R627" s="491"/>
      <c r="S627" s="491"/>
      <c r="T627" s="491"/>
      <c r="U627" s="491"/>
      <c r="V627" s="491"/>
      <c r="W627" s="491"/>
      <c r="X627" s="491"/>
      <c r="Y627" s="491"/>
      <c r="Z627" s="491"/>
    </row>
    <row r="628" spans="2:26" ht="15" customHeight="1" x14ac:dyDescent="0.2">
      <c r="N628" s="491"/>
      <c r="O628" s="491"/>
      <c r="P628" s="491"/>
      <c r="Q628" s="491"/>
      <c r="R628" s="491"/>
      <c r="S628" s="491"/>
      <c r="T628" s="491"/>
      <c r="U628" s="491"/>
      <c r="V628" s="491"/>
      <c r="W628" s="491"/>
      <c r="X628" s="491"/>
      <c r="Y628" s="491"/>
      <c r="Z628" s="491"/>
    </row>
    <row r="629" spans="2:26" ht="15" customHeight="1" x14ac:dyDescent="0.2">
      <c r="N629" s="491"/>
      <c r="O629" s="491"/>
      <c r="P629" s="491"/>
      <c r="Q629" s="491"/>
      <c r="R629" s="491"/>
      <c r="S629" s="491"/>
      <c r="T629" s="491"/>
      <c r="U629" s="491"/>
      <c r="V629" s="491"/>
      <c r="W629" s="491"/>
      <c r="X629" s="491"/>
      <c r="Y629" s="491"/>
      <c r="Z629" s="491"/>
    </row>
    <row r="630" spans="2:26" ht="15" customHeight="1" x14ac:dyDescent="0.2">
      <c r="N630" s="491"/>
      <c r="O630" s="491"/>
      <c r="P630" s="491"/>
      <c r="Q630" s="491"/>
      <c r="R630" s="491"/>
      <c r="S630" s="491"/>
      <c r="T630" s="491"/>
      <c r="U630" s="491"/>
      <c r="V630" s="491"/>
      <c r="W630" s="491"/>
      <c r="X630" s="491"/>
      <c r="Y630" s="491"/>
      <c r="Z630" s="491"/>
    </row>
    <row r="631" spans="2:26" ht="15" customHeight="1" x14ac:dyDescent="0.2">
      <c r="N631" s="491"/>
      <c r="O631" s="491"/>
      <c r="P631" s="491"/>
      <c r="Q631" s="491"/>
      <c r="R631" s="491"/>
      <c r="S631" s="491"/>
      <c r="T631" s="491"/>
      <c r="U631" s="491"/>
      <c r="V631" s="491"/>
      <c r="W631" s="491"/>
      <c r="X631" s="491"/>
      <c r="Y631" s="491"/>
      <c r="Z631" s="491"/>
    </row>
    <row r="632" spans="2:26" ht="15" customHeight="1" x14ac:dyDescent="0.2">
      <c r="N632" s="491"/>
      <c r="O632" s="491"/>
      <c r="P632" s="491"/>
      <c r="Q632" s="491"/>
      <c r="R632" s="491"/>
      <c r="S632" s="491"/>
      <c r="T632" s="491"/>
      <c r="U632" s="491"/>
      <c r="V632" s="491"/>
      <c r="W632" s="491"/>
      <c r="X632" s="491"/>
      <c r="Y632" s="491"/>
      <c r="Z632" s="491"/>
    </row>
    <row r="633" spans="2:26" ht="15" customHeight="1" x14ac:dyDescent="0.2">
      <c r="N633" s="496"/>
      <c r="O633" s="497"/>
      <c r="P633" s="491"/>
      <c r="Q633" s="491"/>
      <c r="R633" s="491"/>
      <c r="S633" s="496"/>
      <c r="T633" s="491"/>
      <c r="U633" s="491"/>
      <c r="V633" s="491"/>
      <c r="W633" s="496"/>
      <c r="X633" s="491"/>
      <c r="Y633" s="491"/>
      <c r="Z633" s="491"/>
    </row>
    <row r="634" spans="2:26" ht="15" customHeight="1" x14ac:dyDescent="0.2"/>
    <row r="635" spans="2:26" ht="15" customHeight="1" x14ac:dyDescent="0.2"/>
    <row r="636" spans="2:26" ht="15" customHeight="1" x14ac:dyDescent="0.2">
      <c r="B636" s="13" t="s">
        <v>499</v>
      </c>
    </row>
    <row r="637" spans="2:26" ht="15" customHeight="1" x14ac:dyDescent="0.2"/>
    <row r="638" spans="2:26" ht="15" customHeight="1" x14ac:dyDescent="0.2">
      <c r="B638" s="13" t="s">
        <v>500</v>
      </c>
      <c r="E638" s="82">
        <f>IF(AND(E640&gt;=22,E640&lt;=11100),1000*(59.506*E640^0.6621),"Fora da validade da curva! ERRO!")</f>
        <v>9782925.6419115756</v>
      </c>
      <c r="F638" s="65" t="s">
        <v>282</v>
      </c>
      <c r="I638" s="339" t="s">
        <v>731</v>
      </c>
      <c r="K638" s="88"/>
      <c r="L638" s="374">
        <f>L608</f>
        <v>22.222222222222221</v>
      </c>
    </row>
    <row r="639" spans="2:26" ht="15" customHeight="1" x14ac:dyDescent="0.2">
      <c r="I639" s="339" t="s">
        <v>732</v>
      </c>
      <c r="J639" s="339"/>
      <c r="K639" s="373"/>
      <c r="L639" s="374">
        <f>L609</f>
        <v>8000</v>
      </c>
    </row>
    <row r="640" spans="2:26" ht="15" customHeight="1" x14ac:dyDescent="0.2">
      <c r="C640" s="13" t="s">
        <v>501</v>
      </c>
      <c r="D640" s="13" t="s">
        <v>502</v>
      </c>
      <c r="E640" s="13">
        <f>E611</f>
        <v>2222.2222222222222</v>
      </c>
      <c r="F640" s="13" t="s">
        <v>496</v>
      </c>
    </row>
    <row r="641" spans="1:31" ht="15" customHeight="1" x14ac:dyDescent="0.2"/>
    <row r="642" spans="1:31" ht="30" customHeight="1" x14ac:dyDescent="0.2">
      <c r="A642" s="527"/>
      <c r="B642" s="740" t="s">
        <v>281</v>
      </c>
      <c r="C642" s="740"/>
      <c r="D642" s="740"/>
      <c r="E642" s="740"/>
      <c r="G642" s="65" t="s">
        <v>173</v>
      </c>
    </row>
    <row r="643" spans="1:31" ht="21" customHeight="1" x14ac:dyDescent="0.2">
      <c r="B643" s="13" t="s">
        <v>294</v>
      </c>
      <c r="F643" s="6">
        <f>E638+F642</f>
        <v>9782925.6419115756</v>
      </c>
      <c r="G643" s="65" t="s">
        <v>173</v>
      </c>
    </row>
    <row r="644" spans="1:31" ht="15" customHeight="1" x14ac:dyDescent="0.2"/>
    <row r="645" spans="1:31" ht="15" customHeight="1" x14ac:dyDescent="0.2"/>
    <row r="646" spans="1:31" ht="15" customHeight="1" x14ac:dyDescent="0.5">
      <c r="B646" s="246" t="s">
        <v>503</v>
      </c>
    </row>
    <row r="647" spans="1:31" ht="15" customHeight="1" x14ac:dyDescent="0.5">
      <c r="B647" s="246"/>
    </row>
    <row r="648" spans="1:31" ht="15" customHeight="1" x14ac:dyDescent="0.2">
      <c r="B648" s="15" t="s">
        <v>504</v>
      </c>
    </row>
    <row r="649" spans="1:31" ht="15" customHeight="1" x14ac:dyDescent="0.2"/>
    <row r="650" spans="1:31" ht="15" customHeight="1" x14ac:dyDescent="0.2"/>
    <row r="651" spans="1:31" ht="15" customHeight="1" x14ac:dyDescent="0.2">
      <c r="A651" s="65" t="s">
        <v>505</v>
      </c>
      <c r="I651" s="268"/>
      <c r="J651" s="269"/>
      <c r="K651" s="270"/>
    </row>
    <row r="652" spans="1:31" ht="15" customHeight="1" thickBot="1" x14ac:dyDescent="0.25">
      <c r="J652" s="87" t="s">
        <v>199</v>
      </c>
    </row>
    <row r="653" spans="1:31" ht="28.5" customHeight="1" x14ac:dyDescent="0.2">
      <c r="B653" s="271"/>
      <c r="C653" s="272"/>
      <c r="D653" s="272"/>
      <c r="E653" s="272"/>
      <c r="F653" s="272"/>
      <c r="G653" s="273"/>
      <c r="H653" s="271"/>
      <c r="I653" s="123" t="s">
        <v>200</v>
      </c>
      <c r="J653" s="274" t="s">
        <v>201</v>
      </c>
    </row>
    <row r="654" spans="1:31" ht="15" customHeight="1" x14ac:dyDescent="0.2">
      <c r="B654" s="275" t="s">
        <v>202</v>
      </c>
      <c r="C654" s="235" t="s">
        <v>203</v>
      </c>
      <c r="D654" s="235"/>
      <c r="E654" s="235"/>
      <c r="F654" s="235"/>
      <c r="G654" s="276" t="s">
        <v>204</v>
      </c>
      <c r="H654" s="277" t="s">
        <v>205</v>
      </c>
      <c r="I654" s="129" t="s">
        <v>173</v>
      </c>
      <c r="J654" s="228" t="s">
        <v>206</v>
      </c>
    </row>
    <row r="655" spans="1:31" ht="15" customHeight="1" thickBot="1" x14ac:dyDescent="0.25">
      <c r="B655" s="278"/>
      <c r="C655" s="279"/>
      <c r="D655" s="279"/>
      <c r="E655" s="279"/>
      <c r="F655" s="279"/>
      <c r="G655" s="280"/>
      <c r="H655" s="278"/>
      <c r="I655" s="279"/>
      <c r="J655" s="281"/>
    </row>
    <row r="656" spans="1:31" s="282" customFormat="1" ht="15" customHeight="1" x14ac:dyDescent="0.2">
      <c r="B656" s="283" t="s">
        <v>506</v>
      </c>
      <c r="C656" s="284" t="s">
        <v>507</v>
      </c>
      <c r="D656" s="284"/>
      <c r="E656" s="284"/>
      <c r="F656" s="284"/>
      <c r="G656" s="285"/>
      <c r="H656" s="286"/>
      <c r="I656" s="286"/>
      <c r="J656" s="287" t="e">
        <f>J657+J658+J670</f>
        <v>#VALUE!</v>
      </c>
      <c r="K656" s="288"/>
      <c r="N656" s="522"/>
      <c r="O656" s="522"/>
      <c r="P656" s="522"/>
      <c r="Q656" s="522"/>
      <c r="R656" s="522"/>
      <c r="S656" s="522"/>
      <c r="T656" s="522"/>
      <c r="U656" s="522"/>
      <c r="V656" s="522"/>
      <c r="W656" s="522"/>
      <c r="X656" s="522"/>
      <c r="Y656" s="522"/>
      <c r="Z656" s="522"/>
      <c r="AA656" s="522"/>
      <c r="AB656" s="522"/>
      <c r="AC656" s="522"/>
      <c r="AD656" s="522"/>
      <c r="AE656" s="522"/>
    </row>
    <row r="657" spans="2:31" s="282" customFormat="1" ht="15" customHeight="1" x14ac:dyDescent="0.2">
      <c r="B657" s="289" t="s">
        <v>508</v>
      </c>
      <c r="C657" s="290" t="s">
        <v>509</v>
      </c>
      <c r="D657" s="291"/>
      <c r="E657" s="291"/>
      <c r="F657" s="290"/>
      <c r="G657" s="292" t="s">
        <v>211</v>
      </c>
      <c r="H657" s="293"/>
      <c r="I657" s="294"/>
      <c r="J657" s="295">
        <f>E449/1000</f>
        <v>2024.973</v>
      </c>
      <c r="K657" s="288"/>
      <c r="N657" s="522"/>
      <c r="O657" s="522"/>
      <c r="P657" s="522"/>
      <c r="Q657" s="522"/>
      <c r="R657" s="522"/>
      <c r="S657" s="522"/>
      <c r="T657" s="522"/>
      <c r="U657" s="522"/>
      <c r="V657" s="522"/>
      <c r="W657" s="522"/>
      <c r="X657" s="522"/>
      <c r="Y657" s="522"/>
      <c r="Z657" s="522"/>
      <c r="AA657" s="522"/>
      <c r="AB657" s="522"/>
      <c r="AC657" s="522"/>
      <c r="AD657" s="522"/>
      <c r="AE657" s="522"/>
    </row>
    <row r="658" spans="2:31" s="282" customFormat="1" ht="15" customHeight="1" x14ac:dyDescent="0.2">
      <c r="B658" s="139" t="s">
        <v>510</v>
      </c>
      <c r="C658" s="139" t="s">
        <v>511</v>
      </c>
      <c r="D658" s="139"/>
      <c r="E658" s="139"/>
      <c r="F658" s="139"/>
      <c r="G658" s="296"/>
      <c r="H658" s="143"/>
      <c r="I658" s="297"/>
      <c r="J658" s="298" t="e">
        <f>J659+J663+J664+J668</f>
        <v>#VALUE!</v>
      </c>
      <c r="N658" s="522"/>
      <c r="O658" s="522"/>
      <c r="P658" s="522"/>
      <c r="Q658" s="522"/>
      <c r="R658" s="522"/>
      <c r="S658" s="522"/>
      <c r="T658" s="522"/>
      <c r="U658" s="522"/>
      <c r="V658" s="522"/>
      <c r="W658" s="522"/>
      <c r="X658" s="522"/>
      <c r="Y658" s="522"/>
      <c r="Z658" s="522"/>
      <c r="AA658" s="522"/>
      <c r="AB658" s="522"/>
      <c r="AC658" s="522"/>
      <c r="AD658" s="522"/>
      <c r="AE658" s="522"/>
    </row>
    <row r="659" spans="2:31" s="282" customFormat="1" ht="15" customHeight="1" x14ac:dyDescent="0.2">
      <c r="B659" s="139" t="s">
        <v>512</v>
      </c>
      <c r="C659" s="139" t="s">
        <v>303</v>
      </c>
      <c r="D659" s="139"/>
      <c r="E659" s="139"/>
      <c r="F659" s="139"/>
      <c r="G659" s="296" t="s">
        <v>211</v>
      </c>
      <c r="H659" s="143"/>
      <c r="I659" s="297"/>
      <c r="J659" s="298" t="e">
        <f>SUM(J660:J662)</f>
        <v>#VALUE!</v>
      </c>
      <c r="N659" s="522"/>
      <c r="O659" s="522"/>
      <c r="P659" s="522"/>
      <c r="Q659" s="522"/>
      <c r="R659" s="522"/>
      <c r="S659" s="522"/>
      <c r="T659" s="522"/>
      <c r="U659" s="522"/>
      <c r="V659" s="522"/>
      <c r="W659" s="522"/>
      <c r="X659" s="522"/>
      <c r="Y659" s="522"/>
      <c r="Z659" s="522"/>
      <c r="AA659" s="522"/>
      <c r="AB659" s="522"/>
      <c r="AC659" s="522"/>
      <c r="AD659" s="522"/>
      <c r="AE659" s="522"/>
    </row>
    <row r="660" spans="2:31" s="282" customFormat="1" ht="15" customHeight="1" x14ac:dyDescent="0.2">
      <c r="B660" s="139" t="s">
        <v>513</v>
      </c>
      <c r="C660" s="139" t="s">
        <v>305</v>
      </c>
      <c r="D660" s="139"/>
      <c r="E660" s="139"/>
      <c r="F660" s="139"/>
      <c r="G660" s="296" t="s">
        <v>102</v>
      </c>
      <c r="H660" s="143">
        <f>F304</f>
        <v>0</v>
      </c>
      <c r="I660" s="297">
        <v>7.6</v>
      </c>
      <c r="J660" s="298">
        <f>H660*I660/1000</f>
        <v>0</v>
      </c>
      <c r="N660" s="522"/>
      <c r="O660" s="522"/>
      <c r="P660" s="522"/>
      <c r="Q660" s="522"/>
      <c r="R660" s="522"/>
      <c r="S660" s="522"/>
      <c r="T660" s="522"/>
      <c r="U660" s="522"/>
      <c r="V660" s="522"/>
      <c r="W660" s="522"/>
      <c r="X660" s="522"/>
      <c r="Y660" s="522"/>
      <c r="Z660" s="522"/>
      <c r="AA660" s="522"/>
      <c r="AB660" s="522"/>
      <c r="AC660" s="522"/>
      <c r="AD660" s="522"/>
      <c r="AE660" s="522"/>
    </row>
    <row r="661" spans="2:31" s="282" customFormat="1" ht="15" customHeight="1" x14ac:dyDescent="0.2">
      <c r="B661" s="139" t="s">
        <v>514</v>
      </c>
      <c r="C661" s="139" t="s">
        <v>515</v>
      </c>
      <c r="D661" s="139"/>
      <c r="E661" s="139"/>
      <c r="F661" s="139"/>
      <c r="G661" s="296" t="s">
        <v>102</v>
      </c>
      <c r="H661" s="143">
        <f>F322</f>
        <v>0</v>
      </c>
      <c r="I661" s="297">
        <v>21</v>
      </c>
      <c r="J661" s="298">
        <f>H661*I661/1000</f>
        <v>0</v>
      </c>
      <c r="N661" s="522"/>
      <c r="O661" s="522"/>
      <c r="P661" s="522"/>
      <c r="Q661" s="522"/>
      <c r="R661" s="522"/>
      <c r="S661" s="522"/>
      <c r="T661" s="522"/>
      <c r="U661" s="522"/>
      <c r="V661" s="522"/>
      <c r="W661" s="522"/>
      <c r="X661" s="522"/>
      <c r="Y661" s="522"/>
      <c r="Z661" s="522"/>
      <c r="AA661" s="522"/>
      <c r="AB661" s="522"/>
      <c r="AC661" s="522"/>
      <c r="AD661" s="522"/>
      <c r="AE661" s="522"/>
    </row>
    <row r="662" spans="2:31" s="282" customFormat="1" ht="15" customHeight="1" x14ac:dyDescent="0.2">
      <c r="B662" s="139" t="s">
        <v>516</v>
      </c>
      <c r="C662" s="139" t="s">
        <v>517</v>
      </c>
      <c r="D662" s="139"/>
      <c r="E662" s="139"/>
      <c r="F662" s="139"/>
      <c r="G662" s="296" t="s">
        <v>102</v>
      </c>
      <c r="H662" s="143">
        <f>F332</f>
        <v>50267.952631140965</v>
      </c>
      <c r="I662" s="297" t="str">
        <f>D340</f>
        <v>Área de escavação fora da validade do gráfico B33.</v>
      </c>
      <c r="J662" s="298" t="e">
        <f>H662*I662/1000</f>
        <v>#VALUE!</v>
      </c>
      <c r="N662" s="522"/>
      <c r="O662" s="522"/>
      <c r="P662" s="522"/>
      <c r="Q662" s="522"/>
      <c r="R662" s="522"/>
      <c r="S662" s="522"/>
      <c r="T662" s="522"/>
      <c r="U662" s="522"/>
      <c r="V662" s="522"/>
      <c r="W662" s="522"/>
      <c r="X662" s="522"/>
      <c r="Y662" s="522"/>
      <c r="Z662" s="522"/>
      <c r="AA662" s="522"/>
      <c r="AB662" s="522"/>
      <c r="AC662" s="522"/>
      <c r="AD662" s="522"/>
      <c r="AE662" s="522"/>
    </row>
    <row r="663" spans="2:31" s="282" customFormat="1" ht="15" customHeight="1" x14ac:dyDescent="0.2">
      <c r="B663" s="139" t="s">
        <v>518</v>
      </c>
      <c r="C663" s="139" t="s">
        <v>519</v>
      </c>
      <c r="D663" s="139"/>
      <c r="E663" s="139"/>
      <c r="F663" s="139"/>
      <c r="G663" s="296" t="s">
        <v>211</v>
      </c>
      <c r="H663" s="143"/>
      <c r="I663" s="297"/>
      <c r="J663" s="298">
        <f>F366/1000</f>
        <v>7451.990139091854</v>
      </c>
      <c r="N663" s="522"/>
      <c r="O663" s="522"/>
      <c r="P663" s="522"/>
      <c r="Q663" s="522"/>
      <c r="R663" s="522"/>
      <c r="S663" s="522"/>
      <c r="T663" s="522"/>
      <c r="U663" s="522"/>
      <c r="V663" s="522"/>
      <c r="W663" s="522"/>
      <c r="X663" s="522"/>
      <c r="Y663" s="522"/>
      <c r="Z663" s="522"/>
      <c r="AA663" s="522"/>
      <c r="AB663" s="522"/>
      <c r="AC663" s="522"/>
      <c r="AD663" s="522"/>
      <c r="AE663" s="522"/>
    </row>
    <row r="664" spans="2:31" s="282" customFormat="1" ht="15" customHeight="1" x14ac:dyDescent="0.2">
      <c r="B664" s="139" t="s">
        <v>520</v>
      </c>
      <c r="C664" s="139" t="s">
        <v>311</v>
      </c>
      <c r="D664" s="139"/>
      <c r="E664" s="139"/>
      <c r="F664" s="139"/>
      <c r="G664" s="296" t="s">
        <v>211</v>
      </c>
      <c r="H664" s="143"/>
      <c r="I664" s="297"/>
      <c r="J664" s="298">
        <f>SUM(J665:J667)</f>
        <v>7256.0008585380274</v>
      </c>
      <c r="N664" s="522"/>
      <c r="O664" s="522"/>
      <c r="P664" s="522"/>
      <c r="Q664" s="522"/>
      <c r="R664" s="522"/>
      <c r="S664" s="522"/>
      <c r="T664" s="522"/>
      <c r="U664" s="522"/>
      <c r="V664" s="522"/>
      <c r="W664" s="522"/>
      <c r="X664" s="522"/>
      <c r="Y664" s="522"/>
      <c r="Z664" s="522"/>
      <c r="AA664" s="522"/>
      <c r="AB664" s="522"/>
      <c r="AC664" s="522"/>
      <c r="AD664" s="522"/>
      <c r="AE664" s="522"/>
    </row>
    <row r="665" spans="2:31" s="282" customFormat="1" ht="15" customHeight="1" x14ac:dyDescent="0.2">
      <c r="B665" s="139" t="s">
        <v>521</v>
      </c>
      <c r="C665" s="139" t="s">
        <v>313</v>
      </c>
      <c r="D665" s="139"/>
      <c r="E665" s="139"/>
      <c r="F665" s="139"/>
      <c r="G665" s="296" t="s">
        <v>115</v>
      </c>
      <c r="H665" s="143">
        <f>E427</f>
        <v>3536.0658805948647</v>
      </c>
      <c r="I665" s="297">
        <v>348</v>
      </c>
      <c r="J665" s="298">
        <f>H665*I665/1000</f>
        <v>1230.5509264470129</v>
      </c>
      <c r="N665" s="522"/>
      <c r="O665" s="522"/>
      <c r="P665" s="522"/>
      <c r="Q665" s="522"/>
      <c r="R665" s="522"/>
      <c r="S665" s="522"/>
      <c r="T665" s="522"/>
      <c r="U665" s="522"/>
      <c r="V665" s="522"/>
      <c r="W665" s="522"/>
      <c r="X665" s="522"/>
      <c r="Y665" s="522"/>
      <c r="Z665" s="522"/>
      <c r="AA665" s="522"/>
      <c r="AB665" s="522"/>
      <c r="AC665" s="522"/>
      <c r="AD665" s="522"/>
      <c r="AE665" s="522"/>
    </row>
    <row r="666" spans="2:31" s="282" customFormat="1" ht="15" customHeight="1" x14ac:dyDescent="0.2">
      <c r="B666" s="139" t="s">
        <v>522</v>
      </c>
      <c r="C666" s="139" t="s">
        <v>315</v>
      </c>
      <c r="D666" s="139"/>
      <c r="E666" s="139"/>
      <c r="F666" s="139"/>
      <c r="G666" s="296" t="s">
        <v>102</v>
      </c>
      <c r="H666" s="298">
        <f>C404</f>
        <v>12760.417185599195</v>
      </c>
      <c r="I666" s="297">
        <f>D429</f>
        <v>220.91990902567852</v>
      </c>
      <c r="J666" s="298">
        <f>H666*I666/1000</f>
        <v>2819.030203772279</v>
      </c>
      <c r="N666" s="522"/>
      <c r="O666" s="522"/>
      <c r="P666" s="522"/>
      <c r="Q666" s="522"/>
      <c r="R666" s="522"/>
      <c r="S666" s="522"/>
      <c r="T666" s="522"/>
      <c r="U666" s="522"/>
      <c r="V666" s="522"/>
      <c r="W666" s="522"/>
      <c r="X666" s="522"/>
      <c r="Y666" s="522"/>
      <c r="Z666" s="522"/>
      <c r="AA666" s="522"/>
      <c r="AB666" s="522"/>
      <c r="AC666" s="522"/>
      <c r="AD666" s="522"/>
      <c r="AE666" s="522"/>
    </row>
    <row r="667" spans="2:31" s="282" customFormat="1" ht="15" customHeight="1" x14ac:dyDescent="0.2">
      <c r="B667" s="139" t="s">
        <v>523</v>
      </c>
      <c r="C667" s="139" t="s">
        <v>317</v>
      </c>
      <c r="D667" s="139"/>
      <c r="E667" s="139"/>
      <c r="F667" s="139"/>
      <c r="G667" s="296" t="s">
        <v>115</v>
      </c>
      <c r="H667" s="143">
        <f>F427</f>
        <v>741.02605230384472</v>
      </c>
      <c r="I667" s="297">
        <v>4327</v>
      </c>
      <c r="J667" s="298">
        <f>H667*I667/1000</f>
        <v>3206.4197283187359</v>
      </c>
      <c r="N667" s="522"/>
      <c r="O667" s="522"/>
      <c r="P667" s="522"/>
      <c r="Q667" s="522"/>
      <c r="R667" s="522"/>
      <c r="S667" s="522"/>
      <c r="T667" s="522"/>
      <c r="U667" s="522"/>
      <c r="V667" s="522"/>
      <c r="W667" s="522"/>
      <c r="X667" s="522"/>
      <c r="Y667" s="522"/>
      <c r="Z667" s="522"/>
      <c r="AA667" s="522"/>
      <c r="AB667" s="522"/>
      <c r="AC667" s="522"/>
      <c r="AD667" s="522"/>
      <c r="AE667" s="522"/>
    </row>
    <row r="668" spans="2:31" s="282" customFormat="1" ht="15" customHeight="1" x14ac:dyDescent="0.2">
      <c r="B668" s="139" t="s">
        <v>524</v>
      </c>
      <c r="C668" s="139" t="s">
        <v>525</v>
      </c>
      <c r="D668" s="139"/>
      <c r="E668" s="139"/>
      <c r="F668" s="139"/>
      <c r="G668" s="296" t="s">
        <v>211</v>
      </c>
      <c r="H668" s="143"/>
      <c r="I668" s="297"/>
      <c r="J668" s="298">
        <f>D469/1000</f>
        <v>5629.2091706500614</v>
      </c>
      <c r="N668" s="522"/>
      <c r="O668" s="522"/>
      <c r="P668" s="522"/>
      <c r="Q668" s="522"/>
      <c r="R668" s="522"/>
      <c r="S668" s="522"/>
      <c r="T668" s="522"/>
      <c r="U668" s="522"/>
      <c r="V668" s="522"/>
      <c r="W668" s="522"/>
      <c r="X668" s="522"/>
      <c r="Y668" s="522"/>
      <c r="Z668" s="522"/>
      <c r="AA668" s="522"/>
      <c r="AB668" s="522"/>
      <c r="AC668" s="522"/>
      <c r="AD668" s="522"/>
      <c r="AE668" s="522"/>
    </row>
    <row r="669" spans="2:31" s="282" customFormat="1" ht="15" customHeight="1" x14ac:dyDescent="0.2">
      <c r="B669" s="290"/>
      <c r="C669" s="289" t="s">
        <v>526</v>
      </c>
      <c r="D669" s="290"/>
      <c r="E669" s="290"/>
      <c r="F669" s="290"/>
      <c r="G669" s="296"/>
      <c r="H669" s="143"/>
      <c r="I669" s="297"/>
      <c r="J669" s="298" t="e">
        <f>J657+J658</f>
        <v>#VALUE!</v>
      </c>
      <c r="N669" s="522"/>
      <c r="O669" s="522"/>
      <c r="P669" s="522"/>
      <c r="Q669" s="522"/>
      <c r="R669" s="522"/>
      <c r="S669" s="522"/>
      <c r="T669" s="522"/>
      <c r="U669" s="522"/>
      <c r="V669" s="522"/>
      <c r="W669" s="522"/>
      <c r="X669" s="522"/>
      <c r="Y669" s="522"/>
      <c r="Z669" s="522"/>
      <c r="AA669" s="522"/>
      <c r="AB669" s="522"/>
      <c r="AC669" s="522"/>
      <c r="AD669" s="522"/>
      <c r="AE669" s="522"/>
    </row>
    <row r="670" spans="2:31" s="282" customFormat="1" ht="15" customHeight="1" x14ac:dyDescent="0.2">
      <c r="B670" s="289" t="s">
        <v>527</v>
      </c>
      <c r="C670" s="289" t="s">
        <v>528</v>
      </c>
      <c r="D670" s="291"/>
      <c r="E670" s="291"/>
      <c r="F670" s="290"/>
      <c r="G670" s="299" t="s">
        <v>86</v>
      </c>
      <c r="H670" s="206">
        <v>20</v>
      </c>
      <c r="I670" s="297" t="e">
        <f>J669*1000</f>
        <v>#VALUE!</v>
      </c>
      <c r="J670" s="298" t="e">
        <f>H670*I670/100000</f>
        <v>#VALUE!</v>
      </c>
      <c r="N670" s="522"/>
      <c r="O670" s="522"/>
      <c r="P670" s="522"/>
      <c r="Q670" s="522"/>
      <c r="R670" s="522"/>
      <c r="S670" s="522"/>
      <c r="T670" s="522"/>
      <c r="U670" s="522"/>
      <c r="V670" s="522"/>
      <c r="W670" s="522"/>
      <c r="X670" s="522"/>
      <c r="Y670" s="522"/>
      <c r="Z670" s="522"/>
      <c r="AA670" s="522"/>
      <c r="AB670" s="522"/>
      <c r="AC670" s="522"/>
      <c r="AD670" s="522"/>
      <c r="AE670" s="522"/>
    </row>
    <row r="671" spans="2:31" s="282" customFormat="1" ht="15" customHeight="1" thickBot="1" x14ac:dyDescent="0.25">
      <c r="B671" s="288"/>
      <c r="C671" s="288"/>
      <c r="D671" s="288"/>
      <c r="E671" s="288"/>
      <c r="F671" s="288"/>
      <c r="G671" s="300"/>
      <c r="H671" s="288"/>
      <c r="I671" s="288"/>
      <c r="J671" s="301"/>
      <c r="N671" s="522"/>
      <c r="O671" s="522"/>
      <c r="P671" s="522"/>
      <c r="Q671" s="522"/>
      <c r="R671" s="522"/>
      <c r="S671" s="522"/>
      <c r="T671" s="522"/>
      <c r="U671" s="522"/>
      <c r="V671" s="522"/>
      <c r="W671" s="522"/>
      <c r="X671" s="522"/>
      <c r="Y671" s="522"/>
      <c r="Z671" s="522"/>
      <c r="AA671" s="522"/>
      <c r="AB671" s="522"/>
      <c r="AC671" s="522"/>
      <c r="AD671" s="522"/>
      <c r="AE671" s="522"/>
    </row>
    <row r="672" spans="2:31" s="282" customFormat="1" ht="15" customHeight="1" x14ac:dyDescent="0.2">
      <c r="B672" s="302" t="s">
        <v>529</v>
      </c>
      <c r="C672" s="303" t="s">
        <v>530</v>
      </c>
      <c r="D672" s="303"/>
      <c r="E672" s="303"/>
      <c r="F672" s="303"/>
      <c r="G672" s="304"/>
      <c r="H672" s="305"/>
      <c r="I672" s="305"/>
      <c r="J672" s="306">
        <f>J678+J679</f>
        <v>192598.43073186057</v>
      </c>
      <c r="N672" s="522"/>
      <c r="O672" s="522"/>
      <c r="P672" s="522"/>
      <c r="Q672" s="522"/>
      <c r="R672" s="522"/>
      <c r="S672" s="522"/>
      <c r="T672" s="522"/>
      <c r="U672" s="522"/>
      <c r="V672" s="522"/>
      <c r="W672" s="522"/>
      <c r="X672" s="522"/>
      <c r="Y672" s="522"/>
      <c r="Z672" s="522"/>
      <c r="AA672" s="522"/>
      <c r="AB672" s="522"/>
      <c r="AC672" s="522"/>
      <c r="AD672" s="522"/>
      <c r="AE672" s="522"/>
    </row>
    <row r="673" spans="2:31" s="282" customFormat="1" ht="15" customHeight="1" x14ac:dyDescent="0.2">
      <c r="B673" s="139" t="s">
        <v>531</v>
      </c>
      <c r="C673" s="139" t="s">
        <v>532</v>
      </c>
      <c r="D673" s="139"/>
      <c r="E673" s="139"/>
      <c r="F673" s="139"/>
      <c r="G673" s="296" t="s">
        <v>322</v>
      </c>
      <c r="H673" s="298">
        <f>F508</f>
        <v>4</v>
      </c>
      <c r="I673" s="294">
        <f>E537</f>
        <v>205769.45066494992</v>
      </c>
      <c r="J673" s="298">
        <f>H673*I673/1000</f>
        <v>823.07780265979966</v>
      </c>
      <c r="N673" s="522"/>
      <c r="O673" s="522"/>
      <c r="P673" s="522"/>
      <c r="Q673" s="522"/>
      <c r="R673" s="522"/>
      <c r="S673" s="522"/>
      <c r="T673" s="522"/>
      <c r="U673" s="522"/>
      <c r="V673" s="522"/>
      <c r="W673" s="522"/>
      <c r="X673" s="522"/>
      <c r="Y673" s="522"/>
      <c r="Z673" s="522"/>
      <c r="AA673" s="522"/>
      <c r="AB673" s="522"/>
      <c r="AC673" s="522"/>
      <c r="AD673" s="522"/>
      <c r="AE673" s="522"/>
    </row>
    <row r="674" spans="2:31" s="282" customFormat="1" ht="15" customHeight="1" x14ac:dyDescent="0.2">
      <c r="B674" s="139" t="s">
        <v>533</v>
      </c>
      <c r="C674" s="139" t="s">
        <v>534</v>
      </c>
      <c r="D674" s="139"/>
      <c r="E674" s="139"/>
      <c r="F674" s="139"/>
      <c r="G674" s="296" t="s">
        <v>322</v>
      </c>
      <c r="H674" s="294"/>
      <c r="I674" s="294"/>
      <c r="J674" s="298">
        <f>H674*I674/1000</f>
        <v>0</v>
      </c>
      <c r="N674" s="522"/>
      <c r="O674" s="522"/>
      <c r="P674" s="522"/>
      <c r="Q674" s="522"/>
      <c r="R674" s="522"/>
      <c r="S674" s="522"/>
      <c r="T674" s="522"/>
      <c r="U674" s="522"/>
      <c r="V674" s="522"/>
      <c r="W674" s="522"/>
      <c r="X674" s="522"/>
      <c r="Y674" s="522"/>
      <c r="Z674" s="522"/>
      <c r="AA674" s="522"/>
      <c r="AB674" s="522"/>
      <c r="AC674" s="522"/>
      <c r="AD674" s="522"/>
      <c r="AE674" s="522"/>
    </row>
    <row r="675" spans="2:31" s="282" customFormat="1" ht="15" customHeight="1" x14ac:dyDescent="0.2">
      <c r="B675" s="139" t="s">
        <v>535</v>
      </c>
      <c r="C675" s="139" t="s">
        <v>536</v>
      </c>
      <c r="D675" s="139"/>
      <c r="E675" s="139"/>
      <c r="F675" s="139"/>
      <c r="G675" s="296" t="s">
        <v>322</v>
      </c>
      <c r="H675" s="298">
        <f>G98</f>
        <v>2</v>
      </c>
      <c r="I675" s="294">
        <f>F500</f>
        <v>36050839.864872508</v>
      </c>
      <c r="J675" s="298">
        <f>H675*I675/1000</f>
        <v>72101.67972974501</v>
      </c>
      <c r="N675" s="522"/>
      <c r="O675" s="522"/>
      <c r="P675" s="522"/>
      <c r="Q675" s="522"/>
      <c r="R675" s="522"/>
      <c r="S675" s="522"/>
      <c r="T675" s="522"/>
      <c r="U675" s="522"/>
      <c r="V675" s="522"/>
      <c r="W675" s="522"/>
      <c r="X675" s="522"/>
      <c r="Y675" s="522"/>
      <c r="Z675" s="522"/>
      <c r="AA675" s="522"/>
      <c r="AB675" s="522"/>
      <c r="AC675" s="522"/>
      <c r="AD675" s="522"/>
      <c r="AE675" s="522"/>
    </row>
    <row r="676" spans="2:31" s="282" customFormat="1" ht="15" customHeight="1" x14ac:dyDescent="0.2">
      <c r="B676" s="139" t="s">
        <v>537</v>
      </c>
      <c r="C676" s="139" t="s">
        <v>538</v>
      </c>
      <c r="D676" s="139"/>
      <c r="E676" s="139"/>
      <c r="F676" s="139"/>
      <c r="G676" s="296" t="s">
        <v>322</v>
      </c>
      <c r="H676" s="298">
        <f>G98</f>
        <v>2</v>
      </c>
      <c r="I676" s="294">
        <f>F579</f>
        <v>50849503.915487878</v>
      </c>
      <c r="J676" s="298">
        <f>H676*I676/1000</f>
        <v>101699.00783097575</v>
      </c>
      <c r="N676" s="522"/>
      <c r="O676" s="522"/>
      <c r="P676" s="522"/>
      <c r="Q676" s="522"/>
      <c r="R676" s="522"/>
      <c r="S676" s="522"/>
      <c r="T676" s="522"/>
      <c r="U676" s="522"/>
      <c r="V676" s="522"/>
      <c r="W676" s="522"/>
      <c r="X676" s="522"/>
      <c r="Y676" s="522"/>
      <c r="Z676" s="522"/>
      <c r="AA676" s="522"/>
      <c r="AB676" s="522"/>
      <c r="AC676" s="522"/>
      <c r="AD676" s="522"/>
      <c r="AE676" s="522"/>
    </row>
    <row r="677" spans="2:31" s="282" customFormat="1" ht="15" customHeight="1" x14ac:dyDescent="0.2">
      <c r="B677" s="139" t="s">
        <v>539</v>
      </c>
      <c r="C677" s="139" t="s">
        <v>540</v>
      </c>
      <c r="D677" s="139"/>
      <c r="E677" s="139"/>
      <c r="F677" s="139"/>
      <c r="G677" s="296" t="s">
        <v>211</v>
      </c>
      <c r="H677" s="298"/>
      <c r="I677" s="294"/>
      <c r="J677" s="298">
        <f>E544/1000</f>
        <v>465.71712012905215</v>
      </c>
      <c r="N677" s="522"/>
      <c r="O677" s="522"/>
      <c r="P677" s="522"/>
      <c r="Q677" s="522"/>
      <c r="R677" s="522"/>
      <c r="S677" s="522"/>
      <c r="T677" s="522"/>
      <c r="U677" s="522"/>
      <c r="V677" s="522"/>
      <c r="W677" s="522"/>
      <c r="X677" s="522"/>
      <c r="Y677" s="522"/>
      <c r="Z677" s="522"/>
      <c r="AA677" s="522"/>
      <c r="AB677" s="522"/>
      <c r="AC677" s="522"/>
      <c r="AD677" s="522"/>
      <c r="AE677" s="522"/>
    </row>
    <row r="678" spans="2:31" s="282" customFormat="1" ht="15" customHeight="1" x14ac:dyDescent="0.2">
      <c r="B678" s="139"/>
      <c r="C678" s="205" t="s">
        <v>541</v>
      </c>
      <c r="D678" s="139"/>
      <c r="E678" s="139"/>
      <c r="F678" s="139"/>
      <c r="G678" s="296"/>
      <c r="H678" s="297"/>
      <c r="I678" s="297"/>
      <c r="J678" s="298">
        <f>SUM(J673:J677)</f>
        <v>175089.48248350961</v>
      </c>
      <c r="N678" s="522"/>
      <c r="O678" s="522"/>
      <c r="P678" s="522"/>
      <c r="Q678" s="522"/>
      <c r="R678" s="522"/>
      <c r="S678" s="522"/>
      <c r="T678" s="522"/>
      <c r="U678" s="522"/>
      <c r="V678" s="522"/>
      <c r="W678" s="522"/>
      <c r="X678" s="522"/>
      <c r="Y678" s="522"/>
      <c r="Z678" s="522"/>
      <c r="AA678" s="522"/>
      <c r="AB678" s="522"/>
      <c r="AC678" s="522"/>
      <c r="AD678" s="522"/>
      <c r="AE678" s="522"/>
    </row>
    <row r="679" spans="2:31" s="282" customFormat="1" ht="15" customHeight="1" x14ac:dyDescent="0.2">
      <c r="B679" s="139" t="s">
        <v>542</v>
      </c>
      <c r="C679" s="205" t="s">
        <v>543</v>
      </c>
      <c r="D679" s="139"/>
      <c r="E679" s="139"/>
      <c r="F679" s="139"/>
      <c r="G679" s="296" t="s">
        <v>86</v>
      </c>
      <c r="H679" s="206">
        <v>10</v>
      </c>
      <c r="I679" s="297">
        <f>J678*1000</f>
        <v>175089482.4835096</v>
      </c>
      <c r="J679" s="298">
        <f>H679*I679/100000</f>
        <v>17508.94824835096</v>
      </c>
      <c r="N679" s="522"/>
      <c r="O679" s="522"/>
      <c r="P679" s="522"/>
      <c r="Q679" s="522"/>
      <c r="R679" s="522"/>
      <c r="S679" s="522"/>
      <c r="T679" s="522"/>
      <c r="U679" s="522"/>
      <c r="V679" s="522"/>
      <c r="W679" s="522"/>
      <c r="X679" s="522"/>
      <c r="Y679" s="522"/>
      <c r="Z679" s="522"/>
      <c r="AA679" s="522"/>
      <c r="AB679" s="522"/>
      <c r="AC679" s="522"/>
      <c r="AD679" s="522"/>
      <c r="AE679" s="522"/>
    </row>
    <row r="680" spans="2:31" s="282" customFormat="1" ht="15" customHeight="1" thickBot="1" x14ac:dyDescent="0.25">
      <c r="B680" s="139"/>
      <c r="C680" s="139"/>
      <c r="D680" s="139"/>
      <c r="E680" s="139"/>
      <c r="F680" s="139"/>
      <c r="G680" s="296"/>
      <c r="H680" s="297"/>
      <c r="I680" s="297"/>
      <c r="J680" s="298"/>
      <c r="N680" s="522"/>
      <c r="O680" s="522"/>
      <c r="P680" s="522"/>
      <c r="Q680" s="522"/>
      <c r="R680" s="522"/>
      <c r="S680" s="522"/>
      <c r="T680" s="522"/>
      <c r="U680" s="522"/>
      <c r="V680" s="522"/>
      <c r="W680" s="522"/>
      <c r="X680" s="522"/>
      <c r="Y680" s="522"/>
      <c r="Z680" s="522"/>
      <c r="AA680" s="522"/>
      <c r="AB680" s="522"/>
      <c r="AC680" s="522"/>
      <c r="AD680" s="522"/>
      <c r="AE680" s="522"/>
    </row>
    <row r="681" spans="2:31" s="282" customFormat="1" ht="15" customHeight="1" x14ac:dyDescent="0.2">
      <c r="B681" s="302" t="s">
        <v>544</v>
      </c>
      <c r="C681" s="303" t="s">
        <v>545</v>
      </c>
      <c r="D681" s="303"/>
      <c r="E681" s="303"/>
      <c r="F681" s="303"/>
      <c r="G681" s="304"/>
      <c r="H681" s="305"/>
      <c r="I681" s="305"/>
      <c r="J681" s="306">
        <f>J683+J684</f>
        <v>41601.261038081881</v>
      </c>
      <c r="N681" s="522"/>
      <c r="O681" s="522"/>
      <c r="P681" s="522"/>
      <c r="Q681" s="522"/>
      <c r="R681" s="522"/>
      <c r="S681" s="522"/>
      <c r="T681" s="522"/>
      <c r="U681" s="522"/>
      <c r="V681" s="522"/>
      <c r="W681" s="522"/>
      <c r="X681" s="522"/>
      <c r="Y681" s="522"/>
      <c r="Z681" s="522"/>
      <c r="AA681" s="522"/>
      <c r="AB681" s="522"/>
      <c r="AC681" s="522"/>
      <c r="AD681" s="522"/>
      <c r="AE681" s="522"/>
    </row>
    <row r="682" spans="2:31" s="282" customFormat="1" ht="15" customHeight="1" x14ac:dyDescent="0.2">
      <c r="B682" s="139" t="s">
        <v>546</v>
      </c>
      <c r="C682" s="139" t="s">
        <v>547</v>
      </c>
      <c r="D682" s="139"/>
      <c r="E682" s="139"/>
      <c r="F682" s="139"/>
      <c r="G682" s="296" t="s">
        <v>86</v>
      </c>
      <c r="H682" s="206">
        <v>18</v>
      </c>
      <c r="I682" s="297">
        <f>J672*1000</f>
        <v>192598430.73186058</v>
      </c>
      <c r="J682" s="298">
        <f>H682*I682/100000</f>
        <v>34667.717531734903</v>
      </c>
      <c r="N682" s="522"/>
      <c r="O682" s="522"/>
      <c r="P682" s="522"/>
      <c r="Q682" s="522"/>
      <c r="R682" s="522"/>
      <c r="S682" s="522"/>
      <c r="T682" s="522"/>
      <c r="U682" s="522"/>
      <c r="V682" s="522"/>
      <c r="W682" s="522"/>
      <c r="X682" s="522"/>
      <c r="Y682" s="522"/>
      <c r="Z682" s="522"/>
      <c r="AA682" s="522"/>
      <c r="AB682" s="522"/>
      <c r="AC682" s="522"/>
      <c r="AD682" s="522"/>
      <c r="AE682" s="522"/>
    </row>
    <row r="683" spans="2:31" s="282" customFormat="1" ht="15" customHeight="1" x14ac:dyDescent="0.2">
      <c r="B683" s="139"/>
      <c r="C683" s="205" t="s">
        <v>548</v>
      </c>
      <c r="D683" s="205"/>
      <c r="E683" s="139"/>
      <c r="F683" s="139"/>
      <c r="G683" s="296"/>
      <c r="H683" s="297"/>
      <c r="I683" s="297"/>
      <c r="J683" s="298">
        <f>J682</f>
        <v>34667.717531734903</v>
      </c>
      <c r="N683" s="522"/>
      <c r="O683" s="522"/>
      <c r="P683" s="522"/>
      <c r="Q683" s="522"/>
      <c r="R683" s="522"/>
      <c r="S683" s="522"/>
      <c r="T683" s="522"/>
      <c r="U683" s="522"/>
      <c r="V683" s="522"/>
      <c r="W683" s="522"/>
      <c r="X683" s="522"/>
      <c r="Y683" s="522"/>
      <c r="Z683" s="522"/>
      <c r="AA683" s="522"/>
      <c r="AB683" s="522"/>
      <c r="AC683" s="522"/>
      <c r="AD683" s="522"/>
      <c r="AE683" s="522"/>
    </row>
    <row r="684" spans="2:31" s="282" customFormat="1" ht="15" customHeight="1" x14ac:dyDescent="0.2">
      <c r="B684" s="139" t="s">
        <v>549</v>
      </c>
      <c r="C684" s="205" t="s">
        <v>550</v>
      </c>
      <c r="D684" s="205"/>
      <c r="E684" s="139"/>
      <c r="F684" s="139"/>
      <c r="G684" s="296" t="s">
        <v>86</v>
      </c>
      <c r="H684" s="206">
        <v>20</v>
      </c>
      <c r="I684" s="297">
        <f>J682*1000</f>
        <v>34667717.531734906</v>
      </c>
      <c r="J684" s="298">
        <f>I684*H684/100000</f>
        <v>6933.5435063469813</v>
      </c>
      <c r="N684" s="522"/>
      <c r="O684" s="522"/>
      <c r="P684" s="522"/>
      <c r="Q684" s="522"/>
      <c r="R684" s="522"/>
      <c r="S684" s="522"/>
      <c r="T684" s="522"/>
      <c r="U684" s="522"/>
      <c r="V684" s="522"/>
      <c r="W684" s="522"/>
      <c r="X684" s="522"/>
      <c r="Y684" s="522"/>
      <c r="Z684" s="522"/>
      <c r="AA684" s="522"/>
      <c r="AB684" s="522"/>
      <c r="AC684" s="522"/>
      <c r="AD684" s="522"/>
      <c r="AE684" s="522"/>
    </row>
    <row r="685" spans="2:31" s="282" customFormat="1" ht="15" customHeight="1" thickBot="1" x14ac:dyDescent="0.25">
      <c r="B685" s="139"/>
      <c r="C685" s="139"/>
      <c r="D685" s="139"/>
      <c r="E685" s="139"/>
      <c r="F685" s="139"/>
      <c r="G685" s="296"/>
      <c r="H685" s="297"/>
      <c r="I685" s="297"/>
      <c r="J685" s="298"/>
      <c r="N685" s="522"/>
      <c r="O685" s="522"/>
      <c r="P685" s="522"/>
      <c r="Q685" s="522"/>
      <c r="R685" s="522"/>
      <c r="S685" s="522"/>
      <c r="T685" s="522"/>
      <c r="U685" s="522"/>
      <c r="V685" s="522"/>
      <c r="W685" s="522"/>
      <c r="X685" s="522"/>
      <c r="Y685" s="522"/>
      <c r="Z685" s="522"/>
      <c r="AA685" s="522"/>
      <c r="AB685" s="522"/>
      <c r="AC685" s="522"/>
      <c r="AD685" s="522"/>
      <c r="AE685" s="522"/>
    </row>
    <row r="686" spans="2:31" s="282" customFormat="1" ht="15" customHeight="1" x14ac:dyDescent="0.2">
      <c r="B686" s="302" t="s">
        <v>551</v>
      </c>
      <c r="C686" s="303" t="s">
        <v>552</v>
      </c>
      <c r="D686" s="303"/>
      <c r="E686" s="303"/>
      <c r="F686" s="303"/>
      <c r="G686" s="304"/>
      <c r="H686" s="305"/>
      <c r="I686" s="305"/>
      <c r="J686" s="306">
        <f>J690+J691</f>
        <v>19461.154256336737</v>
      </c>
      <c r="N686" s="522"/>
      <c r="O686" s="522"/>
      <c r="P686" s="522"/>
      <c r="Q686" s="522"/>
      <c r="R686" s="522"/>
      <c r="S686" s="522"/>
      <c r="T686" s="522"/>
      <c r="U686" s="522"/>
      <c r="V686" s="522"/>
      <c r="W686" s="522"/>
      <c r="X686" s="522"/>
      <c r="Y686" s="522"/>
      <c r="Z686" s="522"/>
      <c r="AA686" s="522"/>
      <c r="AB686" s="522"/>
      <c r="AC686" s="522"/>
      <c r="AD686" s="522"/>
      <c r="AE686" s="522"/>
    </row>
    <row r="687" spans="2:31" s="282" customFormat="1" ht="15" customHeight="1" x14ac:dyDescent="0.2">
      <c r="B687" s="139" t="s">
        <v>553</v>
      </c>
      <c r="C687" s="139" t="s">
        <v>554</v>
      </c>
      <c r="D687" s="139"/>
      <c r="E687" s="139"/>
      <c r="F687" s="139"/>
      <c r="G687" s="296" t="s">
        <v>322</v>
      </c>
      <c r="H687" s="307">
        <f>IF(OR(C28=1,C28=4),1,0)</f>
        <v>1</v>
      </c>
      <c r="I687" s="294">
        <f>F616</f>
        <v>5366836.9876855286</v>
      </c>
      <c r="J687" s="298">
        <f>H687*I687/1000</f>
        <v>5366.8369876855286</v>
      </c>
      <c r="N687" s="522"/>
      <c r="O687" s="522"/>
      <c r="P687" s="522"/>
      <c r="Q687" s="522"/>
      <c r="R687" s="522"/>
      <c r="S687" s="522"/>
      <c r="T687" s="522"/>
      <c r="U687" s="522"/>
      <c r="V687" s="522"/>
      <c r="W687" s="522"/>
      <c r="X687" s="522"/>
      <c r="Y687" s="522"/>
      <c r="Z687" s="522"/>
      <c r="AA687" s="522"/>
      <c r="AB687" s="522"/>
      <c r="AC687" s="522"/>
      <c r="AD687" s="522"/>
      <c r="AE687" s="522"/>
    </row>
    <row r="688" spans="2:31" s="282" customFormat="1" ht="15" customHeight="1" x14ac:dyDescent="0.2">
      <c r="B688" s="205" t="s">
        <v>553</v>
      </c>
      <c r="C688" s="139" t="s">
        <v>555</v>
      </c>
      <c r="D688" s="139"/>
      <c r="E688" s="139"/>
      <c r="F688" s="139"/>
      <c r="G688" s="296" t="s">
        <v>322</v>
      </c>
      <c r="H688" s="298">
        <f>IF(OR(C28=2,C28=3),1,0)</f>
        <v>0</v>
      </c>
      <c r="I688" s="294">
        <f>F643</f>
        <v>9782925.6419115756</v>
      </c>
      <c r="J688" s="298">
        <f>H688*I688/1000</f>
        <v>0</v>
      </c>
      <c r="N688" s="522"/>
      <c r="O688" s="522"/>
      <c r="P688" s="522"/>
      <c r="Q688" s="522"/>
      <c r="R688" s="522"/>
      <c r="S688" s="522"/>
      <c r="T688" s="522"/>
      <c r="U688" s="522"/>
      <c r="V688" s="522"/>
      <c r="W688" s="522"/>
      <c r="X688" s="522"/>
      <c r="Y688" s="522"/>
      <c r="Z688" s="522"/>
      <c r="AA688" s="522"/>
      <c r="AB688" s="522"/>
      <c r="AC688" s="522"/>
      <c r="AD688" s="522"/>
      <c r="AE688" s="522"/>
    </row>
    <row r="689" spans="1:31" s="282" customFormat="1" ht="15" customHeight="1" x14ac:dyDescent="0.2">
      <c r="B689" s="139" t="s">
        <v>556</v>
      </c>
      <c r="C689" s="139" t="s">
        <v>557</v>
      </c>
      <c r="D689" s="139"/>
      <c r="E689" s="139"/>
      <c r="F689" s="139"/>
      <c r="G689" s="296" t="s">
        <v>86</v>
      </c>
      <c r="H689" s="206">
        <v>6</v>
      </c>
      <c r="I689" s="297">
        <f>J672*1000</f>
        <v>192598430.73186058</v>
      </c>
      <c r="J689" s="298">
        <f>H689*I689/100000</f>
        <v>11555.905843911634</v>
      </c>
      <c r="N689" s="522"/>
      <c r="O689" s="522"/>
      <c r="P689" s="522"/>
      <c r="Q689" s="522"/>
      <c r="R689" s="522"/>
      <c r="S689" s="522"/>
      <c r="T689" s="522"/>
      <c r="U689" s="522"/>
      <c r="V689" s="522"/>
      <c r="W689" s="522"/>
      <c r="X689" s="522"/>
      <c r="Y689" s="522"/>
      <c r="Z689" s="522"/>
      <c r="AA689" s="522"/>
      <c r="AB689" s="522"/>
      <c r="AC689" s="522"/>
      <c r="AD689" s="522"/>
      <c r="AE689" s="522"/>
    </row>
    <row r="690" spans="1:31" s="282" customFormat="1" ht="15" customHeight="1" x14ac:dyDescent="0.2">
      <c r="B690" s="139"/>
      <c r="C690" s="205" t="s">
        <v>558</v>
      </c>
      <c r="D690" s="205"/>
      <c r="E690" s="139"/>
      <c r="F690" s="139"/>
      <c r="G690" s="296"/>
      <c r="H690" s="297"/>
      <c r="I690" s="297"/>
      <c r="J690" s="298">
        <f>J689+J687+J688</f>
        <v>16922.742831597163</v>
      </c>
      <c r="N690" s="522"/>
      <c r="O690" s="522"/>
      <c r="P690" s="522"/>
      <c r="Q690" s="522"/>
      <c r="R690" s="522"/>
      <c r="S690" s="522"/>
      <c r="T690" s="522"/>
      <c r="U690" s="522"/>
      <c r="V690" s="522"/>
      <c r="W690" s="522"/>
      <c r="X690" s="522"/>
      <c r="Y690" s="522"/>
      <c r="Z690" s="522"/>
      <c r="AA690" s="522"/>
      <c r="AB690" s="522"/>
      <c r="AC690" s="522"/>
      <c r="AD690" s="522"/>
      <c r="AE690" s="522"/>
    </row>
    <row r="691" spans="1:31" s="282" customFormat="1" ht="15" customHeight="1" x14ac:dyDescent="0.2">
      <c r="B691" s="139" t="s">
        <v>559</v>
      </c>
      <c r="C691" s="205" t="s">
        <v>560</v>
      </c>
      <c r="D691" s="205"/>
      <c r="E691" s="139"/>
      <c r="F691" s="139"/>
      <c r="G691" s="296" t="s">
        <v>86</v>
      </c>
      <c r="H691" s="206">
        <v>15</v>
      </c>
      <c r="I691" s="297">
        <f>J690*1000</f>
        <v>16922742.831597164</v>
      </c>
      <c r="J691" s="298">
        <f>H691*I691/100000</f>
        <v>2538.4114247395746</v>
      </c>
      <c r="N691" s="522"/>
      <c r="O691" s="522"/>
      <c r="P691" s="522"/>
      <c r="Q691" s="522"/>
      <c r="R691" s="522"/>
      <c r="S691" s="522"/>
      <c r="T691" s="522"/>
      <c r="U691" s="522"/>
      <c r="V691" s="522"/>
      <c r="W691" s="522"/>
      <c r="X691" s="522"/>
      <c r="Y691" s="522"/>
      <c r="Z691" s="522"/>
      <c r="AA691" s="522"/>
      <c r="AB691" s="522"/>
      <c r="AC691" s="522"/>
      <c r="AD691" s="522"/>
      <c r="AE691" s="522"/>
    </row>
    <row r="692" spans="1:31" s="282" customFormat="1" ht="15" customHeight="1" thickBot="1" x14ac:dyDescent="0.25">
      <c r="B692" s="207"/>
      <c r="C692" s="207"/>
      <c r="D692" s="207"/>
      <c r="E692" s="207"/>
      <c r="F692" s="207"/>
      <c r="G692" s="308"/>
      <c r="H692" s="309"/>
      <c r="I692" s="207"/>
      <c r="J692" s="309"/>
      <c r="N692" s="522"/>
      <c r="O692" s="522"/>
      <c r="P692" s="522"/>
      <c r="Q692" s="522"/>
      <c r="R692" s="522"/>
      <c r="S692" s="522"/>
      <c r="T692" s="522"/>
      <c r="U692" s="522"/>
      <c r="V692" s="522"/>
      <c r="W692" s="522"/>
      <c r="X692" s="522"/>
      <c r="Y692" s="522"/>
      <c r="Z692" s="522"/>
      <c r="AA692" s="522"/>
      <c r="AB692" s="522"/>
      <c r="AC692" s="522"/>
      <c r="AD692" s="522"/>
      <c r="AE692" s="522"/>
    </row>
    <row r="693" spans="1:31" ht="16.5" customHeight="1" x14ac:dyDescent="0.2">
      <c r="B693" s="282" t="s">
        <v>561</v>
      </c>
      <c r="C693" s="282"/>
      <c r="D693" s="282"/>
      <c r="E693" s="282"/>
      <c r="F693" s="282"/>
      <c r="G693" s="310"/>
      <c r="H693" s="311"/>
      <c r="I693" s="282"/>
      <c r="J693" s="312" t="e">
        <f>J686+J681+J672+J656</f>
        <v>#VALUE!</v>
      </c>
    </row>
    <row r="694" spans="1:31" ht="13.5" thickBot="1" x14ac:dyDescent="0.25">
      <c r="B694" s="279"/>
      <c r="C694" s="279"/>
      <c r="D694" s="279"/>
      <c r="E694" s="279"/>
      <c r="F694" s="279"/>
      <c r="G694" s="313"/>
      <c r="H694" s="279"/>
      <c r="I694" s="279"/>
      <c r="J694" s="279"/>
    </row>
    <row r="697" spans="1:31" x14ac:dyDescent="0.2">
      <c r="A697" s="149" t="s">
        <v>562</v>
      </c>
      <c r="B697" s="150"/>
      <c r="C697" s="150"/>
      <c r="D697" s="150"/>
      <c r="E697" s="150"/>
      <c r="F697" s="150"/>
      <c r="G697" s="150"/>
    </row>
    <row r="698" spans="1:31" ht="13.5" thickBot="1" x14ac:dyDescent="0.25">
      <c r="A698" s="149"/>
      <c r="B698" s="150"/>
      <c r="C698" s="150"/>
      <c r="D698" s="150"/>
      <c r="E698" s="150"/>
      <c r="F698" s="150"/>
      <c r="G698" s="150"/>
    </row>
    <row r="699" spans="1:31" x14ac:dyDescent="0.2">
      <c r="B699" s="743" t="s">
        <v>235</v>
      </c>
      <c r="C699" s="764" t="s">
        <v>236</v>
      </c>
      <c r="D699" s="744"/>
      <c r="E699" s="744"/>
      <c r="F699" s="744"/>
      <c r="G699" s="744"/>
      <c r="H699" s="744"/>
      <c r="I699" s="744"/>
      <c r="J699" s="745"/>
    </row>
    <row r="700" spans="1:31" ht="13.5" thickBot="1" x14ac:dyDescent="0.25">
      <c r="B700" s="763"/>
      <c r="C700" s="765"/>
      <c r="D700" s="747"/>
      <c r="E700" s="747"/>
      <c r="F700" s="747"/>
      <c r="G700" s="747"/>
      <c r="H700" s="747"/>
      <c r="I700" s="747"/>
      <c r="J700" s="748"/>
    </row>
    <row r="701" spans="1:31" x14ac:dyDescent="0.2">
      <c r="B701" s="211">
        <f>IF(OR(C701="Potência da unidade geradora maior que a máxima recomendada. Foi aumentado o número de unidades",C701="Potência da unidade geradora menor que a mínima recomendada. Foi diminuído o número de unidades"),ROW(B32),"")</f>
        <v>32</v>
      </c>
      <c r="C701" s="314" t="str">
        <f>IF(OR(B32="Potência da unidade geradora maior que a máxima recomendada. Foi aumentado o número de unidades",B32="Potência da unidade geradora menor que a mínima recomendada. Foi diminuído o número de unidades"),B32,"")</f>
        <v>Potência da unidade geradora maior que a máxima recomendada. Foi aumentado o número de unidades</v>
      </c>
      <c r="D701" s="213"/>
      <c r="E701" s="213"/>
      <c r="F701" s="213"/>
      <c r="G701" s="213"/>
      <c r="H701" s="213"/>
      <c r="I701" s="213"/>
      <c r="J701" s="213"/>
    </row>
    <row r="702" spans="1:31" x14ac:dyDescent="0.2">
      <c r="B702" s="151" t="str">
        <f>IF(OR(C702="Valor inadequado - muito baixo.",C702="Valor inadequado - muito alto."),ROW(D50),"")</f>
        <v/>
      </c>
      <c r="C702" s="216" t="str">
        <f>IF(OR(D50="Valor inadequado - muito baixo.",D50="Valor inadequado - muito alto."),D50,"")</f>
        <v/>
      </c>
      <c r="D702" s="153"/>
      <c r="E702" s="153"/>
      <c r="F702" s="153"/>
      <c r="G702" s="153"/>
      <c r="H702" s="153"/>
      <c r="I702" s="153"/>
      <c r="J702" s="153"/>
    </row>
    <row r="703" spans="1:31" x14ac:dyDescent="0.2">
      <c r="B703" s="151" t="str">
        <f>IF(C703="Valor fora da faixa de variação!",ROW(I76),"")</f>
        <v/>
      </c>
      <c r="C703" s="315" t="str">
        <f>IF(I76="Valor fora da faixa de variação!","Valor fora da faixa de variação!","")</f>
        <v/>
      </c>
      <c r="D703" s="153"/>
      <c r="E703" s="153"/>
      <c r="F703" s="153"/>
      <c r="G703" s="153"/>
      <c r="H703" s="153"/>
      <c r="I703" s="153"/>
      <c r="J703" s="153"/>
    </row>
    <row r="704" spans="1:31" x14ac:dyDescent="0.2">
      <c r="B704" s="151" t="str">
        <f>IF(C704="Valor fora da faixa de variação!",ROW(I97),"")</f>
        <v/>
      </c>
      <c r="C704" s="315" t="str">
        <f>IF(I97="Valor fora da faixa de variação!","Valor fora da faixa de variação!","")</f>
        <v/>
      </c>
      <c r="D704" s="153"/>
      <c r="E704" s="153"/>
      <c r="F704" s="153"/>
      <c r="G704" s="153"/>
      <c r="H704" s="153"/>
      <c r="I704" s="153"/>
      <c r="J704" s="153"/>
    </row>
    <row r="705" spans="2:10" x14ac:dyDescent="0.2">
      <c r="B705" s="151" t="str">
        <f>IF(C705="Valores fora da faixa de variação!",ROW(D151),"")</f>
        <v/>
      </c>
      <c r="C705" s="315" t="str">
        <f>IF(D151="Valores fora da faixa de variação!","Valores fora da faixa de variação!","")</f>
        <v/>
      </c>
      <c r="D705" s="153"/>
      <c r="E705" s="153"/>
      <c r="F705" s="153"/>
      <c r="G705" s="153"/>
      <c r="H705" s="153"/>
      <c r="I705" s="153"/>
      <c r="J705" s="153"/>
    </row>
    <row r="706" spans="2:10" x14ac:dyDescent="0.2">
      <c r="B706" s="151" t="str">
        <f>IF(C706="Fora da faixa de validade da curva! ERRO!",ROW(E317),"")</f>
        <v/>
      </c>
      <c r="C706" s="315" t="str">
        <f>IF(E317="Fora da faixa de validade da curva! ERRO!","Fora da faixa de validade da curva! ERRO!","")</f>
        <v/>
      </c>
      <c r="D706" s="153"/>
      <c r="E706" s="153"/>
      <c r="F706" s="153"/>
      <c r="G706" s="153"/>
      <c r="H706" s="153"/>
      <c r="I706" s="153"/>
      <c r="J706" s="153"/>
    </row>
    <row r="707" spans="2:10" x14ac:dyDescent="0.2">
      <c r="B707" s="151">
        <f>IF(C707="Área de escavação fora da validade do gráfico B33.",ROW(D340),"")</f>
        <v>340</v>
      </c>
      <c r="C707" s="315" t="str">
        <f>IF(D340="Área de escavação fora da validade do gráfico B33.","Área de escavação fora da validade do gráfico B33.","")</f>
        <v>Área de escavação fora da validade do gráfico B33.</v>
      </c>
      <c r="D707" s="153"/>
      <c r="E707" s="153"/>
      <c r="F707" s="153"/>
      <c r="G707" s="153"/>
      <c r="H707" s="153"/>
      <c r="I707" s="153"/>
      <c r="J707" s="153"/>
    </row>
    <row r="708" spans="2:10" x14ac:dyDescent="0.2">
      <c r="B708" s="151" t="str">
        <f>IF(C708="ERRO! Opção inválida!",ROW(F366),"")</f>
        <v/>
      </c>
      <c r="C708" s="315" t="str">
        <f>IF(F366="ERRO! Opção inválida!","ERRO! Opção inválida!","")</f>
        <v/>
      </c>
      <c r="D708" s="153"/>
      <c r="E708" s="153"/>
      <c r="F708" s="153"/>
      <c r="G708" s="153"/>
      <c r="H708" s="153"/>
      <c r="I708" s="153"/>
      <c r="J708" s="153"/>
    </row>
    <row r="709" spans="2:10" x14ac:dyDescent="0.2">
      <c r="B709" s="151" t="str">
        <f>IF(C709="Tipo inválido!",ROW(F372),"")</f>
        <v/>
      </c>
      <c r="C709" s="315" t="str">
        <f>IF(F372="Tipo inválido!","Tipo inválido!","")</f>
        <v/>
      </c>
      <c r="D709" s="153"/>
      <c r="E709" s="153"/>
      <c r="F709" s="153"/>
      <c r="G709" s="153"/>
      <c r="H709" s="153"/>
      <c r="I709" s="153"/>
      <c r="J709" s="153"/>
    </row>
    <row r="710" spans="2:10" x14ac:dyDescent="0.2">
      <c r="B710" s="151" t="str">
        <f>IF(C710="Tipo inválido!",ROW(F375),"")</f>
        <v/>
      </c>
      <c r="C710" s="315" t="str">
        <f>IF(F375="Tipo inválido!","Tipo inválido!","")</f>
        <v/>
      </c>
      <c r="D710" s="153"/>
      <c r="E710" s="153"/>
      <c r="F710" s="153"/>
      <c r="G710" s="153"/>
      <c r="H710" s="153"/>
      <c r="I710" s="153"/>
      <c r="J710" s="153"/>
    </row>
    <row r="711" spans="2:10" x14ac:dyDescent="0.2">
      <c r="B711" s="151" t="str">
        <f>IF(C711="Tipo inválido!",ROW(G378),"")</f>
        <v/>
      </c>
      <c r="C711" s="315" t="str">
        <f>IF(G378="Tipo inválido!","Tipo inválido!","")</f>
        <v/>
      </c>
      <c r="D711" s="153"/>
      <c r="E711" s="153"/>
      <c r="F711" s="153"/>
      <c r="G711" s="153"/>
      <c r="H711" s="153"/>
      <c r="I711" s="153"/>
      <c r="J711" s="153"/>
    </row>
    <row r="712" spans="2:10" x14ac:dyDescent="0.2">
      <c r="B712" s="151" t="str">
        <f>IF(C712="Tipo inválido!",ROW(G381),"")</f>
        <v/>
      </c>
      <c r="C712" s="315" t="str">
        <f>IF(G381="Tipo inválido!","Tipo inválido!","")</f>
        <v/>
      </c>
      <c r="D712" s="153"/>
      <c r="E712" s="153"/>
      <c r="F712" s="153"/>
      <c r="G712" s="153"/>
      <c r="H712" s="153"/>
      <c r="I712" s="153"/>
      <c r="J712" s="153"/>
    </row>
    <row r="713" spans="2:10" x14ac:dyDescent="0.2">
      <c r="B713" s="151" t="str">
        <f>IF(C713="Fora da faixa de validade da curva! ERRO!",ROW(E385),"")</f>
        <v/>
      </c>
      <c r="C713" s="315" t="str">
        <f>IF(E385="Fora da faixa de validade da curva! ERRO!","Fora da faixa de validade da curva! ERRO!","")</f>
        <v/>
      </c>
      <c r="D713" s="153"/>
      <c r="E713" s="153"/>
      <c r="F713" s="153"/>
      <c r="G713" s="153"/>
      <c r="H713" s="153"/>
      <c r="I713" s="153"/>
      <c r="J713" s="153"/>
    </row>
    <row r="714" spans="2:10" x14ac:dyDescent="0.2">
      <c r="B714" s="151" t="str">
        <f>IF(C714="Fora da faixa de validade da curva! ERRO!",ROW(E388),"")</f>
        <v/>
      </c>
      <c r="C714" s="315" t="str">
        <f>IF(E388="Fora da faixa de validade da curva! ERRO!","Fora da faixa de validade da curva! ERRO!","")</f>
        <v/>
      </c>
      <c r="D714" s="153"/>
      <c r="E714" s="153"/>
      <c r="F714" s="153"/>
      <c r="G714" s="153"/>
      <c r="H714" s="153"/>
      <c r="I714" s="153"/>
      <c r="J714" s="153"/>
    </row>
    <row r="715" spans="2:10" x14ac:dyDescent="0.2">
      <c r="B715" s="151" t="str">
        <f>IF(C715="Fora da faixa de validade da curva! ERRO!",ROW(E391),"")</f>
        <v/>
      </c>
      <c r="C715" s="315" t="str">
        <f>IF(E391="Fora da faixa de validade da curva! ERRO!","Fora da faixa de validade da curva! ERRO!","")</f>
        <v/>
      </c>
      <c r="D715" s="153"/>
      <c r="E715" s="153"/>
      <c r="F715" s="153"/>
      <c r="G715" s="153"/>
      <c r="H715" s="153"/>
      <c r="I715" s="153"/>
      <c r="J715" s="153"/>
    </row>
    <row r="716" spans="2:10" x14ac:dyDescent="0.2">
      <c r="B716" s="151" t="str">
        <f>IF(C716="Tipo inválido!",ROW(F400),"")</f>
        <v/>
      </c>
      <c r="C716" s="315" t="str">
        <f>IF(F400="Tipo inválido!","Tipo inválido!","")</f>
        <v/>
      </c>
      <c r="D716" s="153"/>
      <c r="E716" s="153"/>
      <c r="F716" s="153"/>
      <c r="G716" s="153"/>
      <c r="H716" s="153"/>
      <c r="I716" s="153"/>
      <c r="J716" s="153"/>
    </row>
    <row r="717" spans="2:10" x14ac:dyDescent="0.2">
      <c r="B717" s="151" t="str">
        <f>IF(C717="Tipo inválido!",ROW(C404),"")</f>
        <v/>
      </c>
      <c r="C717" s="315" t="str">
        <f>IF(C404="Tipo inválido!","Tipo inválido!","")</f>
        <v/>
      </c>
      <c r="D717" s="153"/>
      <c r="E717" s="153"/>
      <c r="F717" s="153"/>
      <c r="G717" s="153"/>
      <c r="H717" s="153"/>
      <c r="I717" s="153"/>
      <c r="J717" s="153"/>
    </row>
    <row r="718" spans="2:10" x14ac:dyDescent="0.2">
      <c r="B718" s="151" t="str">
        <f>IF(C718="Tipo inválido!",ROW(G423),"")</f>
        <v/>
      </c>
      <c r="C718" s="315" t="str">
        <f>IF(G423="Tipo inválido!","Tipo inválido!","")</f>
        <v/>
      </c>
      <c r="D718" s="153"/>
      <c r="E718" s="153"/>
      <c r="F718" s="153"/>
      <c r="G718" s="153"/>
      <c r="H718" s="153"/>
      <c r="I718" s="153"/>
      <c r="J718" s="153"/>
    </row>
    <row r="719" spans="2:10" x14ac:dyDescent="0.2">
      <c r="B719" s="151" t="str">
        <f>IF(C719="Tipo inválido!",ROW(G424),"")</f>
        <v/>
      </c>
      <c r="C719" s="315" t="str">
        <f>IF(G424="Tipo inválido!","Tipo inválido!","")</f>
        <v/>
      </c>
      <c r="D719" s="153"/>
      <c r="E719" s="153"/>
      <c r="F719" s="153"/>
      <c r="G719" s="153"/>
      <c r="H719" s="153"/>
      <c r="I719" s="153"/>
      <c r="J719" s="153"/>
    </row>
    <row r="720" spans="2:10" x14ac:dyDescent="0.2">
      <c r="B720" s="151" t="str">
        <f>IF(C720="Tipo inválido!",ROW(G425),"")</f>
        <v/>
      </c>
      <c r="C720" s="315" t="str">
        <f>IF(G425="Tipo inválido!","Tipo inválido!","")</f>
        <v/>
      </c>
      <c r="D720" s="153"/>
      <c r="E720" s="153"/>
      <c r="F720" s="153"/>
      <c r="G720" s="153"/>
      <c r="H720" s="153"/>
      <c r="I720" s="153"/>
      <c r="J720" s="153"/>
    </row>
    <row r="721" spans="2:10" x14ac:dyDescent="0.2">
      <c r="B721" s="151" t="str">
        <f>IF(C721="Tipo inválido!",ROW(G426),"")</f>
        <v/>
      </c>
      <c r="C721" s="315" t="str">
        <f>IF(G426="Tipo inválido!","Tipo inválido!","")</f>
        <v/>
      </c>
      <c r="D721" s="153"/>
      <c r="E721" s="153"/>
      <c r="F721" s="153"/>
      <c r="G721" s="153"/>
      <c r="H721" s="153"/>
      <c r="I721" s="153"/>
      <c r="J721" s="153"/>
    </row>
    <row r="722" spans="2:10" x14ac:dyDescent="0.2">
      <c r="B722" s="151" t="str">
        <f>IF(C722="Potência fora da validade do gráfico B19.",ROW(E449),"")</f>
        <v/>
      </c>
      <c r="C722" s="315" t="str">
        <f>IF(E449="Potência fora da validade do gráfico B19.","Potência fora da validade do gráfico B19.","")</f>
        <v/>
      </c>
      <c r="D722" s="153"/>
      <c r="E722" s="153"/>
      <c r="F722" s="153"/>
      <c r="G722" s="153"/>
      <c r="H722" s="153"/>
      <c r="I722" s="153"/>
      <c r="J722" s="153"/>
    </row>
    <row r="723" spans="2:10" x14ac:dyDescent="0.2">
      <c r="B723" s="151" t="str">
        <f>IF(C723="Potência fora da validade do gráfico B20.",ROW(D469),"")</f>
        <v/>
      </c>
      <c r="C723" s="315" t="str">
        <f>IF(D469="Potência fora da validade do gráfico B20.","Potência fora da validade do gráfico B20.","")</f>
        <v/>
      </c>
      <c r="D723" s="153"/>
      <c r="E723" s="153"/>
      <c r="F723" s="153"/>
      <c r="G723" s="153"/>
      <c r="H723" s="153"/>
      <c r="I723" s="153"/>
      <c r="J723" s="153"/>
    </row>
    <row r="724" spans="2:10" x14ac:dyDescent="0.2">
      <c r="B724" s="151" t="str">
        <f>IF(C724="Fora da faixa de variação da curva!  ERRO!",ROW(G494),"")</f>
        <v/>
      </c>
      <c r="C724" s="315" t="str">
        <f>IF(F494="Fora da faixa de variação da curva!  ERRO!","Fora da faixa de variação da curva!  ERRO!","")</f>
        <v/>
      </c>
      <c r="D724" s="153"/>
      <c r="E724" s="153"/>
      <c r="F724" s="153"/>
      <c r="G724" s="153"/>
      <c r="H724" s="153"/>
      <c r="I724" s="153"/>
      <c r="J724" s="153"/>
    </row>
    <row r="725" spans="2:10" x14ac:dyDescent="0.2">
      <c r="B725" s="151" t="str">
        <f>IF(C725="Fora da faixa de variação da curva!",ROW(E526),"")</f>
        <v/>
      </c>
      <c r="C725" s="315" t="str">
        <f>IF(E526="Fora da faixa de variação da curva!","Fora da faixa de variação da curva!","")</f>
        <v/>
      </c>
      <c r="D725" s="153"/>
      <c r="E725" s="153"/>
      <c r="F725" s="153"/>
      <c r="G725" s="153"/>
      <c r="H725" s="153"/>
      <c r="I725" s="153"/>
      <c r="J725" s="153"/>
    </row>
    <row r="726" spans="2:10" x14ac:dyDescent="0.2">
      <c r="B726" s="151" t="str">
        <f>IF(C726="Relação MVA/rpm fora da validade do gráfico B16.",ROW(F577),"")</f>
        <v/>
      </c>
      <c r="C726" s="315" t="str">
        <f>IF(F577="Relação MVA/rpm fora da validade do gráfico B16.","Relação MVA/rpm fora da validade do gráfico B16.","")</f>
        <v/>
      </c>
      <c r="D726" s="153"/>
      <c r="E726" s="153"/>
      <c r="F726" s="153"/>
      <c r="G726" s="153"/>
      <c r="H726" s="153"/>
      <c r="I726" s="153"/>
      <c r="J726" s="153"/>
    </row>
    <row r="727" spans="2:10" x14ac:dyDescent="0.2">
      <c r="B727" s="151" t="str">
        <f>IF(C727="Relação kVA/rpm fora da faixa de validade do Gráfico B17.",ROW(D608),"")</f>
        <v/>
      </c>
      <c r="C727" s="315" t="str">
        <f>IF(D608="Relação kVA/rpm fora da faixa de validade do Gráfico B17.","Relação kVA/rpm fora da faixa de validade do Gráfico B17.","")</f>
        <v/>
      </c>
      <c r="D727" s="153"/>
      <c r="E727" s="153"/>
      <c r="F727" s="153"/>
      <c r="G727" s="153"/>
      <c r="H727" s="153"/>
      <c r="I727" s="153"/>
      <c r="J727" s="153"/>
    </row>
    <row r="728" spans="2:10" x14ac:dyDescent="0.2">
      <c r="B728" s="151" t="str">
        <f>IF(C728="Fora da validade da curva! ERRO!",ROW(E638),"")</f>
        <v/>
      </c>
      <c r="C728" s="315" t="str">
        <f>IF(E638="Fora da validade da curva! ERRO!","Fora da validade da curva! ERRO!","")</f>
        <v/>
      </c>
      <c r="D728" s="153"/>
      <c r="E728" s="153"/>
      <c r="F728" s="153"/>
      <c r="G728" s="153"/>
      <c r="H728" s="153"/>
      <c r="I728" s="153"/>
      <c r="J728" s="153"/>
    </row>
    <row r="729" spans="2:10" ht="13.5" thickBot="1" x14ac:dyDescent="0.25">
      <c r="B729" s="316"/>
      <c r="C729" s="156"/>
      <c r="D729" s="317"/>
      <c r="E729" s="317"/>
      <c r="F729" s="317"/>
      <c r="G729" s="317"/>
      <c r="H729" s="317"/>
      <c r="I729" s="317"/>
      <c r="J729" s="317"/>
    </row>
  </sheetData>
  <mergeCells count="12">
    <mergeCell ref="B543:D543"/>
    <mergeCell ref="E1:H2"/>
    <mergeCell ref="A3:D3"/>
    <mergeCell ref="J3:K3"/>
    <mergeCell ref="B499:E499"/>
    <mergeCell ref="B536:D536"/>
    <mergeCell ref="A571:B571"/>
    <mergeCell ref="B578:E578"/>
    <mergeCell ref="B615:E615"/>
    <mergeCell ref="B642:E642"/>
    <mergeCell ref="B699:B700"/>
    <mergeCell ref="C699:J70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11265" r:id="rId4">
          <objectPr defaultSize="0" autoLine="0" autoPict="0" r:id="rId5">
            <anchor moveWithCells="1">
              <from>
                <xdr:col>1</xdr:col>
                <xdr:colOff>133350</xdr:colOff>
                <xdr:row>63</xdr:row>
                <xdr:rowOff>104775</xdr:rowOff>
              </from>
              <to>
                <xdr:col>3</xdr:col>
                <xdr:colOff>285750</xdr:colOff>
                <xdr:row>65</xdr:row>
                <xdr:rowOff>114300</xdr:rowOff>
              </to>
            </anchor>
          </objectPr>
        </oleObject>
      </mc:Choice>
      <mc:Fallback>
        <oleObject progId="Equation.2" shapeId="11265" r:id="rId4"/>
      </mc:Fallback>
    </mc:AlternateContent>
    <mc:AlternateContent xmlns:mc="http://schemas.openxmlformats.org/markup-compatibility/2006">
      <mc:Choice Requires="x14">
        <oleObject progId="Equation.2" shapeId="11266" r:id="rId6">
          <objectPr defaultSize="0" autoLine="0" autoPict="0" r:id="rId7">
            <anchor moveWithCells="1">
              <from>
                <xdr:col>1</xdr:col>
                <xdr:colOff>228600</xdr:colOff>
                <xdr:row>114</xdr:row>
                <xdr:rowOff>142875</xdr:rowOff>
              </from>
              <to>
                <xdr:col>2</xdr:col>
                <xdr:colOff>419100</xdr:colOff>
                <xdr:row>116</xdr:row>
                <xdr:rowOff>133350</xdr:rowOff>
              </to>
            </anchor>
          </objectPr>
        </oleObject>
      </mc:Choice>
      <mc:Fallback>
        <oleObject progId="Equation.2" shapeId="11266" r:id="rId6"/>
      </mc:Fallback>
    </mc:AlternateContent>
    <mc:AlternateContent xmlns:mc="http://schemas.openxmlformats.org/markup-compatibility/2006">
      <mc:Choice Requires="x14">
        <oleObject progId="Equation.2" shapeId="11267" r:id="rId8">
          <objectPr defaultSize="0" autoLine="0" autoPict="0" r:id="rId9">
            <anchor moveWithCells="1">
              <from>
                <xdr:col>1</xdr:col>
                <xdr:colOff>228600</xdr:colOff>
                <xdr:row>192</xdr:row>
                <xdr:rowOff>38100</xdr:rowOff>
              </from>
              <to>
                <xdr:col>3</xdr:col>
                <xdr:colOff>257175</xdr:colOff>
                <xdr:row>193</xdr:row>
                <xdr:rowOff>38100</xdr:rowOff>
              </to>
            </anchor>
          </objectPr>
        </oleObject>
      </mc:Choice>
      <mc:Fallback>
        <oleObject progId="Equation.2" shapeId="11267" r:id="rId8"/>
      </mc:Fallback>
    </mc:AlternateContent>
    <mc:AlternateContent xmlns:mc="http://schemas.openxmlformats.org/markup-compatibility/2006">
      <mc:Choice Requires="x14">
        <oleObject progId="Equation.2" shapeId="11268" r:id="rId10">
          <objectPr defaultSize="0" autoLine="0" autoPict="0" r:id="rId11">
            <anchor moveWithCells="1">
              <from>
                <xdr:col>1</xdr:col>
                <xdr:colOff>228600</xdr:colOff>
                <xdr:row>181</xdr:row>
                <xdr:rowOff>123825</xdr:rowOff>
              </from>
              <to>
                <xdr:col>2</xdr:col>
                <xdr:colOff>333375</xdr:colOff>
                <xdr:row>183</xdr:row>
                <xdr:rowOff>114300</xdr:rowOff>
              </to>
            </anchor>
          </objectPr>
        </oleObject>
      </mc:Choice>
      <mc:Fallback>
        <oleObject progId="Equation.2" shapeId="11268" r:id="rId10"/>
      </mc:Fallback>
    </mc:AlternateContent>
    <mc:AlternateContent xmlns:mc="http://schemas.openxmlformats.org/markup-compatibility/2006">
      <mc:Choice Requires="x14">
        <oleObject progId="Equation.2" shapeId="11269" r:id="rId12">
          <objectPr defaultSize="0" autoLine="0" autoPict="0" r:id="rId13">
            <anchor moveWithCells="1">
              <from>
                <xdr:col>1</xdr:col>
                <xdr:colOff>200025</xdr:colOff>
                <xdr:row>185</xdr:row>
                <xdr:rowOff>180975</xdr:rowOff>
              </from>
              <to>
                <xdr:col>3</xdr:col>
                <xdr:colOff>47625</xdr:colOff>
                <xdr:row>187</xdr:row>
                <xdr:rowOff>9525</xdr:rowOff>
              </to>
            </anchor>
          </objectPr>
        </oleObject>
      </mc:Choice>
      <mc:Fallback>
        <oleObject progId="Equation.2" shapeId="11269" r:id="rId12"/>
      </mc:Fallback>
    </mc:AlternateContent>
    <mc:AlternateContent xmlns:mc="http://schemas.openxmlformats.org/markup-compatibility/2006">
      <mc:Choice Requires="x14">
        <oleObject progId="Equation.2" shapeId="11270" r:id="rId14">
          <objectPr defaultSize="0" autoLine="0" autoPict="0" r:id="rId15">
            <anchor moveWithCells="1">
              <from>
                <xdr:col>1</xdr:col>
                <xdr:colOff>266700</xdr:colOff>
                <xdr:row>195</xdr:row>
                <xdr:rowOff>95250</xdr:rowOff>
              </from>
              <to>
                <xdr:col>4</xdr:col>
                <xdr:colOff>714375</xdr:colOff>
                <xdr:row>197</xdr:row>
                <xdr:rowOff>123825</xdr:rowOff>
              </to>
            </anchor>
          </objectPr>
        </oleObject>
      </mc:Choice>
      <mc:Fallback>
        <oleObject progId="Equation.2" shapeId="11270" r:id="rId14"/>
      </mc:Fallback>
    </mc:AlternateContent>
    <mc:AlternateContent xmlns:mc="http://schemas.openxmlformats.org/markup-compatibility/2006">
      <mc:Choice Requires="x14">
        <oleObject progId="Equation.2" shapeId="11271" r:id="rId16">
          <objectPr defaultSize="0" autoLine="0" autoPict="0" r:id="rId17">
            <anchor moveWithCells="1">
              <from>
                <xdr:col>1</xdr:col>
                <xdr:colOff>190500</xdr:colOff>
                <xdr:row>59</xdr:row>
                <xdr:rowOff>133350</xdr:rowOff>
              </from>
              <to>
                <xdr:col>2</xdr:col>
                <xdr:colOff>342900</xdr:colOff>
                <xdr:row>61</xdr:row>
                <xdr:rowOff>123825</xdr:rowOff>
              </to>
            </anchor>
          </objectPr>
        </oleObject>
      </mc:Choice>
      <mc:Fallback>
        <oleObject progId="Equation.2" shapeId="11271" r:id="rId16"/>
      </mc:Fallback>
    </mc:AlternateContent>
    <mc:AlternateContent xmlns:mc="http://schemas.openxmlformats.org/markup-compatibility/2006">
      <mc:Choice Requires="x14">
        <oleObject progId="Equation.2" shapeId="11272" r:id="rId18">
          <objectPr defaultSize="0" autoLine="0" autoPict="0" r:id="rId19">
            <anchor moveWithCells="1">
              <from>
                <xdr:col>1</xdr:col>
                <xdr:colOff>238125</xdr:colOff>
                <xdr:row>154</xdr:row>
                <xdr:rowOff>9525</xdr:rowOff>
              </from>
              <to>
                <xdr:col>3</xdr:col>
                <xdr:colOff>123825</xdr:colOff>
                <xdr:row>155</xdr:row>
                <xdr:rowOff>28575</xdr:rowOff>
              </to>
            </anchor>
          </objectPr>
        </oleObject>
      </mc:Choice>
      <mc:Fallback>
        <oleObject progId="Equation.2" shapeId="11272" r:id="rId18"/>
      </mc:Fallback>
    </mc:AlternateContent>
    <mc:AlternateContent xmlns:mc="http://schemas.openxmlformats.org/markup-compatibility/2006">
      <mc:Choice Requires="x14">
        <oleObject progId="Equation.2" shapeId="11273" r:id="rId20">
          <objectPr defaultSize="0" autoLine="0" autoPict="0" r:id="rId21">
            <anchor moveWithCells="1">
              <from>
                <xdr:col>1</xdr:col>
                <xdr:colOff>257175</xdr:colOff>
                <xdr:row>44</xdr:row>
                <xdr:rowOff>123825</xdr:rowOff>
              </from>
              <to>
                <xdr:col>2</xdr:col>
                <xdr:colOff>447675</xdr:colOff>
                <xdr:row>46</xdr:row>
                <xdr:rowOff>76200</xdr:rowOff>
              </to>
            </anchor>
          </objectPr>
        </oleObject>
      </mc:Choice>
      <mc:Fallback>
        <oleObject progId="Equation.2" shapeId="11273" r:id="rId20"/>
      </mc:Fallback>
    </mc:AlternateContent>
    <mc:AlternateContent xmlns:mc="http://schemas.openxmlformats.org/markup-compatibility/2006">
      <mc:Choice Requires="x14">
        <oleObject progId="Equation.2" shapeId="11274" r:id="rId22">
          <objectPr defaultSize="0" autoLine="0" autoPict="0" r:id="rId23">
            <anchor moveWithCells="1">
              <from>
                <xdr:col>1</xdr:col>
                <xdr:colOff>200025</xdr:colOff>
                <xdr:row>85</xdr:row>
                <xdr:rowOff>123825</xdr:rowOff>
              </from>
              <to>
                <xdr:col>2</xdr:col>
                <xdr:colOff>762000</xdr:colOff>
                <xdr:row>87</xdr:row>
                <xdr:rowOff>104775</xdr:rowOff>
              </to>
            </anchor>
          </objectPr>
        </oleObject>
      </mc:Choice>
      <mc:Fallback>
        <oleObject progId="Equation.2" shapeId="11274" r:id="rId22"/>
      </mc:Fallback>
    </mc:AlternateContent>
    <mc:AlternateContent xmlns:mc="http://schemas.openxmlformats.org/markup-compatibility/2006">
      <mc:Choice Requires="x14">
        <oleObject progId="Equation.2" shapeId="11275" r:id="rId24">
          <objectPr defaultSize="0" autoLine="0" autoPict="0" r:id="rId25">
            <anchor moveWithCells="1">
              <from>
                <xdr:col>1</xdr:col>
                <xdr:colOff>190500</xdr:colOff>
                <xdr:row>111</xdr:row>
                <xdr:rowOff>0</xdr:rowOff>
              </from>
              <to>
                <xdr:col>2</xdr:col>
                <xdr:colOff>161925</xdr:colOff>
                <xdr:row>112</xdr:row>
                <xdr:rowOff>0</xdr:rowOff>
              </to>
            </anchor>
          </objectPr>
        </oleObject>
      </mc:Choice>
      <mc:Fallback>
        <oleObject progId="Equation.2" shapeId="11275" r:id="rId24"/>
      </mc:Fallback>
    </mc:AlternateContent>
    <mc:AlternateContent xmlns:mc="http://schemas.openxmlformats.org/markup-compatibility/2006">
      <mc:Choice Requires="x14">
        <oleObject progId="Equation.2" shapeId="11276" r:id="rId26">
          <objectPr defaultSize="0" autoLine="0" autoPict="0" r:id="rId27">
            <anchor moveWithCells="1">
              <from>
                <xdr:col>1</xdr:col>
                <xdr:colOff>266700</xdr:colOff>
                <xdr:row>200</xdr:row>
                <xdr:rowOff>47625</xdr:rowOff>
              </from>
              <to>
                <xdr:col>2</xdr:col>
                <xdr:colOff>381000</xdr:colOff>
                <xdr:row>201</xdr:row>
                <xdr:rowOff>38100</xdr:rowOff>
              </to>
            </anchor>
          </objectPr>
        </oleObject>
      </mc:Choice>
      <mc:Fallback>
        <oleObject progId="Equation.2" shapeId="11276" r:id="rId26"/>
      </mc:Fallback>
    </mc:AlternateContent>
    <mc:AlternateContent xmlns:mc="http://schemas.openxmlformats.org/markup-compatibility/2006">
      <mc:Choice Requires="x14">
        <oleObject progId="Equation.2" shapeId="11277" r:id="rId28">
          <objectPr defaultSize="0" autoLine="0" autoPict="0" r:id="rId29">
            <anchor moveWithCells="1">
              <from>
                <xdr:col>1</xdr:col>
                <xdr:colOff>762000</xdr:colOff>
                <xdr:row>203</xdr:row>
                <xdr:rowOff>38100</xdr:rowOff>
              </from>
              <to>
                <xdr:col>4</xdr:col>
                <xdr:colOff>723900</xdr:colOff>
                <xdr:row>204</xdr:row>
                <xdr:rowOff>38100</xdr:rowOff>
              </to>
            </anchor>
          </objectPr>
        </oleObject>
      </mc:Choice>
      <mc:Fallback>
        <oleObject progId="Equation.2" shapeId="11277" r:id="rId28"/>
      </mc:Fallback>
    </mc:AlternateContent>
    <mc:AlternateContent xmlns:mc="http://schemas.openxmlformats.org/markup-compatibility/2006">
      <mc:Choice Requires="x14">
        <oleObject progId="Equation.2" shapeId="11278" r:id="rId30">
          <objectPr defaultSize="0" autoLine="0" autoPict="0" r:id="rId31">
            <anchor moveWithCells="1">
              <from>
                <xdr:col>1</xdr:col>
                <xdr:colOff>752475</xdr:colOff>
                <xdr:row>204</xdr:row>
                <xdr:rowOff>180975</xdr:rowOff>
              </from>
              <to>
                <xdr:col>3</xdr:col>
                <xdr:colOff>685800</xdr:colOff>
                <xdr:row>206</xdr:row>
                <xdr:rowOff>9525</xdr:rowOff>
              </to>
            </anchor>
          </objectPr>
        </oleObject>
      </mc:Choice>
      <mc:Fallback>
        <oleObject progId="Equation.2" shapeId="11278" r:id="rId30"/>
      </mc:Fallback>
    </mc:AlternateContent>
    <mc:AlternateContent xmlns:mc="http://schemas.openxmlformats.org/markup-compatibility/2006">
      <mc:Choice Requires="x14">
        <oleObject progId="Equation.2" shapeId="11279" r:id="rId32">
          <objectPr defaultSize="0" autoLine="0" autoPict="0" r:id="rId33">
            <anchor moveWithCells="1">
              <from>
                <xdr:col>1</xdr:col>
                <xdr:colOff>266700</xdr:colOff>
                <xdr:row>209</xdr:row>
                <xdr:rowOff>28575</xdr:rowOff>
              </from>
              <to>
                <xdr:col>2</xdr:col>
                <xdr:colOff>457200</xdr:colOff>
                <xdr:row>210</xdr:row>
                <xdr:rowOff>19050</xdr:rowOff>
              </to>
            </anchor>
          </objectPr>
        </oleObject>
      </mc:Choice>
      <mc:Fallback>
        <oleObject progId="Equation.2" shapeId="11279" r:id="rId32"/>
      </mc:Fallback>
    </mc:AlternateContent>
    <mc:AlternateContent xmlns:mc="http://schemas.openxmlformats.org/markup-compatibility/2006">
      <mc:Choice Requires="x14">
        <oleObject progId="Equation.2" shapeId="11280" r:id="rId34">
          <objectPr defaultSize="0" autoLine="0" autoPict="0" r:id="rId35">
            <anchor moveWithCells="1">
              <from>
                <xdr:col>1</xdr:col>
                <xdr:colOff>266700</xdr:colOff>
                <xdr:row>214</xdr:row>
                <xdr:rowOff>123825</xdr:rowOff>
              </from>
              <to>
                <xdr:col>3</xdr:col>
                <xdr:colOff>161925</xdr:colOff>
                <xdr:row>216</xdr:row>
                <xdr:rowOff>133350</xdr:rowOff>
              </to>
            </anchor>
          </objectPr>
        </oleObject>
      </mc:Choice>
      <mc:Fallback>
        <oleObject progId="Equation.2" shapeId="11280" r:id="rId34"/>
      </mc:Fallback>
    </mc:AlternateContent>
    <mc:AlternateContent xmlns:mc="http://schemas.openxmlformats.org/markup-compatibility/2006">
      <mc:Choice Requires="x14">
        <oleObject progId="Equation.2" shapeId="11281" r:id="rId36">
          <objectPr defaultSize="0" autoLine="0" autoPict="0" r:id="rId37">
            <anchor moveWithCells="1">
              <from>
                <xdr:col>1</xdr:col>
                <xdr:colOff>266700</xdr:colOff>
                <xdr:row>216</xdr:row>
                <xdr:rowOff>133350</xdr:rowOff>
              </from>
              <to>
                <xdr:col>3</xdr:col>
                <xdr:colOff>123825</xdr:colOff>
                <xdr:row>218</xdr:row>
                <xdr:rowOff>142875</xdr:rowOff>
              </to>
            </anchor>
          </objectPr>
        </oleObject>
      </mc:Choice>
      <mc:Fallback>
        <oleObject progId="Equation.2" shapeId="11281" r:id="rId36"/>
      </mc:Fallback>
    </mc:AlternateContent>
    <mc:AlternateContent xmlns:mc="http://schemas.openxmlformats.org/markup-compatibility/2006">
      <mc:Choice Requires="x14">
        <oleObject progId="Equation.2" shapeId="11282" r:id="rId38">
          <objectPr defaultSize="0" autoLine="0" autoPict="0" r:id="rId39">
            <anchor moveWithCells="1">
              <from>
                <xdr:col>1</xdr:col>
                <xdr:colOff>266700</xdr:colOff>
                <xdr:row>218</xdr:row>
                <xdr:rowOff>133350</xdr:rowOff>
              </from>
              <to>
                <xdr:col>3</xdr:col>
                <xdr:colOff>238125</xdr:colOff>
                <xdr:row>220</xdr:row>
                <xdr:rowOff>142875</xdr:rowOff>
              </to>
            </anchor>
          </objectPr>
        </oleObject>
      </mc:Choice>
      <mc:Fallback>
        <oleObject progId="Equation.2" shapeId="11282" r:id="rId38"/>
      </mc:Fallback>
    </mc:AlternateContent>
    <mc:AlternateContent xmlns:mc="http://schemas.openxmlformats.org/markup-compatibility/2006">
      <mc:Choice Requires="x14">
        <oleObject progId="Equation.2" shapeId="11283" r:id="rId40">
          <objectPr defaultSize="0" autoLine="0" autoPict="0" r:id="rId41">
            <anchor moveWithCells="1">
              <from>
                <xdr:col>1</xdr:col>
                <xdr:colOff>266700</xdr:colOff>
                <xdr:row>220</xdr:row>
                <xdr:rowOff>133350</xdr:rowOff>
              </from>
              <to>
                <xdr:col>3</xdr:col>
                <xdr:colOff>228600</xdr:colOff>
                <xdr:row>222</xdr:row>
                <xdr:rowOff>142875</xdr:rowOff>
              </to>
            </anchor>
          </objectPr>
        </oleObject>
      </mc:Choice>
      <mc:Fallback>
        <oleObject progId="Equation.2" shapeId="11283" r:id="rId40"/>
      </mc:Fallback>
    </mc:AlternateContent>
    <mc:AlternateContent xmlns:mc="http://schemas.openxmlformats.org/markup-compatibility/2006">
      <mc:Choice Requires="x14">
        <oleObject progId="Equation.2" shapeId="11284" r:id="rId42">
          <objectPr defaultSize="0" autoLine="0" autoPict="0" r:id="rId43">
            <anchor moveWithCells="1">
              <from>
                <xdr:col>1</xdr:col>
                <xdr:colOff>266700</xdr:colOff>
                <xdr:row>223</xdr:row>
                <xdr:rowOff>9525</xdr:rowOff>
              </from>
              <to>
                <xdr:col>2</xdr:col>
                <xdr:colOff>238125</xdr:colOff>
                <xdr:row>224</xdr:row>
                <xdr:rowOff>0</xdr:rowOff>
              </to>
            </anchor>
          </objectPr>
        </oleObject>
      </mc:Choice>
      <mc:Fallback>
        <oleObject progId="Equation.2" shapeId="11284" r:id="rId42"/>
      </mc:Fallback>
    </mc:AlternateContent>
    <mc:AlternateContent xmlns:mc="http://schemas.openxmlformats.org/markup-compatibility/2006">
      <mc:Choice Requires="x14">
        <oleObject progId="Equation.2" shapeId="11285" r:id="rId44">
          <objectPr defaultSize="0" autoLine="0" autoPict="0" r:id="rId45">
            <anchor moveWithCells="1">
              <from>
                <xdr:col>1</xdr:col>
                <xdr:colOff>266700</xdr:colOff>
                <xdr:row>224</xdr:row>
                <xdr:rowOff>152400</xdr:rowOff>
              </from>
              <to>
                <xdr:col>3</xdr:col>
                <xdr:colOff>152400</xdr:colOff>
                <xdr:row>226</xdr:row>
                <xdr:rowOff>123825</xdr:rowOff>
              </to>
            </anchor>
          </objectPr>
        </oleObject>
      </mc:Choice>
      <mc:Fallback>
        <oleObject progId="Equation.2" shapeId="11285" r:id="rId44"/>
      </mc:Fallback>
    </mc:AlternateContent>
    <mc:AlternateContent xmlns:mc="http://schemas.openxmlformats.org/markup-compatibility/2006">
      <mc:Choice Requires="x14">
        <oleObject progId="Equation.2" shapeId="11286" r:id="rId46">
          <objectPr defaultSize="0" autoLine="0" autoPict="0" r:id="rId47">
            <anchor moveWithCells="1">
              <from>
                <xdr:col>1</xdr:col>
                <xdr:colOff>266700</xdr:colOff>
                <xdr:row>227</xdr:row>
                <xdr:rowOff>114300</xdr:rowOff>
              </from>
              <to>
                <xdr:col>3</xdr:col>
                <xdr:colOff>190500</xdr:colOff>
                <xdr:row>229</xdr:row>
                <xdr:rowOff>123825</xdr:rowOff>
              </to>
            </anchor>
          </objectPr>
        </oleObject>
      </mc:Choice>
      <mc:Fallback>
        <oleObject progId="Equation.2" shapeId="11286" r:id="rId46"/>
      </mc:Fallback>
    </mc:AlternateContent>
    <mc:AlternateContent xmlns:mc="http://schemas.openxmlformats.org/markup-compatibility/2006">
      <mc:Choice Requires="x14">
        <oleObject progId="Equation.2" shapeId="11287" r:id="rId48">
          <objectPr defaultSize="0" autoLine="0" autoPict="0" r:id="rId49">
            <anchor moveWithCells="1">
              <from>
                <xdr:col>1</xdr:col>
                <xdr:colOff>266700</xdr:colOff>
                <xdr:row>253</xdr:row>
                <xdr:rowOff>28575</xdr:rowOff>
              </from>
              <to>
                <xdr:col>3</xdr:col>
                <xdr:colOff>266700</xdr:colOff>
                <xdr:row>255</xdr:row>
                <xdr:rowOff>123825</xdr:rowOff>
              </to>
            </anchor>
          </objectPr>
        </oleObject>
      </mc:Choice>
      <mc:Fallback>
        <oleObject progId="Equation.2" shapeId="11287" r:id="rId48"/>
      </mc:Fallback>
    </mc:AlternateContent>
    <mc:AlternateContent xmlns:mc="http://schemas.openxmlformats.org/markup-compatibility/2006">
      <mc:Choice Requires="x14">
        <oleObject progId="Equation.2" shapeId="11288" r:id="rId50">
          <objectPr defaultSize="0" autoLine="0" autoPict="0" r:id="rId51">
            <anchor moveWithCells="1">
              <from>
                <xdr:col>1</xdr:col>
                <xdr:colOff>266700</xdr:colOff>
                <xdr:row>260</xdr:row>
                <xdr:rowOff>114300</xdr:rowOff>
              </from>
              <to>
                <xdr:col>4</xdr:col>
                <xdr:colOff>152400</xdr:colOff>
                <xdr:row>262</xdr:row>
                <xdr:rowOff>66675</xdr:rowOff>
              </to>
            </anchor>
          </objectPr>
        </oleObject>
      </mc:Choice>
      <mc:Fallback>
        <oleObject progId="Equation.2" shapeId="11288" r:id="rId50"/>
      </mc:Fallback>
    </mc:AlternateContent>
    <mc:AlternateContent xmlns:mc="http://schemas.openxmlformats.org/markup-compatibility/2006">
      <mc:Choice Requires="x14">
        <oleObject progId="Equation.2" shapeId="11289" r:id="rId52">
          <objectPr defaultSize="0" autoLine="0" autoPict="0" r:id="rId53">
            <anchor moveWithCells="1">
              <from>
                <xdr:col>1</xdr:col>
                <xdr:colOff>266700</xdr:colOff>
                <xdr:row>264</xdr:row>
                <xdr:rowOff>28575</xdr:rowOff>
              </from>
              <to>
                <xdr:col>3</xdr:col>
                <xdr:colOff>0</xdr:colOff>
                <xdr:row>265</xdr:row>
                <xdr:rowOff>38100</xdr:rowOff>
              </to>
            </anchor>
          </objectPr>
        </oleObject>
      </mc:Choice>
      <mc:Fallback>
        <oleObject progId="Equation.2" shapeId="11289" r:id="rId52"/>
      </mc:Fallback>
    </mc:AlternateContent>
    <mc:AlternateContent xmlns:mc="http://schemas.openxmlformats.org/markup-compatibility/2006">
      <mc:Choice Requires="x14">
        <oleObject progId="Equation.2" shapeId="11290" r:id="rId54">
          <objectPr defaultSize="0" autoLine="0" autoPict="0" r:id="rId55">
            <anchor moveWithCells="1">
              <from>
                <xdr:col>2</xdr:col>
                <xdr:colOff>266700</xdr:colOff>
                <xdr:row>275</xdr:row>
                <xdr:rowOff>142875</xdr:rowOff>
              </from>
              <to>
                <xdr:col>4</xdr:col>
                <xdr:colOff>257175</xdr:colOff>
                <xdr:row>277</xdr:row>
                <xdr:rowOff>95250</xdr:rowOff>
              </to>
            </anchor>
          </objectPr>
        </oleObject>
      </mc:Choice>
      <mc:Fallback>
        <oleObject progId="Equation.2" shapeId="11290" r:id="rId54"/>
      </mc:Fallback>
    </mc:AlternateContent>
    <mc:AlternateContent xmlns:mc="http://schemas.openxmlformats.org/markup-compatibility/2006">
      <mc:Choice Requires="x14">
        <oleObject progId="Equation.2" shapeId="11291" r:id="rId56">
          <objectPr defaultSize="0" autoLine="0" autoPict="0" r:id="rId57">
            <anchor moveWithCells="1">
              <from>
                <xdr:col>2</xdr:col>
                <xdr:colOff>266700</xdr:colOff>
                <xdr:row>278</xdr:row>
                <xdr:rowOff>47625</xdr:rowOff>
              </from>
              <to>
                <xdr:col>4</xdr:col>
                <xdr:colOff>142875</xdr:colOff>
                <xdr:row>279</xdr:row>
                <xdr:rowOff>47625</xdr:rowOff>
              </to>
            </anchor>
          </objectPr>
        </oleObject>
      </mc:Choice>
      <mc:Fallback>
        <oleObject progId="Equation.2" shapeId="11291" r:id="rId56"/>
      </mc:Fallback>
    </mc:AlternateContent>
    <mc:AlternateContent xmlns:mc="http://schemas.openxmlformats.org/markup-compatibility/2006">
      <mc:Choice Requires="x14">
        <oleObject progId="Equation.2" shapeId="11292" r:id="rId58">
          <objectPr defaultSize="0" autoLine="0" autoPict="0" r:id="rId59">
            <anchor moveWithCells="1">
              <from>
                <xdr:col>1</xdr:col>
                <xdr:colOff>266700</xdr:colOff>
                <xdr:row>273</xdr:row>
                <xdr:rowOff>9525</xdr:rowOff>
              </from>
              <to>
                <xdr:col>2</xdr:col>
                <xdr:colOff>285750</xdr:colOff>
                <xdr:row>274</xdr:row>
                <xdr:rowOff>0</xdr:rowOff>
              </to>
            </anchor>
          </objectPr>
        </oleObject>
      </mc:Choice>
      <mc:Fallback>
        <oleObject progId="Equation.2" shapeId="11292" r:id="rId58"/>
      </mc:Fallback>
    </mc:AlternateContent>
    <mc:AlternateContent xmlns:mc="http://schemas.openxmlformats.org/markup-compatibility/2006">
      <mc:Choice Requires="x14">
        <oleObject progId="Equation.2" shapeId="11293" r:id="rId60">
          <objectPr defaultSize="0" autoLine="0" autoPict="0" r:id="rId61">
            <anchor moveWithCells="1">
              <from>
                <xdr:col>1</xdr:col>
                <xdr:colOff>266700</xdr:colOff>
                <xdr:row>283</xdr:row>
                <xdr:rowOff>38100</xdr:rowOff>
              </from>
              <to>
                <xdr:col>2</xdr:col>
                <xdr:colOff>228600</xdr:colOff>
                <xdr:row>284</xdr:row>
                <xdr:rowOff>28575</xdr:rowOff>
              </to>
            </anchor>
          </objectPr>
        </oleObject>
      </mc:Choice>
      <mc:Fallback>
        <oleObject progId="Equation.2" shapeId="11293" r:id="rId60"/>
      </mc:Fallback>
    </mc:AlternateContent>
    <mc:AlternateContent xmlns:mc="http://schemas.openxmlformats.org/markup-compatibility/2006">
      <mc:Choice Requires="x14">
        <oleObject progId="Equation.2" shapeId="11294" r:id="rId62">
          <objectPr defaultSize="0" autoLine="0" autoPict="0" r:id="rId63">
            <anchor moveWithCells="1">
              <from>
                <xdr:col>1</xdr:col>
                <xdr:colOff>266700</xdr:colOff>
                <xdr:row>267</xdr:row>
                <xdr:rowOff>19050</xdr:rowOff>
              </from>
              <to>
                <xdr:col>3</xdr:col>
                <xdr:colOff>704850</xdr:colOff>
                <xdr:row>269</xdr:row>
                <xdr:rowOff>85725</xdr:rowOff>
              </to>
            </anchor>
          </objectPr>
        </oleObject>
      </mc:Choice>
      <mc:Fallback>
        <oleObject progId="Equation.2" shapeId="11294" r:id="rId62"/>
      </mc:Fallback>
    </mc:AlternateContent>
    <mc:AlternateContent xmlns:mc="http://schemas.openxmlformats.org/markup-compatibility/2006">
      <mc:Choice Requires="x14">
        <oleObject progId="Equation.2" shapeId="11295" r:id="rId64">
          <objectPr defaultSize="0" autoLine="0" autoPict="0" r:id="rId65">
            <anchor moveWithCells="1">
              <from>
                <xdr:col>1</xdr:col>
                <xdr:colOff>295275</xdr:colOff>
                <xdr:row>68</xdr:row>
                <xdr:rowOff>19050</xdr:rowOff>
              </from>
              <to>
                <xdr:col>5</xdr:col>
                <xdr:colOff>142875</xdr:colOff>
                <xdr:row>69</xdr:row>
                <xdr:rowOff>47625</xdr:rowOff>
              </to>
            </anchor>
          </objectPr>
        </oleObject>
      </mc:Choice>
      <mc:Fallback>
        <oleObject progId="Equation.2" shapeId="11295" r:id="rId64"/>
      </mc:Fallback>
    </mc:AlternateContent>
    <mc:AlternateContent xmlns:mc="http://schemas.openxmlformats.org/markup-compatibility/2006">
      <mc:Choice Requires="x14">
        <oleObject progId="Equation.2" shapeId="11296" r:id="rId66">
          <objectPr defaultSize="0" autoLine="0" autoPict="0" r:id="rId67">
            <anchor moveWithCells="1">
              <from>
                <xdr:col>1</xdr:col>
                <xdr:colOff>295275</xdr:colOff>
                <xdr:row>69</xdr:row>
                <xdr:rowOff>133350</xdr:rowOff>
              </from>
              <to>
                <xdr:col>4</xdr:col>
                <xdr:colOff>771525</xdr:colOff>
                <xdr:row>70</xdr:row>
                <xdr:rowOff>161925</xdr:rowOff>
              </to>
            </anchor>
          </objectPr>
        </oleObject>
      </mc:Choice>
      <mc:Fallback>
        <oleObject progId="Equation.2" shapeId="11296" r:id="rId66"/>
      </mc:Fallback>
    </mc:AlternateContent>
    <mc:AlternateContent xmlns:mc="http://schemas.openxmlformats.org/markup-compatibility/2006">
      <mc:Choice Requires="x14">
        <oleObject progId="Equation.2" shapeId="11297" r:id="rId68">
          <objectPr defaultSize="0" autoLine="0" r:id="rId69">
            <anchor moveWithCells="1">
              <from>
                <xdr:col>1</xdr:col>
                <xdr:colOff>295275</xdr:colOff>
                <xdr:row>71</xdr:row>
                <xdr:rowOff>104775</xdr:rowOff>
              </from>
              <to>
                <xdr:col>4</xdr:col>
                <xdr:colOff>200025</xdr:colOff>
                <xdr:row>72</xdr:row>
                <xdr:rowOff>104775</xdr:rowOff>
              </to>
            </anchor>
          </objectPr>
        </oleObject>
      </mc:Choice>
      <mc:Fallback>
        <oleObject progId="Equation.2" shapeId="11297" r:id="rId68"/>
      </mc:Fallback>
    </mc:AlternateContent>
    <mc:AlternateContent xmlns:mc="http://schemas.openxmlformats.org/markup-compatibility/2006">
      <mc:Choice Requires="x14">
        <oleObject progId="Equation.2" shapeId="11298" r:id="rId70">
          <objectPr defaultSize="0" autoLine="0" autoPict="0" r:id="rId71">
            <anchor moveWithCells="1">
              <from>
                <xdr:col>1</xdr:col>
                <xdr:colOff>295275</xdr:colOff>
                <xdr:row>72</xdr:row>
                <xdr:rowOff>171450</xdr:rowOff>
              </from>
              <to>
                <xdr:col>5</xdr:col>
                <xdr:colOff>371475</xdr:colOff>
                <xdr:row>74</xdr:row>
                <xdr:rowOff>9525</xdr:rowOff>
              </to>
            </anchor>
          </objectPr>
        </oleObject>
      </mc:Choice>
      <mc:Fallback>
        <oleObject progId="Equation.2" shapeId="11298" r:id="rId70"/>
      </mc:Fallback>
    </mc:AlternateContent>
    <mc:AlternateContent xmlns:mc="http://schemas.openxmlformats.org/markup-compatibility/2006">
      <mc:Choice Requires="x14">
        <oleObject progId="Equation.2" shapeId="11299" r:id="rId72">
          <objectPr defaultSize="0" autoLine="0" autoPict="0" r:id="rId73">
            <anchor moveWithCells="1">
              <from>
                <xdr:col>1</xdr:col>
                <xdr:colOff>228600</xdr:colOff>
                <xdr:row>102</xdr:row>
                <xdr:rowOff>76200</xdr:rowOff>
              </from>
              <to>
                <xdr:col>3</xdr:col>
                <xdr:colOff>104775</xdr:colOff>
                <xdr:row>104</xdr:row>
                <xdr:rowOff>114300</xdr:rowOff>
              </to>
            </anchor>
          </objectPr>
        </oleObject>
      </mc:Choice>
      <mc:Fallback>
        <oleObject progId="Equation.2" shapeId="11299" r:id="rId72"/>
      </mc:Fallback>
    </mc:AlternateContent>
    <mc:AlternateContent xmlns:mc="http://schemas.openxmlformats.org/markup-compatibility/2006">
      <mc:Choice Requires="x14">
        <oleObject progId="Equation.2" shapeId="11300" r:id="rId74">
          <objectPr defaultSize="0" autoLine="0" autoPict="0" r:id="rId75">
            <anchor moveWithCells="1">
              <from>
                <xdr:col>6</xdr:col>
                <xdr:colOff>733425</xdr:colOff>
                <xdr:row>104</xdr:row>
                <xdr:rowOff>38100</xdr:rowOff>
              </from>
              <to>
                <xdr:col>7</xdr:col>
                <xdr:colOff>904875</xdr:colOff>
                <xdr:row>106</xdr:row>
                <xdr:rowOff>171450</xdr:rowOff>
              </to>
            </anchor>
          </objectPr>
        </oleObject>
      </mc:Choice>
      <mc:Fallback>
        <oleObject progId="Equation.2" shapeId="11300" r:id="rId74"/>
      </mc:Fallback>
    </mc:AlternateContent>
    <mc:AlternateContent xmlns:mc="http://schemas.openxmlformats.org/markup-compatibility/2006">
      <mc:Choice Requires="x14">
        <oleObject progId="Equation.2" shapeId="11301" r:id="rId76">
          <objectPr defaultSize="0" autoLine="0" autoPict="0" r:id="rId77">
            <anchor moveWithCells="1">
              <from>
                <xdr:col>1</xdr:col>
                <xdr:colOff>561975</xdr:colOff>
                <xdr:row>133</xdr:row>
                <xdr:rowOff>123825</xdr:rowOff>
              </from>
              <to>
                <xdr:col>3</xdr:col>
                <xdr:colOff>0</xdr:colOff>
                <xdr:row>135</xdr:row>
                <xdr:rowOff>104775</xdr:rowOff>
              </to>
            </anchor>
          </objectPr>
        </oleObject>
      </mc:Choice>
      <mc:Fallback>
        <oleObject progId="Equation.2" shapeId="11301" r:id="rId76"/>
      </mc:Fallback>
    </mc:AlternateContent>
    <mc:AlternateContent xmlns:mc="http://schemas.openxmlformats.org/markup-compatibility/2006">
      <mc:Choice Requires="x14">
        <oleObject progId="Equation.2" shapeId="11302" r:id="rId78">
          <objectPr defaultSize="0" autoLine="0" autoPict="0" r:id="rId79">
            <anchor moveWithCells="1">
              <from>
                <xdr:col>1</xdr:col>
                <xdr:colOff>228600</xdr:colOff>
                <xdr:row>139</xdr:row>
                <xdr:rowOff>123825</xdr:rowOff>
              </from>
              <to>
                <xdr:col>6</xdr:col>
                <xdr:colOff>514350</xdr:colOff>
                <xdr:row>141</xdr:row>
                <xdr:rowOff>133350</xdr:rowOff>
              </to>
            </anchor>
          </objectPr>
        </oleObject>
      </mc:Choice>
      <mc:Fallback>
        <oleObject progId="Equation.2" shapeId="11302" r:id="rId78"/>
      </mc:Fallback>
    </mc:AlternateContent>
    <mc:AlternateContent xmlns:mc="http://schemas.openxmlformats.org/markup-compatibility/2006">
      <mc:Choice Requires="x14">
        <oleObject progId="Equation.2" shapeId="11303" r:id="rId80">
          <objectPr defaultSize="0" autoLine="0" autoPict="0" r:id="rId81">
            <anchor moveWithCells="1">
              <from>
                <xdr:col>1</xdr:col>
                <xdr:colOff>228600</xdr:colOff>
                <xdr:row>141</xdr:row>
                <xdr:rowOff>180975</xdr:rowOff>
              </from>
              <to>
                <xdr:col>6</xdr:col>
                <xdr:colOff>419100</xdr:colOff>
                <xdr:row>143</xdr:row>
                <xdr:rowOff>9525</xdr:rowOff>
              </to>
            </anchor>
          </objectPr>
        </oleObject>
      </mc:Choice>
      <mc:Fallback>
        <oleObject progId="Equation.2" shapeId="11303" r:id="rId80"/>
      </mc:Fallback>
    </mc:AlternateContent>
    <mc:AlternateContent xmlns:mc="http://schemas.openxmlformats.org/markup-compatibility/2006">
      <mc:Choice Requires="x14">
        <oleObject progId="Equation.2" shapeId="11304" r:id="rId82">
          <objectPr defaultSize="0" autoLine="0" autoPict="0" r:id="rId83">
            <anchor moveWithCells="1">
              <from>
                <xdr:col>1</xdr:col>
                <xdr:colOff>228600</xdr:colOff>
                <xdr:row>143</xdr:row>
                <xdr:rowOff>104775</xdr:rowOff>
              </from>
              <to>
                <xdr:col>6</xdr:col>
                <xdr:colOff>504825</xdr:colOff>
                <xdr:row>145</xdr:row>
                <xdr:rowOff>104775</xdr:rowOff>
              </to>
            </anchor>
          </objectPr>
        </oleObject>
      </mc:Choice>
      <mc:Fallback>
        <oleObject progId="Equation.2" shapeId="11304" r:id="rId82"/>
      </mc:Fallback>
    </mc:AlternateContent>
    <mc:AlternateContent xmlns:mc="http://schemas.openxmlformats.org/markup-compatibility/2006">
      <mc:Choice Requires="x14">
        <oleObject progId="Equation.2" shapeId="11305" r:id="rId84">
          <objectPr defaultSize="0" autoLine="0" autoPict="0" r:id="rId85">
            <anchor moveWithCells="1">
              <from>
                <xdr:col>1</xdr:col>
                <xdr:colOff>209550</xdr:colOff>
                <xdr:row>146</xdr:row>
                <xdr:rowOff>0</xdr:rowOff>
              </from>
              <to>
                <xdr:col>6</xdr:col>
                <xdr:colOff>485775</xdr:colOff>
                <xdr:row>147</xdr:row>
                <xdr:rowOff>28575</xdr:rowOff>
              </to>
            </anchor>
          </objectPr>
        </oleObject>
      </mc:Choice>
      <mc:Fallback>
        <oleObject progId="Equation.2" shapeId="11305" r:id="rId84"/>
      </mc:Fallback>
    </mc:AlternateContent>
    <mc:AlternateContent xmlns:mc="http://schemas.openxmlformats.org/markup-compatibility/2006">
      <mc:Choice Requires="x14">
        <oleObject progId="Equation.2" shapeId="11306" r:id="rId86">
          <objectPr defaultSize="0" autoLine="0" autoPict="0" r:id="rId87">
            <anchor moveWithCells="1">
              <from>
                <xdr:col>1</xdr:col>
                <xdr:colOff>323850</xdr:colOff>
                <xdr:row>250</xdr:row>
                <xdr:rowOff>47625</xdr:rowOff>
              </from>
              <to>
                <xdr:col>2</xdr:col>
                <xdr:colOff>238125</xdr:colOff>
                <xdr:row>251</xdr:row>
                <xdr:rowOff>38100</xdr:rowOff>
              </to>
            </anchor>
          </objectPr>
        </oleObject>
      </mc:Choice>
      <mc:Fallback>
        <oleObject progId="Equation.2" shapeId="11306" r:id="rId86"/>
      </mc:Fallback>
    </mc:AlternateContent>
    <mc:AlternateContent xmlns:mc="http://schemas.openxmlformats.org/markup-compatibility/2006">
      <mc:Choice Requires="x14">
        <oleObject progId="Equation.2" shapeId="11307" r:id="rId88">
          <objectPr defaultSize="0" autoLine="0" autoPict="0" r:id="rId89">
            <anchor moveWithCells="1">
              <from>
                <xdr:col>1</xdr:col>
                <xdr:colOff>295275</xdr:colOff>
                <xdr:row>229</xdr:row>
                <xdr:rowOff>180975</xdr:rowOff>
              </from>
              <to>
                <xdr:col>3</xdr:col>
                <xdr:colOff>885825</xdr:colOff>
                <xdr:row>233</xdr:row>
                <xdr:rowOff>123825</xdr:rowOff>
              </to>
            </anchor>
          </objectPr>
        </oleObject>
      </mc:Choice>
      <mc:Fallback>
        <oleObject progId="Equation.2" shapeId="11307" r:id="rId88"/>
      </mc:Fallback>
    </mc:AlternateContent>
    <mc:AlternateContent xmlns:mc="http://schemas.openxmlformats.org/markup-compatibility/2006">
      <mc:Choice Requires="x14">
        <oleObject progId="Equation.2" shapeId="11308" r:id="rId90">
          <objectPr defaultSize="0" autoLine="0" autoPict="0" r:id="rId91">
            <anchor moveWithCells="1">
              <from>
                <xdr:col>1</xdr:col>
                <xdr:colOff>38100</xdr:colOff>
                <xdr:row>295</xdr:row>
                <xdr:rowOff>57150</xdr:rowOff>
              </from>
              <to>
                <xdr:col>4</xdr:col>
                <xdr:colOff>828675</xdr:colOff>
                <xdr:row>296</xdr:row>
                <xdr:rowOff>85725</xdr:rowOff>
              </to>
            </anchor>
          </objectPr>
        </oleObject>
      </mc:Choice>
      <mc:Fallback>
        <oleObject progId="Equation.2" shapeId="11308" r:id="rId90"/>
      </mc:Fallback>
    </mc:AlternateContent>
    <mc:AlternateContent xmlns:mc="http://schemas.openxmlformats.org/markup-compatibility/2006">
      <mc:Choice Requires="x14">
        <oleObject progId="Equation.2" shapeId="11309" r:id="rId92">
          <objectPr defaultSize="0" autoLine="0" autoPict="0" r:id="rId93">
            <anchor moveWithCells="1">
              <from>
                <xdr:col>1</xdr:col>
                <xdr:colOff>762000</xdr:colOff>
                <xdr:row>298</xdr:row>
                <xdr:rowOff>9525</xdr:rowOff>
              </from>
              <to>
                <xdr:col>4</xdr:col>
                <xdr:colOff>47625</xdr:colOff>
                <xdr:row>299</xdr:row>
                <xdr:rowOff>28575</xdr:rowOff>
              </to>
            </anchor>
          </objectPr>
        </oleObject>
      </mc:Choice>
      <mc:Fallback>
        <oleObject progId="Equation.2" shapeId="11309" r:id="rId92"/>
      </mc:Fallback>
    </mc:AlternateContent>
    <mc:AlternateContent xmlns:mc="http://schemas.openxmlformats.org/markup-compatibility/2006">
      <mc:Choice Requires="x14">
        <oleObject progId="Equation.2" shapeId="11310" r:id="rId94">
          <objectPr defaultSize="0" autoLine="0" autoPict="0" r:id="rId95">
            <anchor moveWithCells="1">
              <from>
                <xdr:col>1</xdr:col>
                <xdr:colOff>238125</xdr:colOff>
                <xdr:row>309</xdr:row>
                <xdr:rowOff>47625</xdr:rowOff>
              </from>
              <to>
                <xdr:col>3</xdr:col>
                <xdr:colOff>9525</xdr:colOff>
                <xdr:row>310</xdr:row>
                <xdr:rowOff>57150</xdr:rowOff>
              </to>
            </anchor>
          </objectPr>
        </oleObject>
      </mc:Choice>
      <mc:Fallback>
        <oleObject progId="Equation.2" shapeId="11310" r:id="rId94"/>
      </mc:Fallback>
    </mc:AlternateContent>
    <mc:AlternateContent xmlns:mc="http://schemas.openxmlformats.org/markup-compatibility/2006">
      <mc:Choice Requires="x14">
        <oleObject progId="Equation.2" shapeId="11311" r:id="rId96">
          <objectPr defaultSize="0" autoLine="0" autoPict="0" r:id="rId97">
            <anchor moveWithCells="1">
              <from>
                <xdr:col>2</xdr:col>
                <xdr:colOff>0</xdr:colOff>
                <xdr:row>312</xdr:row>
                <xdr:rowOff>0</xdr:rowOff>
              </from>
              <to>
                <xdr:col>5</xdr:col>
                <xdr:colOff>552450</xdr:colOff>
                <xdr:row>313</xdr:row>
                <xdr:rowOff>28575</xdr:rowOff>
              </to>
            </anchor>
          </objectPr>
        </oleObject>
      </mc:Choice>
      <mc:Fallback>
        <oleObject progId="Equation.2" shapeId="11311" r:id="rId96"/>
      </mc:Fallback>
    </mc:AlternateContent>
    <mc:AlternateContent xmlns:mc="http://schemas.openxmlformats.org/markup-compatibility/2006">
      <mc:Choice Requires="x14">
        <oleObject progId="Equation.2" shapeId="11312" r:id="rId98">
          <objectPr defaultSize="0" autoLine="0" autoPict="0" r:id="rId99">
            <anchor moveWithCells="1">
              <from>
                <xdr:col>2</xdr:col>
                <xdr:colOff>0</xdr:colOff>
                <xdr:row>314</xdr:row>
                <xdr:rowOff>0</xdr:rowOff>
              </from>
              <to>
                <xdr:col>4</xdr:col>
                <xdr:colOff>657225</xdr:colOff>
                <xdr:row>315</xdr:row>
                <xdr:rowOff>28575</xdr:rowOff>
              </to>
            </anchor>
          </objectPr>
        </oleObject>
      </mc:Choice>
      <mc:Fallback>
        <oleObject progId="Equation.2" shapeId="11312" r:id="rId98"/>
      </mc:Fallback>
    </mc:AlternateContent>
    <mc:AlternateContent xmlns:mc="http://schemas.openxmlformats.org/markup-compatibility/2006">
      <mc:Choice Requires="x14">
        <oleObject progId="Equation.2" shapeId="11313" r:id="rId100">
          <objectPr defaultSize="0" autoLine="0" autoPict="0" r:id="rId101">
            <anchor moveWithCells="1">
              <from>
                <xdr:col>2</xdr:col>
                <xdr:colOff>0</xdr:colOff>
                <xdr:row>316</xdr:row>
                <xdr:rowOff>0</xdr:rowOff>
              </from>
              <to>
                <xdr:col>4</xdr:col>
                <xdr:colOff>9525</xdr:colOff>
                <xdr:row>317</xdr:row>
                <xdr:rowOff>38100</xdr:rowOff>
              </to>
            </anchor>
          </objectPr>
        </oleObject>
      </mc:Choice>
      <mc:Fallback>
        <oleObject progId="Equation.2" shapeId="11313" r:id="rId100"/>
      </mc:Fallback>
    </mc:AlternateContent>
    <mc:AlternateContent xmlns:mc="http://schemas.openxmlformats.org/markup-compatibility/2006">
      <mc:Choice Requires="x14">
        <oleObject progId="Equation.2" shapeId="11314" r:id="rId102">
          <objectPr defaultSize="0" autoLine="0" autoPict="0" r:id="rId103">
            <anchor moveWithCells="1">
              <from>
                <xdr:col>1</xdr:col>
                <xdr:colOff>238125</xdr:colOff>
                <xdr:row>329</xdr:row>
                <xdr:rowOff>38100</xdr:rowOff>
              </from>
              <to>
                <xdr:col>4</xdr:col>
                <xdr:colOff>542925</xdr:colOff>
                <xdr:row>330</xdr:row>
                <xdr:rowOff>38100</xdr:rowOff>
              </to>
            </anchor>
          </objectPr>
        </oleObject>
      </mc:Choice>
      <mc:Fallback>
        <oleObject progId="Equation.2" shapeId="11314" r:id="rId102"/>
      </mc:Fallback>
    </mc:AlternateContent>
    <mc:AlternateContent xmlns:mc="http://schemas.openxmlformats.org/markup-compatibility/2006">
      <mc:Choice Requires="x14">
        <oleObject progId="Equation.2" shapeId="11315" r:id="rId104">
          <objectPr defaultSize="0" autoLine="0" autoPict="0" r:id="rId105">
            <anchor moveWithCells="1">
              <from>
                <xdr:col>1</xdr:col>
                <xdr:colOff>238125</xdr:colOff>
                <xdr:row>346</xdr:row>
                <xdr:rowOff>9525</xdr:rowOff>
              </from>
              <to>
                <xdr:col>3</xdr:col>
                <xdr:colOff>323850</xdr:colOff>
                <xdr:row>347</xdr:row>
                <xdr:rowOff>9525</xdr:rowOff>
              </to>
            </anchor>
          </objectPr>
        </oleObject>
      </mc:Choice>
      <mc:Fallback>
        <oleObject progId="Equation.2" shapeId="11315" r:id="rId104"/>
      </mc:Fallback>
    </mc:AlternateContent>
    <mc:AlternateContent xmlns:mc="http://schemas.openxmlformats.org/markup-compatibility/2006">
      <mc:Choice Requires="x14">
        <oleObject progId="Equation.2" shapeId="11316" r:id="rId106">
          <objectPr defaultSize="0" autoLine="0" autoPict="0" r:id="rId107">
            <anchor moveWithCells="1">
              <from>
                <xdr:col>1</xdr:col>
                <xdr:colOff>238125</xdr:colOff>
                <xdr:row>349</xdr:row>
                <xdr:rowOff>142875</xdr:rowOff>
              </from>
              <to>
                <xdr:col>2</xdr:col>
                <xdr:colOff>342900</xdr:colOff>
                <xdr:row>351</xdr:row>
                <xdr:rowOff>76200</xdr:rowOff>
              </to>
            </anchor>
          </objectPr>
        </oleObject>
      </mc:Choice>
      <mc:Fallback>
        <oleObject progId="Equation.2" shapeId="11316" r:id="rId106"/>
      </mc:Fallback>
    </mc:AlternateContent>
    <mc:AlternateContent xmlns:mc="http://schemas.openxmlformats.org/markup-compatibility/2006">
      <mc:Choice Requires="x14">
        <oleObject progId="Equation.2" shapeId="11317" r:id="rId108">
          <objectPr defaultSize="0" autoLine="0" autoPict="0" r:id="rId109">
            <anchor moveWithCells="1">
              <from>
                <xdr:col>1</xdr:col>
                <xdr:colOff>238125</xdr:colOff>
                <xdr:row>355</xdr:row>
                <xdr:rowOff>180975</xdr:rowOff>
              </from>
              <to>
                <xdr:col>6</xdr:col>
                <xdr:colOff>228600</xdr:colOff>
                <xdr:row>357</xdr:row>
                <xdr:rowOff>19050</xdr:rowOff>
              </to>
            </anchor>
          </objectPr>
        </oleObject>
      </mc:Choice>
      <mc:Fallback>
        <oleObject progId="Equation.2" shapeId="11317" r:id="rId108"/>
      </mc:Fallback>
    </mc:AlternateContent>
    <mc:AlternateContent xmlns:mc="http://schemas.openxmlformats.org/markup-compatibility/2006">
      <mc:Choice Requires="x14">
        <oleObject progId="Equation.2" shapeId="11318" r:id="rId110">
          <objectPr defaultSize="0" autoLine="0" autoPict="0" r:id="rId111">
            <anchor moveWithCells="1">
              <from>
                <xdr:col>1</xdr:col>
                <xdr:colOff>800100</xdr:colOff>
                <xdr:row>365</xdr:row>
                <xdr:rowOff>9525</xdr:rowOff>
              </from>
              <to>
                <xdr:col>5</xdr:col>
                <xdr:colOff>409575</xdr:colOff>
                <xdr:row>366</xdr:row>
                <xdr:rowOff>19050</xdr:rowOff>
              </to>
            </anchor>
          </objectPr>
        </oleObject>
      </mc:Choice>
      <mc:Fallback>
        <oleObject progId="Equation.2" shapeId="11318" r:id="rId110"/>
      </mc:Fallback>
    </mc:AlternateContent>
    <mc:AlternateContent xmlns:mc="http://schemas.openxmlformats.org/markup-compatibility/2006">
      <mc:Choice Requires="x14">
        <oleObject progId="Equation.2" shapeId="11319" r:id="rId112">
          <objectPr defaultSize="0" autoLine="0" r:id="rId113">
            <anchor moveWithCells="1">
              <from>
                <xdr:col>2</xdr:col>
                <xdr:colOff>47625</xdr:colOff>
                <xdr:row>495</xdr:row>
                <xdr:rowOff>171450</xdr:rowOff>
              </from>
              <to>
                <xdr:col>3</xdr:col>
                <xdr:colOff>314325</xdr:colOff>
                <xdr:row>497</xdr:row>
                <xdr:rowOff>123825</xdr:rowOff>
              </to>
            </anchor>
          </objectPr>
        </oleObject>
      </mc:Choice>
      <mc:Fallback>
        <oleObject progId="Equation.2" shapeId="11319" r:id="rId112"/>
      </mc:Fallback>
    </mc:AlternateContent>
    <mc:AlternateContent xmlns:mc="http://schemas.openxmlformats.org/markup-compatibility/2006">
      <mc:Choice Requires="x14">
        <oleObject progId="Equation.2" shapeId="11320" r:id="rId114">
          <objectPr defaultSize="0" autoLine="0" autoPict="0" r:id="rId115">
            <anchor moveWithCells="1">
              <from>
                <xdr:col>1</xdr:col>
                <xdr:colOff>152400</xdr:colOff>
                <xdr:row>540</xdr:row>
                <xdr:rowOff>38100</xdr:rowOff>
              </from>
              <to>
                <xdr:col>3</xdr:col>
                <xdr:colOff>885825</xdr:colOff>
                <xdr:row>541</xdr:row>
                <xdr:rowOff>66675</xdr:rowOff>
              </to>
            </anchor>
          </objectPr>
        </oleObject>
      </mc:Choice>
      <mc:Fallback>
        <oleObject progId="Equation.2" shapeId="11320" r:id="rId114"/>
      </mc:Fallback>
    </mc:AlternateContent>
    <mc:AlternateContent xmlns:mc="http://schemas.openxmlformats.org/markup-compatibility/2006">
      <mc:Choice Requires="x14">
        <oleObject progId="Equation.2" shapeId="11321" r:id="rId116">
          <objectPr defaultSize="0" autoLine="0" autoPict="0" r:id="rId117">
            <anchor moveWithCells="1">
              <from>
                <xdr:col>1</xdr:col>
                <xdr:colOff>657225</xdr:colOff>
                <xdr:row>609</xdr:row>
                <xdr:rowOff>161925</xdr:rowOff>
              </from>
              <to>
                <xdr:col>3</xdr:col>
                <xdr:colOff>352425</xdr:colOff>
                <xdr:row>611</xdr:row>
                <xdr:rowOff>104775</xdr:rowOff>
              </to>
            </anchor>
          </objectPr>
        </oleObject>
      </mc:Choice>
      <mc:Fallback>
        <oleObject progId="Equation.2" shapeId="11321" r:id="rId116"/>
      </mc:Fallback>
    </mc:AlternateContent>
    <mc:AlternateContent xmlns:mc="http://schemas.openxmlformats.org/markup-compatibility/2006">
      <mc:Choice Requires="x14">
        <oleObject progId="Equation.2" shapeId="11322" r:id="rId118">
          <objectPr defaultSize="0" autoLine="0" autoPict="0" r:id="rId119">
            <anchor moveWithCells="1">
              <from>
                <xdr:col>1</xdr:col>
                <xdr:colOff>762000</xdr:colOff>
                <xdr:row>611</xdr:row>
                <xdr:rowOff>133350</xdr:rowOff>
              </from>
              <to>
                <xdr:col>2</xdr:col>
                <xdr:colOff>361950</xdr:colOff>
                <xdr:row>613</xdr:row>
                <xdr:rowOff>95250</xdr:rowOff>
              </to>
            </anchor>
          </objectPr>
        </oleObject>
      </mc:Choice>
      <mc:Fallback>
        <oleObject progId="Equation.2" shapeId="11322" r:id="rId118"/>
      </mc:Fallback>
    </mc:AlternateContent>
    <mc:AlternateContent xmlns:mc="http://schemas.openxmlformats.org/markup-compatibility/2006">
      <mc:Choice Requires="x14">
        <oleObject progId="Equation.2" shapeId="11323" r:id="rId120">
          <objectPr defaultSize="0" autoLine="0" autoPict="0" r:id="rId121">
            <anchor moveWithCells="1">
              <from>
                <xdr:col>5</xdr:col>
                <xdr:colOff>0</xdr:colOff>
                <xdr:row>309</xdr:row>
                <xdr:rowOff>38100</xdr:rowOff>
              </from>
              <to>
                <xdr:col>6</xdr:col>
                <xdr:colOff>619125</xdr:colOff>
                <xdr:row>310</xdr:row>
                <xdr:rowOff>38100</xdr:rowOff>
              </to>
            </anchor>
          </objectPr>
        </oleObject>
      </mc:Choice>
      <mc:Fallback>
        <oleObject progId="Equation.2" shapeId="11323" r:id="rId120"/>
      </mc:Fallback>
    </mc:AlternateContent>
    <mc:AlternateContent xmlns:mc="http://schemas.openxmlformats.org/markup-compatibility/2006">
      <mc:Choice Requires="x14">
        <oleObject progId="Equation.2" shapeId="11324" r:id="rId122">
          <objectPr defaultSize="0" autoLine="0" autoPict="0" r:id="rId123">
            <anchor moveWithCells="1">
              <from>
                <xdr:col>2</xdr:col>
                <xdr:colOff>38100</xdr:colOff>
                <xdr:row>532</xdr:row>
                <xdr:rowOff>142875</xdr:rowOff>
              </from>
              <to>
                <xdr:col>3</xdr:col>
                <xdr:colOff>123825</xdr:colOff>
                <xdr:row>534</xdr:row>
                <xdr:rowOff>95250</xdr:rowOff>
              </to>
            </anchor>
          </objectPr>
        </oleObject>
      </mc:Choice>
      <mc:Fallback>
        <oleObject progId="Equation.2" shapeId="11324" r:id="rId122"/>
      </mc:Fallback>
    </mc:AlternateContent>
    <mc:AlternateContent xmlns:mc="http://schemas.openxmlformats.org/markup-compatibility/2006">
      <mc:Choice Requires="x14">
        <oleObject progId="Equation.2" shapeId="11325" r:id="rId124">
          <objectPr defaultSize="0" autoLine="0" autoPict="0" r:id="rId125">
            <anchor moveWithCells="1">
              <from>
                <xdr:col>1</xdr:col>
                <xdr:colOff>314325</xdr:colOff>
                <xdr:row>236</xdr:row>
                <xdr:rowOff>104775</xdr:rowOff>
              </from>
              <to>
                <xdr:col>4</xdr:col>
                <xdr:colOff>762000</xdr:colOff>
                <xdr:row>238</xdr:row>
                <xdr:rowOff>114300</xdr:rowOff>
              </to>
            </anchor>
          </objectPr>
        </oleObject>
      </mc:Choice>
      <mc:Fallback>
        <oleObject progId="Equation.2" shapeId="11325" r:id="rId124"/>
      </mc:Fallback>
    </mc:AlternateContent>
    <mc:AlternateContent xmlns:mc="http://schemas.openxmlformats.org/markup-compatibility/2006">
      <mc:Choice Requires="x14">
        <oleObject progId="Equation.2" shapeId="11326" r:id="rId126">
          <objectPr defaultSize="0" autoLine="0" autoPict="0" r:id="rId127">
            <anchor moveWithCells="1">
              <from>
                <xdr:col>7</xdr:col>
                <xdr:colOff>200025</xdr:colOff>
                <xdr:row>493</xdr:row>
                <xdr:rowOff>47625</xdr:rowOff>
              </from>
              <to>
                <xdr:col>8</xdr:col>
                <xdr:colOff>752475</xdr:colOff>
                <xdr:row>494</xdr:row>
                <xdr:rowOff>47625</xdr:rowOff>
              </to>
            </anchor>
          </objectPr>
        </oleObject>
      </mc:Choice>
      <mc:Fallback>
        <oleObject progId="Equation.2" shapeId="11326" r:id="rId126"/>
      </mc:Fallback>
    </mc:AlternateContent>
    <mc:AlternateContent xmlns:mc="http://schemas.openxmlformats.org/markup-compatibility/2006">
      <mc:Choice Requires="x14">
        <oleObject progId="Equation.2" shapeId="11327" r:id="rId128">
          <objectPr defaultSize="0" autoLine="0" autoPict="0" r:id="rId129">
            <anchor moveWithCells="1">
              <from>
                <xdr:col>3</xdr:col>
                <xdr:colOff>762000</xdr:colOff>
                <xdr:row>504</xdr:row>
                <xdr:rowOff>47625</xdr:rowOff>
              </from>
              <to>
                <xdr:col>5</xdr:col>
                <xdr:colOff>838200</xdr:colOff>
                <xdr:row>506</xdr:row>
                <xdr:rowOff>180975</xdr:rowOff>
              </to>
            </anchor>
          </objectPr>
        </oleObject>
      </mc:Choice>
      <mc:Fallback>
        <oleObject progId="Equation.2" shapeId="11327" r:id="rId128"/>
      </mc:Fallback>
    </mc:AlternateContent>
    <mc:AlternateContent xmlns:mc="http://schemas.openxmlformats.org/markup-compatibility/2006">
      <mc:Choice Requires="x14">
        <oleObject progId="Equation.2" shapeId="11328" r:id="rId130">
          <objectPr defaultSize="0" autoLine="0" autoPict="0" r:id="rId131">
            <anchor moveWithCells="1">
              <from>
                <xdr:col>1</xdr:col>
                <xdr:colOff>152400</xdr:colOff>
                <xdr:row>525</xdr:row>
                <xdr:rowOff>19050</xdr:rowOff>
              </from>
              <to>
                <xdr:col>4</xdr:col>
                <xdr:colOff>0</xdr:colOff>
                <xdr:row>526</xdr:row>
                <xdr:rowOff>28575</xdr:rowOff>
              </to>
            </anchor>
          </objectPr>
        </oleObject>
      </mc:Choice>
      <mc:Fallback>
        <oleObject progId="Equation.2" shapeId="11328" r:id="rId130"/>
      </mc:Fallback>
    </mc:AlternateContent>
    <mc:AlternateContent xmlns:mc="http://schemas.openxmlformats.org/markup-compatibility/2006">
      <mc:Choice Requires="x14">
        <oleObject progId="Equation.2" shapeId="11329" r:id="rId132">
          <objectPr defaultSize="0" autoLine="0" autoPict="0" r:id="rId133">
            <anchor moveWithCells="1">
              <from>
                <xdr:col>1</xdr:col>
                <xdr:colOff>762000</xdr:colOff>
                <xdr:row>527</xdr:row>
                <xdr:rowOff>114300</xdr:rowOff>
              </from>
              <to>
                <xdr:col>3</xdr:col>
                <xdr:colOff>247650</xdr:colOff>
                <xdr:row>529</xdr:row>
                <xdr:rowOff>76200</xdr:rowOff>
              </to>
            </anchor>
          </objectPr>
        </oleObject>
      </mc:Choice>
      <mc:Fallback>
        <oleObject progId="Equation.2" shapeId="11329" r:id="rId132"/>
      </mc:Fallback>
    </mc:AlternateContent>
    <mc:AlternateContent xmlns:mc="http://schemas.openxmlformats.org/markup-compatibility/2006">
      <mc:Choice Requires="x14">
        <oleObject progId="Equation.2" shapeId="11330" r:id="rId134">
          <objectPr defaultSize="0" autoLine="0" autoPict="0" r:id="rId135">
            <anchor moveWithCells="1">
              <from>
                <xdr:col>6</xdr:col>
                <xdr:colOff>0</xdr:colOff>
                <xdr:row>606</xdr:row>
                <xdr:rowOff>161925</xdr:rowOff>
              </from>
              <to>
                <xdr:col>7</xdr:col>
                <xdr:colOff>762000</xdr:colOff>
                <xdr:row>608</xdr:row>
                <xdr:rowOff>0</xdr:rowOff>
              </to>
            </anchor>
          </objectPr>
        </oleObject>
      </mc:Choice>
      <mc:Fallback>
        <oleObject progId="Equation.2" shapeId="11330" r:id="rId134"/>
      </mc:Fallback>
    </mc:AlternateContent>
    <mc:AlternateContent xmlns:mc="http://schemas.openxmlformats.org/markup-compatibility/2006">
      <mc:Choice Requires="x14">
        <oleObject progId="Equation.2" shapeId="11331" r:id="rId136">
          <objectPr defaultSize="0" autoLine="0" autoPict="0" r:id="rId137">
            <anchor moveWithCells="1">
              <from>
                <xdr:col>4</xdr:col>
                <xdr:colOff>571500</xdr:colOff>
                <xdr:row>49</xdr:row>
                <xdr:rowOff>19050</xdr:rowOff>
              </from>
              <to>
                <xdr:col>5</xdr:col>
                <xdr:colOff>895350</xdr:colOff>
                <xdr:row>50</xdr:row>
                <xdr:rowOff>28575</xdr:rowOff>
              </to>
            </anchor>
          </objectPr>
        </oleObject>
      </mc:Choice>
      <mc:Fallback>
        <oleObject progId="Equation.2" shapeId="11331" r:id="rId136"/>
      </mc:Fallback>
    </mc:AlternateContent>
    <mc:AlternateContent xmlns:mc="http://schemas.openxmlformats.org/markup-compatibility/2006">
      <mc:Choice Requires="x14">
        <oleObject progId="Equation.2" shapeId="11332" r:id="rId138">
          <objectPr defaultSize="0" autoLine="0" autoPict="0" r:id="rId139">
            <anchor moveWithCells="1">
              <from>
                <xdr:col>1</xdr:col>
                <xdr:colOff>190500</xdr:colOff>
                <xdr:row>158</xdr:row>
                <xdr:rowOff>152400</xdr:rowOff>
              </from>
              <to>
                <xdr:col>7</xdr:col>
                <xdr:colOff>933450</xdr:colOff>
                <xdr:row>162</xdr:row>
                <xdr:rowOff>28575</xdr:rowOff>
              </to>
            </anchor>
          </objectPr>
        </oleObject>
      </mc:Choice>
      <mc:Fallback>
        <oleObject progId="Equation.2" shapeId="11332" r:id="rId138"/>
      </mc:Fallback>
    </mc:AlternateContent>
    <mc:AlternateContent xmlns:mc="http://schemas.openxmlformats.org/markup-compatibility/2006">
      <mc:Choice Requires="x14">
        <oleObject progId="Equation.2" shapeId="11333" r:id="rId140">
          <objectPr locked="0" defaultSize="0" autoLine="0" autoPict="0" r:id="rId141">
            <anchor moveWithCells="1" sizeWithCells="1">
              <from>
                <xdr:col>1</xdr:col>
                <xdr:colOff>190500</xdr:colOff>
                <xdr:row>162</xdr:row>
                <xdr:rowOff>123825</xdr:rowOff>
              </from>
              <to>
                <xdr:col>4</xdr:col>
                <xdr:colOff>638175</xdr:colOff>
                <xdr:row>164</xdr:row>
                <xdr:rowOff>95250</xdr:rowOff>
              </to>
            </anchor>
          </objectPr>
        </oleObject>
      </mc:Choice>
      <mc:Fallback>
        <oleObject progId="Equation.2" shapeId="11333" r:id="rId140"/>
      </mc:Fallback>
    </mc:AlternateContent>
    <mc:AlternateContent xmlns:mc="http://schemas.openxmlformats.org/markup-compatibility/2006">
      <mc:Choice Requires="x14">
        <oleObject progId="Equation.2" shapeId="11334" r:id="rId142">
          <objectPr defaultSize="0" autoLine="0" autoPict="0" r:id="rId143">
            <anchor moveWithCells="1">
              <from>
                <xdr:col>1</xdr:col>
                <xdr:colOff>190500</xdr:colOff>
                <xdr:row>165</xdr:row>
                <xdr:rowOff>38100</xdr:rowOff>
              </from>
              <to>
                <xdr:col>4</xdr:col>
                <xdr:colOff>704850</xdr:colOff>
                <xdr:row>168</xdr:row>
                <xdr:rowOff>28575</xdr:rowOff>
              </to>
            </anchor>
          </objectPr>
        </oleObject>
      </mc:Choice>
      <mc:Fallback>
        <oleObject progId="Equation.2" shapeId="11334" r:id="rId142"/>
      </mc:Fallback>
    </mc:AlternateContent>
    <mc:AlternateContent xmlns:mc="http://schemas.openxmlformats.org/markup-compatibility/2006">
      <mc:Choice Requires="x14">
        <oleObject progId="Equation.2" shapeId="11335" r:id="rId144">
          <objectPr defaultSize="0" autoLine="0" autoPict="0" r:id="rId145">
            <anchor moveWithCells="1">
              <from>
                <xdr:col>1</xdr:col>
                <xdr:colOff>180975</xdr:colOff>
                <xdr:row>169</xdr:row>
                <xdr:rowOff>0</xdr:rowOff>
              </from>
              <to>
                <xdr:col>6</xdr:col>
                <xdr:colOff>609600</xdr:colOff>
                <xdr:row>172</xdr:row>
                <xdr:rowOff>0</xdr:rowOff>
              </to>
            </anchor>
          </objectPr>
        </oleObject>
      </mc:Choice>
      <mc:Fallback>
        <oleObject progId="Equation.2" shapeId="11335" r:id="rId144"/>
      </mc:Fallback>
    </mc:AlternateContent>
    <mc:AlternateContent xmlns:mc="http://schemas.openxmlformats.org/markup-compatibility/2006">
      <mc:Choice Requires="x14">
        <oleObject progId="Equation.2" shapeId="11336" r:id="rId146">
          <objectPr locked="0" defaultSize="0" autoLine="0" autoPict="0" r:id="rId147">
            <anchor moveWithCells="1" sizeWithCells="1">
              <from>
                <xdr:col>1</xdr:col>
                <xdr:colOff>190500</xdr:colOff>
                <xdr:row>172</xdr:row>
                <xdr:rowOff>171450</xdr:rowOff>
              </from>
              <to>
                <xdr:col>4</xdr:col>
                <xdr:colOff>123825</xdr:colOff>
                <xdr:row>174</xdr:row>
                <xdr:rowOff>133350</xdr:rowOff>
              </to>
            </anchor>
          </objectPr>
        </oleObject>
      </mc:Choice>
      <mc:Fallback>
        <oleObject progId="Equation.2" shapeId="11336" r:id="rId146"/>
      </mc:Fallback>
    </mc:AlternateContent>
    <mc:AlternateContent xmlns:mc="http://schemas.openxmlformats.org/markup-compatibility/2006">
      <mc:Choice Requires="x14">
        <oleObject progId="Equation.2" shapeId="11337" r:id="rId148">
          <objectPr defaultSize="0" autoLine="0" autoPict="0" r:id="rId149">
            <anchor moveWithCells="1">
              <from>
                <xdr:col>1</xdr:col>
                <xdr:colOff>314325</xdr:colOff>
                <xdr:row>238</xdr:row>
                <xdr:rowOff>123825</xdr:rowOff>
              </from>
              <to>
                <xdr:col>4</xdr:col>
                <xdr:colOff>828675</xdr:colOff>
                <xdr:row>240</xdr:row>
                <xdr:rowOff>114300</xdr:rowOff>
              </to>
            </anchor>
          </objectPr>
        </oleObject>
      </mc:Choice>
      <mc:Fallback>
        <oleObject progId="Equation.2" shapeId="11337" r:id="rId148"/>
      </mc:Fallback>
    </mc:AlternateContent>
    <mc:AlternateContent xmlns:mc="http://schemas.openxmlformats.org/markup-compatibility/2006">
      <mc:Choice Requires="x14">
        <oleObject progId="Equation.2" shapeId="11338" r:id="rId150">
          <objectPr defaultSize="0" autoLine="0" autoPict="0" r:id="rId151">
            <anchor moveWithCells="1">
              <from>
                <xdr:col>1</xdr:col>
                <xdr:colOff>323850</xdr:colOff>
                <xdr:row>245</xdr:row>
                <xdr:rowOff>57150</xdr:rowOff>
              </from>
              <to>
                <xdr:col>3</xdr:col>
                <xdr:colOff>876300</xdr:colOff>
                <xdr:row>246</xdr:row>
                <xdr:rowOff>85725</xdr:rowOff>
              </to>
            </anchor>
          </objectPr>
        </oleObject>
      </mc:Choice>
      <mc:Fallback>
        <oleObject progId="Equation.2" shapeId="11338" r:id="rId150"/>
      </mc:Fallback>
    </mc:AlternateContent>
    <mc:AlternateContent xmlns:mc="http://schemas.openxmlformats.org/markup-compatibility/2006">
      <mc:Choice Requires="x14">
        <oleObject progId="Equation.2" shapeId="11339" r:id="rId152">
          <objectPr defaultSize="0" autoLine="0" autoPict="0" r:id="rId153">
            <anchor moveWithCells="1">
              <from>
                <xdr:col>1</xdr:col>
                <xdr:colOff>266700</xdr:colOff>
                <xdr:row>287</xdr:row>
                <xdr:rowOff>19050</xdr:rowOff>
              </from>
              <to>
                <xdr:col>2</xdr:col>
                <xdr:colOff>104775</xdr:colOff>
                <xdr:row>288</xdr:row>
                <xdr:rowOff>9525</xdr:rowOff>
              </to>
            </anchor>
          </objectPr>
        </oleObject>
      </mc:Choice>
      <mc:Fallback>
        <oleObject progId="Equation.2" shapeId="11339" r:id="rId152"/>
      </mc:Fallback>
    </mc:AlternateContent>
    <mc:AlternateContent xmlns:mc="http://schemas.openxmlformats.org/markup-compatibility/2006">
      <mc:Choice Requires="x14">
        <oleObject progId="Equation.2" shapeId="11340" r:id="rId154">
          <objectPr defaultSize="0" autoLine="0" autoPict="0" r:id="rId155">
            <anchor moveWithCells="1">
              <from>
                <xdr:col>1</xdr:col>
                <xdr:colOff>228600</xdr:colOff>
                <xdr:row>122</xdr:row>
                <xdr:rowOff>142875</xdr:rowOff>
              </from>
              <to>
                <xdr:col>2</xdr:col>
                <xdr:colOff>295275</xdr:colOff>
                <xdr:row>124</xdr:row>
                <xdr:rowOff>123825</xdr:rowOff>
              </to>
            </anchor>
          </objectPr>
        </oleObject>
      </mc:Choice>
      <mc:Fallback>
        <oleObject progId="Equation.2" shapeId="11340" r:id="rId154"/>
      </mc:Fallback>
    </mc:AlternateContent>
    <mc:AlternateContent xmlns:mc="http://schemas.openxmlformats.org/markup-compatibility/2006">
      <mc:Choice Requires="x14">
        <oleObject progId="Equation.2" shapeId="11341" r:id="rId156">
          <objectPr defaultSize="0" autoLine="0" autoPict="0" r:id="rId157">
            <anchor moveWithCells="1">
              <from>
                <xdr:col>2</xdr:col>
                <xdr:colOff>66675</xdr:colOff>
                <xdr:row>125</xdr:row>
                <xdr:rowOff>47625</xdr:rowOff>
              </from>
              <to>
                <xdr:col>3</xdr:col>
                <xdr:colOff>571500</xdr:colOff>
                <xdr:row>126</xdr:row>
                <xdr:rowOff>57150</xdr:rowOff>
              </to>
            </anchor>
          </objectPr>
        </oleObject>
      </mc:Choice>
      <mc:Fallback>
        <oleObject progId="Equation.2" shapeId="11341" r:id="rId156"/>
      </mc:Fallback>
    </mc:AlternateContent>
    <mc:AlternateContent xmlns:mc="http://schemas.openxmlformats.org/markup-compatibility/2006">
      <mc:Choice Requires="x14">
        <oleObject progId="Equation.2" shapeId="11342" r:id="rId158">
          <objectPr defaultSize="0" autoLine="0" autoPict="0" r:id="rId159">
            <anchor moveWithCells="1">
              <from>
                <xdr:col>2</xdr:col>
                <xdr:colOff>9525</xdr:colOff>
                <xdr:row>127</xdr:row>
                <xdr:rowOff>38100</xdr:rowOff>
              </from>
              <to>
                <xdr:col>2</xdr:col>
                <xdr:colOff>285750</xdr:colOff>
                <xdr:row>128</xdr:row>
                <xdr:rowOff>28575</xdr:rowOff>
              </to>
            </anchor>
          </objectPr>
        </oleObject>
      </mc:Choice>
      <mc:Fallback>
        <oleObject progId="Equation.2" shapeId="11342" r:id="rId158"/>
      </mc:Fallback>
    </mc:AlternateContent>
    <mc:AlternateContent xmlns:mc="http://schemas.openxmlformats.org/markup-compatibility/2006">
      <mc:Choice Requires="x14">
        <oleObject progId="Equation.2" shapeId="11343" r:id="rId160">
          <objectPr defaultSize="0" autoLine="0" autoPict="0" r:id="rId161">
            <anchor moveWithCells="1">
              <from>
                <xdr:col>2</xdr:col>
                <xdr:colOff>19050</xdr:colOff>
                <xdr:row>129</xdr:row>
                <xdr:rowOff>38100</xdr:rowOff>
              </from>
              <to>
                <xdr:col>3</xdr:col>
                <xdr:colOff>371475</xdr:colOff>
                <xdr:row>130</xdr:row>
                <xdr:rowOff>57150</xdr:rowOff>
              </to>
            </anchor>
          </objectPr>
        </oleObject>
      </mc:Choice>
      <mc:Fallback>
        <oleObject progId="Equation.2" shapeId="11343" r:id="rId160"/>
      </mc:Fallback>
    </mc:AlternateContent>
    <mc:AlternateContent xmlns:mc="http://schemas.openxmlformats.org/markup-compatibility/2006">
      <mc:Choice Requires="x14">
        <oleObject progId="Equation.2" shapeId="11344" r:id="rId162">
          <objectPr defaultSize="0" autoLine="0" autoPict="0" r:id="rId163">
            <anchor moveWithCells="1">
              <from>
                <xdr:col>2</xdr:col>
                <xdr:colOff>19050</xdr:colOff>
                <xdr:row>130</xdr:row>
                <xdr:rowOff>171450</xdr:rowOff>
              </from>
              <to>
                <xdr:col>2</xdr:col>
                <xdr:colOff>523875</xdr:colOff>
                <xdr:row>132</xdr:row>
                <xdr:rowOff>133350</xdr:rowOff>
              </to>
            </anchor>
          </objectPr>
        </oleObject>
      </mc:Choice>
      <mc:Fallback>
        <oleObject progId="Equation.2" shapeId="11344" r:id="rId162"/>
      </mc:Fallback>
    </mc:AlternateContent>
    <mc:AlternateContent xmlns:mc="http://schemas.openxmlformats.org/markup-compatibility/2006">
      <mc:Choice Requires="x14">
        <oleObject progId="Equation.2" shapeId="11345" r:id="rId164">
          <objectPr defaultSize="0" autoLine="0" autoPict="0" r:id="rId165">
            <anchor moveWithCells="1">
              <from>
                <xdr:col>5</xdr:col>
                <xdr:colOff>590550</xdr:colOff>
                <xdr:row>123</xdr:row>
                <xdr:rowOff>19050</xdr:rowOff>
              </from>
              <to>
                <xdr:col>7</xdr:col>
                <xdr:colOff>257175</xdr:colOff>
                <xdr:row>124</xdr:row>
                <xdr:rowOff>28575</xdr:rowOff>
              </to>
            </anchor>
          </objectPr>
        </oleObject>
      </mc:Choice>
      <mc:Fallback>
        <oleObject progId="Equation.2" shapeId="11345" r:id="rId164"/>
      </mc:Fallback>
    </mc:AlternateContent>
    <mc:AlternateContent xmlns:mc="http://schemas.openxmlformats.org/markup-compatibility/2006">
      <mc:Choice Requires="x14">
        <oleObject progId="Equation.2" shapeId="11346" r:id="rId166">
          <objectPr defaultSize="0" autoLine="0" autoPict="0" r:id="rId167">
            <anchor moveWithCells="1">
              <from>
                <xdr:col>2</xdr:col>
                <xdr:colOff>428625</xdr:colOff>
                <xdr:row>136</xdr:row>
                <xdr:rowOff>47625</xdr:rowOff>
              </from>
              <to>
                <xdr:col>4</xdr:col>
                <xdr:colOff>142875</xdr:colOff>
                <xdr:row>137</xdr:row>
                <xdr:rowOff>57150</xdr:rowOff>
              </to>
            </anchor>
          </objectPr>
        </oleObject>
      </mc:Choice>
      <mc:Fallback>
        <oleObject progId="Equation.2" shapeId="11346" r:id="rId166"/>
      </mc:Fallback>
    </mc:AlternateContent>
    <mc:AlternateContent xmlns:mc="http://schemas.openxmlformats.org/markup-compatibility/2006">
      <mc:Choice Requires="x14">
        <oleObject progId="Equation.2" shapeId="11347" r:id="rId168">
          <objectPr defaultSize="0" autoLine="0" autoPict="0" r:id="rId169">
            <anchor moveWithCells="1">
              <from>
                <xdr:col>1</xdr:col>
                <xdr:colOff>238125</xdr:colOff>
                <xdr:row>335</xdr:row>
                <xdr:rowOff>9525</xdr:rowOff>
              </from>
              <to>
                <xdr:col>2</xdr:col>
                <xdr:colOff>95250</xdr:colOff>
                <xdr:row>336</xdr:row>
                <xdr:rowOff>19050</xdr:rowOff>
              </to>
            </anchor>
          </objectPr>
        </oleObject>
      </mc:Choice>
      <mc:Fallback>
        <oleObject progId="Equation.2" shapeId="11347" r:id="rId168"/>
      </mc:Fallback>
    </mc:AlternateContent>
    <mc:AlternateContent xmlns:mc="http://schemas.openxmlformats.org/markup-compatibility/2006">
      <mc:Choice Requires="x14">
        <oleObject progId="Equation.2" shapeId="11348" r:id="rId170">
          <objectPr defaultSize="0" autoLine="0" autoPict="0" r:id="rId171">
            <anchor moveWithCells="1">
              <from>
                <xdr:col>2</xdr:col>
                <xdr:colOff>104775</xdr:colOff>
                <xdr:row>352</xdr:row>
                <xdr:rowOff>0</xdr:rowOff>
              </from>
              <to>
                <xdr:col>4</xdr:col>
                <xdr:colOff>257175</xdr:colOff>
                <xdr:row>353</xdr:row>
                <xdr:rowOff>19050</xdr:rowOff>
              </to>
            </anchor>
          </objectPr>
        </oleObject>
      </mc:Choice>
      <mc:Fallback>
        <oleObject progId="Equation.2" shapeId="11348" r:id="rId170"/>
      </mc:Fallback>
    </mc:AlternateContent>
    <mc:AlternateContent xmlns:mc="http://schemas.openxmlformats.org/markup-compatibility/2006">
      <mc:Choice Requires="x14">
        <oleObject progId="Word.Document.8" shapeId="11349" r:id="rId172">
          <objectPr defaultSize="0" autoLine="0" autoPict="0" r:id="rId173">
            <anchor moveWithCells="1">
              <from>
                <xdr:col>6</xdr:col>
                <xdr:colOff>0</xdr:colOff>
                <xdr:row>216</xdr:row>
                <xdr:rowOff>161925</xdr:rowOff>
              </from>
              <to>
                <xdr:col>10</xdr:col>
                <xdr:colOff>0</xdr:colOff>
                <xdr:row>226</xdr:row>
                <xdr:rowOff>47625</xdr:rowOff>
              </to>
            </anchor>
          </objectPr>
        </oleObject>
      </mc:Choice>
      <mc:Fallback>
        <oleObject progId="Word.Document.8" shapeId="11349" r:id="rId172"/>
      </mc:Fallback>
    </mc:AlternateContent>
    <mc:AlternateContent xmlns:mc="http://schemas.openxmlformats.org/markup-compatibility/2006">
      <mc:Choice Requires="x14">
        <oleObject progId="Equation.2" shapeId="11350" r:id="rId174">
          <objectPr defaultSize="0" autoLine="0" autoPict="0" r:id="rId175">
            <anchor moveWithCells="1">
              <from>
                <xdr:col>1</xdr:col>
                <xdr:colOff>304800</xdr:colOff>
                <xdr:row>90</xdr:row>
                <xdr:rowOff>19050</xdr:rowOff>
              </from>
              <to>
                <xdr:col>3</xdr:col>
                <xdr:colOff>847725</xdr:colOff>
                <xdr:row>90</xdr:row>
                <xdr:rowOff>209550</xdr:rowOff>
              </to>
            </anchor>
          </objectPr>
        </oleObject>
      </mc:Choice>
      <mc:Fallback>
        <oleObject progId="Equation.2" shapeId="11350" r:id="rId174"/>
      </mc:Fallback>
    </mc:AlternateContent>
    <mc:AlternateContent xmlns:mc="http://schemas.openxmlformats.org/markup-compatibility/2006">
      <mc:Choice Requires="x14">
        <oleObject progId="Equation.2" shapeId="11351" r:id="rId176">
          <objectPr defaultSize="0" autoLine="0" autoPict="0" r:id="rId177">
            <anchor moveWithCells="1">
              <from>
                <xdr:col>1</xdr:col>
                <xdr:colOff>295275</xdr:colOff>
                <xdr:row>91</xdr:row>
                <xdr:rowOff>114300</xdr:rowOff>
              </from>
              <to>
                <xdr:col>5</xdr:col>
                <xdr:colOff>47625</xdr:colOff>
                <xdr:row>92</xdr:row>
                <xdr:rowOff>142875</xdr:rowOff>
              </to>
            </anchor>
          </objectPr>
        </oleObject>
      </mc:Choice>
      <mc:Fallback>
        <oleObject progId="Equation.2" shapeId="11351" r:id="rId176"/>
      </mc:Fallback>
    </mc:AlternateContent>
    <mc:AlternateContent xmlns:mc="http://schemas.openxmlformats.org/markup-compatibility/2006">
      <mc:Choice Requires="x14">
        <oleObject progId="Equation.2" shapeId="11352" r:id="rId178">
          <objectPr defaultSize="0" autoLine="0" autoPict="0" r:id="rId179">
            <anchor moveWithCells="1">
              <from>
                <xdr:col>1</xdr:col>
                <xdr:colOff>295275</xdr:colOff>
                <xdr:row>93</xdr:row>
                <xdr:rowOff>66675</xdr:rowOff>
              </from>
              <to>
                <xdr:col>5</xdr:col>
                <xdr:colOff>638175</xdr:colOff>
                <xdr:row>94</xdr:row>
                <xdr:rowOff>123825</xdr:rowOff>
              </to>
            </anchor>
          </objectPr>
        </oleObject>
      </mc:Choice>
      <mc:Fallback>
        <oleObject progId="Equation.2" shapeId="11352" r:id="rId178"/>
      </mc:Fallback>
    </mc:AlternateContent>
    <mc:AlternateContent xmlns:mc="http://schemas.openxmlformats.org/markup-compatibility/2006">
      <mc:Choice Requires="x14">
        <oleObject progId="Equation.2" shapeId="11353" r:id="rId180">
          <objectPr defaultSize="0" autoLine="0" autoPict="0" r:id="rId181">
            <anchor moveWithCells="1">
              <from>
                <xdr:col>1</xdr:col>
                <xdr:colOff>333375</xdr:colOff>
                <xdr:row>242</xdr:row>
                <xdr:rowOff>123825</xdr:rowOff>
              </from>
              <to>
                <xdr:col>4</xdr:col>
                <xdr:colOff>742950</xdr:colOff>
                <xdr:row>244</xdr:row>
                <xdr:rowOff>133350</xdr:rowOff>
              </to>
            </anchor>
          </objectPr>
        </oleObject>
      </mc:Choice>
      <mc:Fallback>
        <oleObject progId="Equation.2" shapeId="11353" r:id="rId180"/>
      </mc:Fallback>
    </mc:AlternateContent>
    <mc:AlternateContent xmlns:mc="http://schemas.openxmlformats.org/markup-compatibility/2006">
      <mc:Choice Requires="x14">
        <oleObject progId="Equation.2" shapeId="11354" r:id="rId182">
          <objectPr defaultSize="0" autoLine="0" autoPict="0" r:id="rId183">
            <anchor moveWithCells="1">
              <from>
                <xdr:col>0</xdr:col>
                <xdr:colOff>419100</xdr:colOff>
                <xdr:row>338</xdr:row>
                <xdr:rowOff>180975</xdr:rowOff>
              </from>
              <to>
                <xdr:col>3</xdr:col>
                <xdr:colOff>533400</xdr:colOff>
                <xdr:row>340</xdr:row>
                <xdr:rowOff>47625</xdr:rowOff>
              </to>
            </anchor>
          </objectPr>
        </oleObject>
      </mc:Choice>
      <mc:Fallback>
        <oleObject progId="Equation.2" shapeId="11354" r:id="rId182"/>
      </mc:Fallback>
    </mc:AlternateContent>
    <mc:AlternateContent xmlns:mc="http://schemas.openxmlformats.org/markup-compatibility/2006">
      <mc:Choice Requires="x14">
        <oleObject progId="Equation.2" shapeId="11355" r:id="rId184">
          <objectPr defaultSize="0" autoLine="0" autoPict="0" r:id="rId185">
            <anchor moveWithCells="1">
              <from>
                <xdr:col>1</xdr:col>
                <xdr:colOff>152400</xdr:colOff>
                <xdr:row>448</xdr:row>
                <xdr:rowOff>19050</xdr:rowOff>
              </from>
              <to>
                <xdr:col>4</xdr:col>
                <xdr:colOff>123825</xdr:colOff>
                <xdr:row>449</xdr:row>
                <xdr:rowOff>38100</xdr:rowOff>
              </to>
            </anchor>
          </objectPr>
        </oleObject>
      </mc:Choice>
      <mc:Fallback>
        <oleObject progId="Equation.2" shapeId="11355" r:id="rId184"/>
      </mc:Fallback>
    </mc:AlternateContent>
    <mc:AlternateContent xmlns:mc="http://schemas.openxmlformats.org/markup-compatibility/2006">
      <mc:Choice Requires="x14">
        <oleObject progId="Equation.2" shapeId="11356" r:id="rId186">
          <objectPr defaultSize="0" autoLine="0" autoPict="0" r:id="rId187">
            <anchor moveWithCells="1">
              <from>
                <xdr:col>0</xdr:col>
                <xdr:colOff>0</xdr:colOff>
                <xdr:row>467</xdr:row>
                <xdr:rowOff>152400</xdr:rowOff>
              </from>
              <to>
                <xdr:col>3</xdr:col>
                <xdr:colOff>171450</xdr:colOff>
                <xdr:row>469</xdr:row>
                <xdr:rowOff>9525</xdr:rowOff>
              </to>
            </anchor>
          </objectPr>
        </oleObject>
      </mc:Choice>
      <mc:Fallback>
        <oleObject progId="Equation.2" shapeId="11356" r:id="rId186"/>
      </mc:Fallback>
    </mc:AlternateContent>
    <mc:AlternateContent xmlns:mc="http://schemas.openxmlformats.org/markup-compatibility/2006">
      <mc:Choice Requires="x14">
        <oleObject progId="Equation.2" shapeId="11357" r:id="rId188">
          <objectPr defaultSize="0" autoLine="0" autoPict="0" r:id="rId189">
            <anchor moveWithCells="1">
              <from>
                <xdr:col>6</xdr:col>
                <xdr:colOff>266700</xdr:colOff>
                <xdr:row>637</xdr:row>
                <xdr:rowOff>19050</xdr:rowOff>
              </from>
              <to>
                <xdr:col>8</xdr:col>
                <xdr:colOff>85725</xdr:colOff>
                <xdr:row>638</xdr:row>
                <xdr:rowOff>47625</xdr:rowOff>
              </to>
            </anchor>
          </objectPr>
        </oleObject>
      </mc:Choice>
      <mc:Fallback>
        <oleObject progId="Equation.2" shapeId="11357" r:id="rId188"/>
      </mc:Fallback>
    </mc:AlternateContent>
    <mc:AlternateContent xmlns:mc="http://schemas.openxmlformats.org/markup-compatibility/2006">
      <mc:Choice Requires="x14">
        <oleObject progId="Equation.2" shapeId="11358" r:id="rId190">
          <objectPr defaultSize="0" autoLine="0" autoPict="0" r:id="rId191">
            <anchor moveWithCells="1">
              <from>
                <xdr:col>1</xdr:col>
                <xdr:colOff>685800</xdr:colOff>
                <xdr:row>569</xdr:row>
                <xdr:rowOff>123825</xdr:rowOff>
              </from>
              <to>
                <xdr:col>3</xdr:col>
                <xdr:colOff>57150</xdr:colOff>
                <xdr:row>571</xdr:row>
                <xdr:rowOff>95250</xdr:rowOff>
              </to>
            </anchor>
          </objectPr>
        </oleObject>
      </mc:Choice>
      <mc:Fallback>
        <oleObject progId="Equation.2" shapeId="11358" r:id="rId190"/>
      </mc:Fallback>
    </mc:AlternateContent>
    <mc:AlternateContent xmlns:mc="http://schemas.openxmlformats.org/markup-compatibility/2006">
      <mc:Choice Requires="x14">
        <oleObject progId="Equation.2" shapeId="11359" r:id="rId192">
          <objectPr defaultSize="0" autoLine="0" autoPict="0" r:id="rId193">
            <anchor moveWithCells="1">
              <from>
                <xdr:col>2</xdr:col>
                <xdr:colOff>66675</xdr:colOff>
                <xdr:row>571</xdr:row>
                <xdr:rowOff>114300</xdr:rowOff>
              </from>
              <to>
                <xdr:col>3</xdr:col>
                <xdr:colOff>152400</xdr:colOff>
                <xdr:row>573</xdr:row>
                <xdr:rowOff>114300</xdr:rowOff>
              </to>
            </anchor>
          </objectPr>
        </oleObject>
      </mc:Choice>
      <mc:Fallback>
        <oleObject progId="Equation.2" shapeId="11359" r:id="rId192"/>
      </mc:Fallback>
    </mc:AlternateContent>
    <mc:AlternateContent xmlns:mc="http://schemas.openxmlformats.org/markup-compatibility/2006">
      <mc:Choice Requires="x14">
        <oleObject progId="Equation.2" shapeId="11360" r:id="rId194">
          <objectPr defaultSize="0" autoLine="0" autoPict="0" r:id="rId195">
            <anchor moveWithCells="1">
              <from>
                <xdr:col>2</xdr:col>
                <xdr:colOff>85725</xdr:colOff>
                <xdr:row>384</xdr:row>
                <xdr:rowOff>0</xdr:rowOff>
              </from>
              <to>
                <xdr:col>3</xdr:col>
                <xdr:colOff>809625</xdr:colOff>
                <xdr:row>385</xdr:row>
                <xdr:rowOff>19050</xdr:rowOff>
              </to>
            </anchor>
          </objectPr>
        </oleObject>
      </mc:Choice>
      <mc:Fallback>
        <oleObject progId="Equation.2" shapeId="11360" r:id="rId194"/>
      </mc:Fallback>
    </mc:AlternateContent>
    <mc:AlternateContent xmlns:mc="http://schemas.openxmlformats.org/markup-compatibility/2006">
      <mc:Choice Requires="x14">
        <oleObject progId="Equation.2" shapeId="11361" r:id="rId196">
          <objectPr defaultSize="0" autoLine="0" autoPict="0" r:id="rId197">
            <anchor moveWithCells="1">
              <from>
                <xdr:col>2</xdr:col>
                <xdr:colOff>85725</xdr:colOff>
                <xdr:row>387</xdr:row>
                <xdr:rowOff>0</xdr:rowOff>
              </from>
              <to>
                <xdr:col>3</xdr:col>
                <xdr:colOff>809625</xdr:colOff>
                <xdr:row>388</xdr:row>
                <xdr:rowOff>19050</xdr:rowOff>
              </to>
            </anchor>
          </objectPr>
        </oleObject>
      </mc:Choice>
      <mc:Fallback>
        <oleObject progId="Equation.2" shapeId="11361" r:id="rId196"/>
      </mc:Fallback>
    </mc:AlternateContent>
    <mc:AlternateContent xmlns:mc="http://schemas.openxmlformats.org/markup-compatibility/2006">
      <mc:Choice Requires="x14">
        <oleObject progId="Equation.2" shapeId="11362" r:id="rId198">
          <objectPr defaultSize="0" autoLine="0" autoPict="0" r:id="rId199">
            <anchor moveWithCells="1">
              <from>
                <xdr:col>2</xdr:col>
                <xdr:colOff>76200</xdr:colOff>
                <xdr:row>390</xdr:row>
                <xdr:rowOff>0</xdr:rowOff>
              </from>
              <to>
                <xdr:col>3</xdr:col>
                <xdr:colOff>828675</xdr:colOff>
                <xdr:row>391</xdr:row>
                <xdr:rowOff>19050</xdr:rowOff>
              </to>
            </anchor>
          </objectPr>
        </oleObject>
      </mc:Choice>
      <mc:Fallback>
        <oleObject progId="Equation.2" shapeId="11362" r:id="rId198"/>
      </mc:Fallback>
    </mc:AlternateContent>
    <mc:AlternateContent xmlns:mc="http://schemas.openxmlformats.org/markup-compatibility/2006">
      <mc:Choice Requires="x14">
        <oleObject progId="Equation.2" shapeId="11363" r:id="rId200">
          <objectPr defaultSize="0" autoLine="0" autoPict="0" r:id="rId201">
            <anchor moveWithCells="1">
              <from>
                <xdr:col>2</xdr:col>
                <xdr:colOff>76200</xdr:colOff>
                <xdr:row>394</xdr:row>
                <xdr:rowOff>0</xdr:rowOff>
              </from>
              <to>
                <xdr:col>4</xdr:col>
                <xdr:colOff>200025</xdr:colOff>
                <xdr:row>396</xdr:row>
                <xdr:rowOff>142875</xdr:rowOff>
              </to>
            </anchor>
          </objectPr>
        </oleObject>
      </mc:Choice>
      <mc:Fallback>
        <oleObject progId="Equation.2" shapeId="11363" r:id="rId200"/>
      </mc:Fallback>
    </mc:AlternateContent>
    <mc:AlternateContent xmlns:mc="http://schemas.openxmlformats.org/markup-compatibility/2006">
      <mc:Choice Requires="x14">
        <oleObject progId="Equation.2" shapeId="11364" r:id="rId202">
          <objectPr defaultSize="0" autoLine="0" autoPict="0" r:id="rId203">
            <anchor moveWithCells="1">
              <from>
                <xdr:col>1</xdr:col>
                <xdr:colOff>238125</xdr:colOff>
                <xdr:row>371</xdr:row>
                <xdr:rowOff>0</xdr:rowOff>
              </from>
              <to>
                <xdr:col>5</xdr:col>
                <xdr:colOff>85725</xdr:colOff>
                <xdr:row>372</xdr:row>
                <xdr:rowOff>28575</xdr:rowOff>
              </to>
            </anchor>
          </objectPr>
        </oleObject>
      </mc:Choice>
      <mc:Fallback>
        <oleObject progId="Equation.2" shapeId="11364" r:id="rId202"/>
      </mc:Fallback>
    </mc:AlternateContent>
    <mc:AlternateContent xmlns:mc="http://schemas.openxmlformats.org/markup-compatibility/2006">
      <mc:Choice Requires="x14">
        <oleObject progId="Equation.2" shapeId="11365" r:id="rId204">
          <objectPr defaultSize="0" autoLine="0" autoPict="0" r:id="rId205">
            <anchor moveWithCells="1">
              <from>
                <xdr:col>1</xdr:col>
                <xdr:colOff>238125</xdr:colOff>
                <xdr:row>374</xdr:row>
                <xdr:rowOff>0</xdr:rowOff>
              </from>
              <to>
                <xdr:col>4</xdr:col>
                <xdr:colOff>714375</xdr:colOff>
                <xdr:row>375</xdr:row>
                <xdr:rowOff>28575</xdr:rowOff>
              </to>
            </anchor>
          </objectPr>
        </oleObject>
      </mc:Choice>
      <mc:Fallback>
        <oleObject progId="Equation.2" shapeId="11365" r:id="rId204"/>
      </mc:Fallback>
    </mc:AlternateContent>
    <mc:AlternateContent xmlns:mc="http://schemas.openxmlformats.org/markup-compatibility/2006">
      <mc:Choice Requires="x14">
        <oleObject progId="Equation.2" shapeId="11366" r:id="rId206">
          <objectPr defaultSize="0" autoLine="0" autoPict="0" r:id="rId207">
            <anchor moveWithCells="1">
              <from>
                <xdr:col>1</xdr:col>
                <xdr:colOff>238125</xdr:colOff>
                <xdr:row>377</xdr:row>
                <xdr:rowOff>0</xdr:rowOff>
              </from>
              <to>
                <xdr:col>6</xdr:col>
                <xdr:colOff>190500</xdr:colOff>
                <xdr:row>378</xdr:row>
                <xdr:rowOff>28575</xdr:rowOff>
              </to>
            </anchor>
          </objectPr>
        </oleObject>
      </mc:Choice>
      <mc:Fallback>
        <oleObject progId="Equation.2" shapeId="11366" r:id="rId206"/>
      </mc:Fallback>
    </mc:AlternateContent>
    <mc:AlternateContent xmlns:mc="http://schemas.openxmlformats.org/markup-compatibility/2006">
      <mc:Choice Requires="x14">
        <oleObject progId="Equation.2" shapeId="11367" r:id="rId208">
          <objectPr defaultSize="0" autoLine="0" autoPict="0" r:id="rId209">
            <anchor moveWithCells="1">
              <from>
                <xdr:col>0</xdr:col>
                <xdr:colOff>742950</xdr:colOff>
                <xdr:row>379</xdr:row>
                <xdr:rowOff>171450</xdr:rowOff>
              </from>
              <to>
                <xdr:col>5</xdr:col>
                <xdr:colOff>762000</xdr:colOff>
                <xdr:row>381</xdr:row>
                <xdr:rowOff>0</xdr:rowOff>
              </to>
            </anchor>
          </objectPr>
        </oleObject>
      </mc:Choice>
      <mc:Fallback>
        <oleObject progId="Equation.2" shapeId="11367" r:id="rId208"/>
      </mc:Fallback>
    </mc:AlternateContent>
    <mc:AlternateContent xmlns:mc="http://schemas.openxmlformats.org/markup-compatibility/2006">
      <mc:Choice Requires="x14">
        <oleObject progId="Equation.2" shapeId="11368" r:id="rId210">
          <objectPr defaultSize="0" autoLine="0" autoPict="0" r:id="rId211">
            <anchor moveWithCells="1">
              <from>
                <xdr:col>1</xdr:col>
                <xdr:colOff>371475</xdr:colOff>
                <xdr:row>399</xdr:row>
                <xdr:rowOff>38100</xdr:rowOff>
              </from>
              <to>
                <xdr:col>5</xdr:col>
                <xdr:colOff>85725</xdr:colOff>
                <xdr:row>400</xdr:row>
                <xdr:rowOff>85725</xdr:rowOff>
              </to>
            </anchor>
          </objectPr>
        </oleObject>
      </mc:Choice>
      <mc:Fallback>
        <oleObject progId="Equation.2" shapeId="11368" r:id="rId210"/>
      </mc:Fallback>
    </mc:AlternateContent>
    <mc:AlternateContent xmlns:mc="http://schemas.openxmlformats.org/markup-compatibility/2006">
      <mc:Choice Requires="x14">
        <oleObject progId="Equation.2" shapeId="11369" r:id="rId212">
          <objectPr defaultSize="0" autoLine="0" autoPict="0" r:id="rId213">
            <anchor moveWithCells="1">
              <from>
                <xdr:col>6</xdr:col>
                <xdr:colOff>0</xdr:colOff>
                <xdr:row>384</xdr:row>
                <xdr:rowOff>9525</xdr:rowOff>
              </from>
              <to>
                <xdr:col>7</xdr:col>
                <xdr:colOff>676275</xdr:colOff>
                <xdr:row>385</xdr:row>
                <xdr:rowOff>9525</xdr:rowOff>
              </to>
            </anchor>
          </objectPr>
        </oleObject>
      </mc:Choice>
      <mc:Fallback>
        <oleObject progId="Equation.2" shapeId="11369" r:id="rId212"/>
      </mc:Fallback>
    </mc:AlternateContent>
    <mc:AlternateContent xmlns:mc="http://schemas.openxmlformats.org/markup-compatibility/2006">
      <mc:Choice Requires="x14">
        <oleObject progId="Equation.2" shapeId="11370" r:id="rId214">
          <objectPr defaultSize="0" autoLine="0" autoPict="0" r:id="rId215">
            <anchor moveWithCells="1">
              <from>
                <xdr:col>6</xdr:col>
                <xdr:colOff>0</xdr:colOff>
                <xdr:row>387</xdr:row>
                <xdr:rowOff>9525</xdr:rowOff>
              </from>
              <to>
                <xdr:col>7</xdr:col>
                <xdr:colOff>676275</xdr:colOff>
                <xdr:row>388</xdr:row>
                <xdr:rowOff>9525</xdr:rowOff>
              </to>
            </anchor>
          </objectPr>
        </oleObject>
      </mc:Choice>
      <mc:Fallback>
        <oleObject progId="Equation.2" shapeId="11370" r:id="rId214"/>
      </mc:Fallback>
    </mc:AlternateContent>
    <mc:AlternateContent xmlns:mc="http://schemas.openxmlformats.org/markup-compatibility/2006">
      <mc:Choice Requires="x14">
        <oleObject progId="Equation.2" shapeId="11371" r:id="rId216">
          <objectPr defaultSize="0" autoLine="0" autoPict="0" r:id="rId217">
            <anchor moveWithCells="1">
              <from>
                <xdr:col>6</xdr:col>
                <xdr:colOff>0</xdr:colOff>
                <xdr:row>390</xdr:row>
                <xdr:rowOff>9525</xdr:rowOff>
              </from>
              <to>
                <xdr:col>7</xdr:col>
                <xdr:colOff>676275</xdr:colOff>
                <xdr:row>391</xdr:row>
                <xdr:rowOff>9525</xdr:rowOff>
              </to>
            </anchor>
          </objectPr>
        </oleObject>
      </mc:Choice>
      <mc:Fallback>
        <oleObject progId="Equation.2" shapeId="11371" r:id="rId216"/>
      </mc:Fallback>
    </mc:AlternateContent>
    <mc:AlternateContent xmlns:mc="http://schemas.openxmlformats.org/markup-compatibility/2006">
      <mc:Choice Requires="x14">
        <oleObject progId="Equation.2" shapeId="11372" r:id="rId218">
          <objectPr defaultSize="0" autoLine="0" autoPict="0" r:id="rId127">
            <anchor moveWithCells="1">
              <from>
                <xdr:col>6</xdr:col>
                <xdr:colOff>438150</xdr:colOff>
                <xdr:row>494</xdr:row>
                <xdr:rowOff>47625</xdr:rowOff>
              </from>
              <to>
                <xdr:col>8</xdr:col>
                <xdr:colOff>123825</xdr:colOff>
                <xdr:row>495</xdr:row>
                <xdr:rowOff>47625</xdr:rowOff>
              </to>
            </anchor>
          </objectPr>
        </oleObject>
      </mc:Choice>
      <mc:Fallback>
        <oleObject progId="Equation.2" shapeId="11372" r:id="rId21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3"/>
  <sheetViews>
    <sheetView workbookViewId="0">
      <selection activeCell="H18" sqref="H18"/>
    </sheetView>
  </sheetViews>
  <sheetFormatPr defaultColWidth="10.7109375" defaultRowHeight="12.75" x14ac:dyDescent="0.2"/>
  <cols>
    <col min="1" max="1" width="12.7109375" style="13" customWidth="1"/>
    <col min="2" max="2" width="13.42578125" style="13" customWidth="1"/>
    <col min="3" max="7" width="11.7109375" style="13" customWidth="1"/>
    <col min="8" max="8" width="13.7109375" style="13" customWidth="1"/>
    <col min="9" max="9" width="11.7109375" style="13" customWidth="1"/>
    <col min="10" max="10" width="15.7109375" style="13" customWidth="1"/>
    <col min="11" max="11" width="11.7109375" style="13" customWidth="1"/>
    <col min="12" max="12" width="10.7109375" style="13"/>
    <col min="13" max="13" width="10.5703125" style="13" customWidth="1"/>
    <col min="14" max="256" width="10.7109375" style="13"/>
    <col min="257" max="257" width="12.7109375" style="13" customWidth="1"/>
    <col min="258" max="258" width="13.42578125" style="13" customWidth="1"/>
    <col min="259" max="263" width="11.7109375" style="13" customWidth="1"/>
    <col min="264" max="264" width="13.7109375" style="13" customWidth="1"/>
    <col min="265" max="265" width="11.7109375" style="13" customWidth="1"/>
    <col min="266" max="266" width="15.7109375" style="13" customWidth="1"/>
    <col min="267" max="267" width="11.7109375" style="13" customWidth="1"/>
    <col min="268" max="268" width="10.7109375" style="13"/>
    <col min="269" max="269" width="10.5703125" style="13" customWidth="1"/>
    <col min="270" max="512" width="10.7109375" style="13"/>
    <col min="513" max="513" width="12.7109375" style="13" customWidth="1"/>
    <col min="514" max="514" width="13.42578125" style="13" customWidth="1"/>
    <col min="515" max="519" width="11.7109375" style="13" customWidth="1"/>
    <col min="520" max="520" width="13.7109375" style="13" customWidth="1"/>
    <col min="521" max="521" width="11.7109375" style="13" customWidth="1"/>
    <col min="522" max="522" width="15.7109375" style="13" customWidth="1"/>
    <col min="523" max="523" width="11.7109375" style="13" customWidth="1"/>
    <col min="524" max="524" width="10.7109375" style="13"/>
    <col min="525" max="525" width="10.5703125" style="13" customWidth="1"/>
    <col min="526" max="768" width="10.7109375" style="13"/>
    <col min="769" max="769" width="12.7109375" style="13" customWidth="1"/>
    <col min="770" max="770" width="13.42578125" style="13" customWidth="1"/>
    <col min="771" max="775" width="11.7109375" style="13" customWidth="1"/>
    <col min="776" max="776" width="13.7109375" style="13" customWidth="1"/>
    <col min="777" max="777" width="11.7109375" style="13" customWidth="1"/>
    <col min="778" max="778" width="15.7109375" style="13" customWidth="1"/>
    <col min="779" max="779" width="11.7109375" style="13" customWidth="1"/>
    <col min="780" max="780" width="10.7109375" style="13"/>
    <col min="781" max="781" width="10.5703125" style="13" customWidth="1"/>
    <col min="782" max="1024" width="10.7109375" style="13"/>
    <col min="1025" max="1025" width="12.7109375" style="13" customWidth="1"/>
    <col min="1026" max="1026" width="13.42578125" style="13" customWidth="1"/>
    <col min="1027" max="1031" width="11.7109375" style="13" customWidth="1"/>
    <col min="1032" max="1032" width="13.7109375" style="13" customWidth="1"/>
    <col min="1033" max="1033" width="11.7109375" style="13" customWidth="1"/>
    <col min="1034" max="1034" width="15.7109375" style="13" customWidth="1"/>
    <col min="1035" max="1035" width="11.7109375" style="13" customWidth="1"/>
    <col min="1036" max="1036" width="10.7109375" style="13"/>
    <col min="1037" max="1037" width="10.5703125" style="13" customWidth="1"/>
    <col min="1038" max="1280" width="10.7109375" style="13"/>
    <col min="1281" max="1281" width="12.7109375" style="13" customWidth="1"/>
    <col min="1282" max="1282" width="13.42578125" style="13" customWidth="1"/>
    <col min="1283" max="1287" width="11.7109375" style="13" customWidth="1"/>
    <col min="1288" max="1288" width="13.7109375" style="13" customWidth="1"/>
    <col min="1289" max="1289" width="11.7109375" style="13" customWidth="1"/>
    <col min="1290" max="1290" width="15.7109375" style="13" customWidth="1"/>
    <col min="1291" max="1291" width="11.7109375" style="13" customWidth="1"/>
    <col min="1292" max="1292" width="10.7109375" style="13"/>
    <col min="1293" max="1293" width="10.5703125" style="13" customWidth="1"/>
    <col min="1294" max="1536" width="10.7109375" style="13"/>
    <col min="1537" max="1537" width="12.7109375" style="13" customWidth="1"/>
    <col min="1538" max="1538" width="13.42578125" style="13" customWidth="1"/>
    <col min="1539" max="1543" width="11.7109375" style="13" customWidth="1"/>
    <col min="1544" max="1544" width="13.7109375" style="13" customWidth="1"/>
    <col min="1545" max="1545" width="11.7109375" style="13" customWidth="1"/>
    <col min="1546" max="1546" width="15.7109375" style="13" customWidth="1"/>
    <col min="1547" max="1547" width="11.7109375" style="13" customWidth="1"/>
    <col min="1548" max="1548" width="10.7109375" style="13"/>
    <col min="1549" max="1549" width="10.5703125" style="13" customWidth="1"/>
    <col min="1550" max="1792" width="10.7109375" style="13"/>
    <col min="1793" max="1793" width="12.7109375" style="13" customWidth="1"/>
    <col min="1794" max="1794" width="13.42578125" style="13" customWidth="1"/>
    <col min="1795" max="1799" width="11.7109375" style="13" customWidth="1"/>
    <col min="1800" max="1800" width="13.7109375" style="13" customWidth="1"/>
    <col min="1801" max="1801" width="11.7109375" style="13" customWidth="1"/>
    <col min="1802" max="1802" width="15.7109375" style="13" customWidth="1"/>
    <col min="1803" max="1803" width="11.7109375" style="13" customWidth="1"/>
    <col min="1804" max="1804" width="10.7109375" style="13"/>
    <col min="1805" max="1805" width="10.5703125" style="13" customWidth="1"/>
    <col min="1806" max="2048" width="10.7109375" style="13"/>
    <col min="2049" max="2049" width="12.7109375" style="13" customWidth="1"/>
    <col min="2050" max="2050" width="13.42578125" style="13" customWidth="1"/>
    <col min="2051" max="2055" width="11.7109375" style="13" customWidth="1"/>
    <col min="2056" max="2056" width="13.7109375" style="13" customWidth="1"/>
    <col min="2057" max="2057" width="11.7109375" style="13" customWidth="1"/>
    <col min="2058" max="2058" width="15.7109375" style="13" customWidth="1"/>
    <col min="2059" max="2059" width="11.7109375" style="13" customWidth="1"/>
    <col min="2060" max="2060" width="10.7109375" style="13"/>
    <col min="2061" max="2061" width="10.5703125" style="13" customWidth="1"/>
    <col min="2062" max="2304" width="10.7109375" style="13"/>
    <col min="2305" max="2305" width="12.7109375" style="13" customWidth="1"/>
    <col min="2306" max="2306" width="13.42578125" style="13" customWidth="1"/>
    <col min="2307" max="2311" width="11.7109375" style="13" customWidth="1"/>
    <col min="2312" max="2312" width="13.7109375" style="13" customWidth="1"/>
    <col min="2313" max="2313" width="11.7109375" style="13" customWidth="1"/>
    <col min="2314" max="2314" width="15.7109375" style="13" customWidth="1"/>
    <col min="2315" max="2315" width="11.7109375" style="13" customWidth="1"/>
    <col min="2316" max="2316" width="10.7109375" style="13"/>
    <col min="2317" max="2317" width="10.5703125" style="13" customWidth="1"/>
    <col min="2318" max="2560" width="10.7109375" style="13"/>
    <col min="2561" max="2561" width="12.7109375" style="13" customWidth="1"/>
    <col min="2562" max="2562" width="13.42578125" style="13" customWidth="1"/>
    <col min="2563" max="2567" width="11.7109375" style="13" customWidth="1"/>
    <col min="2568" max="2568" width="13.7109375" style="13" customWidth="1"/>
    <col min="2569" max="2569" width="11.7109375" style="13" customWidth="1"/>
    <col min="2570" max="2570" width="15.7109375" style="13" customWidth="1"/>
    <col min="2571" max="2571" width="11.7109375" style="13" customWidth="1"/>
    <col min="2572" max="2572" width="10.7109375" style="13"/>
    <col min="2573" max="2573" width="10.5703125" style="13" customWidth="1"/>
    <col min="2574" max="2816" width="10.7109375" style="13"/>
    <col min="2817" max="2817" width="12.7109375" style="13" customWidth="1"/>
    <col min="2818" max="2818" width="13.42578125" style="13" customWidth="1"/>
    <col min="2819" max="2823" width="11.7109375" style="13" customWidth="1"/>
    <col min="2824" max="2824" width="13.7109375" style="13" customWidth="1"/>
    <col min="2825" max="2825" width="11.7109375" style="13" customWidth="1"/>
    <col min="2826" max="2826" width="15.7109375" style="13" customWidth="1"/>
    <col min="2827" max="2827" width="11.7109375" style="13" customWidth="1"/>
    <col min="2828" max="2828" width="10.7109375" style="13"/>
    <col min="2829" max="2829" width="10.5703125" style="13" customWidth="1"/>
    <col min="2830" max="3072" width="10.7109375" style="13"/>
    <col min="3073" max="3073" width="12.7109375" style="13" customWidth="1"/>
    <col min="3074" max="3074" width="13.42578125" style="13" customWidth="1"/>
    <col min="3075" max="3079" width="11.7109375" style="13" customWidth="1"/>
    <col min="3080" max="3080" width="13.7109375" style="13" customWidth="1"/>
    <col min="3081" max="3081" width="11.7109375" style="13" customWidth="1"/>
    <col min="3082" max="3082" width="15.7109375" style="13" customWidth="1"/>
    <col min="3083" max="3083" width="11.7109375" style="13" customWidth="1"/>
    <col min="3084" max="3084" width="10.7109375" style="13"/>
    <col min="3085" max="3085" width="10.5703125" style="13" customWidth="1"/>
    <col min="3086" max="3328" width="10.7109375" style="13"/>
    <col min="3329" max="3329" width="12.7109375" style="13" customWidth="1"/>
    <col min="3330" max="3330" width="13.42578125" style="13" customWidth="1"/>
    <col min="3331" max="3335" width="11.7109375" style="13" customWidth="1"/>
    <col min="3336" max="3336" width="13.7109375" style="13" customWidth="1"/>
    <col min="3337" max="3337" width="11.7109375" style="13" customWidth="1"/>
    <col min="3338" max="3338" width="15.7109375" style="13" customWidth="1"/>
    <col min="3339" max="3339" width="11.7109375" style="13" customWidth="1"/>
    <col min="3340" max="3340" width="10.7109375" style="13"/>
    <col min="3341" max="3341" width="10.5703125" style="13" customWidth="1"/>
    <col min="3342" max="3584" width="10.7109375" style="13"/>
    <col min="3585" max="3585" width="12.7109375" style="13" customWidth="1"/>
    <col min="3586" max="3586" width="13.42578125" style="13" customWidth="1"/>
    <col min="3587" max="3591" width="11.7109375" style="13" customWidth="1"/>
    <col min="3592" max="3592" width="13.7109375" style="13" customWidth="1"/>
    <col min="3593" max="3593" width="11.7109375" style="13" customWidth="1"/>
    <col min="3594" max="3594" width="15.7109375" style="13" customWidth="1"/>
    <col min="3595" max="3595" width="11.7109375" style="13" customWidth="1"/>
    <col min="3596" max="3596" width="10.7109375" style="13"/>
    <col min="3597" max="3597" width="10.5703125" style="13" customWidth="1"/>
    <col min="3598" max="3840" width="10.7109375" style="13"/>
    <col min="3841" max="3841" width="12.7109375" style="13" customWidth="1"/>
    <col min="3842" max="3842" width="13.42578125" style="13" customWidth="1"/>
    <col min="3843" max="3847" width="11.7109375" style="13" customWidth="1"/>
    <col min="3848" max="3848" width="13.7109375" style="13" customWidth="1"/>
    <col min="3849" max="3849" width="11.7109375" style="13" customWidth="1"/>
    <col min="3850" max="3850" width="15.7109375" style="13" customWidth="1"/>
    <col min="3851" max="3851" width="11.7109375" style="13" customWidth="1"/>
    <col min="3852" max="3852" width="10.7109375" style="13"/>
    <col min="3853" max="3853" width="10.5703125" style="13" customWidth="1"/>
    <col min="3854" max="4096" width="10.7109375" style="13"/>
    <col min="4097" max="4097" width="12.7109375" style="13" customWidth="1"/>
    <col min="4098" max="4098" width="13.42578125" style="13" customWidth="1"/>
    <col min="4099" max="4103" width="11.7109375" style="13" customWidth="1"/>
    <col min="4104" max="4104" width="13.7109375" style="13" customWidth="1"/>
    <col min="4105" max="4105" width="11.7109375" style="13" customWidth="1"/>
    <col min="4106" max="4106" width="15.7109375" style="13" customWidth="1"/>
    <col min="4107" max="4107" width="11.7109375" style="13" customWidth="1"/>
    <col min="4108" max="4108" width="10.7109375" style="13"/>
    <col min="4109" max="4109" width="10.5703125" style="13" customWidth="1"/>
    <col min="4110" max="4352" width="10.7109375" style="13"/>
    <col min="4353" max="4353" width="12.7109375" style="13" customWidth="1"/>
    <col min="4354" max="4354" width="13.42578125" style="13" customWidth="1"/>
    <col min="4355" max="4359" width="11.7109375" style="13" customWidth="1"/>
    <col min="4360" max="4360" width="13.7109375" style="13" customWidth="1"/>
    <col min="4361" max="4361" width="11.7109375" style="13" customWidth="1"/>
    <col min="4362" max="4362" width="15.7109375" style="13" customWidth="1"/>
    <col min="4363" max="4363" width="11.7109375" style="13" customWidth="1"/>
    <col min="4364" max="4364" width="10.7109375" style="13"/>
    <col min="4365" max="4365" width="10.5703125" style="13" customWidth="1"/>
    <col min="4366" max="4608" width="10.7109375" style="13"/>
    <col min="4609" max="4609" width="12.7109375" style="13" customWidth="1"/>
    <col min="4610" max="4610" width="13.42578125" style="13" customWidth="1"/>
    <col min="4611" max="4615" width="11.7109375" style="13" customWidth="1"/>
    <col min="4616" max="4616" width="13.7109375" style="13" customWidth="1"/>
    <col min="4617" max="4617" width="11.7109375" style="13" customWidth="1"/>
    <col min="4618" max="4618" width="15.7109375" style="13" customWidth="1"/>
    <col min="4619" max="4619" width="11.7109375" style="13" customWidth="1"/>
    <col min="4620" max="4620" width="10.7109375" style="13"/>
    <col min="4621" max="4621" width="10.5703125" style="13" customWidth="1"/>
    <col min="4622" max="4864" width="10.7109375" style="13"/>
    <col min="4865" max="4865" width="12.7109375" style="13" customWidth="1"/>
    <col min="4866" max="4866" width="13.42578125" style="13" customWidth="1"/>
    <col min="4867" max="4871" width="11.7109375" style="13" customWidth="1"/>
    <col min="4872" max="4872" width="13.7109375" style="13" customWidth="1"/>
    <col min="4873" max="4873" width="11.7109375" style="13" customWidth="1"/>
    <col min="4874" max="4874" width="15.7109375" style="13" customWidth="1"/>
    <col min="4875" max="4875" width="11.7109375" style="13" customWidth="1"/>
    <col min="4876" max="4876" width="10.7109375" style="13"/>
    <col min="4877" max="4877" width="10.5703125" style="13" customWidth="1"/>
    <col min="4878" max="5120" width="10.7109375" style="13"/>
    <col min="5121" max="5121" width="12.7109375" style="13" customWidth="1"/>
    <col min="5122" max="5122" width="13.42578125" style="13" customWidth="1"/>
    <col min="5123" max="5127" width="11.7109375" style="13" customWidth="1"/>
    <col min="5128" max="5128" width="13.7109375" style="13" customWidth="1"/>
    <col min="5129" max="5129" width="11.7109375" style="13" customWidth="1"/>
    <col min="5130" max="5130" width="15.7109375" style="13" customWidth="1"/>
    <col min="5131" max="5131" width="11.7109375" style="13" customWidth="1"/>
    <col min="5132" max="5132" width="10.7109375" style="13"/>
    <col min="5133" max="5133" width="10.5703125" style="13" customWidth="1"/>
    <col min="5134" max="5376" width="10.7109375" style="13"/>
    <col min="5377" max="5377" width="12.7109375" style="13" customWidth="1"/>
    <col min="5378" max="5378" width="13.42578125" style="13" customWidth="1"/>
    <col min="5379" max="5383" width="11.7109375" style="13" customWidth="1"/>
    <col min="5384" max="5384" width="13.7109375" style="13" customWidth="1"/>
    <col min="5385" max="5385" width="11.7109375" style="13" customWidth="1"/>
    <col min="5386" max="5386" width="15.7109375" style="13" customWidth="1"/>
    <col min="5387" max="5387" width="11.7109375" style="13" customWidth="1"/>
    <col min="5388" max="5388" width="10.7109375" style="13"/>
    <col min="5389" max="5389" width="10.5703125" style="13" customWidth="1"/>
    <col min="5390" max="5632" width="10.7109375" style="13"/>
    <col min="5633" max="5633" width="12.7109375" style="13" customWidth="1"/>
    <col min="5634" max="5634" width="13.42578125" style="13" customWidth="1"/>
    <col min="5635" max="5639" width="11.7109375" style="13" customWidth="1"/>
    <col min="5640" max="5640" width="13.7109375" style="13" customWidth="1"/>
    <col min="5641" max="5641" width="11.7109375" style="13" customWidth="1"/>
    <col min="5642" max="5642" width="15.7109375" style="13" customWidth="1"/>
    <col min="5643" max="5643" width="11.7109375" style="13" customWidth="1"/>
    <col min="5644" max="5644" width="10.7109375" style="13"/>
    <col min="5645" max="5645" width="10.5703125" style="13" customWidth="1"/>
    <col min="5646" max="5888" width="10.7109375" style="13"/>
    <col min="5889" max="5889" width="12.7109375" style="13" customWidth="1"/>
    <col min="5890" max="5890" width="13.42578125" style="13" customWidth="1"/>
    <col min="5891" max="5895" width="11.7109375" style="13" customWidth="1"/>
    <col min="5896" max="5896" width="13.7109375" style="13" customWidth="1"/>
    <col min="5897" max="5897" width="11.7109375" style="13" customWidth="1"/>
    <col min="5898" max="5898" width="15.7109375" style="13" customWidth="1"/>
    <col min="5899" max="5899" width="11.7109375" style="13" customWidth="1"/>
    <col min="5900" max="5900" width="10.7109375" style="13"/>
    <col min="5901" max="5901" width="10.5703125" style="13" customWidth="1"/>
    <col min="5902" max="6144" width="10.7109375" style="13"/>
    <col min="6145" max="6145" width="12.7109375" style="13" customWidth="1"/>
    <col min="6146" max="6146" width="13.42578125" style="13" customWidth="1"/>
    <col min="6147" max="6151" width="11.7109375" style="13" customWidth="1"/>
    <col min="6152" max="6152" width="13.7109375" style="13" customWidth="1"/>
    <col min="6153" max="6153" width="11.7109375" style="13" customWidth="1"/>
    <col min="6154" max="6154" width="15.7109375" style="13" customWidth="1"/>
    <col min="6155" max="6155" width="11.7109375" style="13" customWidth="1"/>
    <col min="6156" max="6156" width="10.7109375" style="13"/>
    <col min="6157" max="6157" width="10.5703125" style="13" customWidth="1"/>
    <col min="6158" max="6400" width="10.7109375" style="13"/>
    <col min="6401" max="6401" width="12.7109375" style="13" customWidth="1"/>
    <col min="6402" max="6402" width="13.42578125" style="13" customWidth="1"/>
    <col min="6403" max="6407" width="11.7109375" style="13" customWidth="1"/>
    <col min="6408" max="6408" width="13.7109375" style="13" customWidth="1"/>
    <col min="6409" max="6409" width="11.7109375" style="13" customWidth="1"/>
    <col min="6410" max="6410" width="15.7109375" style="13" customWidth="1"/>
    <col min="6411" max="6411" width="11.7109375" style="13" customWidth="1"/>
    <col min="6412" max="6412" width="10.7109375" style="13"/>
    <col min="6413" max="6413" width="10.5703125" style="13" customWidth="1"/>
    <col min="6414" max="6656" width="10.7109375" style="13"/>
    <col min="6657" max="6657" width="12.7109375" style="13" customWidth="1"/>
    <col min="6658" max="6658" width="13.42578125" style="13" customWidth="1"/>
    <col min="6659" max="6663" width="11.7109375" style="13" customWidth="1"/>
    <col min="6664" max="6664" width="13.7109375" style="13" customWidth="1"/>
    <col min="6665" max="6665" width="11.7109375" style="13" customWidth="1"/>
    <col min="6666" max="6666" width="15.7109375" style="13" customWidth="1"/>
    <col min="6667" max="6667" width="11.7109375" style="13" customWidth="1"/>
    <col min="6668" max="6668" width="10.7109375" style="13"/>
    <col min="6669" max="6669" width="10.5703125" style="13" customWidth="1"/>
    <col min="6670" max="6912" width="10.7109375" style="13"/>
    <col min="6913" max="6913" width="12.7109375" style="13" customWidth="1"/>
    <col min="6914" max="6914" width="13.42578125" style="13" customWidth="1"/>
    <col min="6915" max="6919" width="11.7109375" style="13" customWidth="1"/>
    <col min="6920" max="6920" width="13.7109375" style="13" customWidth="1"/>
    <col min="6921" max="6921" width="11.7109375" style="13" customWidth="1"/>
    <col min="6922" max="6922" width="15.7109375" style="13" customWidth="1"/>
    <col min="6923" max="6923" width="11.7109375" style="13" customWidth="1"/>
    <col min="6924" max="6924" width="10.7109375" style="13"/>
    <col min="6925" max="6925" width="10.5703125" style="13" customWidth="1"/>
    <col min="6926" max="7168" width="10.7109375" style="13"/>
    <col min="7169" max="7169" width="12.7109375" style="13" customWidth="1"/>
    <col min="7170" max="7170" width="13.42578125" style="13" customWidth="1"/>
    <col min="7171" max="7175" width="11.7109375" style="13" customWidth="1"/>
    <col min="7176" max="7176" width="13.7109375" style="13" customWidth="1"/>
    <col min="7177" max="7177" width="11.7109375" style="13" customWidth="1"/>
    <col min="7178" max="7178" width="15.7109375" style="13" customWidth="1"/>
    <col min="7179" max="7179" width="11.7109375" style="13" customWidth="1"/>
    <col min="7180" max="7180" width="10.7109375" style="13"/>
    <col min="7181" max="7181" width="10.5703125" style="13" customWidth="1"/>
    <col min="7182" max="7424" width="10.7109375" style="13"/>
    <col min="7425" max="7425" width="12.7109375" style="13" customWidth="1"/>
    <col min="7426" max="7426" width="13.42578125" style="13" customWidth="1"/>
    <col min="7427" max="7431" width="11.7109375" style="13" customWidth="1"/>
    <col min="7432" max="7432" width="13.7109375" style="13" customWidth="1"/>
    <col min="7433" max="7433" width="11.7109375" style="13" customWidth="1"/>
    <col min="7434" max="7434" width="15.7109375" style="13" customWidth="1"/>
    <col min="7435" max="7435" width="11.7109375" style="13" customWidth="1"/>
    <col min="7436" max="7436" width="10.7109375" style="13"/>
    <col min="7437" max="7437" width="10.5703125" style="13" customWidth="1"/>
    <col min="7438" max="7680" width="10.7109375" style="13"/>
    <col min="7681" max="7681" width="12.7109375" style="13" customWidth="1"/>
    <col min="7682" max="7682" width="13.42578125" style="13" customWidth="1"/>
    <col min="7683" max="7687" width="11.7109375" style="13" customWidth="1"/>
    <col min="7688" max="7688" width="13.7109375" style="13" customWidth="1"/>
    <col min="7689" max="7689" width="11.7109375" style="13" customWidth="1"/>
    <col min="7690" max="7690" width="15.7109375" style="13" customWidth="1"/>
    <col min="7691" max="7691" width="11.7109375" style="13" customWidth="1"/>
    <col min="7692" max="7692" width="10.7109375" style="13"/>
    <col min="7693" max="7693" width="10.5703125" style="13" customWidth="1"/>
    <col min="7694" max="7936" width="10.7109375" style="13"/>
    <col min="7937" max="7937" width="12.7109375" style="13" customWidth="1"/>
    <col min="7938" max="7938" width="13.42578125" style="13" customWidth="1"/>
    <col min="7939" max="7943" width="11.7109375" style="13" customWidth="1"/>
    <col min="7944" max="7944" width="13.7109375" style="13" customWidth="1"/>
    <col min="7945" max="7945" width="11.7109375" style="13" customWidth="1"/>
    <col min="7946" max="7946" width="15.7109375" style="13" customWidth="1"/>
    <col min="7947" max="7947" width="11.7109375" style="13" customWidth="1"/>
    <col min="7948" max="7948" width="10.7109375" style="13"/>
    <col min="7949" max="7949" width="10.5703125" style="13" customWidth="1"/>
    <col min="7950" max="8192" width="10.7109375" style="13"/>
    <col min="8193" max="8193" width="12.7109375" style="13" customWidth="1"/>
    <col min="8194" max="8194" width="13.42578125" style="13" customWidth="1"/>
    <col min="8195" max="8199" width="11.7109375" style="13" customWidth="1"/>
    <col min="8200" max="8200" width="13.7109375" style="13" customWidth="1"/>
    <col min="8201" max="8201" width="11.7109375" style="13" customWidth="1"/>
    <col min="8202" max="8202" width="15.7109375" style="13" customWidth="1"/>
    <col min="8203" max="8203" width="11.7109375" style="13" customWidth="1"/>
    <col min="8204" max="8204" width="10.7109375" style="13"/>
    <col min="8205" max="8205" width="10.5703125" style="13" customWidth="1"/>
    <col min="8206" max="8448" width="10.7109375" style="13"/>
    <col min="8449" max="8449" width="12.7109375" style="13" customWidth="1"/>
    <col min="8450" max="8450" width="13.42578125" style="13" customWidth="1"/>
    <col min="8451" max="8455" width="11.7109375" style="13" customWidth="1"/>
    <col min="8456" max="8456" width="13.7109375" style="13" customWidth="1"/>
    <col min="8457" max="8457" width="11.7109375" style="13" customWidth="1"/>
    <col min="8458" max="8458" width="15.7109375" style="13" customWidth="1"/>
    <col min="8459" max="8459" width="11.7109375" style="13" customWidth="1"/>
    <col min="8460" max="8460" width="10.7109375" style="13"/>
    <col min="8461" max="8461" width="10.5703125" style="13" customWidth="1"/>
    <col min="8462" max="8704" width="10.7109375" style="13"/>
    <col min="8705" max="8705" width="12.7109375" style="13" customWidth="1"/>
    <col min="8706" max="8706" width="13.42578125" style="13" customWidth="1"/>
    <col min="8707" max="8711" width="11.7109375" style="13" customWidth="1"/>
    <col min="8712" max="8712" width="13.7109375" style="13" customWidth="1"/>
    <col min="8713" max="8713" width="11.7109375" style="13" customWidth="1"/>
    <col min="8714" max="8714" width="15.7109375" style="13" customWidth="1"/>
    <col min="8715" max="8715" width="11.7109375" style="13" customWidth="1"/>
    <col min="8716" max="8716" width="10.7109375" style="13"/>
    <col min="8717" max="8717" width="10.5703125" style="13" customWidth="1"/>
    <col min="8718" max="8960" width="10.7109375" style="13"/>
    <col min="8961" max="8961" width="12.7109375" style="13" customWidth="1"/>
    <col min="8962" max="8962" width="13.42578125" style="13" customWidth="1"/>
    <col min="8963" max="8967" width="11.7109375" style="13" customWidth="1"/>
    <col min="8968" max="8968" width="13.7109375" style="13" customWidth="1"/>
    <col min="8969" max="8969" width="11.7109375" style="13" customWidth="1"/>
    <col min="8970" max="8970" width="15.7109375" style="13" customWidth="1"/>
    <col min="8971" max="8971" width="11.7109375" style="13" customWidth="1"/>
    <col min="8972" max="8972" width="10.7109375" style="13"/>
    <col min="8973" max="8973" width="10.5703125" style="13" customWidth="1"/>
    <col min="8974" max="9216" width="10.7109375" style="13"/>
    <col min="9217" max="9217" width="12.7109375" style="13" customWidth="1"/>
    <col min="9218" max="9218" width="13.42578125" style="13" customWidth="1"/>
    <col min="9219" max="9223" width="11.7109375" style="13" customWidth="1"/>
    <col min="9224" max="9224" width="13.7109375" style="13" customWidth="1"/>
    <col min="9225" max="9225" width="11.7109375" style="13" customWidth="1"/>
    <col min="9226" max="9226" width="15.7109375" style="13" customWidth="1"/>
    <col min="9227" max="9227" width="11.7109375" style="13" customWidth="1"/>
    <col min="9228" max="9228" width="10.7109375" style="13"/>
    <col min="9229" max="9229" width="10.5703125" style="13" customWidth="1"/>
    <col min="9230" max="9472" width="10.7109375" style="13"/>
    <col min="9473" max="9473" width="12.7109375" style="13" customWidth="1"/>
    <col min="9474" max="9474" width="13.42578125" style="13" customWidth="1"/>
    <col min="9475" max="9479" width="11.7109375" style="13" customWidth="1"/>
    <col min="9480" max="9480" width="13.7109375" style="13" customWidth="1"/>
    <col min="9481" max="9481" width="11.7109375" style="13" customWidth="1"/>
    <col min="9482" max="9482" width="15.7109375" style="13" customWidth="1"/>
    <col min="9483" max="9483" width="11.7109375" style="13" customWidth="1"/>
    <col min="9484" max="9484" width="10.7109375" style="13"/>
    <col min="9485" max="9485" width="10.5703125" style="13" customWidth="1"/>
    <col min="9486" max="9728" width="10.7109375" style="13"/>
    <col min="9729" max="9729" width="12.7109375" style="13" customWidth="1"/>
    <col min="9730" max="9730" width="13.42578125" style="13" customWidth="1"/>
    <col min="9731" max="9735" width="11.7109375" style="13" customWidth="1"/>
    <col min="9736" max="9736" width="13.7109375" style="13" customWidth="1"/>
    <col min="9737" max="9737" width="11.7109375" style="13" customWidth="1"/>
    <col min="9738" max="9738" width="15.7109375" style="13" customWidth="1"/>
    <col min="9739" max="9739" width="11.7109375" style="13" customWidth="1"/>
    <col min="9740" max="9740" width="10.7109375" style="13"/>
    <col min="9741" max="9741" width="10.5703125" style="13" customWidth="1"/>
    <col min="9742" max="9984" width="10.7109375" style="13"/>
    <col min="9985" max="9985" width="12.7109375" style="13" customWidth="1"/>
    <col min="9986" max="9986" width="13.42578125" style="13" customWidth="1"/>
    <col min="9987" max="9991" width="11.7109375" style="13" customWidth="1"/>
    <col min="9992" max="9992" width="13.7109375" style="13" customWidth="1"/>
    <col min="9993" max="9993" width="11.7109375" style="13" customWidth="1"/>
    <col min="9994" max="9994" width="15.7109375" style="13" customWidth="1"/>
    <col min="9995" max="9995" width="11.7109375" style="13" customWidth="1"/>
    <col min="9996" max="9996" width="10.7109375" style="13"/>
    <col min="9997" max="9997" width="10.5703125" style="13" customWidth="1"/>
    <col min="9998" max="10240" width="10.7109375" style="13"/>
    <col min="10241" max="10241" width="12.7109375" style="13" customWidth="1"/>
    <col min="10242" max="10242" width="13.42578125" style="13" customWidth="1"/>
    <col min="10243" max="10247" width="11.7109375" style="13" customWidth="1"/>
    <col min="10248" max="10248" width="13.7109375" style="13" customWidth="1"/>
    <col min="10249" max="10249" width="11.7109375" style="13" customWidth="1"/>
    <col min="10250" max="10250" width="15.7109375" style="13" customWidth="1"/>
    <col min="10251" max="10251" width="11.7109375" style="13" customWidth="1"/>
    <col min="10252" max="10252" width="10.7109375" style="13"/>
    <col min="10253" max="10253" width="10.5703125" style="13" customWidth="1"/>
    <col min="10254" max="10496" width="10.7109375" style="13"/>
    <col min="10497" max="10497" width="12.7109375" style="13" customWidth="1"/>
    <col min="10498" max="10498" width="13.42578125" style="13" customWidth="1"/>
    <col min="10499" max="10503" width="11.7109375" style="13" customWidth="1"/>
    <col min="10504" max="10504" width="13.7109375" style="13" customWidth="1"/>
    <col min="10505" max="10505" width="11.7109375" style="13" customWidth="1"/>
    <col min="10506" max="10506" width="15.7109375" style="13" customWidth="1"/>
    <col min="10507" max="10507" width="11.7109375" style="13" customWidth="1"/>
    <col min="10508" max="10508" width="10.7109375" style="13"/>
    <col min="10509" max="10509" width="10.5703125" style="13" customWidth="1"/>
    <col min="10510" max="10752" width="10.7109375" style="13"/>
    <col min="10753" max="10753" width="12.7109375" style="13" customWidth="1"/>
    <col min="10754" max="10754" width="13.42578125" style="13" customWidth="1"/>
    <col min="10755" max="10759" width="11.7109375" style="13" customWidth="1"/>
    <col min="10760" max="10760" width="13.7109375" style="13" customWidth="1"/>
    <col min="10761" max="10761" width="11.7109375" style="13" customWidth="1"/>
    <col min="10762" max="10762" width="15.7109375" style="13" customWidth="1"/>
    <col min="10763" max="10763" width="11.7109375" style="13" customWidth="1"/>
    <col min="10764" max="10764" width="10.7109375" style="13"/>
    <col min="10765" max="10765" width="10.5703125" style="13" customWidth="1"/>
    <col min="10766" max="11008" width="10.7109375" style="13"/>
    <col min="11009" max="11009" width="12.7109375" style="13" customWidth="1"/>
    <col min="11010" max="11010" width="13.42578125" style="13" customWidth="1"/>
    <col min="11011" max="11015" width="11.7109375" style="13" customWidth="1"/>
    <col min="11016" max="11016" width="13.7109375" style="13" customWidth="1"/>
    <col min="11017" max="11017" width="11.7109375" style="13" customWidth="1"/>
    <col min="11018" max="11018" width="15.7109375" style="13" customWidth="1"/>
    <col min="11019" max="11019" width="11.7109375" style="13" customWidth="1"/>
    <col min="11020" max="11020" width="10.7109375" style="13"/>
    <col min="11021" max="11021" width="10.5703125" style="13" customWidth="1"/>
    <col min="11022" max="11264" width="10.7109375" style="13"/>
    <col min="11265" max="11265" width="12.7109375" style="13" customWidth="1"/>
    <col min="11266" max="11266" width="13.42578125" style="13" customWidth="1"/>
    <col min="11267" max="11271" width="11.7109375" style="13" customWidth="1"/>
    <col min="11272" max="11272" width="13.7109375" style="13" customWidth="1"/>
    <col min="11273" max="11273" width="11.7109375" style="13" customWidth="1"/>
    <col min="11274" max="11274" width="15.7109375" style="13" customWidth="1"/>
    <col min="11275" max="11275" width="11.7109375" style="13" customWidth="1"/>
    <col min="11276" max="11276" width="10.7109375" style="13"/>
    <col min="11277" max="11277" width="10.5703125" style="13" customWidth="1"/>
    <col min="11278" max="11520" width="10.7109375" style="13"/>
    <col min="11521" max="11521" width="12.7109375" style="13" customWidth="1"/>
    <col min="11522" max="11522" width="13.42578125" style="13" customWidth="1"/>
    <col min="11523" max="11527" width="11.7109375" style="13" customWidth="1"/>
    <col min="11528" max="11528" width="13.7109375" style="13" customWidth="1"/>
    <col min="11529" max="11529" width="11.7109375" style="13" customWidth="1"/>
    <col min="11530" max="11530" width="15.7109375" style="13" customWidth="1"/>
    <col min="11531" max="11531" width="11.7109375" style="13" customWidth="1"/>
    <col min="11532" max="11532" width="10.7109375" style="13"/>
    <col min="11533" max="11533" width="10.5703125" style="13" customWidth="1"/>
    <col min="11534" max="11776" width="10.7109375" style="13"/>
    <col min="11777" max="11777" width="12.7109375" style="13" customWidth="1"/>
    <col min="11778" max="11778" width="13.42578125" style="13" customWidth="1"/>
    <col min="11779" max="11783" width="11.7109375" style="13" customWidth="1"/>
    <col min="11784" max="11784" width="13.7109375" style="13" customWidth="1"/>
    <col min="11785" max="11785" width="11.7109375" style="13" customWidth="1"/>
    <col min="11786" max="11786" width="15.7109375" style="13" customWidth="1"/>
    <col min="11787" max="11787" width="11.7109375" style="13" customWidth="1"/>
    <col min="11788" max="11788" width="10.7109375" style="13"/>
    <col min="11789" max="11789" width="10.5703125" style="13" customWidth="1"/>
    <col min="11790" max="12032" width="10.7109375" style="13"/>
    <col min="12033" max="12033" width="12.7109375" style="13" customWidth="1"/>
    <col min="12034" max="12034" width="13.42578125" style="13" customWidth="1"/>
    <col min="12035" max="12039" width="11.7109375" style="13" customWidth="1"/>
    <col min="12040" max="12040" width="13.7109375" style="13" customWidth="1"/>
    <col min="12041" max="12041" width="11.7109375" style="13" customWidth="1"/>
    <col min="12042" max="12042" width="15.7109375" style="13" customWidth="1"/>
    <col min="12043" max="12043" width="11.7109375" style="13" customWidth="1"/>
    <col min="12044" max="12044" width="10.7109375" style="13"/>
    <col min="12045" max="12045" width="10.5703125" style="13" customWidth="1"/>
    <col min="12046" max="12288" width="10.7109375" style="13"/>
    <col min="12289" max="12289" width="12.7109375" style="13" customWidth="1"/>
    <col min="12290" max="12290" width="13.42578125" style="13" customWidth="1"/>
    <col min="12291" max="12295" width="11.7109375" style="13" customWidth="1"/>
    <col min="12296" max="12296" width="13.7109375" style="13" customWidth="1"/>
    <col min="12297" max="12297" width="11.7109375" style="13" customWidth="1"/>
    <col min="12298" max="12298" width="15.7109375" style="13" customWidth="1"/>
    <col min="12299" max="12299" width="11.7109375" style="13" customWidth="1"/>
    <col min="12300" max="12300" width="10.7109375" style="13"/>
    <col min="12301" max="12301" width="10.5703125" style="13" customWidth="1"/>
    <col min="12302" max="12544" width="10.7109375" style="13"/>
    <col min="12545" max="12545" width="12.7109375" style="13" customWidth="1"/>
    <col min="12546" max="12546" width="13.42578125" style="13" customWidth="1"/>
    <col min="12547" max="12551" width="11.7109375" style="13" customWidth="1"/>
    <col min="12552" max="12552" width="13.7109375" style="13" customWidth="1"/>
    <col min="12553" max="12553" width="11.7109375" style="13" customWidth="1"/>
    <col min="12554" max="12554" width="15.7109375" style="13" customWidth="1"/>
    <col min="12555" max="12555" width="11.7109375" style="13" customWidth="1"/>
    <col min="12556" max="12556" width="10.7109375" style="13"/>
    <col min="12557" max="12557" width="10.5703125" style="13" customWidth="1"/>
    <col min="12558" max="12800" width="10.7109375" style="13"/>
    <col min="12801" max="12801" width="12.7109375" style="13" customWidth="1"/>
    <col min="12802" max="12802" width="13.42578125" style="13" customWidth="1"/>
    <col min="12803" max="12807" width="11.7109375" style="13" customWidth="1"/>
    <col min="12808" max="12808" width="13.7109375" style="13" customWidth="1"/>
    <col min="12809" max="12809" width="11.7109375" style="13" customWidth="1"/>
    <col min="12810" max="12810" width="15.7109375" style="13" customWidth="1"/>
    <col min="12811" max="12811" width="11.7109375" style="13" customWidth="1"/>
    <col min="12812" max="12812" width="10.7109375" style="13"/>
    <col min="12813" max="12813" width="10.5703125" style="13" customWidth="1"/>
    <col min="12814" max="13056" width="10.7109375" style="13"/>
    <col min="13057" max="13057" width="12.7109375" style="13" customWidth="1"/>
    <col min="13058" max="13058" width="13.42578125" style="13" customWidth="1"/>
    <col min="13059" max="13063" width="11.7109375" style="13" customWidth="1"/>
    <col min="13064" max="13064" width="13.7109375" style="13" customWidth="1"/>
    <col min="13065" max="13065" width="11.7109375" style="13" customWidth="1"/>
    <col min="13066" max="13066" width="15.7109375" style="13" customWidth="1"/>
    <col min="13067" max="13067" width="11.7109375" style="13" customWidth="1"/>
    <col min="13068" max="13068" width="10.7109375" style="13"/>
    <col min="13069" max="13069" width="10.5703125" style="13" customWidth="1"/>
    <col min="13070" max="13312" width="10.7109375" style="13"/>
    <col min="13313" max="13313" width="12.7109375" style="13" customWidth="1"/>
    <col min="13314" max="13314" width="13.42578125" style="13" customWidth="1"/>
    <col min="13315" max="13319" width="11.7109375" style="13" customWidth="1"/>
    <col min="13320" max="13320" width="13.7109375" style="13" customWidth="1"/>
    <col min="13321" max="13321" width="11.7109375" style="13" customWidth="1"/>
    <col min="13322" max="13322" width="15.7109375" style="13" customWidth="1"/>
    <col min="13323" max="13323" width="11.7109375" style="13" customWidth="1"/>
    <col min="13324" max="13324" width="10.7109375" style="13"/>
    <col min="13325" max="13325" width="10.5703125" style="13" customWidth="1"/>
    <col min="13326" max="13568" width="10.7109375" style="13"/>
    <col min="13569" max="13569" width="12.7109375" style="13" customWidth="1"/>
    <col min="13570" max="13570" width="13.42578125" style="13" customWidth="1"/>
    <col min="13571" max="13575" width="11.7109375" style="13" customWidth="1"/>
    <col min="13576" max="13576" width="13.7109375" style="13" customWidth="1"/>
    <col min="13577" max="13577" width="11.7109375" style="13" customWidth="1"/>
    <col min="13578" max="13578" width="15.7109375" style="13" customWidth="1"/>
    <col min="13579" max="13579" width="11.7109375" style="13" customWidth="1"/>
    <col min="13580" max="13580" width="10.7109375" style="13"/>
    <col min="13581" max="13581" width="10.5703125" style="13" customWidth="1"/>
    <col min="13582" max="13824" width="10.7109375" style="13"/>
    <col min="13825" max="13825" width="12.7109375" style="13" customWidth="1"/>
    <col min="13826" max="13826" width="13.42578125" style="13" customWidth="1"/>
    <col min="13827" max="13831" width="11.7109375" style="13" customWidth="1"/>
    <col min="13832" max="13832" width="13.7109375" style="13" customWidth="1"/>
    <col min="13833" max="13833" width="11.7109375" style="13" customWidth="1"/>
    <col min="13834" max="13834" width="15.7109375" style="13" customWidth="1"/>
    <col min="13835" max="13835" width="11.7109375" style="13" customWidth="1"/>
    <col min="13836" max="13836" width="10.7109375" style="13"/>
    <col min="13837" max="13837" width="10.5703125" style="13" customWidth="1"/>
    <col min="13838" max="14080" width="10.7109375" style="13"/>
    <col min="14081" max="14081" width="12.7109375" style="13" customWidth="1"/>
    <col min="14082" max="14082" width="13.42578125" style="13" customWidth="1"/>
    <col min="14083" max="14087" width="11.7109375" style="13" customWidth="1"/>
    <col min="14088" max="14088" width="13.7109375" style="13" customWidth="1"/>
    <col min="14089" max="14089" width="11.7109375" style="13" customWidth="1"/>
    <col min="14090" max="14090" width="15.7109375" style="13" customWidth="1"/>
    <col min="14091" max="14091" width="11.7109375" style="13" customWidth="1"/>
    <col min="14092" max="14092" width="10.7109375" style="13"/>
    <col min="14093" max="14093" width="10.5703125" style="13" customWidth="1"/>
    <col min="14094" max="14336" width="10.7109375" style="13"/>
    <col min="14337" max="14337" width="12.7109375" style="13" customWidth="1"/>
    <col min="14338" max="14338" width="13.42578125" style="13" customWidth="1"/>
    <col min="14339" max="14343" width="11.7109375" style="13" customWidth="1"/>
    <col min="14344" max="14344" width="13.7109375" style="13" customWidth="1"/>
    <col min="14345" max="14345" width="11.7109375" style="13" customWidth="1"/>
    <col min="14346" max="14346" width="15.7109375" style="13" customWidth="1"/>
    <col min="14347" max="14347" width="11.7109375" style="13" customWidth="1"/>
    <col min="14348" max="14348" width="10.7109375" style="13"/>
    <col min="14349" max="14349" width="10.5703125" style="13" customWidth="1"/>
    <col min="14350" max="14592" width="10.7109375" style="13"/>
    <col min="14593" max="14593" width="12.7109375" style="13" customWidth="1"/>
    <col min="14594" max="14594" width="13.42578125" style="13" customWidth="1"/>
    <col min="14595" max="14599" width="11.7109375" style="13" customWidth="1"/>
    <col min="14600" max="14600" width="13.7109375" style="13" customWidth="1"/>
    <col min="14601" max="14601" width="11.7109375" style="13" customWidth="1"/>
    <col min="14602" max="14602" width="15.7109375" style="13" customWidth="1"/>
    <col min="14603" max="14603" width="11.7109375" style="13" customWidth="1"/>
    <col min="14604" max="14604" width="10.7109375" style="13"/>
    <col min="14605" max="14605" width="10.5703125" style="13" customWidth="1"/>
    <col min="14606" max="14848" width="10.7109375" style="13"/>
    <col min="14849" max="14849" width="12.7109375" style="13" customWidth="1"/>
    <col min="14850" max="14850" width="13.42578125" style="13" customWidth="1"/>
    <col min="14851" max="14855" width="11.7109375" style="13" customWidth="1"/>
    <col min="14856" max="14856" width="13.7109375" style="13" customWidth="1"/>
    <col min="14857" max="14857" width="11.7109375" style="13" customWidth="1"/>
    <col min="14858" max="14858" width="15.7109375" style="13" customWidth="1"/>
    <col min="14859" max="14859" width="11.7109375" style="13" customWidth="1"/>
    <col min="14860" max="14860" width="10.7109375" style="13"/>
    <col min="14861" max="14861" width="10.5703125" style="13" customWidth="1"/>
    <col min="14862" max="15104" width="10.7109375" style="13"/>
    <col min="15105" max="15105" width="12.7109375" style="13" customWidth="1"/>
    <col min="15106" max="15106" width="13.42578125" style="13" customWidth="1"/>
    <col min="15107" max="15111" width="11.7109375" style="13" customWidth="1"/>
    <col min="15112" max="15112" width="13.7109375" style="13" customWidth="1"/>
    <col min="15113" max="15113" width="11.7109375" style="13" customWidth="1"/>
    <col min="15114" max="15114" width="15.7109375" style="13" customWidth="1"/>
    <col min="15115" max="15115" width="11.7109375" style="13" customWidth="1"/>
    <col min="15116" max="15116" width="10.7109375" style="13"/>
    <col min="15117" max="15117" width="10.5703125" style="13" customWidth="1"/>
    <col min="15118" max="15360" width="10.7109375" style="13"/>
    <col min="15361" max="15361" width="12.7109375" style="13" customWidth="1"/>
    <col min="15362" max="15362" width="13.42578125" style="13" customWidth="1"/>
    <col min="15363" max="15367" width="11.7109375" style="13" customWidth="1"/>
    <col min="15368" max="15368" width="13.7109375" style="13" customWidth="1"/>
    <col min="15369" max="15369" width="11.7109375" style="13" customWidth="1"/>
    <col min="15370" max="15370" width="15.7109375" style="13" customWidth="1"/>
    <col min="15371" max="15371" width="11.7109375" style="13" customWidth="1"/>
    <col min="15372" max="15372" width="10.7109375" style="13"/>
    <col min="15373" max="15373" width="10.5703125" style="13" customWidth="1"/>
    <col min="15374" max="15616" width="10.7109375" style="13"/>
    <col min="15617" max="15617" width="12.7109375" style="13" customWidth="1"/>
    <col min="15618" max="15618" width="13.42578125" style="13" customWidth="1"/>
    <col min="15619" max="15623" width="11.7109375" style="13" customWidth="1"/>
    <col min="15624" max="15624" width="13.7109375" style="13" customWidth="1"/>
    <col min="15625" max="15625" width="11.7109375" style="13" customWidth="1"/>
    <col min="15626" max="15626" width="15.7109375" style="13" customWidth="1"/>
    <col min="15627" max="15627" width="11.7109375" style="13" customWidth="1"/>
    <col min="15628" max="15628" width="10.7109375" style="13"/>
    <col min="15629" max="15629" width="10.5703125" style="13" customWidth="1"/>
    <col min="15630" max="15872" width="10.7109375" style="13"/>
    <col min="15873" max="15873" width="12.7109375" style="13" customWidth="1"/>
    <col min="15874" max="15874" width="13.42578125" style="13" customWidth="1"/>
    <col min="15875" max="15879" width="11.7109375" style="13" customWidth="1"/>
    <col min="15880" max="15880" width="13.7109375" style="13" customWidth="1"/>
    <col min="15881" max="15881" width="11.7109375" style="13" customWidth="1"/>
    <col min="15882" max="15882" width="15.7109375" style="13" customWidth="1"/>
    <col min="15883" max="15883" width="11.7109375" style="13" customWidth="1"/>
    <col min="15884" max="15884" width="10.7109375" style="13"/>
    <col min="15885" max="15885" width="10.5703125" style="13" customWidth="1"/>
    <col min="15886" max="16128" width="10.7109375" style="13"/>
    <col min="16129" max="16129" width="12.7109375" style="13" customWidth="1"/>
    <col min="16130" max="16130" width="13.42578125" style="13" customWidth="1"/>
    <col min="16131" max="16135" width="11.7109375" style="13" customWidth="1"/>
    <col min="16136" max="16136" width="13.7109375" style="13" customWidth="1"/>
    <col min="16137" max="16137" width="11.7109375" style="13" customWidth="1"/>
    <col min="16138" max="16138" width="15.7109375" style="13" customWidth="1"/>
    <col min="16139" max="16139" width="11.7109375" style="13" customWidth="1"/>
    <col min="16140" max="16140" width="10.7109375" style="13"/>
    <col min="16141" max="16141" width="10.5703125" style="13" customWidth="1"/>
    <col min="16142" max="16384" width="10.7109375" style="13"/>
  </cols>
  <sheetData>
    <row r="1" spans="1:14" s="6" customFormat="1" ht="15" customHeight="1" x14ac:dyDescent="0.2">
      <c r="A1" s="25"/>
      <c r="B1" s="26"/>
      <c r="C1" s="27" t="s">
        <v>116</v>
      </c>
      <c r="D1" s="28"/>
      <c r="E1" s="749" t="s">
        <v>117</v>
      </c>
      <c r="F1" s="750"/>
      <c r="G1" s="750"/>
      <c r="H1" s="751"/>
      <c r="I1" s="29"/>
      <c r="J1" s="26"/>
      <c r="K1" s="30"/>
    </row>
    <row r="2" spans="1:14" s="6" customFormat="1" ht="40.5" customHeight="1" x14ac:dyDescent="0.2">
      <c r="A2" s="31"/>
      <c r="B2" s="32"/>
      <c r="C2" s="33"/>
      <c r="D2" s="34"/>
      <c r="E2" s="752"/>
      <c r="F2" s="753"/>
      <c r="G2" s="753"/>
      <c r="H2" s="754"/>
      <c r="I2" s="35"/>
      <c r="J2" s="36"/>
      <c r="K2" s="37"/>
    </row>
    <row r="3" spans="1:14" s="6" customFormat="1" ht="15" customHeight="1" x14ac:dyDescent="0.2">
      <c r="A3" s="755" t="s">
        <v>564</v>
      </c>
      <c r="B3" s="756"/>
      <c r="C3" s="756"/>
      <c r="D3" s="757"/>
      <c r="E3" s="38" t="s">
        <v>119</v>
      </c>
      <c r="F3" s="369" t="s">
        <v>565</v>
      </c>
      <c r="G3" s="39"/>
      <c r="H3" s="40"/>
      <c r="I3" s="41" t="s">
        <v>566</v>
      </c>
      <c r="J3" s="758">
        <v>2007</v>
      </c>
      <c r="K3" s="759"/>
    </row>
    <row r="4" spans="1:14" s="6" customFormat="1" x14ac:dyDescent="0.2">
      <c r="A4" s="76"/>
      <c r="B4" s="76"/>
      <c r="C4" s="76"/>
      <c r="D4" s="76"/>
      <c r="E4" s="76"/>
      <c r="F4" s="76"/>
      <c r="G4" s="76"/>
      <c r="H4" s="76"/>
      <c r="I4" s="76"/>
      <c r="J4" s="161"/>
      <c r="K4" s="161"/>
    </row>
    <row r="5" spans="1:14" s="6" customFormat="1" ht="25.5" x14ac:dyDescent="0.2">
      <c r="A5" s="76"/>
      <c r="B5" s="76"/>
      <c r="C5" s="76"/>
      <c r="D5" s="76"/>
      <c r="E5" s="76"/>
      <c r="F5" s="76"/>
      <c r="G5" s="378" t="s">
        <v>751</v>
      </c>
      <c r="H5" s="378" t="s">
        <v>752</v>
      </c>
      <c r="I5" s="44"/>
      <c r="J5" s="161"/>
      <c r="K5" s="161"/>
    </row>
    <row r="6" spans="1:14" s="6" customFormat="1" x14ac:dyDescent="0.2">
      <c r="A6" s="76"/>
      <c r="B6" s="76"/>
      <c r="C6" s="76"/>
      <c r="D6" s="76"/>
      <c r="E6" s="76"/>
      <c r="F6" s="76"/>
      <c r="G6" s="379" t="s">
        <v>753</v>
      </c>
      <c r="H6" s="379">
        <f>iohsrf2!B42</f>
        <v>5</v>
      </c>
      <c r="I6" s="44"/>
      <c r="J6" s="161"/>
      <c r="K6" s="161"/>
    </row>
    <row r="7" spans="1:14" s="6" customFormat="1" x14ac:dyDescent="0.2">
      <c r="A7" s="76"/>
      <c r="B7" s="76"/>
      <c r="C7" s="76"/>
      <c r="D7" s="76"/>
      <c r="E7" s="76"/>
      <c r="F7" s="76"/>
      <c r="G7" s="379"/>
      <c r="H7" s="379"/>
      <c r="I7" s="44"/>
      <c r="J7" s="161"/>
      <c r="K7" s="161"/>
    </row>
    <row r="8" spans="1:14" s="6" customFormat="1" x14ac:dyDescent="0.2">
      <c r="A8" s="76"/>
      <c r="B8" s="76"/>
      <c r="C8" s="76"/>
      <c r="D8" s="76"/>
      <c r="E8" s="76"/>
      <c r="F8" s="76"/>
      <c r="G8" s="379" t="s">
        <v>754</v>
      </c>
      <c r="H8" s="379">
        <f>iohsrf2!B43</f>
        <v>6</v>
      </c>
      <c r="I8" s="44"/>
      <c r="J8" s="161"/>
      <c r="K8" s="161"/>
    </row>
    <row r="9" spans="1:14" s="6" customFormat="1" x14ac:dyDescent="0.2">
      <c r="A9" s="76"/>
      <c r="B9" s="76"/>
      <c r="C9" s="76"/>
      <c r="D9" s="76"/>
      <c r="E9" s="76"/>
      <c r="F9" s="76"/>
      <c r="G9" s="76"/>
      <c r="H9" s="42"/>
      <c r="I9" s="44"/>
      <c r="J9" s="43"/>
      <c r="K9" s="43"/>
    </row>
    <row r="10" spans="1:14" s="6" customFormat="1" x14ac:dyDescent="0.2">
      <c r="A10" s="76"/>
      <c r="B10" s="76"/>
      <c r="C10" s="76"/>
      <c r="D10" s="76"/>
      <c r="E10" s="76"/>
      <c r="F10" s="76"/>
      <c r="G10" s="76"/>
      <c r="H10" s="76"/>
      <c r="I10" s="44"/>
      <c r="J10" s="161"/>
      <c r="K10" s="161"/>
    </row>
    <row r="11" spans="1:14" s="47" customFormat="1" ht="12" x14ac:dyDescent="0.2">
      <c r="A11" s="162"/>
      <c r="B11" s="163"/>
      <c r="C11" s="163"/>
      <c r="D11" s="163"/>
      <c r="E11" s="163"/>
      <c r="F11" s="163"/>
      <c r="G11" s="163"/>
      <c r="H11" s="162"/>
      <c r="I11" s="162"/>
      <c r="J11" s="162"/>
      <c r="K11" s="162"/>
    </row>
    <row r="12" spans="1:14" x14ac:dyDescent="0.2">
      <c r="B12" s="265"/>
    </row>
    <row r="13" spans="1:14" ht="15" customHeight="1" x14ac:dyDescent="0.2">
      <c r="A13" s="65" t="s">
        <v>122</v>
      </c>
    </row>
    <row r="14" spans="1:14" ht="15" customHeight="1" x14ac:dyDescent="0.2">
      <c r="A14" s="88" t="s">
        <v>567</v>
      </c>
    </row>
    <row r="15" spans="1:14" ht="15" customHeight="1" x14ac:dyDescent="0.3">
      <c r="A15" s="88"/>
      <c r="B15" s="571" t="s">
        <v>568</v>
      </c>
      <c r="C15" s="322">
        <f>iohsrf2!B15-1</f>
        <v>199</v>
      </c>
      <c r="D15" s="13" t="s">
        <v>1</v>
      </c>
      <c r="E15" s="13" t="s">
        <v>569</v>
      </c>
      <c r="L15" s="573" t="s">
        <v>705</v>
      </c>
      <c r="N15" s="341"/>
    </row>
    <row r="16" spans="1:14" ht="17.25" customHeight="1" x14ac:dyDescent="0.3">
      <c r="A16" s="88"/>
      <c r="B16" s="527" t="s">
        <v>570</v>
      </c>
      <c r="C16" s="322">
        <f>hsrf2pwh!B9*hsrf2pwh!C16</f>
        <v>684.99224053098374</v>
      </c>
      <c r="D16" s="13" t="s">
        <v>571</v>
      </c>
      <c r="E16" s="13" t="s">
        <v>71</v>
      </c>
      <c r="L16" s="5" t="s">
        <v>897</v>
      </c>
      <c r="M16" s="319"/>
      <c r="N16" s="341"/>
    </row>
    <row r="17" spans="1:14" ht="15" customHeight="1" x14ac:dyDescent="0.3">
      <c r="A17" s="88"/>
      <c r="B17" s="571" t="s">
        <v>572</v>
      </c>
      <c r="C17" s="322">
        <f>iohsrf2!B37</f>
        <v>1403</v>
      </c>
      <c r="E17" s="13" t="s">
        <v>84</v>
      </c>
      <c r="L17" s="5" t="s">
        <v>897</v>
      </c>
      <c r="N17" s="341"/>
    </row>
    <row r="18" spans="1:14" ht="15" customHeight="1" x14ac:dyDescent="0.25">
      <c r="A18" s="88"/>
      <c r="B18" s="15" t="s">
        <v>573</v>
      </c>
      <c r="C18" s="322">
        <v>0.25</v>
      </c>
      <c r="D18" s="13" t="s">
        <v>1</v>
      </c>
      <c r="E18" s="13" t="s">
        <v>574</v>
      </c>
      <c r="K18" s="61"/>
      <c r="L18" s="5" t="s">
        <v>714</v>
      </c>
    </row>
    <row r="19" spans="1:14" ht="15" customHeight="1" x14ac:dyDescent="0.3">
      <c r="A19" s="88"/>
      <c r="B19" s="572" t="s">
        <v>575</v>
      </c>
      <c r="C19" s="322">
        <f>hsrf2pwh!B79</f>
        <v>57.850474552336856</v>
      </c>
      <c r="D19" s="13" t="s">
        <v>1</v>
      </c>
      <c r="E19" s="13" t="s">
        <v>576</v>
      </c>
      <c r="L19" s="5" t="s">
        <v>897</v>
      </c>
      <c r="M19" s="339"/>
      <c r="N19" s="339"/>
    </row>
    <row r="20" spans="1:14" ht="15" customHeight="1" x14ac:dyDescent="0.3">
      <c r="A20" s="88"/>
      <c r="B20" s="15" t="s">
        <v>577</v>
      </c>
      <c r="C20" s="322">
        <v>1.5</v>
      </c>
      <c r="D20" s="13" t="s">
        <v>3</v>
      </c>
      <c r="E20" s="13" t="s">
        <v>578</v>
      </c>
      <c r="L20" s="5" t="s">
        <v>714</v>
      </c>
    </row>
    <row r="21" spans="1:14" ht="15" customHeight="1" x14ac:dyDescent="0.25">
      <c r="A21" s="88" t="s">
        <v>579</v>
      </c>
      <c r="C21" s="88"/>
      <c r="L21" s="5"/>
    </row>
    <row r="22" spans="1:14" ht="15" customHeight="1" x14ac:dyDescent="0.3">
      <c r="A22" s="88"/>
      <c r="B22" s="15" t="s">
        <v>580</v>
      </c>
      <c r="C22" s="342"/>
      <c r="E22" s="13" t="s">
        <v>581</v>
      </c>
      <c r="L22" s="352"/>
    </row>
    <row r="23" spans="1:14" ht="15" customHeight="1" x14ac:dyDescent="0.3">
      <c r="A23" s="88"/>
      <c r="B23" s="15" t="s">
        <v>582</v>
      </c>
      <c r="C23" s="322">
        <f>VLOOKUP(iohsrf2!B33,G6:H8,2,FALSE)</f>
        <v>5</v>
      </c>
      <c r="D23" s="13" t="s">
        <v>1</v>
      </c>
      <c r="E23" s="13" t="s">
        <v>583</v>
      </c>
      <c r="L23" s="5"/>
    </row>
    <row r="24" spans="1:14" ht="15" customHeight="1" x14ac:dyDescent="0.3">
      <c r="A24" s="88"/>
      <c r="B24" s="15" t="s">
        <v>584</v>
      </c>
      <c r="C24" s="322"/>
      <c r="E24" s="13" t="s">
        <v>585</v>
      </c>
      <c r="L24" s="352"/>
    </row>
    <row r="25" spans="1:14" ht="15" customHeight="1" x14ac:dyDescent="0.3">
      <c r="A25" s="88"/>
      <c r="B25" s="15" t="s">
        <v>586</v>
      </c>
      <c r="C25" s="322">
        <f>C23</f>
        <v>5</v>
      </c>
      <c r="D25" s="13" t="s">
        <v>1</v>
      </c>
      <c r="E25" s="13" t="s">
        <v>587</v>
      </c>
      <c r="L25" s="5"/>
    </row>
    <row r="26" spans="1:14" ht="15" customHeight="1" x14ac:dyDescent="0.3">
      <c r="A26" s="88"/>
      <c r="B26" s="15" t="s">
        <v>588</v>
      </c>
      <c r="C26" s="322"/>
      <c r="E26" s="13" t="s">
        <v>589</v>
      </c>
      <c r="L26" s="352"/>
    </row>
    <row r="27" spans="1:14" ht="15" customHeight="1" x14ac:dyDescent="0.3">
      <c r="A27" s="88"/>
      <c r="B27" s="15" t="s">
        <v>590</v>
      </c>
      <c r="C27" s="322">
        <f>C25</f>
        <v>5</v>
      </c>
      <c r="D27" s="13" t="s">
        <v>1</v>
      </c>
      <c r="E27" s="13" t="s">
        <v>591</v>
      </c>
      <c r="L27" s="352"/>
    </row>
    <row r="28" spans="1:14" ht="15" customHeight="1" x14ac:dyDescent="0.25">
      <c r="C28"/>
      <c r="D28"/>
    </row>
    <row r="29" spans="1:14" ht="15" customHeight="1" x14ac:dyDescent="0.25">
      <c r="B29"/>
      <c r="C29"/>
      <c r="E29"/>
    </row>
    <row r="30" spans="1:14" ht="15" customHeight="1" x14ac:dyDescent="0.25">
      <c r="B30"/>
      <c r="C30"/>
      <c r="D30"/>
      <c r="E30"/>
    </row>
    <row r="31" spans="1:14" ht="15" customHeight="1" x14ac:dyDescent="0.25">
      <c r="B31"/>
      <c r="C31"/>
      <c r="D31"/>
      <c r="E31"/>
    </row>
    <row r="32" spans="1:14" ht="15" customHeight="1" x14ac:dyDescent="0.25">
      <c r="B32"/>
      <c r="C32"/>
      <c r="D32"/>
      <c r="E32"/>
    </row>
    <row r="33" spans="2:5" ht="15" customHeight="1" x14ac:dyDescent="0.25">
      <c r="B33"/>
      <c r="C33"/>
      <c r="D33"/>
      <c r="E33"/>
    </row>
    <row r="34" spans="2:5" ht="15" customHeight="1" x14ac:dyDescent="0.25">
      <c r="B34"/>
      <c r="C34"/>
      <c r="D34"/>
      <c r="E34"/>
    </row>
    <row r="35" spans="2:5" ht="15" customHeight="1" x14ac:dyDescent="0.25">
      <c r="B35"/>
      <c r="C35"/>
      <c r="D35"/>
      <c r="E35"/>
    </row>
    <row r="36" spans="2:5" ht="15" customHeight="1" x14ac:dyDescent="0.25">
      <c r="B36"/>
      <c r="C36"/>
      <c r="D36"/>
      <c r="E36"/>
    </row>
    <row r="37" spans="2:5" ht="15" customHeight="1" x14ac:dyDescent="0.25">
      <c r="B37"/>
      <c r="C37"/>
      <c r="D37"/>
      <c r="E37"/>
    </row>
    <row r="38" spans="2:5" ht="15" customHeight="1" x14ac:dyDescent="0.25">
      <c r="B38"/>
      <c r="C38"/>
      <c r="D38"/>
      <c r="E38"/>
    </row>
    <row r="39" spans="2:5" ht="15" customHeight="1" x14ac:dyDescent="0.25">
      <c r="B39"/>
      <c r="C39"/>
      <c r="D39"/>
      <c r="E39"/>
    </row>
    <row r="40" spans="2:5" ht="15" customHeight="1" x14ac:dyDescent="0.25">
      <c r="B40"/>
      <c r="C40"/>
      <c r="D40"/>
      <c r="E40"/>
    </row>
    <row r="41" spans="2:5" ht="15" customHeight="1" x14ac:dyDescent="0.25">
      <c r="B41"/>
      <c r="C41"/>
      <c r="D41"/>
      <c r="E41"/>
    </row>
    <row r="42" spans="2:5" ht="15" customHeight="1" x14ac:dyDescent="0.25">
      <c r="B42"/>
      <c r="C42"/>
      <c r="D42"/>
      <c r="E42"/>
    </row>
    <row r="43" spans="2:5" ht="15" customHeight="1" x14ac:dyDescent="0.25">
      <c r="B43"/>
      <c r="C43"/>
      <c r="D43"/>
      <c r="E43"/>
    </row>
    <row r="44" spans="2:5" ht="15" customHeight="1" x14ac:dyDescent="0.25">
      <c r="B44"/>
      <c r="C44"/>
      <c r="D44"/>
      <c r="E44"/>
    </row>
    <row r="45" spans="2:5" ht="15" customHeight="1" x14ac:dyDescent="0.25">
      <c r="B45"/>
      <c r="C45"/>
      <c r="D45"/>
      <c r="E45"/>
    </row>
    <row r="46" spans="2:5" ht="15" customHeight="1" x14ac:dyDescent="0.25">
      <c r="B46"/>
      <c r="C46"/>
      <c r="D46"/>
      <c r="E46"/>
    </row>
    <row r="47" spans="2:5" ht="15" customHeight="1" x14ac:dyDescent="0.25">
      <c r="B47"/>
      <c r="C47"/>
      <c r="D47"/>
      <c r="E47"/>
    </row>
    <row r="48" spans="2:5" ht="15" customHeight="1" x14ac:dyDescent="0.25">
      <c r="B48"/>
      <c r="C48"/>
      <c r="D48"/>
      <c r="E48"/>
    </row>
    <row r="49" spans="1:6" ht="15" customHeight="1" x14ac:dyDescent="0.2">
      <c r="E49" s="228"/>
    </row>
    <row r="50" spans="1:6" ht="15" customHeight="1" x14ac:dyDescent="0.2">
      <c r="A50" s="65" t="s">
        <v>592</v>
      </c>
    </row>
    <row r="51" spans="1:6" ht="15" customHeight="1" x14ac:dyDescent="0.2">
      <c r="A51" s="65"/>
    </row>
    <row r="52" spans="1:6" ht="15" customHeight="1" x14ac:dyDescent="0.5">
      <c r="A52" s="65"/>
      <c r="B52" s="323" t="s">
        <v>593</v>
      </c>
    </row>
    <row r="53" spans="1:6" ht="15" customHeight="1" x14ac:dyDescent="0.2">
      <c r="A53" s="65"/>
    </row>
    <row r="54" spans="1:6" ht="15" customHeight="1" x14ac:dyDescent="0.2">
      <c r="A54" s="65"/>
      <c r="D54" s="56">
        <f>C16/C20</f>
        <v>456.66149368732249</v>
      </c>
      <c r="E54" s="324" t="s">
        <v>112</v>
      </c>
    </row>
    <row r="55" spans="1:6" ht="15" customHeight="1" x14ac:dyDescent="0.2">
      <c r="A55" s="65"/>
    </row>
    <row r="56" spans="1:6" ht="15" customHeight="1" x14ac:dyDescent="0.5">
      <c r="A56" s="65"/>
      <c r="B56" s="323" t="s">
        <v>594</v>
      </c>
    </row>
    <row r="57" spans="1:6" ht="15" customHeight="1" x14ac:dyDescent="0.2">
      <c r="A57" s="65"/>
      <c r="B57" s="15"/>
      <c r="D57" s="6"/>
      <c r="E57" s="6"/>
      <c r="F57" s="324"/>
    </row>
    <row r="58" spans="1:6" ht="15" customHeight="1" x14ac:dyDescent="0.2">
      <c r="A58" s="65"/>
      <c r="B58" s="15"/>
    </row>
    <row r="59" spans="1:6" ht="15" customHeight="1" x14ac:dyDescent="0.25">
      <c r="A59" s="65"/>
      <c r="B59"/>
      <c r="C59" s="87"/>
      <c r="D59" s="15"/>
    </row>
    <row r="60" spans="1:6" ht="15" customHeight="1" x14ac:dyDescent="0.25">
      <c r="A60" s="65"/>
      <c r="B60"/>
      <c r="C60" s="87"/>
      <c r="D60" s="15"/>
    </row>
    <row r="61" spans="1:6" ht="15" customHeight="1" x14ac:dyDescent="0.25">
      <c r="A61" s="65"/>
      <c r="B61"/>
      <c r="C61" s="87"/>
      <c r="D61" s="15"/>
    </row>
    <row r="62" spans="1:6" ht="15" customHeight="1" x14ac:dyDescent="0.25">
      <c r="A62" s="65"/>
      <c r="B62"/>
      <c r="C62" s="87"/>
      <c r="D62" s="15"/>
    </row>
    <row r="63" spans="1:6" ht="15" customHeight="1" x14ac:dyDescent="0.25">
      <c r="A63" s="65"/>
      <c r="B63" t="s">
        <v>595</v>
      </c>
      <c r="C63" s="87"/>
      <c r="D63" s="15"/>
    </row>
    <row r="64" spans="1:6" ht="15" customHeight="1" x14ac:dyDescent="0.25">
      <c r="A64" s="65"/>
      <c r="B64" s="116" t="s">
        <v>596</v>
      </c>
      <c r="C64" s="56">
        <f>IF(C18=0,D54/D68,IF(C18&gt;0,((-D68)+SQRT((D68^2+4*D54*C18)))/(2*C18)))</f>
        <v>7.8973284984514862</v>
      </c>
      <c r="D64" s="324" t="s">
        <v>1</v>
      </c>
    </row>
    <row r="65" spans="1:9" ht="15" customHeight="1" x14ac:dyDescent="0.25">
      <c r="A65" s="65"/>
      <c r="B65"/>
      <c r="C65" s="87"/>
      <c r="D65" s="15"/>
    </row>
    <row r="66" spans="1:9" ht="15" customHeight="1" x14ac:dyDescent="0.5">
      <c r="A66" s="65"/>
      <c r="B66" s="323" t="s">
        <v>597</v>
      </c>
      <c r="E66" s="228"/>
    </row>
    <row r="67" spans="1:9" ht="15" customHeight="1" x14ac:dyDescent="0.2">
      <c r="A67" s="65"/>
      <c r="E67" s="228"/>
    </row>
    <row r="68" spans="1:9" ht="15" customHeight="1" x14ac:dyDescent="0.2">
      <c r="A68" s="65"/>
      <c r="C68" s="87"/>
      <c r="D68" s="65">
        <f>C19-2</f>
        <v>55.850474552336856</v>
      </c>
      <c r="E68" s="324" t="s">
        <v>1</v>
      </c>
      <c r="F68" s="59"/>
      <c r="G68" s="60"/>
      <c r="H68" s="61"/>
    </row>
    <row r="69" spans="1:9" ht="15" customHeight="1" x14ac:dyDescent="0.2">
      <c r="A69" s="65"/>
      <c r="C69" s="87"/>
      <c r="D69" s="65"/>
      <c r="E69" s="324"/>
      <c r="F69" s="87"/>
      <c r="G69" s="65"/>
      <c r="H69" s="65"/>
    </row>
    <row r="70" spans="1:9" ht="15" customHeight="1" x14ac:dyDescent="0.5">
      <c r="A70" s="65"/>
      <c r="B70" s="323" t="s">
        <v>598</v>
      </c>
      <c r="C70" s="87"/>
      <c r="D70" s="65"/>
      <c r="E70" s="324"/>
      <c r="F70" s="87"/>
      <c r="G70" s="65"/>
      <c r="H70" s="65"/>
    </row>
    <row r="71" spans="1:9" ht="15" customHeight="1" x14ac:dyDescent="0.2">
      <c r="A71" s="65"/>
      <c r="C71" s="87"/>
      <c r="D71" s="65"/>
      <c r="E71" s="324"/>
      <c r="F71" s="87"/>
      <c r="G71" s="65"/>
      <c r="H71" s="65"/>
    </row>
    <row r="72" spans="1:9" ht="15" customHeight="1" x14ac:dyDescent="0.2">
      <c r="A72" s="65"/>
      <c r="C72" s="87"/>
      <c r="D72" s="318">
        <f>C17-C64</f>
        <v>1395.1026715015485</v>
      </c>
      <c r="E72" s="324" t="s">
        <v>1</v>
      </c>
      <c r="F72" s="87"/>
      <c r="G72" s="65"/>
      <c r="H72" s="65"/>
    </row>
    <row r="73" spans="1:9" ht="15" customHeight="1" x14ac:dyDescent="0.2">
      <c r="A73" s="65"/>
      <c r="E73" s="228"/>
    </row>
    <row r="74" spans="1:9" ht="15" customHeight="1" x14ac:dyDescent="0.2">
      <c r="A74" s="65"/>
      <c r="D74" s="56"/>
      <c r="E74" s="65"/>
      <c r="F74" s="65"/>
      <c r="G74" s="6"/>
      <c r="H74" s="6"/>
      <c r="I74" s="6"/>
    </row>
    <row r="75" spans="1:9" ht="15" customHeight="1" x14ac:dyDescent="0.2">
      <c r="A75" s="65" t="s">
        <v>599</v>
      </c>
      <c r="G75" s="325"/>
    </row>
    <row r="76" spans="1:9" ht="15" customHeight="1" x14ac:dyDescent="0.2"/>
    <row r="77" spans="1:9" ht="15" customHeight="1" x14ac:dyDescent="0.2">
      <c r="B77" s="13" t="s">
        <v>147</v>
      </c>
    </row>
    <row r="78" spans="1:9" ht="15" customHeight="1" x14ac:dyDescent="0.2"/>
    <row r="79" spans="1:9" ht="15" customHeight="1" x14ac:dyDescent="0.5">
      <c r="B79" s="323" t="s">
        <v>148</v>
      </c>
    </row>
    <row r="80" spans="1:9" ht="15" customHeight="1" x14ac:dyDescent="0.2"/>
    <row r="81" spans="1:11" ht="15" customHeight="1" x14ac:dyDescent="0.2">
      <c r="E81" s="82">
        <f>((I90/2)+I91+I92)*(C15/3)</f>
        <v>0</v>
      </c>
      <c r="F81" s="65" t="s">
        <v>266</v>
      </c>
      <c r="H81" s="59"/>
      <c r="I81" s="60"/>
      <c r="J81" s="61"/>
    </row>
    <row r="82" spans="1:11" ht="15" customHeight="1" x14ac:dyDescent="0.25">
      <c r="E82"/>
      <c r="F82"/>
    </row>
    <row r="83" spans="1:11" ht="15" customHeight="1" x14ac:dyDescent="0.25">
      <c r="B83" s="87" t="s">
        <v>128</v>
      </c>
      <c r="E83"/>
      <c r="F83"/>
    </row>
    <row r="84" spans="1:11" ht="15" customHeight="1" x14ac:dyDescent="0.25">
      <c r="C84" s="13" t="s">
        <v>600</v>
      </c>
      <c r="E84"/>
      <c r="F84"/>
    </row>
    <row r="85" spans="1:11" ht="15" customHeight="1" x14ac:dyDescent="0.25">
      <c r="E85"/>
      <c r="F85"/>
      <c r="H85" s="368" t="s">
        <v>703</v>
      </c>
    </row>
    <row r="86" spans="1:11" ht="15" customHeight="1" x14ac:dyDescent="0.25">
      <c r="E86"/>
      <c r="F86"/>
      <c r="H86" s="368" t="s">
        <v>704</v>
      </c>
    </row>
    <row r="87" spans="1:11" ht="15" customHeight="1" x14ac:dyDescent="0.25">
      <c r="D87" s="13" t="s">
        <v>381</v>
      </c>
      <c r="E87"/>
      <c r="F87"/>
    </row>
    <row r="88" spans="1:11" ht="15" customHeight="1" x14ac:dyDescent="0.25">
      <c r="E88"/>
      <c r="F88"/>
      <c r="G88" s="13" t="s">
        <v>601</v>
      </c>
    </row>
    <row r="89" spans="1:11" ht="15" customHeight="1" x14ac:dyDescent="0.25">
      <c r="E89"/>
      <c r="F89"/>
    </row>
    <row r="90" spans="1:11" s="88" customFormat="1" ht="15" customHeight="1" x14ac:dyDescent="0.3">
      <c r="A90" s="13"/>
      <c r="B90" s="326"/>
      <c r="D90" s="87" t="s">
        <v>602</v>
      </c>
      <c r="E90" s="228" t="s">
        <v>603</v>
      </c>
      <c r="F90" s="366">
        <f>IF((C22-$D$72)&lt;=C23,0,C22-$D$72-C23)</f>
        <v>0</v>
      </c>
      <c r="G90" s="327" t="s">
        <v>604</v>
      </c>
      <c r="H90" s="328" t="s">
        <v>605</v>
      </c>
      <c r="I90" s="367">
        <f>IF((C22-$D$72)&lt;=C23,IF((C22-$D$72)&lt;=0,0,(4+F90+$D$68+(C22-$D$72)*2)*(C22-$D$72)),(4+F90+$D$68+C23*2)*C23)</f>
        <v>0</v>
      </c>
      <c r="J90" s="329" t="s">
        <v>102</v>
      </c>
      <c r="K90" s="13"/>
    </row>
    <row r="91" spans="1:11" s="88" customFormat="1" ht="15" customHeight="1" x14ac:dyDescent="0.3">
      <c r="A91" s="13"/>
      <c r="B91" s="326"/>
      <c r="D91" s="87" t="s">
        <v>606</v>
      </c>
      <c r="E91" s="228" t="s">
        <v>607</v>
      </c>
      <c r="F91" s="366">
        <f>IF((C24-$D$72)&lt;=C25,0,C24-$D$72-C25)</f>
        <v>0</v>
      </c>
      <c r="G91" s="327" t="s">
        <v>604</v>
      </c>
      <c r="H91" s="328" t="s">
        <v>608</v>
      </c>
      <c r="I91" s="367">
        <f>IF((C24-$D$72)&lt;=C25,IF((C24-$D$72)&lt;=0,0,(4+F91+$D$68+(C24-$D$72)*2)*(C24-$D$72)),(4+F91+$D$68+C25*2)*C25)</f>
        <v>0</v>
      </c>
      <c r="J91" s="329" t="s">
        <v>102</v>
      </c>
      <c r="K91" s="13"/>
    </row>
    <row r="92" spans="1:11" s="88" customFormat="1" ht="15" customHeight="1" x14ac:dyDescent="0.3">
      <c r="A92" s="13"/>
      <c r="B92" s="326"/>
      <c r="D92" s="87" t="s">
        <v>609</v>
      </c>
      <c r="E92" s="228" t="s">
        <v>610</v>
      </c>
      <c r="F92" s="366">
        <f>IF((C26-$D$72)&lt;=C27,0,C26-$D$72-C27)</f>
        <v>0</v>
      </c>
      <c r="G92" s="327" t="s">
        <v>604</v>
      </c>
      <c r="H92" s="328" t="s">
        <v>611</v>
      </c>
      <c r="I92" s="367">
        <f>IF((C26-$D$72)&lt;=C27,IF((C26-$D$72)&lt;=0,0,(4+F92+$D$68+(C26-$D$72)*2)*(C26-$D$72)),(4+F92+$D$68+C27*2)*C27)</f>
        <v>0</v>
      </c>
      <c r="J92" s="329" t="s">
        <v>102</v>
      </c>
      <c r="K92" s="13"/>
    </row>
    <row r="93" spans="1:11" ht="15" customHeight="1" x14ac:dyDescent="0.25">
      <c r="E93"/>
      <c r="F93"/>
    </row>
    <row r="94" spans="1:11" ht="15" customHeight="1" x14ac:dyDescent="0.5">
      <c r="B94" s="323" t="s">
        <v>252</v>
      </c>
      <c r="F94"/>
      <c r="G94"/>
    </row>
    <row r="95" spans="1:11" ht="15" customHeight="1" x14ac:dyDescent="0.2">
      <c r="D95" s="330"/>
    </row>
    <row r="96" spans="1:11" ht="15" customHeight="1" x14ac:dyDescent="0.2">
      <c r="E96" s="82">
        <f>((I105/2)+I106+I107)*(C15/3)</f>
        <v>0</v>
      </c>
      <c r="F96" s="65" t="s">
        <v>266</v>
      </c>
      <c r="H96" s="59"/>
      <c r="I96" s="60"/>
      <c r="J96" s="61"/>
    </row>
    <row r="97" spans="1:11" ht="15" customHeight="1" x14ac:dyDescent="0.25">
      <c r="E97"/>
      <c r="F97"/>
    </row>
    <row r="98" spans="1:11" ht="15" customHeight="1" x14ac:dyDescent="0.25">
      <c r="B98" s="87" t="s">
        <v>128</v>
      </c>
      <c r="E98"/>
      <c r="F98"/>
    </row>
    <row r="99" spans="1:11" ht="15" customHeight="1" x14ac:dyDescent="0.25">
      <c r="C99" s="13" t="s">
        <v>600</v>
      </c>
      <c r="E99"/>
      <c r="F99"/>
    </row>
    <row r="100" spans="1:11" ht="15" customHeight="1" x14ac:dyDescent="0.25">
      <c r="E100"/>
      <c r="F100"/>
      <c r="G100" s="368" t="s">
        <v>702</v>
      </c>
    </row>
    <row r="101" spans="1:11" ht="15" customHeight="1" x14ac:dyDescent="0.25">
      <c r="E101"/>
      <c r="F101"/>
    </row>
    <row r="102" spans="1:11" ht="15" customHeight="1" x14ac:dyDescent="0.25">
      <c r="D102" s="13" t="s">
        <v>381</v>
      </c>
      <c r="E102"/>
      <c r="F102"/>
    </row>
    <row r="103" spans="1:11" ht="15" customHeight="1" x14ac:dyDescent="0.25">
      <c r="E103"/>
      <c r="F103"/>
      <c r="G103" s="13" t="s">
        <v>601</v>
      </c>
    </row>
    <row r="104" spans="1:11" ht="15" customHeight="1" x14ac:dyDescent="0.25">
      <c r="E104"/>
      <c r="F104"/>
    </row>
    <row r="105" spans="1:11" s="88" customFormat="1" ht="15" customHeight="1" x14ac:dyDescent="0.3">
      <c r="A105" s="13"/>
      <c r="B105" s="326"/>
      <c r="D105" s="87" t="s">
        <v>602</v>
      </c>
      <c r="E105" s="228" t="s">
        <v>603</v>
      </c>
      <c r="F105" s="366">
        <f>F90</f>
        <v>0</v>
      </c>
      <c r="G105" s="327" t="s">
        <v>604</v>
      </c>
      <c r="H105" s="328" t="s">
        <v>605</v>
      </c>
      <c r="I105" s="367">
        <f>IF(F105&lt;=0,0,($D$68+F105*$C$18)*F105)</f>
        <v>0</v>
      </c>
      <c r="J105" s="329" t="s">
        <v>102</v>
      </c>
      <c r="K105" s="13"/>
    </row>
    <row r="106" spans="1:11" s="88" customFormat="1" ht="15" customHeight="1" x14ac:dyDescent="0.3">
      <c r="A106" s="13"/>
      <c r="B106" s="326"/>
      <c r="D106" s="87" t="s">
        <v>606</v>
      </c>
      <c r="E106" s="228" t="s">
        <v>607</v>
      </c>
      <c r="F106" s="366">
        <f t="shared" ref="F106:F107" si="0">F91</f>
        <v>0</v>
      </c>
      <c r="G106" s="327" t="s">
        <v>604</v>
      </c>
      <c r="H106" s="328" t="s">
        <v>608</v>
      </c>
      <c r="I106" s="367">
        <f>IF(F106&lt;=0,0,($D$68+F106*$C$18)*F106)</f>
        <v>0</v>
      </c>
      <c r="J106" s="329" t="s">
        <v>102</v>
      </c>
      <c r="K106" s="13"/>
    </row>
    <row r="107" spans="1:11" s="88" customFormat="1" ht="15" customHeight="1" x14ac:dyDescent="0.3">
      <c r="A107" s="13"/>
      <c r="B107" s="326"/>
      <c r="D107" s="87" t="s">
        <v>609</v>
      </c>
      <c r="E107" s="228" t="s">
        <v>610</v>
      </c>
      <c r="F107" s="366">
        <f t="shared" si="0"/>
        <v>0</v>
      </c>
      <c r="G107" s="327" t="s">
        <v>604</v>
      </c>
      <c r="H107" s="328" t="s">
        <v>611</v>
      </c>
      <c r="I107" s="367">
        <f>IF(F107&lt;=0,0,($D$68+F107*$C$18)*F107)</f>
        <v>0</v>
      </c>
      <c r="J107" s="329" t="s">
        <v>102</v>
      </c>
      <c r="K107" s="13"/>
    </row>
    <row r="108" spans="1:11" ht="15" customHeight="1" x14ac:dyDescent="0.25">
      <c r="E108"/>
      <c r="F108"/>
    </row>
    <row r="109" spans="1:11" ht="15" customHeight="1" x14ac:dyDescent="0.2">
      <c r="A109" s="331" t="s">
        <v>298</v>
      </c>
      <c r="D109" s="18"/>
      <c r="J109" s="332"/>
      <c r="K109" s="268"/>
    </row>
    <row r="110" spans="1:11" ht="15" customHeight="1" thickBot="1" x14ac:dyDescent="0.25">
      <c r="J110" s="87" t="s">
        <v>199</v>
      </c>
    </row>
    <row r="111" spans="1:11" ht="26.25" customHeight="1" x14ac:dyDescent="0.2">
      <c r="B111" s="333"/>
      <c r="C111" s="334"/>
      <c r="D111" s="334"/>
      <c r="E111" s="334"/>
      <c r="F111" s="334"/>
      <c r="G111" s="335"/>
      <c r="H111" s="333"/>
      <c r="I111" s="123" t="s">
        <v>612</v>
      </c>
      <c r="J111" s="274" t="s">
        <v>201</v>
      </c>
    </row>
    <row r="112" spans="1:11" ht="15" customHeight="1" x14ac:dyDescent="0.2">
      <c r="B112" s="275" t="s">
        <v>202</v>
      </c>
      <c r="C112" s="235" t="s">
        <v>203</v>
      </c>
      <c r="D112" s="235"/>
      <c r="E112" s="235"/>
      <c r="F112" s="235"/>
      <c r="G112" s="276" t="s">
        <v>204</v>
      </c>
      <c r="H112" s="277" t="s">
        <v>205</v>
      </c>
      <c r="I112" s="129" t="s">
        <v>173</v>
      </c>
      <c r="J112" s="235" t="s">
        <v>206</v>
      </c>
    </row>
    <row r="113" spans="1:11" ht="15" customHeight="1" thickBot="1" x14ac:dyDescent="0.25">
      <c r="B113" s="278"/>
      <c r="C113" s="279"/>
      <c r="D113" s="279"/>
      <c r="E113" s="279"/>
      <c r="F113" s="279"/>
      <c r="G113" s="336"/>
      <c r="H113" s="337"/>
      <c r="I113" s="135"/>
      <c r="J113" s="338"/>
    </row>
    <row r="114" spans="1:11" s="282" customFormat="1" ht="15" customHeight="1" x14ac:dyDescent="0.2">
      <c r="B114" s="139" t="s">
        <v>613</v>
      </c>
      <c r="C114" s="139" t="s">
        <v>614</v>
      </c>
      <c r="D114" s="139"/>
      <c r="E114" s="139"/>
      <c r="F114" s="139"/>
      <c r="G114" s="139"/>
      <c r="H114" s="139"/>
      <c r="I114" s="139"/>
      <c r="J114" s="140">
        <f>J115</f>
        <v>0</v>
      </c>
    </row>
    <row r="115" spans="1:11" s="282" customFormat="1" ht="15" customHeight="1" x14ac:dyDescent="0.2">
      <c r="B115" s="139" t="s">
        <v>615</v>
      </c>
      <c r="C115" s="139" t="s">
        <v>210</v>
      </c>
      <c r="D115" s="139"/>
      <c r="E115" s="139"/>
      <c r="F115" s="139"/>
      <c r="G115" s="296" t="s">
        <v>211</v>
      </c>
      <c r="H115" s="139"/>
      <c r="I115" s="297"/>
      <c r="J115" s="140">
        <f>SUM(J116:J118)</f>
        <v>0</v>
      </c>
    </row>
    <row r="116" spans="1:11" s="282" customFormat="1" ht="15" customHeight="1" x14ac:dyDescent="0.2">
      <c r="B116" s="139" t="s">
        <v>616</v>
      </c>
      <c r="C116" s="139" t="s">
        <v>213</v>
      </c>
      <c r="D116" s="139"/>
      <c r="E116" s="139"/>
      <c r="F116" s="139"/>
      <c r="G116" s="296" t="s">
        <v>102</v>
      </c>
      <c r="H116" s="140">
        <f>E81</f>
        <v>0</v>
      </c>
      <c r="I116" s="297">
        <v>7.6</v>
      </c>
      <c r="J116" s="140">
        <f>H116*I116/1000</f>
        <v>0</v>
      </c>
      <c r="K116" s="61"/>
    </row>
    <row r="117" spans="1:11" s="282" customFormat="1" ht="15" customHeight="1" x14ac:dyDescent="0.2">
      <c r="B117" s="139" t="s">
        <v>617</v>
      </c>
      <c r="C117" s="139" t="s">
        <v>215</v>
      </c>
      <c r="D117" s="139"/>
      <c r="E117" s="139"/>
      <c r="F117" s="139"/>
      <c r="G117" s="296" t="s">
        <v>102</v>
      </c>
      <c r="H117" s="140">
        <f>E96</f>
        <v>0</v>
      </c>
      <c r="I117" s="297">
        <v>21</v>
      </c>
      <c r="J117" s="140">
        <f>H117*I117/1000</f>
        <v>0</v>
      </c>
      <c r="K117" s="61"/>
    </row>
    <row r="118" spans="1:11" s="282" customFormat="1" ht="15" customHeight="1" x14ac:dyDescent="0.2">
      <c r="B118" s="139" t="s">
        <v>618</v>
      </c>
      <c r="C118" s="139" t="s">
        <v>217</v>
      </c>
      <c r="D118" s="139"/>
      <c r="E118" s="139"/>
      <c r="F118" s="139"/>
      <c r="G118" s="296" t="s">
        <v>102</v>
      </c>
      <c r="H118" s="140"/>
      <c r="I118" s="297"/>
      <c r="J118" s="140">
        <f>H118*I118/1000</f>
        <v>0</v>
      </c>
    </row>
    <row r="119" spans="1:11" s="282" customFormat="1" ht="15" customHeight="1" x14ac:dyDescent="0.2">
      <c r="B119" s="139" t="s">
        <v>619</v>
      </c>
      <c r="C119" s="139" t="s">
        <v>219</v>
      </c>
      <c r="D119" s="139"/>
      <c r="E119" s="139"/>
      <c r="F119" s="139"/>
      <c r="G119" s="296" t="s">
        <v>211</v>
      </c>
      <c r="H119" s="139"/>
      <c r="I119" s="297"/>
      <c r="J119" s="140">
        <f>H119*I119/1000</f>
        <v>0</v>
      </c>
    </row>
    <row r="120" spans="1:11" s="282" customFormat="1" ht="15" customHeight="1" x14ac:dyDescent="0.2">
      <c r="B120" s="139" t="s">
        <v>620</v>
      </c>
      <c r="C120" s="139" t="s">
        <v>221</v>
      </c>
      <c r="D120" s="139"/>
      <c r="E120" s="139"/>
      <c r="F120" s="139"/>
      <c r="G120" s="296" t="s">
        <v>211</v>
      </c>
      <c r="H120" s="139"/>
      <c r="I120" s="297"/>
      <c r="J120" s="140">
        <f>SUM(J121:J123)</f>
        <v>0</v>
      </c>
    </row>
    <row r="121" spans="1:11" s="282" customFormat="1" ht="15" customHeight="1" x14ac:dyDescent="0.2">
      <c r="B121" s="139" t="s">
        <v>621</v>
      </c>
      <c r="C121" s="139" t="s">
        <v>223</v>
      </c>
      <c r="D121" s="139"/>
      <c r="E121" s="139"/>
      <c r="F121" s="139"/>
      <c r="G121" s="296" t="s">
        <v>115</v>
      </c>
      <c r="H121" s="140"/>
      <c r="I121" s="297">
        <v>348</v>
      </c>
      <c r="J121" s="143">
        <f>H121*I121/1000</f>
        <v>0</v>
      </c>
    </row>
    <row r="122" spans="1:11" s="282" customFormat="1" ht="15" customHeight="1" x14ac:dyDescent="0.2">
      <c r="B122" s="139" t="s">
        <v>622</v>
      </c>
      <c r="C122" s="139" t="s">
        <v>225</v>
      </c>
      <c r="D122" s="139"/>
      <c r="E122" s="139"/>
      <c r="F122" s="139"/>
      <c r="G122" s="296" t="s">
        <v>102</v>
      </c>
      <c r="H122" s="140"/>
      <c r="I122" s="297">
        <v>0</v>
      </c>
      <c r="J122" s="140">
        <f>H122*I122/1000</f>
        <v>0</v>
      </c>
    </row>
    <row r="123" spans="1:11" s="282" customFormat="1" ht="15" customHeight="1" x14ac:dyDescent="0.2">
      <c r="B123" s="139" t="s">
        <v>623</v>
      </c>
      <c r="C123" s="139" t="s">
        <v>227</v>
      </c>
      <c r="D123" s="139"/>
      <c r="E123" s="139"/>
      <c r="F123" s="139"/>
      <c r="G123" s="296" t="s">
        <v>115</v>
      </c>
      <c r="H123" s="140"/>
      <c r="I123" s="297">
        <v>4327</v>
      </c>
      <c r="J123" s="143">
        <f>H123*I123/1000</f>
        <v>0</v>
      </c>
    </row>
    <row r="124" spans="1:11" s="282" customFormat="1" ht="15" customHeight="1" thickBot="1" x14ac:dyDescent="0.25">
      <c r="B124" s="207"/>
      <c r="C124" s="207"/>
      <c r="D124" s="207"/>
      <c r="E124" s="207"/>
      <c r="F124" s="207"/>
      <c r="G124" s="207"/>
      <c r="H124" s="207"/>
      <c r="I124" s="207"/>
      <c r="J124" s="207"/>
    </row>
    <row r="125" spans="1:11" x14ac:dyDescent="0.2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</row>
    <row r="127" spans="1:11" x14ac:dyDescent="0.2">
      <c r="A127" s="149" t="s">
        <v>333</v>
      </c>
      <c r="B127" s="150"/>
      <c r="C127" s="150"/>
      <c r="D127" s="150"/>
      <c r="E127" s="150"/>
      <c r="F127" s="150"/>
      <c r="G127" s="150"/>
    </row>
    <row r="128" spans="1:11" ht="13.5" thickBot="1" x14ac:dyDescent="0.25">
      <c r="A128" s="149"/>
      <c r="B128" s="150"/>
      <c r="C128" s="150"/>
      <c r="D128" s="150"/>
      <c r="E128" s="150"/>
      <c r="F128" s="150"/>
      <c r="G128" s="150"/>
    </row>
    <row r="129" spans="2:10" x14ac:dyDescent="0.2">
      <c r="B129" s="767" t="s">
        <v>235</v>
      </c>
      <c r="C129" s="764" t="s">
        <v>236</v>
      </c>
      <c r="D129" s="744"/>
      <c r="E129" s="744"/>
      <c r="F129" s="744"/>
      <c r="G129" s="744"/>
      <c r="H129" s="744"/>
      <c r="I129" s="744"/>
      <c r="J129" s="745"/>
    </row>
    <row r="130" spans="2:10" ht="13.5" thickBot="1" x14ac:dyDescent="0.25">
      <c r="B130" s="768"/>
      <c r="C130" s="765"/>
      <c r="D130" s="747"/>
      <c r="E130" s="747"/>
      <c r="F130" s="747"/>
      <c r="G130" s="747"/>
      <c r="H130" s="747"/>
      <c r="I130" s="747"/>
      <c r="J130" s="748"/>
    </row>
    <row r="131" spans="2:10" ht="15" customHeight="1" x14ac:dyDescent="0.2">
      <c r="B131" s="151"/>
      <c r="C131" s="212"/>
      <c r="D131" s="213"/>
      <c r="E131" s="213"/>
      <c r="F131" s="213"/>
      <c r="G131" s="213"/>
      <c r="H131" s="213"/>
      <c r="I131" s="213"/>
      <c r="J131" s="213"/>
    </row>
    <row r="132" spans="2:10" ht="15" customHeight="1" thickBot="1" x14ac:dyDescent="0.25">
      <c r="B132" s="316"/>
      <c r="C132" s="156"/>
      <c r="D132" s="157"/>
      <c r="E132" s="157"/>
      <c r="F132" s="157"/>
      <c r="G132" s="157"/>
      <c r="H132" s="157"/>
      <c r="I132" s="157"/>
      <c r="J132" s="157"/>
    </row>
    <row r="133" spans="2:10" x14ac:dyDescent="0.2">
      <c r="B133" s="88"/>
      <c r="C133" s="88"/>
      <c r="D133" s="88"/>
      <c r="E133" s="88"/>
      <c r="F133" s="88"/>
      <c r="G133" s="88"/>
      <c r="H133" s="88"/>
    </row>
  </sheetData>
  <mergeCells count="5">
    <mergeCell ref="E1:H2"/>
    <mergeCell ref="A3:D3"/>
    <mergeCell ref="J3:K3"/>
    <mergeCell ref="B129:B130"/>
    <mergeCell ref="C129:J1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18433" r:id="rId4">
          <objectPr defaultSize="0" autoLine="0" autoPict="0" r:id="rId5">
            <anchor moveWithCells="1">
              <from>
                <xdr:col>2</xdr:col>
                <xdr:colOff>0</xdr:colOff>
                <xdr:row>52</xdr:row>
                <xdr:rowOff>142875</xdr:rowOff>
              </from>
              <to>
                <xdr:col>3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quation.2" shapeId="18433" r:id="rId4"/>
      </mc:Fallback>
    </mc:AlternateContent>
    <mc:AlternateContent xmlns:mc="http://schemas.openxmlformats.org/markup-compatibility/2006">
      <mc:Choice Requires="x14">
        <oleObject progId="Equation.2" shapeId="18434" r:id="rId6">
          <objectPr defaultSize="0" autoLine="0" autoPict="0" r:id="rId7">
            <anchor moveWithCells="1">
              <from>
                <xdr:col>1</xdr:col>
                <xdr:colOff>809625</xdr:colOff>
                <xdr:row>59</xdr:row>
                <xdr:rowOff>66675</xdr:rowOff>
              </from>
              <to>
                <xdr:col>5</xdr:col>
                <xdr:colOff>142875</xdr:colOff>
                <xdr:row>61</xdr:row>
                <xdr:rowOff>114300</xdr:rowOff>
              </to>
            </anchor>
          </objectPr>
        </oleObject>
      </mc:Choice>
      <mc:Fallback>
        <oleObject progId="Equation.2" shapeId="18434" r:id="rId6"/>
      </mc:Fallback>
    </mc:AlternateContent>
    <mc:AlternateContent xmlns:mc="http://schemas.openxmlformats.org/markup-compatibility/2006">
      <mc:Choice Requires="x14">
        <oleObject progId="Equation.2" shapeId="18435" r:id="rId8">
          <objectPr defaultSize="0" autoLine="0" autoPict="0" r:id="rId9">
            <anchor moveWithCells="1">
              <from>
                <xdr:col>1</xdr:col>
                <xdr:colOff>762000</xdr:colOff>
                <xdr:row>67</xdr:row>
                <xdr:rowOff>19050</xdr:rowOff>
              </from>
              <to>
                <xdr:col>3</xdr:col>
                <xdr:colOff>180975</xdr:colOff>
                <xdr:row>68</xdr:row>
                <xdr:rowOff>47625</xdr:rowOff>
              </to>
            </anchor>
          </objectPr>
        </oleObject>
      </mc:Choice>
      <mc:Fallback>
        <oleObject progId="Equation.2" shapeId="18435" r:id="rId8"/>
      </mc:Fallback>
    </mc:AlternateContent>
    <mc:AlternateContent xmlns:mc="http://schemas.openxmlformats.org/markup-compatibility/2006">
      <mc:Choice Requires="x14">
        <oleObject progId="Equation.2" shapeId="18436" r:id="rId10">
          <objectPr defaultSize="0" autoLine="0" autoPict="0" r:id="rId11">
            <anchor moveWithCells="1">
              <from>
                <xdr:col>1</xdr:col>
                <xdr:colOff>304800</xdr:colOff>
                <xdr:row>79</xdr:row>
                <xdr:rowOff>142875</xdr:rowOff>
              </from>
              <to>
                <xdr:col>4</xdr:col>
                <xdr:colOff>47625</xdr:colOff>
                <xdr:row>81</xdr:row>
                <xdr:rowOff>133350</xdr:rowOff>
              </to>
            </anchor>
          </objectPr>
        </oleObject>
      </mc:Choice>
      <mc:Fallback>
        <oleObject progId="Equation.2" shapeId="18436" r:id="rId10"/>
      </mc:Fallback>
    </mc:AlternateContent>
    <mc:AlternateContent xmlns:mc="http://schemas.openxmlformats.org/markup-compatibility/2006">
      <mc:Choice Requires="x14">
        <oleObject progId="Equation.2" shapeId="18437" r:id="rId12">
          <objectPr defaultSize="0" autoLine="0" autoPict="0" r:id="rId13">
            <anchor moveWithCells="1">
              <from>
                <xdr:col>1</xdr:col>
                <xdr:colOff>762000</xdr:colOff>
                <xdr:row>71</xdr:row>
                <xdr:rowOff>19050</xdr:rowOff>
              </from>
              <to>
                <xdr:col>3</xdr:col>
                <xdr:colOff>152400</xdr:colOff>
                <xdr:row>72</xdr:row>
                <xdr:rowOff>19050</xdr:rowOff>
              </to>
            </anchor>
          </objectPr>
        </oleObject>
      </mc:Choice>
      <mc:Fallback>
        <oleObject progId="Equation.2" shapeId="18437" r:id="rId12"/>
      </mc:Fallback>
    </mc:AlternateContent>
    <mc:AlternateContent xmlns:mc="http://schemas.openxmlformats.org/markup-compatibility/2006">
      <mc:Choice Requires="x14">
        <oleObject progId="Documento" shapeId="18438" r:id="rId14">
          <objectPr defaultSize="0" autoLine="0" r:id="rId15">
            <anchor moveWithCells="1">
              <from>
                <xdr:col>1</xdr:col>
                <xdr:colOff>371475</xdr:colOff>
                <xdr:row>30</xdr:row>
                <xdr:rowOff>123825</xdr:rowOff>
              </from>
              <to>
                <xdr:col>10</xdr:col>
                <xdr:colOff>371475</xdr:colOff>
                <xdr:row>45</xdr:row>
                <xdr:rowOff>0</xdr:rowOff>
              </to>
            </anchor>
          </objectPr>
        </oleObject>
      </mc:Choice>
      <mc:Fallback>
        <oleObject progId="Documento" shapeId="18438" r:id="rId14"/>
      </mc:Fallback>
    </mc:AlternateContent>
    <mc:AlternateContent xmlns:mc="http://schemas.openxmlformats.org/markup-compatibility/2006">
      <mc:Choice Requires="x14">
        <oleObject progId="Equation.2" shapeId="18439" r:id="rId16">
          <objectPr defaultSize="0" autoLine="0" autoPict="0" r:id="rId17">
            <anchor moveWithCells="1">
              <from>
                <xdr:col>2</xdr:col>
                <xdr:colOff>247650</xdr:colOff>
                <xdr:row>84</xdr:row>
                <xdr:rowOff>85725</xdr:rowOff>
              </from>
              <to>
                <xdr:col>6</xdr:col>
                <xdr:colOff>152400</xdr:colOff>
                <xdr:row>85</xdr:row>
                <xdr:rowOff>104775</xdr:rowOff>
              </to>
            </anchor>
          </objectPr>
        </oleObject>
      </mc:Choice>
      <mc:Fallback>
        <oleObject progId="Equation.2" shapeId="18439" r:id="rId16"/>
      </mc:Fallback>
    </mc:AlternateContent>
    <mc:AlternateContent xmlns:mc="http://schemas.openxmlformats.org/markup-compatibility/2006">
      <mc:Choice Requires="x14">
        <oleObject progId="Equation.2" shapeId="18440" r:id="rId18">
          <objectPr defaultSize="0" autoLine="0" autoPict="0" r:id="rId19">
            <anchor moveWithCells="1">
              <from>
                <xdr:col>3</xdr:col>
                <xdr:colOff>180975</xdr:colOff>
                <xdr:row>87</xdr:row>
                <xdr:rowOff>28575</xdr:rowOff>
              </from>
              <to>
                <xdr:col>5</xdr:col>
                <xdr:colOff>104775</xdr:colOff>
                <xdr:row>88</xdr:row>
                <xdr:rowOff>38100</xdr:rowOff>
              </to>
            </anchor>
          </objectPr>
        </oleObject>
      </mc:Choice>
      <mc:Fallback>
        <oleObject progId="Equation.2" shapeId="18440" r:id="rId18"/>
      </mc:Fallback>
    </mc:AlternateContent>
    <mc:AlternateContent xmlns:mc="http://schemas.openxmlformats.org/markup-compatibility/2006">
      <mc:Choice Requires="x14">
        <oleObject progId="Equation.2" shapeId="18441" r:id="rId20">
          <objectPr defaultSize="0" autoLine="0" autoPict="0" r:id="rId21">
            <anchor moveWithCells="1">
              <from>
                <xdr:col>1</xdr:col>
                <xdr:colOff>304800</xdr:colOff>
                <xdr:row>94</xdr:row>
                <xdr:rowOff>142875</xdr:rowOff>
              </from>
              <to>
                <xdr:col>4</xdr:col>
                <xdr:colOff>47625</xdr:colOff>
                <xdr:row>96</xdr:row>
                <xdr:rowOff>133350</xdr:rowOff>
              </to>
            </anchor>
          </objectPr>
        </oleObject>
      </mc:Choice>
      <mc:Fallback>
        <oleObject progId="Equation.2" shapeId="18441" r:id="rId20"/>
      </mc:Fallback>
    </mc:AlternateContent>
    <mc:AlternateContent xmlns:mc="http://schemas.openxmlformats.org/markup-compatibility/2006">
      <mc:Choice Requires="x14">
        <oleObject progId="Equation.2" shapeId="18442" r:id="rId22">
          <objectPr defaultSize="0" autoLine="0" autoPict="0" r:id="rId23">
            <anchor moveWithCells="1">
              <from>
                <xdr:col>2</xdr:col>
                <xdr:colOff>247650</xdr:colOff>
                <xdr:row>99</xdr:row>
                <xdr:rowOff>85725</xdr:rowOff>
              </from>
              <to>
                <xdr:col>5</xdr:col>
                <xdr:colOff>609600</xdr:colOff>
                <xdr:row>100</xdr:row>
                <xdr:rowOff>95250</xdr:rowOff>
              </to>
            </anchor>
          </objectPr>
        </oleObject>
      </mc:Choice>
      <mc:Fallback>
        <oleObject progId="Equation.2" shapeId="18442" r:id="rId22"/>
      </mc:Fallback>
    </mc:AlternateContent>
    <mc:AlternateContent xmlns:mc="http://schemas.openxmlformats.org/markup-compatibility/2006">
      <mc:Choice Requires="x14">
        <oleObject progId="Equation.2" shapeId="18443" r:id="rId24">
          <objectPr defaultSize="0" autoLine="0" autoPict="0" r:id="rId25">
            <anchor moveWithCells="1">
              <from>
                <xdr:col>1</xdr:col>
                <xdr:colOff>857250</xdr:colOff>
                <xdr:row>56</xdr:row>
                <xdr:rowOff>85725</xdr:rowOff>
              </from>
              <to>
                <xdr:col>3</xdr:col>
                <xdr:colOff>200025</xdr:colOff>
                <xdr:row>58</xdr:row>
                <xdr:rowOff>76200</xdr:rowOff>
              </to>
            </anchor>
          </objectPr>
        </oleObject>
      </mc:Choice>
      <mc:Fallback>
        <oleObject progId="Equation.2" shapeId="18443" r:id="rId2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0"/>
  <sheetViews>
    <sheetView topLeftCell="A25" workbookViewId="0">
      <selection activeCell="D42" sqref="D42"/>
    </sheetView>
  </sheetViews>
  <sheetFormatPr defaultRowHeight="15" x14ac:dyDescent="0.25"/>
  <cols>
    <col min="1" max="1" width="3.5703125" bestFit="1" customWidth="1"/>
    <col min="3" max="3" width="44.7109375" customWidth="1"/>
    <col min="4" max="4" width="47.7109375" customWidth="1"/>
    <col min="5" max="5" width="8" customWidth="1"/>
    <col min="6" max="6" width="6.85546875" customWidth="1"/>
    <col min="7" max="7" width="43" bestFit="1" customWidth="1"/>
    <col min="8" max="8" width="8.85546875" bestFit="1" customWidth="1"/>
    <col min="9" max="10" width="16.85546875" bestFit="1" customWidth="1"/>
    <col min="11" max="11" width="16.28515625" bestFit="1" customWidth="1"/>
  </cols>
  <sheetData>
    <row r="1" spans="1:11" x14ac:dyDescent="0.25">
      <c r="A1" s="1">
        <v>1</v>
      </c>
      <c r="B1" s="1" t="s">
        <v>14</v>
      </c>
      <c r="J1" s="691" t="s">
        <v>752</v>
      </c>
      <c r="K1" s="691"/>
    </row>
    <row r="2" spans="1:11" x14ac:dyDescent="0.25">
      <c r="A2" s="1"/>
      <c r="B2" s="1"/>
      <c r="I2" s="378" t="s">
        <v>751</v>
      </c>
      <c r="J2" s="378" t="s">
        <v>1247</v>
      </c>
      <c r="K2" s="378" t="s">
        <v>1248</v>
      </c>
    </row>
    <row r="3" spans="1:11" x14ac:dyDescent="0.25">
      <c r="B3" s="1" t="s">
        <v>630</v>
      </c>
      <c r="H3" s="536"/>
      <c r="I3" s="379" t="s">
        <v>753</v>
      </c>
      <c r="J3" s="379">
        <f>iohsrf2!B31</f>
        <v>2</v>
      </c>
      <c r="K3" s="379">
        <f>iohsrf2!B42</f>
        <v>5</v>
      </c>
    </row>
    <row r="4" spans="1:11" x14ac:dyDescent="0.25">
      <c r="H4" s="536"/>
      <c r="I4" s="379"/>
      <c r="J4" s="379"/>
      <c r="K4" s="379"/>
    </row>
    <row r="5" spans="1:11" ht="18" x14ac:dyDescent="0.35">
      <c r="A5" s="524"/>
      <c r="B5" t="s">
        <v>1427</v>
      </c>
      <c r="C5" t="s">
        <v>1142</v>
      </c>
      <c r="D5" s="671">
        <f>iohsrf2!B25</f>
        <v>1548</v>
      </c>
      <c r="H5" s="536"/>
      <c r="I5" s="379" t="s">
        <v>754</v>
      </c>
      <c r="J5" s="379">
        <f>iohsrf2!B32</f>
        <v>3</v>
      </c>
      <c r="K5" s="379">
        <f>iohsrf2!B43</f>
        <v>6</v>
      </c>
    </row>
    <row r="6" spans="1:11" ht="18" x14ac:dyDescent="0.35">
      <c r="A6" s="524"/>
      <c r="B6" t="s">
        <v>1428</v>
      </c>
      <c r="C6" t="s">
        <v>1143</v>
      </c>
      <c r="D6" s="671">
        <f>iohsrf2!B26</f>
        <v>1538</v>
      </c>
    </row>
    <row r="7" spans="1:11" ht="18" x14ac:dyDescent="0.35">
      <c r="A7" s="524"/>
      <c r="B7" t="s">
        <v>1429</v>
      </c>
      <c r="C7" t="s">
        <v>1144</v>
      </c>
      <c r="D7" s="671">
        <f>iohsrf2!B36</f>
        <v>1408</v>
      </c>
    </row>
    <row r="8" spans="1:11" ht="18" x14ac:dyDescent="0.35">
      <c r="A8" s="524"/>
      <c r="B8" t="s">
        <v>1430</v>
      </c>
      <c r="C8" t="s">
        <v>1145</v>
      </c>
      <c r="D8" s="671">
        <f>iohsrf2!B37</f>
        <v>1403</v>
      </c>
    </row>
    <row r="9" spans="1:11" x14ac:dyDescent="0.25">
      <c r="B9" t="s">
        <v>637</v>
      </c>
      <c r="C9" t="s">
        <v>1438</v>
      </c>
      <c r="D9" s="362">
        <f>iohsrf2!B9</f>
        <v>2000</v>
      </c>
      <c r="E9" s="5" t="s">
        <v>1439</v>
      </c>
    </row>
    <row r="11" spans="1:11" x14ac:dyDescent="0.25">
      <c r="B11" t="s">
        <v>642</v>
      </c>
      <c r="C11" t="s">
        <v>649</v>
      </c>
      <c r="D11" s="2">
        <f>iohsrf2!B4</f>
        <v>800</v>
      </c>
    </row>
    <row r="12" spans="1:11" ht="18" x14ac:dyDescent="0.35">
      <c r="B12" t="s">
        <v>1451</v>
      </c>
      <c r="C12" t="s">
        <v>647</v>
      </c>
      <c r="D12" s="365">
        <f>iohsrf2!B5</f>
        <v>0.05</v>
      </c>
      <c r="E12" s="5"/>
    </row>
    <row r="13" spans="1:11" ht="18" x14ac:dyDescent="0.35">
      <c r="A13" s="524"/>
      <c r="B13" t="s">
        <v>1450</v>
      </c>
      <c r="C13" t="s">
        <v>648</v>
      </c>
      <c r="D13" s="351">
        <f>(D5+D6)/2-(D7+D8)/2</f>
        <v>137.5</v>
      </c>
      <c r="E13" s="5" t="s">
        <v>1432</v>
      </c>
    </row>
    <row r="14" spans="1:11" ht="18" x14ac:dyDescent="0.35">
      <c r="B14" t="s">
        <v>1431</v>
      </c>
      <c r="C14" t="s">
        <v>631</v>
      </c>
      <c r="D14" s="351">
        <f>D11/(9.81*0.92*0.97*(1-D12)*D13)*1000</f>
        <v>699.57634246967564</v>
      </c>
      <c r="E14" s="5" t="s">
        <v>1454</v>
      </c>
    </row>
    <row r="16" spans="1:11" x14ac:dyDescent="0.25">
      <c r="D16" s="351"/>
    </row>
    <row r="17" spans="1:8" x14ac:dyDescent="0.25">
      <c r="A17" s="1"/>
      <c r="B17" s="1" t="s">
        <v>37</v>
      </c>
      <c r="D17" s="1" t="s">
        <v>691</v>
      </c>
    </row>
    <row r="18" spans="1:8" x14ac:dyDescent="0.25">
      <c r="A18" s="1"/>
      <c r="B18" t="s">
        <v>38</v>
      </c>
      <c r="D18" s="353" t="s">
        <v>687</v>
      </c>
      <c r="E18" s="353" t="s">
        <v>688</v>
      </c>
    </row>
    <row r="19" spans="1:8" x14ac:dyDescent="0.25">
      <c r="A19" s="1"/>
      <c r="B19" t="s">
        <v>658</v>
      </c>
    </row>
    <row r="20" spans="1:8" x14ac:dyDescent="0.25">
      <c r="A20" s="1"/>
      <c r="B20" t="s">
        <v>657</v>
      </c>
    </row>
    <row r="21" spans="1:8" x14ac:dyDescent="0.25">
      <c r="A21" s="1"/>
    </row>
    <row r="22" spans="1:8" x14ac:dyDescent="0.25">
      <c r="B22" s="1" t="s">
        <v>652</v>
      </c>
      <c r="D22" s="340"/>
    </row>
    <row r="23" spans="1:8" x14ac:dyDescent="0.25">
      <c r="B23" t="s">
        <v>689</v>
      </c>
    </row>
    <row r="24" spans="1:8" x14ac:dyDescent="0.25">
      <c r="B24" t="s">
        <v>646</v>
      </c>
      <c r="C24" s="360">
        <f>D9/D13</f>
        <v>14.545454545454545</v>
      </c>
    </row>
    <row r="25" spans="1:8" x14ac:dyDescent="0.25">
      <c r="B25" s="4" t="s">
        <v>637</v>
      </c>
      <c r="C25" t="s">
        <v>692</v>
      </c>
    </row>
    <row r="26" spans="1:8" x14ac:dyDescent="0.25">
      <c r="B26" s="4" t="s">
        <v>643</v>
      </c>
      <c r="C26" t="s">
        <v>690</v>
      </c>
    </row>
    <row r="27" spans="1:8" x14ac:dyDescent="0.25">
      <c r="B27" s="361" t="s">
        <v>693</v>
      </c>
      <c r="C27" s="1" t="str">
        <f>IF(AND(D11&gt;=100,hsrf2rout!C24&gt;6),"circuito com chamine",IF(AND(D11&lt;100,hsrf2rout!C24&gt;4),"circuito com chamine","circuito sem chamine"))</f>
        <v>circuito com chamine</v>
      </c>
    </row>
    <row r="31" spans="1:8" x14ac:dyDescent="0.25">
      <c r="A31" s="1" t="s">
        <v>15</v>
      </c>
      <c r="B31" s="1" t="s">
        <v>674</v>
      </c>
      <c r="G31" s="690" t="s">
        <v>641</v>
      </c>
      <c r="H31" s="690"/>
    </row>
    <row r="32" spans="1:8" x14ac:dyDescent="0.25">
      <c r="F32" s="528" t="s">
        <v>1147</v>
      </c>
    </row>
    <row r="33" spans="1:10" ht="18" x14ac:dyDescent="0.35">
      <c r="A33" s="524"/>
      <c r="B33" t="s">
        <v>1417</v>
      </c>
      <c r="D33" s="22">
        <f>ROUNDUP(D5-E36+2*E37+E38,0)</f>
        <v>1585</v>
      </c>
      <c r="E33" t="s">
        <v>1</v>
      </c>
      <c r="F33" s="5" t="s">
        <v>628</v>
      </c>
    </row>
    <row r="34" spans="1:10" x14ac:dyDescent="0.25">
      <c r="D34" s="22"/>
      <c r="F34" s="5" t="s">
        <v>694</v>
      </c>
    </row>
    <row r="35" spans="1:10" ht="18" x14ac:dyDescent="0.35">
      <c r="A35" s="524"/>
      <c r="B35" s="4" t="s">
        <v>1418</v>
      </c>
      <c r="C35" t="s">
        <v>1193</v>
      </c>
      <c r="J35" s="3"/>
    </row>
    <row r="36" spans="1:10" ht="18.75" x14ac:dyDescent="0.35">
      <c r="B36" s="4" t="s">
        <v>10</v>
      </c>
      <c r="C36" t="s">
        <v>11</v>
      </c>
      <c r="D36" t="s">
        <v>1452</v>
      </c>
      <c r="E36" s="22">
        <f>0.8*1.76*E37^0.5</f>
        <v>6.467804479532699</v>
      </c>
      <c r="F36" t="s">
        <v>1</v>
      </c>
      <c r="G36" s="5" t="s">
        <v>1579</v>
      </c>
      <c r="H36" s="344">
        <f>hsrf2intk!B16</f>
        <v>6.0539947990571328</v>
      </c>
      <c r="I36" s="5" t="s">
        <v>1</v>
      </c>
    </row>
    <row r="37" spans="1:10" ht="18.75" x14ac:dyDescent="0.35">
      <c r="B37" s="4" t="s">
        <v>1442</v>
      </c>
      <c r="C37" t="s">
        <v>31</v>
      </c>
      <c r="D37" t="s">
        <v>1455</v>
      </c>
      <c r="E37" s="22">
        <f>((D14/1.76)/0.8927)^0.5</f>
        <v>21.10126326907487</v>
      </c>
      <c r="F37" t="s">
        <v>1</v>
      </c>
      <c r="G37" s="5" t="s">
        <v>1381</v>
      </c>
      <c r="H37" s="344">
        <f>hsrf2tunl!F37</f>
        <v>20.159932032420912</v>
      </c>
      <c r="I37" s="5" t="s">
        <v>1</v>
      </c>
    </row>
    <row r="38" spans="1:10" ht="18" x14ac:dyDescent="0.35">
      <c r="A38" s="524"/>
      <c r="B38" s="4" t="s">
        <v>843</v>
      </c>
      <c r="C38" t="s">
        <v>12</v>
      </c>
      <c r="D38" t="s">
        <v>713</v>
      </c>
      <c r="E38" s="535">
        <f>IF(iohsrf2!B29=1,iohsrf2!B30,VLOOKUP(iohsrf2!B33,I3:K5,2,FALSE))</f>
        <v>1</v>
      </c>
      <c r="F38" t="s">
        <v>1</v>
      </c>
    </row>
    <row r="40" spans="1:10" x14ac:dyDescent="0.25">
      <c r="A40" s="1" t="s">
        <v>33</v>
      </c>
      <c r="B40" s="1" t="s">
        <v>675</v>
      </c>
      <c r="F40" s="528" t="s">
        <v>1147</v>
      </c>
    </row>
    <row r="41" spans="1:10" x14ac:dyDescent="0.25">
      <c r="F41" s="5" t="s">
        <v>628</v>
      </c>
    </row>
    <row r="42" spans="1:10" ht="18" x14ac:dyDescent="0.35">
      <c r="B42" t="s">
        <v>1440</v>
      </c>
      <c r="D42" s="22">
        <f>IF(C27="circuito com chamine",ROUNDUP(E44+E55+E56,0),0)</f>
        <v>1577</v>
      </c>
      <c r="E42" t="s">
        <v>1</v>
      </c>
      <c r="F42" s="319" t="str">
        <f>IF(D42=0,"Definir traçado mais curto entre CN1 e CN2","Definir ponto de inflexão do traçado com elevação CN2")</f>
        <v>Definir ponto de inflexão do traçado com elevação CN2</v>
      </c>
    </row>
    <row r="44" spans="1:10" ht="18" x14ac:dyDescent="0.35">
      <c r="B44" s="4" t="s">
        <v>1419</v>
      </c>
      <c r="C44" t="s">
        <v>633</v>
      </c>
      <c r="D44" t="s">
        <v>1433</v>
      </c>
      <c r="E44" s="23">
        <f>D5-2/3*(E45+E46)+E47</f>
        <v>1574.3612413928201</v>
      </c>
      <c r="F44" t="s">
        <v>1</v>
      </c>
      <c r="G44" s="5" t="s">
        <v>1578</v>
      </c>
      <c r="H44" s="344">
        <f>hsrf2stnk!B22</f>
        <v>1552.9833900704273</v>
      </c>
      <c r="I44" s="5" t="s">
        <v>1</v>
      </c>
      <c r="J44" s="5"/>
    </row>
    <row r="45" spans="1:10" ht="18.75" x14ac:dyDescent="0.35">
      <c r="B45" s="4" t="s">
        <v>1424</v>
      </c>
      <c r="C45" t="s">
        <v>634</v>
      </c>
      <c r="D45" t="s">
        <v>722</v>
      </c>
      <c r="E45" s="22">
        <f>0.2*1.76^2/(2*9.81)</f>
        <v>3.1575942915392459E-2</v>
      </c>
      <c r="F45" t="s">
        <v>1</v>
      </c>
      <c r="G45" s="5" t="s">
        <v>1580</v>
      </c>
      <c r="H45" s="345">
        <f>hsrf2stnk!B9</f>
        <v>4.6942506962509678E-2</v>
      </c>
      <c r="I45" s="5" t="s">
        <v>1</v>
      </c>
      <c r="J45" s="5"/>
    </row>
    <row r="46" spans="1:10" ht="18" x14ac:dyDescent="0.35">
      <c r="B46" s="4" t="s">
        <v>1425</v>
      </c>
      <c r="C46" t="s">
        <v>635</v>
      </c>
      <c r="D46" t="s">
        <v>1585</v>
      </c>
      <c r="E46" s="535">
        <f>1.5/100*(((D5+D6)/2)-((D7+D8)/2))</f>
        <v>2.0625</v>
      </c>
      <c r="F46" t="s">
        <v>1</v>
      </c>
      <c r="G46" s="5" t="s">
        <v>1581</v>
      </c>
      <c r="H46" s="345">
        <f>hsrf2stnk!B10</f>
        <v>5.2692427322887196E-2</v>
      </c>
      <c r="I46" s="5" t="s">
        <v>1</v>
      </c>
      <c r="J46" s="5"/>
    </row>
    <row r="47" spans="1:10" ht="18" x14ac:dyDescent="0.35">
      <c r="B47" s="4" t="s">
        <v>1421</v>
      </c>
      <c r="C47" t="s">
        <v>636</v>
      </c>
      <c r="D47" s="2" t="s">
        <v>723</v>
      </c>
      <c r="E47" s="23">
        <f>2.2*((D9*E50)/(9.81*E51))^0.5</f>
        <v>27.757292021430512</v>
      </c>
      <c r="F47" t="s">
        <v>1</v>
      </c>
      <c r="G47" s="5" t="s">
        <v>1582</v>
      </c>
      <c r="H47" s="344">
        <f>hsrf2stnk!B21</f>
        <v>5.0498133599508925</v>
      </c>
      <c r="I47" s="5" t="s">
        <v>1</v>
      </c>
      <c r="J47" s="5"/>
    </row>
    <row r="48" spans="1:10" x14ac:dyDescent="0.25">
      <c r="H48" s="344"/>
      <c r="I48" s="5"/>
      <c r="J48" s="5"/>
    </row>
    <row r="49" spans="1:10" x14ac:dyDescent="0.25">
      <c r="H49" s="344"/>
      <c r="I49" s="5"/>
      <c r="J49" s="5"/>
    </row>
    <row r="50" spans="1:10" ht="18.75" x14ac:dyDescent="0.35">
      <c r="B50" s="24" t="s">
        <v>1422</v>
      </c>
      <c r="C50" t="s">
        <v>638</v>
      </c>
      <c r="D50" t="s">
        <v>1423</v>
      </c>
      <c r="E50" s="23">
        <f>0.8927*E37^2</f>
        <v>397.4865582214066</v>
      </c>
      <c r="F50" t="s">
        <v>112</v>
      </c>
      <c r="H50" s="344"/>
      <c r="I50" s="5"/>
      <c r="J50" s="5"/>
    </row>
    <row r="51" spans="1:10" ht="18" x14ac:dyDescent="0.35">
      <c r="B51" s="24" t="s">
        <v>1420</v>
      </c>
      <c r="C51" t="s">
        <v>639</v>
      </c>
      <c r="E51" s="22">
        <f>1.25*1.76^2/(2*9.81)*(D9*E50)/((E53-E45-E46)*(E45+E46))</f>
        <v>509.06660468131565</v>
      </c>
      <c r="F51" t="s">
        <v>112</v>
      </c>
      <c r="G51" s="5" t="s">
        <v>1583</v>
      </c>
      <c r="H51" s="344">
        <f>hsrf2stnk!B19</f>
        <v>667.88130540568716</v>
      </c>
      <c r="I51" s="5" t="s">
        <v>112</v>
      </c>
      <c r="J51" s="5"/>
    </row>
    <row r="52" spans="1:10" x14ac:dyDescent="0.25">
      <c r="H52" s="344"/>
      <c r="I52" s="5"/>
      <c r="J52" s="5"/>
    </row>
    <row r="53" spans="1:10" ht="18" x14ac:dyDescent="0.35">
      <c r="A53" s="524"/>
      <c r="B53" s="347" t="s">
        <v>1426</v>
      </c>
      <c r="C53" t="s">
        <v>640</v>
      </c>
      <c r="D53" t="s">
        <v>1456</v>
      </c>
      <c r="E53" s="22">
        <f>D6-(D7-E64)</f>
        <v>149.26491050019854</v>
      </c>
      <c r="F53" t="s">
        <v>1</v>
      </c>
      <c r="G53" s="5" t="s">
        <v>1584</v>
      </c>
      <c r="H53" s="344">
        <f>hsrf2stnk!B12-hsrf2stnk!B13</f>
        <v>160.06244788509935</v>
      </c>
      <c r="I53" s="5" t="s">
        <v>1</v>
      </c>
      <c r="J53" s="5"/>
    </row>
    <row r="54" spans="1:10" ht="18" x14ac:dyDescent="0.35">
      <c r="A54" s="524"/>
      <c r="B54" s="347"/>
      <c r="D54" t="s">
        <v>1453</v>
      </c>
      <c r="H54" s="344"/>
      <c r="I54" s="5"/>
      <c r="J54" s="5"/>
    </row>
    <row r="55" spans="1:10" ht="18" x14ac:dyDescent="0.35">
      <c r="B55" s="4" t="s">
        <v>1441</v>
      </c>
      <c r="C55" t="s">
        <v>632</v>
      </c>
      <c r="D55" t="s">
        <v>563</v>
      </c>
      <c r="E55">
        <v>2</v>
      </c>
      <c r="F55" t="s">
        <v>1</v>
      </c>
    </row>
    <row r="56" spans="1:10" ht="18" x14ac:dyDescent="0.35">
      <c r="A56" s="524"/>
      <c r="B56" s="4" t="s">
        <v>843</v>
      </c>
      <c r="C56" t="s">
        <v>12</v>
      </c>
      <c r="D56" t="s">
        <v>713</v>
      </c>
      <c r="E56" s="535">
        <f>iohsrf2!B3</f>
        <v>0.5</v>
      </c>
      <c r="F56" t="s">
        <v>1</v>
      </c>
    </row>
    <row r="58" spans="1:10" x14ac:dyDescent="0.25">
      <c r="A58" s="1" t="s">
        <v>624</v>
      </c>
      <c r="B58" s="1" t="s">
        <v>676</v>
      </c>
    </row>
    <row r="60" spans="1:10" ht="18" x14ac:dyDescent="0.35">
      <c r="B60" t="s">
        <v>1445</v>
      </c>
      <c r="D60" s="22">
        <f>ROUNDUP(E63+5/2*E64+E65,0)</f>
        <v>1437</v>
      </c>
      <c r="E60" t="s">
        <v>1</v>
      </c>
      <c r="F60" s="5" t="s">
        <v>628</v>
      </c>
    </row>
    <row r="61" spans="1:10" x14ac:dyDescent="0.25">
      <c r="D61" s="22"/>
      <c r="F61" s="5"/>
    </row>
    <row r="62" spans="1:10" x14ac:dyDescent="0.25">
      <c r="G62" s="352"/>
      <c r="H62" s="578"/>
    </row>
    <row r="63" spans="1:10" ht="18" x14ac:dyDescent="0.35">
      <c r="B63" s="4" t="s">
        <v>625</v>
      </c>
      <c r="C63" t="s">
        <v>626</v>
      </c>
      <c r="D63" t="s">
        <v>1434</v>
      </c>
      <c r="E63" s="22">
        <f>D8-E64</f>
        <v>1383.7350894998015</v>
      </c>
      <c r="F63" t="s">
        <v>1</v>
      </c>
      <c r="G63" s="5" t="s">
        <v>1382</v>
      </c>
      <c r="H63" s="570">
        <f>hsrf2pwh!B34</f>
        <v>1377.9375521149007</v>
      </c>
      <c r="I63" s="5" t="s">
        <v>1</v>
      </c>
      <c r="J63" s="5"/>
    </row>
    <row r="64" spans="1:10" ht="18.75" x14ac:dyDescent="0.35">
      <c r="A64" s="524"/>
      <c r="B64" s="4" t="s">
        <v>1443</v>
      </c>
      <c r="C64" t="s">
        <v>1146</v>
      </c>
      <c r="D64" t="s">
        <v>1446</v>
      </c>
      <c r="E64" s="22">
        <f>(4/PI()*D14/2.4)^0.5</f>
        <v>19.2649105001985</v>
      </c>
      <c r="F64" t="s">
        <v>1</v>
      </c>
      <c r="G64" s="528" t="s">
        <v>6</v>
      </c>
      <c r="H64" s="5"/>
      <c r="I64" s="5"/>
    </row>
    <row r="65" spans="1:9" ht="18" x14ac:dyDescent="0.35">
      <c r="B65" s="4" t="s">
        <v>843</v>
      </c>
      <c r="C65" t="s">
        <v>12</v>
      </c>
      <c r="D65" t="s">
        <v>713</v>
      </c>
      <c r="E65" s="535">
        <f>IF(iohsrf2!B40=1,iohsrf2!B41,VLOOKUP(iohsrf2!B44,I3:K5,3,FALSE))</f>
        <v>5</v>
      </c>
      <c r="F65" t="s">
        <v>1</v>
      </c>
    </row>
    <row r="66" spans="1:9" x14ac:dyDescent="0.25">
      <c r="B66" s="4"/>
    </row>
    <row r="67" spans="1:9" x14ac:dyDescent="0.25">
      <c r="A67" t="s">
        <v>901</v>
      </c>
      <c r="B67" s="1" t="s">
        <v>1435</v>
      </c>
    </row>
    <row r="69" spans="1:9" x14ac:dyDescent="0.25">
      <c r="C69" t="s">
        <v>902</v>
      </c>
      <c r="D69" t="s">
        <v>1437</v>
      </c>
      <c r="E69" s="23">
        <f>2*(D13)</f>
        <v>275</v>
      </c>
      <c r="F69" t="s">
        <v>1</v>
      </c>
      <c r="H69" s="380"/>
    </row>
    <row r="70" spans="1:9" ht="18" x14ac:dyDescent="0.35">
      <c r="A70" s="524"/>
      <c r="C70" t="s">
        <v>1148</v>
      </c>
      <c r="D70" t="s">
        <v>1513</v>
      </c>
      <c r="E70" s="561">
        <f>0.8*D13+D8-E64-E73/2+E56</f>
        <v>1485.7702227221562</v>
      </c>
      <c r="F70" t="s">
        <v>1</v>
      </c>
      <c r="H70" s="380"/>
    </row>
    <row r="71" spans="1:9" ht="18" x14ac:dyDescent="0.35">
      <c r="A71" s="524"/>
      <c r="C71" s="355" t="s">
        <v>1149</v>
      </c>
      <c r="D71" s="355" t="s">
        <v>1444</v>
      </c>
      <c r="E71" s="561">
        <f>D8+3*E64+E56</f>
        <v>1461.2947315005954</v>
      </c>
      <c r="F71" t="s">
        <v>1</v>
      </c>
      <c r="G71" s="5" t="s">
        <v>1436</v>
      </c>
      <c r="H71" s="345">
        <f>2*hsrf2pwh!B53+D8</f>
        <v>1457.6425493288734</v>
      </c>
      <c r="I71" s="5" t="s">
        <v>1</v>
      </c>
    </row>
    <row r="72" spans="1:9" x14ac:dyDescent="0.25">
      <c r="E72" s="23"/>
      <c r="G72" s="355" t="s">
        <v>1150</v>
      </c>
      <c r="H72" s="380"/>
    </row>
    <row r="73" spans="1:9" ht="18.75" x14ac:dyDescent="0.35">
      <c r="B73" s="4" t="s">
        <v>1449</v>
      </c>
      <c r="C73" s="460" t="s">
        <v>1448</v>
      </c>
      <c r="D73" t="s">
        <v>1447</v>
      </c>
      <c r="E73" s="22">
        <f>1.2+(4/PI()*D14/3.6)^0.5</f>
        <v>16.929733555290724</v>
      </c>
      <c r="F73" t="s">
        <v>1</v>
      </c>
    </row>
    <row r="74" spans="1:9" x14ac:dyDescent="0.25">
      <c r="C74" s="5"/>
    </row>
    <row r="75" spans="1:9" x14ac:dyDescent="0.25">
      <c r="C75" s="5"/>
    </row>
    <row r="76" spans="1:9" x14ac:dyDescent="0.25">
      <c r="C76" s="5"/>
      <c r="D76" s="5"/>
    </row>
    <row r="77" spans="1:9" x14ac:dyDescent="0.25">
      <c r="C77" s="5"/>
      <c r="D77" s="5"/>
    </row>
    <row r="78" spans="1:9" x14ac:dyDescent="0.25">
      <c r="C78" s="5"/>
      <c r="D78" s="5"/>
    </row>
    <row r="79" spans="1:9" x14ac:dyDescent="0.25">
      <c r="C79" s="5"/>
      <c r="D79" s="5"/>
    </row>
    <row r="80" spans="1:9" x14ac:dyDescent="0.25">
      <c r="C80" s="5"/>
      <c r="D80" s="5"/>
    </row>
  </sheetData>
  <mergeCells count="2">
    <mergeCell ref="G31:H31"/>
    <mergeCell ref="J1:K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1027" r:id="rId4">
          <objectPr defaultSize="0" autoLine="0" autoPict="0" r:id="rId5">
            <anchor moveWithCells="1">
              <from>
                <xdr:col>3</xdr:col>
                <xdr:colOff>1123950</xdr:colOff>
                <xdr:row>46</xdr:row>
                <xdr:rowOff>9525</xdr:rowOff>
              </from>
              <to>
                <xdr:col>3</xdr:col>
                <xdr:colOff>2647950</xdr:colOff>
                <xdr:row>47</xdr:row>
                <xdr:rowOff>161925</xdr:rowOff>
              </to>
            </anchor>
          </objectPr>
        </oleObject>
      </mc:Choice>
      <mc:Fallback>
        <oleObject progId="Equation.2" shapeId="1027" r:id="rId4"/>
      </mc:Fallback>
    </mc:AlternateContent>
    <mc:AlternateContent xmlns:mc="http://schemas.openxmlformats.org/markup-compatibility/2006">
      <mc:Choice Requires="x14">
        <oleObject progId="Equation.2" shapeId="1028" r:id="rId6">
          <objectPr defaultSize="0" autoLine="0" autoPict="0" r:id="rId7">
            <anchor moveWithCells="1">
              <from>
                <xdr:col>3</xdr:col>
                <xdr:colOff>0</xdr:colOff>
                <xdr:row>49</xdr:row>
                <xdr:rowOff>209550</xdr:rowOff>
              </from>
              <to>
                <xdr:col>3</xdr:col>
                <xdr:colOff>2609850</xdr:colOff>
                <xdr:row>51</xdr:row>
                <xdr:rowOff>123825</xdr:rowOff>
              </to>
            </anchor>
          </objectPr>
        </oleObject>
      </mc:Choice>
      <mc:Fallback>
        <oleObject progId="Equation.2" shapeId="1028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C6E1-7BAD-43BB-95EF-7A2BB8F40D73}">
  <dimension ref="A1:K130"/>
  <sheetViews>
    <sheetView topLeftCell="A4" workbookViewId="0">
      <selection activeCell="B9" sqref="B9"/>
    </sheetView>
  </sheetViews>
  <sheetFormatPr defaultRowHeight="15" x14ac:dyDescent="0.25"/>
  <cols>
    <col min="1" max="1" width="65.5703125" style="446" bestFit="1" customWidth="1"/>
    <col min="2" max="2" width="12.7109375" style="586" bestFit="1" customWidth="1"/>
    <col min="3" max="3" width="2.7109375" style="446" customWidth="1"/>
    <col min="4" max="4" width="12.42578125" style="446" bestFit="1" customWidth="1"/>
    <col min="5" max="6" width="2.7109375" style="446" customWidth="1"/>
    <col min="7" max="16384" width="9.140625" style="446"/>
  </cols>
  <sheetData>
    <row r="1" spans="1:4" x14ac:dyDescent="0.25">
      <c r="A1" s="595" t="s">
        <v>1301</v>
      </c>
    </row>
    <row r="3" spans="1:4" x14ac:dyDescent="0.25">
      <c r="A3" s="596" t="s">
        <v>1162</v>
      </c>
    </row>
    <row r="5" spans="1:4" ht="18" x14ac:dyDescent="0.35">
      <c r="A5" s="587" t="s">
        <v>1260</v>
      </c>
      <c r="B5" s="588">
        <f>iohsrf2!B25</f>
        <v>1548</v>
      </c>
    </row>
    <row r="6" spans="1:4" ht="18" x14ac:dyDescent="0.35">
      <c r="A6" s="587" t="s">
        <v>1261</v>
      </c>
      <c r="B6" s="588">
        <f>iohsrf2!B26</f>
        <v>1538</v>
      </c>
    </row>
    <row r="7" spans="1:4" x14ac:dyDescent="0.25">
      <c r="A7" s="587" t="s">
        <v>1282</v>
      </c>
      <c r="B7" s="588">
        <f>iohsrf2!B27</f>
        <v>1550</v>
      </c>
    </row>
    <row r="8" spans="1:4" x14ac:dyDescent="0.25">
      <c r="A8" s="587" t="s">
        <v>1281</v>
      </c>
      <c r="B8" s="588">
        <f>iohsrf2!B28</f>
        <v>4</v>
      </c>
    </row>
    <row r="9" spans="1:4" ht="18" x14ac:dyDescent="0.35">
      <c r="A9" s="587" t="s">
        <v>1392</v>
      </c>
      <c r="B9" s="588">
        <f>hsrf2pwh!C16*hsrf2pwh!B10</f>
        <v>684.99224053098374</v>
      </c>
      <c r="D9" s="5"/>
    </row>
    <row r="10" spans="1:4" ht="18" x14ac:dyDescent="0.35">
      <c r="A10" s="589" t="s">
        <v>1380</v>
      </c>
      <c r="B10" s="588">
        <f>hsrf2tunl!F37^2</f>
        <v>406.42285955183075</v>
      </c>
    </row>
    <row r="11" spans="1:4" x14ac:dyDescent="0.25">
      <c r="A11" s="587" t="s">
        <v>1264</v>
      </c>
      <c r="B11" s="588">
        <v>0.8</v>
      </c>
    </row>
    <row r="13" spans="1:4" x14ac:dyDescent="0.25">
      <c r="A13" s="597" t="s">
        <v>1268</v>
      </c>
    </row>
    <row r="15" spans="1:4" ht="18" x14ac:dyDescent="0.35">
      <c r="A15" s="587" t="s">
        <v>1393</v>
      </c>
      <c r="B15" s="588">
        <f>B9/B10</f>
        <v>1.6854176000000001</v>
      </c>
      <c r="D15" s="5" t="s">
        <v>1271</v>
      </c>
    </row>
    <row r="16" spans="1:4" ht="18.75" x14ac:dyDescent="0.35">
      <c r="A16" s="587" t="s">
        <v>1390</v>
      </c>
      <c r="B16" s="588">
        <f>B11*B15*hsrf2tunl!F37^0.5</f>
        <v>6.0539947990571328</v>
      </c>
    </row>
    <row r="17" spans="1:4" ht="18" x14ac:dyDescent="0.35">
      <c r="A17" s="589" t="s">
        <v>1272</v>
      </c>
      <c r="B17" s="588">
        <f>B6-B16</f>
        <v>1531.9460052009429</v>
      </c>
    </row>
    <row r="18" spans="1:4" ht="18" x14ac:dyDescent="0.35">
      <c r="A18" s="589" t="s">
        <v>1391</v>
      </c>
      <c r="B18" s="588">
        <f>0.2*B15^2/2/9.81</f>
        <v>2.8956498332209583E-2</v>
      </c>
    </row>
    <row r="20" spans="1:4" x14ac:dyDescent="0.25">
      <c r="A20" s="598" t="s">
        <v>1270</v>
      </c>
    </row>
    <row r="22" spans="1:4" ht="18" x14ac:dyDescent="0.35">
      <c r="A22" s="587" t="s">
        <v>1276</v>
      </c>
      <c r="B22" s="590">
        <v>1</v>
      </c>
      <c r="D22" s="5" t="s">
        <v>1271</v>
      </c>
    </row>
    <row r="23" spans="1:4" ht="18" x14ac:dyDescent="0.35">
      <c r="A23" s="589" t="s">
        <v>1273</v>
      </c>
      <c r="B23" s="588">
        <f>(B10)^0.5</f>
        <v>20.159932032420912</v>
      </c>
      <c r="D23" s="5" t="s">
        <v>1271</v>
      </c>
    </row>
    <row r="24" spans="1:4" ht="18" x14ac:dyDescent="0.35">
      <c r="A24" s="589" t="s">
        <v>1274</v>
      </c>
      <c r="B24" s="588">
        <f>(B10)/B23</f>
        <v>20.159932032420912</v>
      </c>
      <c r="D24" s="5" t="s">
        <v>1271</v>
      </c>
    </row>
    <row r="25" spans="1:4" ht="18" x14ac:dyDescent="0.35">
      <c r="A25" s="589" t="s">
        <v>1265</v>
      </c>
      <c r="B25" s="588">
        <f>B17-B24</f>
        <v>1511.7860731685219</v>
      </c>
    </row>
    <row r="27" spans="1:4" ht="18" x14ac:dyDescent="0.35">
      <c r="A27" s="587" t="s">
        <v>1277</v>
      </c>
      <c r="B27" s="588">
        <f>B7-B25+2.5</f>
        <v>40.713926831478148</v>
      </c>
    </row>
    <row r="28" spans="1:4" ht="18" x14ac:dyDescent="0.35">
      <c r="A28" s="589" t="s">
        <v>1278</v>
      </c>
      <c r="B28" s="588">
        <f>1.2*B23+1.2</f>
        <v>25.391918438905094</v>
      </c>
    </row>
    <row r="29" spans="1:4" ht="18" x14ac:dyDescent="0.35">
      <c r="A29" s="589" t="s">
        <v>1279</v>
      </c>
      <c r="B29" s="588">
        <f>B22*B28+2*2</f>
        <v>29.391918438905094</v>
      </c>
    </row>
    <row r="30" spans="1:4" ht="18" x14ac:dyDescent="0.35">
      <c r="A30" s="589" t="s">
        <v>1280</v>
      </c>
      <c r="B30" s="588">
        <f>0.2*B27+B8</f>
        <v>12.14278536629563</v>
      </c>
      <c r="D30" s="5" t="s">
        <v>1271</v>
      </c>
    </row>
    <row r="32" spans="1:4" x14ac:dyDescent="0.25">
      <c r="A32" s="598" t="s">
        <v>1388</v>
      </c>
      <c r="D32" s="5" t="s">
        <v>1283</v>
      </c>
    </row>
    <row r="33" spans="1:4" x14ac:dyDescent="0.25">
      <c r="A33" s="466"/>
      <c r="D33" s="5"/>
    </row>
    <row r="34" spans="1:4" x14ac:dyDescent="0.25">
      <c r="A34" s="599" t="s">
        <v>1389</v>
      </c>
      <c r="D34" s="5"/>
    </row>
    <row r="35" spans="1:4" x14ac:dyDescent="0.25">
      <c r="A35" s="466"/>
      <c r="D35" s="5"/>
    </row>
    <row r="36" spans="1:4" x14ac:dyDescent="0.25">
      <c r="A36" s="600" t="s">
        <v>1058</v>
      </c>
      <c r="B36" s="601"/>
      <c r="D36" s="5"/>
    </row>
    <row r="37" spans="1:4" x14ac:dyDescent="0.25">
      <c r="A37" s="602" t="s">
        <v>1207</v>
      </c>
      <c r="B37" s="603">
        <f>B5</f>
        <v>1548</v>
      </c>
      <c r="D37" s="5"/>
    </row>
    <row r="38" spans="1:4" x14ac:dyDescent="0.25">
      <c r="A38" s="602" t="s">
        <v>1208</v>
      </c>
      <c r="B38" s="603"/>
      <c r="D38" s="5"/>
    </row>
    <row r="39" spans="1:4" x14ac:dyDescent="0.25">
      <c r="A39" s="602" t="s">
        <v>1209</v>
      </c>
      <c r="B39" s="603">
        <f>B7</f>
        <v>1550</v>
      </c>
      <c r="D39" s="5"/>
    </row>
    <row r="40" spans="1:4" x14ac:dyDescent="0.25">
      <c r="A40" s="602" t="s">
        <v>1210</v>
      </c>
      <c r="B40" s="603"/>
      <c r="D40" s="5"/>
    </row>
    <row r="41" spans="1:4" x14ac:dyDescent="0.25">
      <c r="A41" s="602" t="s">
        <v>1211</v>
      </c>
      <c r="B41" s="603">
        <f>B25</f>
        <v>1511.7860731685219</v>
      </c>
      <c r="D41" s="5"/>
    </row>
    <row r="42" spans="1:4" x14ac:dyDescent="0.25">
      <c r="A42" s="600" t="s">
        <v>1073</v>
      </c>
      <c r="B42" s="604"/>
      <c r="D42" s="5"/>
    </row>
    <row r="43" spans="1:4" ht="18" x14ac:dyDescent="0.35">
      <c r="A43" s="602" t="s">
        <v>1520</v>
      </c>
      <c r="B43" s="603">
        <f>B23</f>
        <v>20.159932032420912</v>
      </c>
      <c r="D43" s="5"/>
    </row>
    <row r="44" spans="1:4" ht="18" x14ac:dyDescent="0.35">
      <c r="A44" s="602" t="s">
        <v>1519</v>
      </c>
      <c r="B44" s="603">
        <f>B24</f>
        <v>20.159932032420912</v>
      </c>
      <c r="D44" s="5"/>
    </row>
    <row r="45" spans="1:4" x14ac:dyDescent="0.25">
      <c r="A45" s="5"/>
      <c r="B45" s="5"/>
      <c r="C45" s="5"/>
      <c r="D45" s="5"/>
    </row>
    <row r="46" spans="1:4" ht="18.75" x14ac:dyDescent="0.35">
      <c r="A46" s="600" t="s">
        <v>1521</v>
      </c>
      <c r="B46" s="681">
        <f>B43^2*B44*(B37-B41)/1000</f>
        <v>296.71726044252728</v>
      </c>
      <c r="C46" s="5"/>
      <c r="D46" s="5"/>
    </row>
    <row r="47" spans="1:4" x14ac:dyDescent="0.25">
      <c r="A47" s="769"/>
      <c r="B47" s="770"/>
      <c r="C47" s="5"/>
      <c r="D47" s="5"/>
    </row>
    <row r="48" spans="1:4" x14ac:dyDescent="0.25">
      <c r="A48" s="600" t="s">
        <v>1522</v>
      </c>
      <c r="B48" s="683"/>
      <c r="C48" s="5"/>
      <c r="D48" s="5"/>
    </row>
    <row r="49" spans="1:7" x14ac:dyDescent="0.25">
      <c r="A49" s="602" t="s">
        <v>1528</v>
      </c>
      <c r="B49" s="774">
        <f>2*B22*(B27-1)*2084.8</f>
        <v>165591.18931653129</v>
      </c>
      <c r="D49" s="5"/>
    </row>
    <row r="50" spans="1:7" x14ac:dyDescent="0.25">
      <c r="A50" s="602"/>
      <c r="B50" s="771"/>
      <c r="D50" s="5"/>
    </row>
    <row r="51" spans="1:7" x14ac:dyDescent="0.25">
      <c r="A51" s="600" t="s">
        <v>1309</v>
      </c>
      <c r="D51" s="5"/>
    </row>
    <row r="52" spans="1:7" x14ac:dyDescent="0.25">
      <c r="A52" s="600" t="s">
        <v>1232</v>
      </c>
      <c r="B52" s="591">
        <v>1</v>
      </c>
      <c r="D52" s="5" t="s">
        <v>1518</v>
      </c>
    </row>
    <row r="53" spans="1:7" x14ac:dyDescent="0.25">
      <c r="A53" s="600" t="s">
        <v>1217</v>
      </c>
      <c r="B53" s="604"/>
      <c r="D53" s="5"/>
      <c r="F53" s="5"/>
      <c r="G53" s="5"/>
    </row>
    <row r="54" spans="1:7" x14ac:dyDescent="0.25">
      <c r="A54" s="602" t="s">
        <v>1219</v>
      </c>
      <c r="B54" s="603"/>
      <c r="D54" s="5"/>
    </row>
    <row r="55" spans="1:7" x14ac:dyDescent="0.25">
      <c r="A55" s="602" t="s">
        <v>1220</v>
      </c>
      <c r="B55" s="603">
        <f>((2*B57)+1)</f>
        <v>41.619864064841821</v>
      </c>
      <c r="D55" s="5"/>
    </row>
    <row r="56" spans="1:7" x14ac:dyDescent="0.25">
      <c r="A56" s="600" t="s">
        <v>1221</v>
      </c>
      <c r="B56" s="604"/>
      <c r="D56" s="5"/>
    </row>
    <row r="57" spans="1:7" x14ac:dyDescent="0.25">
      <c r="A57" s="602" t="s">
        <v>1311</v>
      </c>
      <c r="B57" s="603">
        <f>B44+0.15</f>
        <v>20.30993203242091</v>
      </c>
      <c r="D57" s="5"/>
    </row>
    <row r="58" spans="1:7" x14ac:dyDescent="0.25">
      <c r="A58" s="602" t="s">
        <v>1312</v>
      </c>
      <c r="B58" s="603"/>
      <c r="D58" s="5"/>
    </row>
    <row r="59" spans="1:7" x14ac:dyDescent="0.25">
      <c r="A59" s="602" t="s">
        <v>1313</v>
      </c>
      <c r="B59" s="603">
        <f>B37-B41</f>
        <v>36.213926831478148</v>
      </c>
      <c r="D59" s="5"/>
    </row>
    <row r="60" spans="1:7" x14ac:dyDescent="0.25">
      <c r="A60" s="600" t="s">
        <v>1222</v>
      </c>
      <c r="B60" s="604"/>
      <c r="D60" s="5"/>
    </row>
    <row r="61" spans="1:7" x14ac:dyDescent="0.25">
      <c r="A61" s="602" t="s">
        <v>1314</v>
      </c>
      <c r="B61" s="603">
        <f>B43+0.6</f>
        <v>20.759932032420913</v>
      </c>
      <c r="D61" s="5"/>
    </row>
    <row r="62" spans="1:7" x14ac:dyDescent="0.25">
      <c r="A62" s="600" t="s">
        <v>1060</v>
      </c>
      <c r="B62" s="604"/>
      <c r="D62" s="5"/>
    </row>
    <row r="63" spans="1:7" x14ac:dyDescent="0.25">
      <c r="A63" s="602" t="s">
        <v>1315</v>
      </c>
      <c r="B63" s="603">
        <f>((100*((2*B61)+(B55)))+(((B59)^2)*(B61^2)*B57*0.0125))/(1000)</f>
        <v>151.8039535288371</v>
      </c>
      <c r="D63" s="5"/>
    </row>
    <row r="64" spans="1:7" x14ac:dyDescent="0.25">
      <c r="A64" s="602" t="s">
        <v>1316</v>
      </c>
      <c r="B64" s="603">
        <f>(((((B43)^2)*B57*(B59))^0.7)*0.1019*0.706)</f>
        <v>489.63498032194815</v>
      </c>
      <c r="D64" s="5"/>
    </row>
    <row r="65" spans="1:4" x14ac:dyDescent="0.25">
      <c r="A65" s="600" t="s">
        <v>1522</v>
      </c>
      <c r="B65" s="683"/>
      <c r="D65" s="537"/>
    </row>
    <row r="66" spans="1:4" x14ac:dyDescent="0.25">
      <c r="A66" s="602" t="s">
        <v>1525</v>
      </c>
      <c r="B66" s="684">
        <f>ROUND(0.4999999+B46/125.39,0)</f>
        <v>3</v>
      </c>
      <c r="D66" s="537"/>
    </row>
    <row r="67" spans="1:4" ht="18.75" x14ac:dyDescent="0.35">
      <c r="A67" s="602" t="s">
        <v>1523</v>
      </c>
      <c r="B67" s="681">
        <f>B46/B66</f>
        <v>98.905753480842421</v>
      </c>
      <c r="D67" s="537"/>
    </row>
    <row r="68" spans="1:4" x14ac:dyDescent="0.25">
      <c r="A68" s="602" t="s">
        <v>1524</v>
      </c>
      <c r="B68" s="603">
        <f>IF(AND(B67&gt;=0,B67&lt;=125.39),(IF(B67&lt;=9.17,(-4.3986*B67^2+124.79*B67+110.2)*1000,(-0.128*B67^2+57.311*B67+369.83)*1000) ),"O parametro z esta fora da validade da curva.")*B66</f>
        <v>14358231.253722224</v>
      </c>
      <c r="D68" s="537"/>
    </row>
    <row r="69" spans="1:4" x14ac:dyDescent="0.25">
      <c r="D69" s="5"/>
    </row>
    <row r="70" spans="1:4" x14ac:dyDescent="0.25">
      <c r="A70" s="600" t="s">
        <v>1206</v>
      </c>
      <c r="B70" s="592"/>
      <c r="D70" s="5"/>
    </row>
    <row r="71" spans="1:4" x14ac:dyDescent="0.25">
      <c r="A71" s="600" t="s">
        <v>1232</v>
      </c>
      <c r="B71" s="605">
        <v>1</v>
      </c>
      <c r="D71" s="5" t="s">
        <v>1518</v>
      </c>
    </row>
    <row r="72" spans="1:4" x14ac:dyDescent="0.25">
      <c r="A72" s="600" t="s">
        <v>1218</v>
      </c>
      <c r="B72" s="603">
        <v>2</v>
      </c>
      <c r="D72" s="5"/>
    </row>
    <row r="73" spans="1:4" x14ac:dyDescent="0.25">
      <c r="A73" s="600" t="s">
        <v>1215</v>
      </c>
      <c r="B73" s="603">
        <f>TRUNC(B44/B72)+1</f>
        <v>11</v>
      </c>
      <c r="D73" s="5"/>
    </row>
    <row r="74" spans="1:4" x14ac:dyDescent="0.25">
      <c r="A74" s="600" t="s">
        <v>1217</v>
      </c>
      <c r="B74" s="604"/>
      <c r="D74" s="5"/>
    </row>
    <row r="75" spans="1:4" x14ac:dyDescent="0.25">
      <c r="A75" s="602" t="s">
        <v>1219</v>
      </c>
      <c r="B75" s="603"/>
      <c r="D75" s="5"/>
    </row>
    <row r="76" spans="1:4" x14ac:dyDescent="0.25">
      <c r="A76" s="602" t="s">
        <v>1220</v>
      </c>
      <c r="B76" s="603">
        <f>B39-B41-1.5</f>
        <v>36.713926831478148</v>
      </c>
      <c r="D76" s="5"/>
    </row>
    <row r="77" spans="1:4" x14ac:dyDescent="0.25">
      <c r="A77" s="600" t="s">
        <v>1221</v>
      </c>
      <c r="B77" s="604"/>
      <c r="D77" s="5"/>
    </row>
    <row r="78" spans="1:4" x14ac:dyDescent="0.25">
      <c r="A78" s="602" t="s">
        <v>1311</v>
      </c>
      <c r="B78" s="603">
        <f>B44+0.15</f>
        <v>20.30993203242091</v>
      </c>
      <c r="D78" s="5"/>
    </row>
    <row r="79" spans="1:4" x14ac:dyDescent="0.25">
      <c r="A79" s="602" t="s">
        <v>1312</v>
      </c>
      <c r="B79" s="603">
        <f>B80-B78/2</f>
        <v>26.058960815267692</v>
      </c>
      <c r="D79" s="5"/>
    </row>
    <row r="80" spans="1:4" x14ac:dyDescent="0.25">
      <c r="A80" s="602" t="s">
        <v>1313</v>
      </c>
      <c r="B80" s="603">
        <f>B37-B41</f>
        <v>36.213926831478148</v>
      </c>
      <c r="D80" s="5"/>
    </row>
    <row r="81" spans="1:11" x14ac:dyDescent="0.25">
      <c r="A81" s="600" t="s">
        <v>1222</v>
      </c>
      <c r="B81" s="604"/>
      <c r="D81" s="5"/>
    </row>
    <row r="82" spans="1:11" x14ac:dyDescent="0.25">
      <c r="A82" s="602" t="s">
        <v>1314</v>
      </c>
      <c r="B82" s="603">
        <f>(B43+0.4)</f>
        <v>20.55993203242091</v>
      </c>
      <c r="D82" s="5"/>
    </row>
    <row r="83" spans="1:11" x14ac:dyDescent="0.25">
      <c r="A83" s="600" t="s">
        <v>1060</v>
      </c>
      <c r="B83" s="604"/>
      <c r="D83" s="5"/>
    </row>
    <row r="84" spans="1:11" x14ac:dyDescent="0.25">
      <c r="A84" s="602" t="s">
        <v>1315</v>
      </c>
      <c r="B84" s="603">
        <f>((100*((2*B82)+(B76)))+(((B80)^2)*(B82^2)*B78*0.005))/(1000)</f>
        <v>64.078799036133859</v>
      </c>
      <c r="D84" s="5"/>
    </row>
    <row r="85" spans="1:11" x14ac:dyDescent="0.25">
      <c r="A85" s="602" t="s">
        <v>1316</v>
      </c>
      <c r="B85" s="603">
        <f>((B78*B82/1000)*(((B79^0.5)*30.074)+((19.989+(1.113*B79))*B82)))</f>
        <v>484.71900670783072</v>
      </c>
      <c r="D85" s="5"/>
    </row>
    <row r="86" spans="1:11" x14ac:dyDescent="0.25">
      <c r="A86" s="602" t="s">
        <v>1317</v>
      </c>
      <c r="B86" s="603">
        <f>B85/B73</f>
        <v>44.065364246166432</v>
      </c>
      <c r="D86" s="5"/>
    </row>
    <row r="87" spans="1:11" x14ac:dyDescent="0.25">
      <c r="A87" s="600" t="s">
        <v>1522</v>
      </c>
      <c r="B87" s="683"/>
      <c r="D87" s="537"/>
    </row>
    <row r="88" spans="1:11" x14ac:dyDescent="0.25">
      <c r="A88" s="602" t="s">
        <v>1525</v>
      </c>
      <c r="B88" s="680">
        <f>ROUND(0.4999999+B46/54.43,0)</f>
        <v>6</v>
      </c>
      <c r="D88" s="537"/>
    </row>
    <row r="89" spans="1:11" ht="18.75" x14ac:dyDescent="0.35">
      <c r="A89" s="602" t="s">
        <v>1523</v>
      </c>
      <c r="B89" s="681">
        <f>B46/B88</f>
        <v>49.45287674042121</v>
      </c>
      <c r="D89" s="537"/>
    </row>
    <row r="90" spans="1:11" x14ac:dyDescent="0.25">
      <c r="A90" s="602" t="s">
        <v>1524</v>
      </c>
      <c r="B90" s="603">
        <f>IF(AND(B89&gt;=0,B89&lt;=54.43),1000*72.896*B89^0.716,"O parametro z esta fora da validade da curva.")*B88</f>
        <v>7143254.2051105592</v>
      </c>
      <c r="D90" s="537"/>
    </row>
    <row r="91" spans="1:11" x14ac:dyDescent="0.25">
      <c r="D91" s="5"/>
    </row>
    <row r="92" spans="1:11" x14ac:dyDescent="0.25">
      <c r="A92" s="600" t="s">
        <v>1226</v>
      </c>
      <c r="B92" s="601"/>
      <c r="C92" s="606"/>
      <c r="D92" s="5"/>
      <c r="G92" s="607" t="s">
        <v>1083</v>
      </c>
      <c r="H92" s="552"/>
      <c r="I92" s="552"/>
      <c r="J92" s="607" t="s">
        <v>1084</v>
      </c>
      <c r="K92" s="607"/>
    </row>
    <row r="93" spans="1:11" x14ac:dyDescent="0.25">
      <c r="A93" s="600" t="s">
        <v>1227</v>
      </c>
      <c r="B93" s="604"/>
      <c r="C93" s="608"/>
      <c r="D93" s="5"/>
      <c r="G93" s="607" t="s">
        <v>1086</v>
      </c>
      <c r="H93" s="607" t="s">
        <v>1060</v>
      </c>
      <c r="I93" s="552"/>
      <c r="J93" s="607" t="s">
        <v>8</v>
      </c>
      <c r="K93" s="607" t="s">
        <v>1060</v>
      </c>
    </row>
    <row r="94" spans="1:11" x14ac:dyDescent="0.25">
      <c r="A94" s="602" t="s">
        <v>1223</v>
      </c>
      <c r="B94" s="603">
        <f>1.1*B64</f>
        <v>538.59847835414303</v>
      </c>
      <c r="C94" s="608"/>
      <c r="D94" s="5"/>
      <c r="G94" s="609" t="s">
        <v>1089</v>
      </c>
      <c r="H94" s="609" t="s">
        <v>190</v>
      </c>
      <c r="I94" s="552"/>
      <c r="J94" s="609" t="s">
        <v>1089</v>
      </c>
      <c r="K94" s="609" t="s">
        <v>190</v>
      </c>
    </row>
    <row r="95" spans="1:11" x14ac:dyDescent="0.25">
      <c r="A95" s="602" t="s">
        <v>1224</v>
      </c>
      <c r="B95" s="603">
        <v>5</v>
      </c>
      <c r="C95" s="608"/>
      <c r="D95" s="5"/>
      <c r="G95" s="593">
        <v>5</v>
      </c>
      <c r="H95" s="594">
        <f>8.053996037+0.500809115*B94</f>
        <v>277.78902332188505</v>
      </c>
      <c r="I95" s="552"/>
      <c r="J95" s="593">
        <v>5</v>
      </c>
      <c r="K95" s="594">
        <f>-0.018874907+0.250814212*B94</f>
        <v>135.06927802579344</v>
      </c>
    </row>
    <row r="96" spans="1:11" x14ac:dyDescent="0.25">
      <c r="A96" s="602" t="s">
        <v>1225</v>
      </c>
      <c r="B96" s="603">
        <v>5</v>
      </c>
      <c r="C96" s="608"/>
      <c r="D96" s="5"/>
      <c r="G96" s="593">
        <v>10</v>
      </c>
      <c r="H96" s="594">
        <f>5.60006605+0.569848085*B94</f>
        <v>312.51937752402233</v>
      </c>
      <c r="I96" s="552"/>
      <c r="J96" s="593">
        <v>6</v>
      </c>
      <c r="K96" s="594">
        <f>-0.165278806+0.300675426*B94</f>
        <v>161.77804811608374</v>
      </c>
    </row>
    <row r="97" spans="1:11" x14ac:dyDescent="0.25">
      <c r="A97" s="600" t="s">
        <v>1060</v>
      </c>
      <c r="B97" s="604"/>
      <c r="C97" s="608"/>
      <c r="D97" s="5"/>
      <c r="G97" s="593">
        <v>15</v>
      </c>
      <c r="H97" s="594">
        <f>7.432298547+0.630713342*B94</f>
        <v>347.13354482585618</v>
      </c>
      <c r="I97" s="552"/>
      <c r="J97" s="593">
        <v>7</v>
      </c>
      <c r="K97" s="594">
        <f>-0.143628177+0.35121065*B94</f>
        <v>189.01789349476951</v>
      </c>
    </row>
    <row r="98" spans="1:11" x14ac:dyDescent="0.25">
      <c r="A98" s="602" t="s">
        <v>1229</v>
      </c>
      <c r="B98" s="603">
        <f>(VLOOKUP(B95+5,G95:H101,2)-VLOOKUP(B95,G95:H101,2))*(B95-(VLOOKUP(B95,G95:H101,1)))/5+VLOOKUP(B95,G95:H101,2)</f>
        <v>277.78902332188505</v>
      </c>
      <c r="C98" s="608"/>
      <c r="D98" s="5"/>
      <c r="G98" s="593">
        <v>20</v>
      </c>
      <c r="H98" s="594">
        <f>8.307959049+0.691964188*B94</f>
        <v>380.99881778136017</v>
      </c>
      <c r="I98" s="552"/>
      <c r="J98" s="593">
        <v>8</v>
      </c>
      <c r="K98" s="594">
        <f>-0.4215396+0.401517395*B94</f>
        <v>215.8351183797194</v>
      </c>
    </row>
    <row r="99" spans="1:11" x14ac:dyDescent="0.25">
      <c r="A99" s="602" t="s">
        <v>1230</v>
      </c>
      <c r="B99" s="603">
        <f>(VLOOKUP(B96+5,J95:K105,2)-VLOOKUP(B96,J95:K105,2))*(B96-(VLOOKUP(B96,J95:K105,1)))/5+VLOOKUP(B96,J95:K105,2)</f>
        <v>135.06927802579344</v>
      </c>
      <c r="C99" s="608"/>
      <c r="D99" s="5"/>
      <c r="G99" s="593">
        <v>25</v>
      </c>
      <c r="H99" s="594">
        <f>11.40042933+0.74151255*B94</f>
        <v>410.77796044050041</v>
      </c>
      <c r="I99" s="552"/>
      <c r="J99" s="593">
        <v>9</v>
      </c>
      <c r="K99" s="594">
        <f>-0.302152726+0.451841229*B94</f>
        <v>243.05884567106588</v>
      </c>
    </row>
    <row r="100" spans="1:11" x14ac:dyDescent="0.25">
      <c r="A100" s="600" t="s">
        <v>1522</v>
      </c>
      <c r="B100" s="683"/>
      <c r="D100" s="537"/>
      <c r="G100" s="593">
        <v>30</v>
      </c>
      <c r="H100" s="594">
        <f>15.01585205+0.788540291*B94</f>
        <v>439.72245290353311</v>
      </c>
      <c r="I100" s="552"/>
      <c r="J100" s="593">
        <v>10</v>
      </c>
      <c r="K100" s="594">
        <f>-0.4215396+0.501517395*B94</f>
        <v>269.69496621513372</v>
      </c>
    </row>
    <row r="101" spans="1:11" x14ac:dyDescent="0.25">
      <c r="A101" s="602" t="s">
        <v>1525</v>
      </c>
      <c r="B101" s="680">
        <f>ROUND(0.4999999+B46/54.43,0)</f>
        <v>6</v>
      </c>
      <c r="D101" s="685"/>
      <c r="G101" s="593">
        <v>35</v>
      </c>
      <c r="H101" s="594">
        <f>16.01304491+0.844996697*B94</f>
        <v>471.12698012847687</v>
      </c>
      <c r="I101" s="552"/>
      <c r="J101" s="593">
        <v>11</v>
      </c>
      <c r="K101" s="594">
        <f>-0.544905009+0.552590674*B94</f>
        <v>297.07959116009027</v>
      </c>
    </row>
    <row r="102" spans="1:11" ht="18.75" x14ac:dyDescent="0.35">
      <c r="A102" s="602" t="s">
        <v>1523</v>
      </c>
      <c r="B102" s="681">
        <f>B46/B101</f>
        <v>49.45287674042121</v>
      </c>
      <c r="D102" s="537"/>
      <c r="G102" s="610"/>
      <c r="H102" s="610"/>
      <c r="I102" s="552"/>
      <c r="J102" s="593">
        <v>12</v>
      </c>
      <c r="K102" s="594">
        <f>-0.704817419+0.602544412*B94</f>
        <v>323.82468602499182</v>
      </c>
    </row>
    <row r="103" spans="1:11" x14ac:dyDescent="0.25">
      <c r="A103" s="602" t="s">
        <v>1524</v>
      </c>
      <c r="B103" s="603">
        <f>IF(AND(B102&gt;=0,B102&lt;=125.39),(-0.71*(B102^2)+97.3*B102+57.78)*1000,"O parametro z esta fora da validade da curva.")*B101</f>
        <v>18799068.744789872</v>
      </c>
      <c r="D103" s="537"/>
      <c r="G103" s="552"/>
      <c r="H103" s="552"/>
      <c r="I103" s="552"/>
      <c r="J103" s="593">
        <v>13</v>
      </c>
      <c r="K103" s="594">
        <f>-0.828182828+0.653617691*B94</f>
        <v>351.20931096994843</v>
      </c>
    </row>
    <row r="104" spans="1:11" x14ac:dyDescent="0.25">
      <c r="D104" s="5"/>
      <c r="G104" s="552"/>
      <c r="H104" s="552"/>
      <c r="I104" s="552"/>
      <c r="J104" s="593">
        <v>14</v>
      </c>
      <c r="K104" s="594">
        <f>-0.559801382+0.702007772*B94</f>
        <v>377.54051640998216</v>
      </c>
    </row>
    <row r="105" spans="1:11" x14ac:dyDescent="0.25">
      <c r="A105" s="600" t="s">
        <v>1310</v>
      </c>
      <c r="B105" s="592"/>
      <c r="D105" s="5"/>
      <c r="G105" s="552"/>
      <c r="H105" s="552"/>
      <c r="I105" s="613"/>
      <c r="J105" s="593">
        <v>15</v>
      </c>
      <c r="K105" s="594">
        <f>-0.68316679+0.753081051*B94</f>
        <v>404.92514135593882</v>
      </c>
    </row>
    <row r="106" spans="1:11" x14ac:dyDescent="0.25">
      <c r="A106" s="600" t="s">
        <v>1232</v>
      </c>
      <c r="B106" s="605">
        <v>1</v>
      </c>
      <c r="D106" s="5" t="s">
        <v>1518</v>
      </c>
    </row>
    <row r="107" spans="1:11" x14ac:dyDescent="0.25">
      <c r="A107" s="600" t="s">
        <v>1091</v>
      </c>
      <c r="B107" s="552"/>
      <c r="D107" s="5"/>
    </row>
    <row r="108" spans="1:11" x14ac:dyDescent="0.25">
      <c r="A108" s="602" t="s">
        <v>1093</v>
      </c>
      <c r="B108" s="611">
        <f>1/(1^2+0.2^2)^0.5</f>
        <v>0.98058067569092011</v>
      </c>
      <c r="D108" s="5"/>
    </row>
    <row r="109" spans="1:11" x14ac:dyDescent="0.25">
      <c r="A109" s="602" t="s">
        <v>1321</v>
      </c>
      <c r="B109" s="612">
        <v>5</v>
      </c>
      <c r="D109" s="5"/>
    </row>
    <row r="110" spans="1:11" x14ac:dyDescent="0.25">
      <c r="A110" s="602" t="s">
        <v>1094</v>
      </c>
      <c r="B110" s="614">
        <f>TRUNC(B43/B109)+1</f>
        <v>5</v>
      </c>
      <c r="D110" s="5"/>
    </row>
    <row r="111" spans="1:11" x14ac:dyDescent="0.25">
      <c r="A111" s="602" t="s">
        <v>1096</v>
      </c>
      <c r="B111" s="615">
        <f>B110*B106</f>
        <v>5</v>
      </c>
      <c r="D111" s="5"/>
    </row>
    <row r="112" spans="1:11" x14ac:dyDescent="0.25">
      <c r="A112" s="600" t="s">
        <v>1217</v>
      </c>
      <c r="B112" s="604"/>
      <c r="D112" s="5"/>
    </row>
    <row r="113" spans="1:8" x14ac:dyDescent="0.25">
      <c r="A113" s="602" t="s">
        <v>1219</v>
      </c>
      <c r="B113" s="603">
        <f>(((B39-B41)*2*B110)/B108)+(B44*B110)</f>
        <v>490.50677737153251</v>
      </c>
      <c r="D113" s="5"/>
    </row>
    <row r="114" spans="1:8" x14ac:dyDescent="0.25">
      <c r="A114" s="602" t="s">
        <v>1220</v>
      </c>
      <c r="B114" s="603"/>
      <c r="D114" s="5"/>
    </row>
    <row r="115" spans="1:8" x14ac:dyDescent="0.25">
      <c r="A115" s="600" t="s">
        <v>1221</v>
      </c>
      <c r="B115" s="604"/>
      <c r="D115" s="5"/>
    </row>
    <row r="116" spans="1:8" x14ac:dyDescent="0.25">
      <c r="A116" s="602" t="s">
        <v>1311</v>
      </c>
      <c r="B116" s="603"/>
      <c r="D116" s="5"/>
    </row>
    <row r="117" spans="1:8" x14ac:dyDescent="0.25">
      <c r="A117" s="602" t="s">
        <v>1312</v>
      </c>
      <c r="B117" s="603"/>
      <c r="D117" s="5"/>
    </row>
    <row r="118" spans="1:8" x14ac:dyDescent="0.25">
      <c r="A118" s="602" t="s">
        <v>1313</v>
      </c>
      <c r="B118" s="603"/>
    </row>
    <row r="119" spans="1:8" x14ac:dyDescent="0.25">
      <c r="A119" s="600" t="s">
        <v>1222</v>
      </c>
      <c r="B119" s="604"/>
    </row>
    <row r="120" spans="1:8" x14ac:dyDescent="0.25">
      <c r="A120" s="602" t="s">
        <v>1314</v>
      </c>
      <c r="B120" s="603"/>
    </row>
    <row r="121" spans="1:8" x14ac:dyDescent="0.25">
      <c r="A121" s="600" t="s">
        <v>1060</v>
      </c>
      <c r="B121" s="604"/>
    </row>
    <row r="122" spans="1:8" x14ac:dyDescent="0.25">
      <c r="A122" s="602" t="s">
        <v>1315</v>
      </c>
      <c r="B122" s="603">
        <f>(40*B113)/(1000)</f>
        <v>19.620271094861302</v>
      </c>
    </row>
    <row r="123" spans="1:8" x14ac:dyDescent="0.25">
      <c r="A123" s="602" t="s">
        <v>1316</v>
      </c>
      <c r="B123" s="603">
        <f>(180*B43*B44)/1000</f>
        <v>73.156114719329537</v>
      </c>
    </row>
    <row r="124" spans="1:8" x14ac:dyDescent="0.25">
      <c r="A124" s="600" t="s">
        <v>1522</v>
      </c>
      <c r="B124" s="683"/>
      <c r="D124" s="537"/>
    </row>
    <row r="125" spans="1:8" x14ac:dyDescent="0.25">
      <c r="A125" s="602" t="s">
        <v>1524</v>
      </c>
      <c r="B125" s="603">
        <f>IF(AND(B9/B106&gt;=2,B9/B106&lt;=750),5.35*1000*B9,"Vazao fora da validade da curva.")*B106</f>
        <v>3664708.4868407631</v>
      </c>
      <c r="D125" s="537"/>
    </row>
    <row r="126" spans="1:8" x14ac:dyDescent="0.25">
      <c r="C126" s="616"/>
      <c r="D126" s="552"/>
      <c r="F126" s="552"/>
      <c r="G126" s="552"/>
      <c r="H126" s="552"/>
    </row>
    <row r="127" spans="1:8" x14ac:dyDescent="0.25">
      <c r="C127" s="616"/>
      <c r="D127" s="552"/>
      <c r="E127" s="609"/>
    </row>
    <row r="128" spans="1:8" x14ac:dyDescent="0.25">
      <c r="C128" s="552"/>
      <c r="D128" s="552"/>
    </row>
    <row r="129" spans="3:3" x14ac:dyDescent="0.25">
      <c r="C129" s="616"/>
    </row>
    <row r="130" spans="3:3" x14ac:dyDescent="0.25">
      <c r="C130" s="6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2049" r:id="rId4">
          <objectPr defaultSize="0" autoLine="0" autoPict="0" r:id="rId5">
            <anchor moveWithCells="1">
              <from>
                <xdr:col>2</xdr:col>
                <xdr:colOff>19050</xdr:colOff>
                <xdr:row>48</xdr:row>
                <xdr:rowOff>0</xdr:rowOff>
              </from>
              <to>
                <xdr:col>6</xdr:col>
                <xdr:colOff>523875</xdr:colOff>
                <xdr:row>49</xdr:row>
                <xdr:rowOff>9525</xdr:rowOff>
              </to>
            </anchor>
          </objectPr>
        </oleObject>
      </mc:Choice>
      <mc:Fallback>
        <oleObject progId="Equation.2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85"/>
  <sheetViews>
    <sheetView topLeftCell="A10" zoomScaleNormal="100" workbookViewId="0">
      <selection activeCell="F137" sqref="F137"/>
    </sheetView>
  </sheetViews>
  <sheetFormatPr defaultRowHeight="15" x14ac:dyDescent="0.25"/>
  <cols>
    <col min="1" max="1" width="3.5703125" style="380" bestFit="1" customWidth="1"/>
    <col min="2" max="2" width="16" style="380" customWidth="1"/>
    <col min="3" max="3" width="7.42578125" style="380" customWidth="1"/>
    <col min="4" max="4" width="7.140625" style="380" customWidth="1"/>
    <col min="5" max="5" width="58.28515625" style="380" customWidth="1"/>
    <col min="6" max="6" width="8.140625" style="380" bestFit="1" customWidth="1"/>
    <col min="7" max="7" width="5.140625" style="380" bestFit="1" customWidth="1"/>
    <col min="8" max="8" width="35.42578125" style="380" bestFit="1" customWidth="1"/>
    <col min="9" max="9" width="13.28515625" style="380" bestFit="1" customWidth="1"/>
    <col min="10" max="10" width="68.5703125" style="380" bestFit="1" customWidth="1"/>
    <col min="11" max="11" width="10" style="380" customWidth="1"/>
    <col min="12" max="12" width="15.7109375" style="380" customWidth="1"/>
    <col min="13" max="13" width="14.28515625" style="380" customWidth="1"/>
    <col min="14" max="14" width="12" style="380" customWidth="1"/>
    <col min="15" max="15" width="13.28515625" style="380" bestFit="1" customWidth="1"/>
    <col min="16" max="16" width="9.140625" style="380"/>
    <col min="17" max="17" width="58.42578125" style="380" bestFit="1" customWidth="1"/>
    <col min="18" max="18" width="8.7109375" style="380" bestFit="1" customWidth="1"/>
    <col min="19" max="16384" width="9.140625" style="380"/>
  </cols>
  <sheetData>
    <row r="1" spans="1:7" x14ac:dyDescent="0.25">
      <c r="A1" s="380">
        <v>2</v>
      </c>
      <c r="B1" s="381" t="s">
        <v>654</v>
      </c>
    </row>
    <row r="2" spans="1:7" x14ac:dyDescent="0.25">
      <c r="A2" s="381"/>
      <c r="B2" s="381"/>
      <c r="G2" s="383" t="s">
        <v>686</v>
      </c>
    </row>
    <row r="3" spans="1:7" x14ac:dyDescent="0.25">
      <c r="A3" s="381"/>
      <c r="B3" s="381" t="s">
        <v>695</v>
      </c>
      <c r="E3" s="382" t="s">
        <v>869</v>
      </c>
    </row>
    <row r="4" spans="1:7" x14ac:dyDescent="0.25">
      <c r="A4" s="381"/>
      <c r="B4" s="384" t="s">
        <v>627</v>
      </c>
      <c r="C4" s="432">
        <f>iohsrf2!B10</f>
        <v>30</v>
      </c>
      <c r="D4" s="380" t="s">
        <v>1</v>
      </c>
      <c r="E4" s="382"/>
    </row>
    <row r="5" spans="1:7" x14ac:dyDescent="0.25">
      <c r="A5" s="381"/>
      <c r="B5" s="384" t="s">
        <v>26</v>
      </c>
      <c r="C5" s="432">
        <f>IF(hsrf2rout!D42&gt;0,iohsrf2!B11,0)</f>
        <v>100</v>
      </c>
      <c r="D5" s="380" t="s">
        <v>1</v>
      </c>
      <c r="E5" s="564" t="s">
        <v>907</v>
      </c>
    </row>
    <row r="6" spans="1:7" x14ac:dyDescent="0.25">
      <c r="A6" s="381"/>
      <c r="B6" s="384" t="s">
        <v>706</v>
      </c>
      <c r="C6" s="385">
        <f>IF(hsrf2rout!D42&gt;0,iohsrf2!B12,iohsrf2!B11+iohsrf2!B12)</f>
        <v>2000</v>
      </c>
      <c r="D6" s="380" t="s">
        <v>1</v>
      </c>
      <c r="E6" s="564" t="s">
        <v>908</v>
      </c>
    </row>
    <row r="7" spans="1:7" x14ac:dyDescent="0.25">
      <c r="A7" s="381"/>
      <c r="B7" s="384" t="s">
        <v>707</v>
      </c>
      <c r="C7" s="385">
        <f>iohsrf2!B13</f>
        <v>200</v>
      </c>
      <c r="D7" s="380" t="s">
        <v>1</v>
      </c>
      <c r="E7" s="382"/>
    </row>
    <row r="8" spans="1:7" x14ac:dyDescent="0.25">
      <c r="A8" s="381"/>
      <c r="B8" s="545" t="s">
        <v>1241</v>
      </c>
      <c r="C8" s="432">
        <f>iohsrf2!B14</f>
        <v>100</v>
      </c>
      <c r="D8" s="380" t="s">
        <v>1</v>
      </c>
      <c r="E8" s="579"/>
    </row>
    <row r="9" spans="1:7" x14ac:dyDescent="0.25">
      <c r="A9" s="563"/>
      <c r="B9" s="545" t="s">
        <v>1242</v>
      </c>
      <c r="C9" s="432">
        <f>iohsrf2!B15</f>
        <v>200</v>
      </c>
      <c r="D9" s="380" t="s">
        <v>1</v>
      </c>
      <c r="E9" s="580"/>
    </row>
    <row r="10" spans="1:7" x14ac:dyDescent="0.25">
      <c r="A10" s="381"/>
      <c r="E10" s="386"/>
    </row>
    <row r="11" spans="1:7" x14ac:dyDescent="0.25">
      <c r="A11" s="381"/>
      <c r="B11" s="381" t="s">
        <v>696</v>
      </c>
      <c r="E11" s="386"/>
    </row>
    <row r="12" spans="1:7" ht="18" x14ac:dyDescent="0.35">
      <c r="A12" s="381"/>
      <c r="B12" s="384" t="s">
        <v>697</v>
      </c>
      <c r="C12" s="565">
        <f>hsrf2intk!B25</f>
        <v>1511.7860731685219</v>
      </c>
      <c r="D12" s="380" t="s">
        <v>1</v>
      </c>
      <c r="E12" s="452" t="s">
        <v>1480</v>
      </c>
    </row>
    <row r="13" spans="1:7" x14ac:dyDescent="0.25">
      <c r="A13" s="381"/>
      <c r="B13" s="384" t="s">
        <v>698</v>
      </c>
      <c r="C13" s="387">
        <f>MIN(C14:C15)</f>
        <v>1511.2860731685219</v>
      </c>
      <c r="D13" s="380" t="s">
        <v>1</v>
      </c>
      <c r="E13" s="388" t="s">
        <v>680</v>
      </c>
    </row>
    <row r="14" spans="1:7" x14ac:dyDescent="0.25">
      <c r="A14" s="381"/>
      <c r="B14" s="420" t="s">
        <v>679</v>
      </c>
      <c r="C14" s="387">
        <f>C12-0.5/100*C5</f>
        <v>1511.2860731685219</v>
      </c>
      <c r="D14" s="380" t="s">
        <v>1</v>
      </c>
      <c r="E14" s="382" t="s">
        <v>677</v>
      </c>
    </row>
    <row r="15" spans="1:7" ht="18" x14ac:dyDescent="0.35">
      <c r="A15" s="381"/>
      <c r="B15" s="420" t="s">
        <v>678</v>
      </c>
      <c r="C15" s="387">
        <f>IF(hsrf2rout!C27="circuito com chamine",hsrf2stnk!B24-F37,9999)</f>
        <v>1511.2860731685219</v>
      </c>
      <c r="D15" s="380" t="s">
        <v>1</v>
      </c>
      <c r="E15" s="452" t="s">
        <v>1457</v>
      </c>
      <c r="G15" s="383" t="s">
        <v>685</v>
      </c>
    </row>
    <row r="16" spans="1:7" x14ac:dyDescent="0.25">
      <c r="A16" s="381"/>
      <c r="B16" s="384" t="s">
        <v>699</v>
      </c>
      <c r="C16" s="387">
        <f>C17+0.5/100*C7</f>
        <v>1372.097706047085</v>
      </c>
      <c r="D16" s="380" t="s">
        <v>1</v>
      </c>
      <c r="E16" s="382" t="s">
        <v>677</v>
      </c>
    </row>
    <row r="17" spans="1:6" ht="18" x14ac:dyDescent="0.35">
      <c r="A17" s="381"/>
      <c r="B17" s="384" t="s">
        <v>700</v>
      </c>
      <c r="C17" s="387">
        <f>hsrf2pwh!B34-F110/2</f>
        <v>1371.097706047085</v>
      </c>
      <c r="D17" s="380" t="s">
        <v>1</v>
      </c>
      <c r="E17" s="452" t="s">
        <v>1500</v>
      </c>
    </row>
    <row r="18" spans="1:6" x14ac:dyDescent="0.25">
      <c r="A18" s="381"/>
      <c r="E18" s="386"/>
    </row>
    <row r="19" spans="1:6" ht="15" customHeight="1" x14ac:dyDescent="0.25">
      <c r="A19" s="381"/>
      <c r="B19" s="692" t="s">
        <v>668</v>
      </c>
      <c r="C19" s="692"/>
      <c r="D19" s="390" t="s">
        <v>669</v>
      </c>
      <c r="E19" s="390" t="s">
        <v>672</v>
      </c>
    </row>
    <row r="20" spans="1:6" ht="15" customHeight="1" x14ac:dyDescent="0.25">
      <c r="A20" s="381"/>
      <c r="B20" s="694" t="s">
        <v>5</v>
      </c>
      <c r="C20" s="694"/>
      <c r="D20" s="391">
        <v>2.2000000000000002</v>
      </c>
      <c r="E20" s="391">
        <f>0.8*D20</f>
        <v>1.7600000000000002</v>
      </c>
    </row>
    <row r="21" spans="1:6" ht="15" customHeight="1" x14ac:dyDescent="0.25">
      <c r="A21" s="381"/>
      <c r="B21" s="694" t="s">
        <v>6</v>
      </c>
      <c r="C21" s="694"/>
      <c r="D21" s="391">
        <v>3</v>
      </c>
      <c r="E21" s="391">
        <f>0.8*D21</f>
        <v>2.4000000000000004</v>
      </c>
    </row>
    <row r="22" spans="1:6" ht="15" customHeight="1" x14ac:dyDescent="0.25">
      <c r="A22" s="381"/>
      <c r="B22" s="694" t="s">
        <v>9</v>
      </c>
      <c r="C22" s="694"/>
      <c r="D22" s="391">
        <v>4.5</v>
      </c>
      <c r="E22" s="391">
        <f>0.8*D22</f>
        <v>3.6</v>
      </c>
      <c r="F22" s="387"/>
    </row>
    <row r="23" spans="1:6" x14ac:dyDescent="0.25">
      <c r="A23" s="381"/>
      <c r="B23" s="694" t="s">
        <v>7</v>
      </c>
      <c r="C23" s="694"/>
      <c r="D23" s="391">
        <v>7</v>
      </c>
      <c r="E23" s="391">
        <f>0.8*D23</f>
        <v>5.6000000000000005</v>
      </c>
    </row>
    <row r="24" spans="1:6" x14ac:dyDescent="0.25">
      <c r="A24" s="381"/>
      <c r="B24" s="392" t="s">
        <v>673</v>
      </c>
      <c r="C24" s="392"/>
      <c r="D24" s="392"/>
      <c r="E24" s="392"/>
    </row>
    <row r="25" spans="1:6" x14ac:dyDescent="0.25">
      <c r="A25" s="381"/>
      <c r="B25" s="392"/>
      <c r="C25" s="392"/>
      <c r="D25" s="392"/>
      <c r="E25" s="392"/>
    </row>
    <row r="26" spans="1:6" x14ac:dyDescent="0.25">
      <c r="A26" s="381"/>
      <c r="B26" s="393" t="s">
        <v>661</v>
      </c>
      <c r="D26" s="394">
        <f>iohsrf2!B2</f>
        <v>1</v>
      </c>
      <c r="E26" s="380" t="s">
        <v>740</v>
      </c>
    </row>
    <row r="27" spans="1:6" x14ac:dyDescent="0.25">
      <c r="A27" s="381"/>
      <c r="B27" s="395"/>
      <c r="C27" s="693" t="s">
        <v>734</v>
      </c>
      <c r="D27" s="693"/>
    </row>
    <row r="28" spans="1:6" x14ac:dyDescent="0.25">
      <c r="A28" s="381"/>
      <c r="B28" s="395" t="s">
        <v>735</v>
      </c>
      <c r="C28" s="395" t="s">
        <v>738</v>
      </c>
      <c r="D28" s="395" t="s">
        <v>739</v>
      </c>
    </row>
    <row r="29" spans="1:6" x14ac:dyDescent="0.25">
      <c r="A29" s="381"/>
      <c r="B29" s="395">
        <v>1</v>
      </c>
      <c r="C29" s="396">
        <v>0.2</v>
      </c>
      <c r="D29" s="396">
        <v>0</v>
      </c>
    </row>
    <row r="30" spans="1:6" x14ac:dyDescent="0.25">
      <c r="A30" s="381"/>
      <c r="B30" s="395">
        <v>2</v>
      </c>
      <c r="C30" s="396">
        <v>0.8</v>
      </c>
      <c r="D30" s="396">
        <v>0.2</v>
      </c>
    </row>
    <row r="31" spans="1:6" x14ac:dyDescent="0.25">
      <c r="A31" s="381"/>
      <c r="B31" s="395">
        <v>3</v>
      </c>
      <c r="C31" s="396">
        <v>0</v>
      </c>
      <c r="D31" s="396">
        <v>1</v>
      </c>
    </row>
    <row r="32" spans="1:6" x14ac:dyDescent="0.25">
      <c r="A32" s="381"/>
      <c r="B32" s="397"/>
      <c r="C32" s="398"/>
      <c r="D32" s="398"/>
    </row>
    <row r="33" spans="1:13" x14ac:dyDescent="0.25">
      <c r="A33" s="399" t="s">
        <v>16</v>
      </c>
      <c r="B33" s="399" t="s">
        <v>644</v>
      </c>
      <c r="C33" s="400"/>
      <c r="K33" s="386"/>
    </row>
    <row r="34" spans="1:13" x14ac:dyDescent="0.25">
      <c r="B34" s="399" t="s">
        <v>22</v>
      </c>
      <c r="C34" s="401" t="s">
        <v>653</v>
      </c>
      <c r="D34" s="400"/>
      <c r="E34" s="400"/>
      <c r="F34" s="400"/>
      <c r="G34" s="400"/>
      <c r="H34" s="399"/>
    </row>
    <row r="35" spans="1:13" x14ac:dyDescent="0.25">
      <c r="B35" s="380" t="s">
        <v>17</v>
      </c>
      <c r="C35" s="402" t="s">
        <v>26</v>
      </c>
      <c r="F35" s="406">
        <f>C5</f>
        <v>100</v>
      </c>
      <c r="G35" s="380" t="s">
        <v>1</v>
      </c>
    </row>
    <row r="36" spans="1:13" x14ac:dyDescent="0.25">
      <c r="B36" s="380" t="s">
        <v>20</v>
      </c>
      <c r="C36" s="402" t="s">
        <v>21</v>
      </c>
    </row>
    <row r="37" spans="1:13" ht="18.75" x14ac:dyDescent="0.35">
      <c r="B37" s="380" t="s">
        <v>8</v>
      </c>
      <c r="C37" s="460" t="s">
        <v>1458</v>
      </c>
      <c r="F37" s="403">
        <f>IF(LOOKUP(D26,B29:B31,F38:F40)&lt;3,3,LOOKUP(D26,B29:B31,F38:F40))</f>
        <v>20.159932032420912</v>
      </c>
      <c r="G37" s="380" t="s">
        <v>1</v>
      </c>
      <c r="H37" t="s">
        <v>918</v>
      </c>
    </row>
    <row r="38" spans="1:13" x14ac:dyDescent="0.25">
      <c r="C38" s="392" t="s">
        <v>660</v>
      </c>
      <c r="F38" s="431">
        <f>((F42/F44)/0.8927)^0.5</f>
        <v>20.159932032420912</v>
      </c>
      <c r="G38" s="380" t="s">
        <v>1</v>
      </c>
      <c r="H38"/>
    </row>
    <row r="39" spans="1:13" x14ac:dyDescent="0.25">
      <c r="C39" s="392" t="s">
        <v>736</v>
      </c>
      <c r="F39" s="431">
        <f>((F42/F45)/0.8927)^0.5</f>
        <v>17.048575418512339</v>
      </c>
      <c r="G39" s="380" t="s">
        <v>1</v>
      </c>
    </row>
    <row r="40" spans="1:13" x14ac:dyDescent="0.25">
      <c r="C40" s="392" t="s">
        <v>737</v>
      </c>
      <c r="F40" s="431">
        <f>((F42/F46)/0.8927)^0.5</f>
        <v>14.599527759046946</v>
      </c>
      <c r="G40" s="380" t="s">
        <v>1</v>
      </c>
    </row>
    <row r="41" spans="1:13" ht="18" x14ac:dyDescent="0.35">
      <c r="E41" s="669" t="s">
        <v>1481</v>
      </c>
    </row>
    <row r="42" spans="1:13" ht="18" x14ac:dyDescent="0.35">
      <c r="E42" s="670" t="s">
        <v>1482</v>
      </c>
      <c r="F42" s="387">
        <f>hsrf2intk!B9</f>
        <v>684.99224053098374</v>
      </c>
      <c r="G42" s="380" t="s">
        <v>0</v>
      </c>
      <c r="H42" s="386"/>
    </row>
    <row r="43" spans="1:13" ht="18" x14ac:dyDescent="0.35">
      <c r="D43" s="380" t="s">
        <v>670</v>
      </c>
      <c r="F43" s="403">
        <f>LOOKUP(D26,B29:B31,F44:F46)</f>
        <v>1.8880000000000003</v>
      </c>
      <c r="G43" s="380" t="s">
        <v>3</v>
      </c>
      <c r="H43" s="386"/>
    </row>
    <row r="44" spans="1:13" x14ac:dyDescent="0.25">
      <c r="D44" s="392" t="s">
        <v>660</v>
      </c>
      <c r="F44" s="431">
        <f>(1-C29-D29)*E20+C29*E21+D29*E22</f>
        <v>1.8880000000000003</v>
      </c>
      <c r="G44" s="380" t="s">
        <v>3</v>
      </c>
    </row>
    <row r="45" spans="1:13" x14ac:dyDescent="0.25">
      <c r="D45" s="392" t="s">
        <v>736</v>
      </c>
      <c r="F45" s="431">
        <f>(1-C30-D30)*E20+C30*E21+D30*E22</f>
        <v>2.6400000000000006</v>
      </c>
      <c r="G45" s="380" t="s">
        <v>3</v>
      </c>
      <c r="I45" s="382"/>
    </row>
    <row r="46" spans="1:13" x14ac:dyDescent="0.25">
      <c r="D46" s="392" t="s">
        <v>737</v>
      </c>
      <c r="F46" s="431">
        <f>(1-C31-D31)*E20+C31*E21+D31*E22</f>
        <v>3.6</v>
      </c>
      <c r="G46" s="380" t="s">
        <v>3</v>
      </c>
      <c r="I46" s="382"/>
      <c r="M46" s="402"/>
    </row>
    <row r="47" spans="1:13" ht="18" x14ac:dyDescent="0.35">
      <c r="E47" s="477" t="s">
        <v>1484</v>
      </c>
      <c r="F47" s="470">
        <f>1/((F37^2)*PI()/(4*F42))</f>
        <v>2.1459403377126307</v>
      </c>
      <c r="G47" s="319" t="s">
        <v>3</v>
      </c>
      <c r="H47" s="386"/>
      <c r="J47" s="402"/>
    </row>
    <row r="48" spans="1:13" ht="18" x14ac:dyDescent="0.35">
      <c r="E48" t="s">
        <v>1485</v>
      </c>
      <c r="I48" s="382"/>
      <c r="J48" s="402"/>
    </row>
    <row r="49" spans="2:9" ht="18" x14ac:dyDescent="0.35">
      <c r="E49" s="460" t="s">
        <v>1483</v>
      </c>
      <c r="H49" s="476" t="s">
        <v>650</v>
      </c>
    </row>
    <row r="51" spans="2:9" x14ac:dyDescent="0.25">
      <c r="B51" s="399" t="s">
        <v>23</v>
      </c>
      <c r="C51" s="400"/>
      <c r="D51" s="400"/>
      <c r="E51" s="400"/>
      <c r="F51" s="400"/>
      <c r="G51" s="400"/>
      <c r="H51" s="400"/>
    </row>
    <row r="52" spans="2:9" x14ac:dyDescent="0.25">
      <c r="B52" s="380" t="s">
        <v>17</v>
      </c>
      <c r="C52" s="402" t="s">
        <v>683</v>
      </c>
      <c r="F52" s="406">
        <f>C13+F37/2-C16+F110/2</f>
        <v>156.10817920546293</v>
      </c>
      <c r="G52" s="380" t="s">
        <v>1</v>
      </c>
      <c r="H52" s="386"/>
    </row>
    <row r="53" spans="2:9" x14ac:dyDescent="0.25">
      <c r="D53" s="462" t="s">
        <v>1302</v>
      </c>
      <c r="F53" s="566">
        <f>hsrf2rout!D5</f>
        <v>1548</v>
      </c>
      <c r="G53" s="382" t="s">
        <v>1</v>
      </c>
      <c r="H53" s="386"/>
    </row>
    <row r="54" spans="2:9" x14ac:dyDescent="0.25">
      <c r="B54" s="380" t="s">
        <v>20</v>
      </c>
      <c r="C54" s="402" t="s">
        <v>27</v>
      </c>
      <c r="H54" s="386"/>
      <c r="I54" s="386"/>
    </row>
    <row r="55" spans="2:9" ht="18.75" x14ac:dyDescent="0.35">
      <c r="B55" s="380" t="s">
        <v>19</v>
      </c>
      <c r="C55" s="460" t="s">
        <v>1479</v>
      </c>
      <c r="F55" s="387">
        <f>(4/PI()*0.8927)^0.5*F61</f>
        <v>21.492992655875135</v>
      </c>
      <c r="G55" s="380" t="s">
        <v>1</v>
      </c>
      <c r="I55" s="386"/>
    </row>
    <row r="56" spans="2:9" x14ac:dyDescent="0.25">
      <c r="I56" s="386"/>
    </row>
    <row r="58" spans="2:9" x14ac:dyDescent="0.25">
      <c r="B58" s="399" t="s">
        <v>24</v>
      </c>
      <c r="C58" s="400"/>
      <c r="D58" s="400"/>
      <c r="E58" s="400"/>
      <c r="F58" s="400"/>
      <c r="G58" s="400"/>
      <c r="H58" s="400"/>
    </row>
    <row r="59" spans="2:9" x14ac:dyDescent="0.25">
      <c r="B59" s="380" t="s">
        <v>17</v>
      </c>
      <c r="C59" s="478" t="s">
        <v>706</v>
      </c>
      <c r="D59" s="430"/>
      <c r="E59" s="430"/>
      <c r="F59" s="569">
        <f>C6</f>
        <v>2000</v>
      </c>
    </row>
    <row r="60" spans="2:9" x14ac:dyDescent="0.25">
      <c r="B60" s="380" t="s">
        <v>20</v>
      </c>
      <c r="C60" s="402" t="s">
        <v>21</v>
      </c>
      <c r="E60" s="402"/>
      <c r="F60" s="402"/>
    </row>
    <row r="61" spans="2:9" ht="18" x14ac:dyDescent="0.35">
      <c r="B61" s="380" t="s">
        <v>19</v>
      </c>
      <c r="C61" s="462" t="s">
        <v>1459</v>
      </c>
      <c r="D61" s="481"/>
      <c r="F61" s="474">
        <f>IF(iohsrf2!B16=0,IF(C5&gt;0,F37,IF(((F62/F63)/0.8927)^0.5&lt;3,3,((F62/F63)/0.8927)^0.5)),iohsrf2!B16)</f>
        <v>20.159932032420912</v>
      </c>
      <c r="G61" s="380" t="s">
        <v>1</v>
      </c>
      <c r="H61" t="s">
        <v>1486</v>
      </c>
    </row>
    <row r="62" spans="2:9" ht="18" x14ac:dyDescent="0.35">
      <c r="C62" s="545" t="s">
        <v>1431</v>
      </c>
      <c r="F62" s="387">
        <f>F42</f>
        <v>684.99224053098374</v>
      </c>
      <c r="G62" s="380" t="s">
        <v>0</v>
      </c>
    </row>
    <row r="63" spans="2:9" ht="18" x14ac:dyDescent="0.35">
      <c r="C63" s="384" t="s">
        <v>701</v>
      </c>
      <c r="D63" s="384"/>
      <c r="F63" s="387">
        <f>E22</f>
        <v>3.6</v>
      </c>
      <c r="G63" s="380" t="s">
        <v>3</v>
      </c>
    </row>
    <row r="64" spans="2:9" x14ac:dyDescent="0.25">
      <c r="C64" s="384"/>
      <c r="D64" s="384"/>
      <c r="E64" s="477" t="s">
        <v>1038</v>
      </c>
      <c r="F64" s="483">
        <f>1/((F61^2)*PI()/(4*F42))</f>
        <v>2.1459403377126307</v>
      </c>
      <c r="G64" s="319" t="s">
        <v>3</v>
      </c>
    </row>
    <row r="66" spans="2:9" x14ac:dyDescent="0.25">
      <c r="B66" s="399" t="s">
        <v>663</v>
      </c>
      <c r="C66" s="400"/>
      <c r="D66" s="400"/>
      <c r="E66" s="400"/>
      <c r="F66" s="400"/>
      <c r="G66" s="400"/>
      <c r="H66" s="400"/>
    </row>
    <row r="68" spans="2:9" x14ac:dyDescent="0.25">
      <c r="B68" s="380" t="s">
        <v>870</v>
      </c>
      <c r="F68" s="403">
        <f>LOOKUP(D26,B29:B31,F69:F71)</f>
        <v>0.29302375137861386</v>
      </c>
      <c r="G68" s="380" t="s">
        <v>1</v>
      </c>
    </row>
    <row r="69" spans="2:9" x14ac:dyDescent="0.25">
      <c r="C69" s="392" t="s">
        <v>660</v>
      </c>
      <c r="F69" s="431">
        <f>F73+F74+SUM(F78:F81)</f>
        <v>0.29302375137861386</v>
      </c>
      <c r="G69" s="380" t="s">
        <v>1</v>
      </c>
    </row>
    <row r="70" spans="2:9" x14ac:dyDescent="0.25">
      <c r="C70" s="392" t="s">
        <v>736</v>
      </c>
      <c r="F70" s="431">
        <f>F73+F74+SUM(F84:F87)</f>
        <v>0.26068798245684205</v>
      </c>
      <c r="G70" s="380" t="s">
        <v>1</v>
      </c>
    </row>
    <row r="71" spans="2:9" x14ac:dyDescent="0.25">
      <c r="C71" s="392" t="s">
        <v>737</v>
      </c>
      <c r="F71" s="431">
        <f>F73+F74+SUM(F90:F93)</f>
        <v>0.24737785965611275</v>
      </c>
      <c r="G71" s="380" t="s">
        <v>1</v>
      </c>
    </row>
    <row r="72" spans="2:9" x14ac:dyDescent="0.25">
      <c r="C72" s="392"/>
    </row>
    <row r="73" spans="2:9" ht="18.75" x14ac:dyDescent="0.35">
      <c r="B73" s="469" t="s">
        <v>1039</v>
      </c>
      <c r="C73" s="446"/>
      <c r="D73" s="446"/>
      <c r="E73" s="446"/>
      <c r="F73" s="465">
        <f>0.2*F47^2/2/9.81</f>
        <v>4.6942506962509678E-2</v>
      </c>
      <c r="G73" s="446" t="s">
        <v>1</v>
      </c>
    </row>
    <row r="74" spans="2:9" ht="17.25" x14ac:dyDescent="0.25">
      <c r="B74" s="468" t="s">
        <v>1032</v>
      </c>
      <c r="F74" s="387">
        <f>(2*(0.08-0.002*(1-5))*((0.0746*(90*PI()/180)^3)-(0.4698*(90*PI()/180)^2)+(1.1928*(90*PI()/180))))*F47^2/2/9.81</f>
        <v>4.1457886662667455E-2</v>
      </c>
      <c r="G74" s="460" t="s">
        <v>1</v>
      </c>
      <c r="H74" s="460" t="s">
        <v>662</v>
      </c>
      <c r="I74" s="3"/>
    </row>
    <row r="75" spans="2:9" ht="17.25" x14ac:dyDescent="0.25">
      <c r="B75" s="468"/>
      <c r="C75" s="460" t="s">
        <v>1030</v>
      </c>
      <c r="F75" s="387"/>
      <c r="G75" s="460"/>
      <c r="I75" s="3"/>
    </row>
    <row r="76" spans="2:9" x14ac:dyDescent="0.25">
      <c r="B76" s="392"/>
      <c r="F76" s="387"/>
      <c r="I76" s="460"/>
    </row>
    <row r="77" spans="2:9" x14ac:dyDescent="0.25">
      <c r="B77" s="353" t="s">
        <v>660</v>
      </c>
      <c r="F77" s="387"/>
    </row>
    <row r="78" spans="2:9" ht="18.75" x14ac:dyDescent="0.35">
      <c r="B78" s="469" t="s">
        <v>1040</v>
      </c>
      <c r="F78" s="470">
        <f>(1-C29-D29)*6.35*F35*F95^2*F47^2/(F55)^(4/3)</f>
        <v>4.7955589502627648E-2</v>
      </c>
      <c r="G78" s="380" t="s">
        <v>1</v>
      </c>
    </row>
    <row r="79" spans="2:9" ht="18.75" x14ac:dyDescent="0.35">
      <c r="B79" s="469" t="s">
        <v>1041</v>
      </c>
      <c r="F79" s="470">
        <f>C29*6.35*F35*F96^2*F47^2/(F55)^(4/3)</f>
        <v>4.7368378202595459E-3</v>
      </c>
      <c r="G79" s="380" t="s">
        <v>1</v>
      </c>
    </row>
    <row r="80" spans="2:9" ht="18.75" x14ac:dyDescent="0.35">
      <c r="B80" s="469" t="s">
        <v>1042</v>
      </c>
      <c r="F80" s="465">
        <f>D29*6.35*F35*F97^2*F47^2/(F55)^(4/3)</f>
        <v>0</v>
      </c>
      <c r="G80" s="380" t="s">
        <v>1</v>
      </c>
    </row>
    <row r="81" spans="2:8" ht="18.75" x14ac:dyDescent="0.35">
      <c r="B81" s="469" t="s">
        <v>1487</v>
      </c>
      <c r="F81" s="465">
        <f>6.35*(F52+F59)*F97^2*F64^2/(F55)^(4/3)</f>
        <v>0.15193093043054953</v>
      </c>
      <c r="G81" s="380" t="s">
        <v>1</v>
      </c>
    </row>
    <row r="82" spans="2:8" x14ac:dyDescent="0.25">
      <c r="B82" s="479"/>
      <c r="F82" s="465"/>
    </row>
    <row r="83" spans="2:8" x14ac:dyDescent="0.25">
      <c r="B83" s="353" t="s">
        <v>736</v>
      </c>
      <c r="F83" s="446"/>
    </row>
    <row r="84" spans="2:8" ht="18.75" x14ac:dyDescent="0.35">
      <c r="B84" s="469" t="s">
        <v>1040</v>
      </c>
      <c r="F84" s="470">
        <f>(1-C30-D30)*6.35*F35*F95^2*F47^2/(F55)^(4/3)</f>
        <v>-3.3275874765806043E-18</v>
      </c>
      <c r="G84" s="380" t="s">
        <v>1</v>
      </c>
    </row>
    <row r="85" spans="2:8" ht="18.75" x14ac:dyDescent="0.35">
      <c r="B85" s="469" t="s">
        <v>1041</v>
      </c>
      <c r="F85" s="470">
        <f>C30*6.35*F35*F96^2*F47^2/(F55)^(4/3)</f>
        <v>1.8947351281038183E-2</v>
      </c>
      <c r="G85" s="380" t="s">
        <v>1</v>
      </c>
    </row>
    <row r="86" spans="2:8" ht="18.75" x14ac:dyDescent="0.35">
      <c r="B86" s="469" t="s">
        <v>1042</v>
      </c>
      <c r="F86" s="465">
        <f>D30*6.35*F35*F97^2*F47^2/(F55)^(4/3)</f>
        <v>1.4093071200772206E-3</v>
      </c>
      <c r="G86" s="380" t="s">
        <v>1</v>
      </c>
    </row>
    <row r="87" spans="2:8" ht="18.75" x14ac:dyDescent="0.35">
      <c r="B87" s="469" t="s">
        <v>1487</v>
      </c>
      <c r="F87" s="465">
        <f>6.35*(F52+F59)*F97^2*F64^2/(F55)^(4/3)</f>
        <v>0.15193093043054953</v>
      </c>
      <c r="G87" s="380" t="s">
        <v>1</v>
      </c>
    </row>
    <row r="88" spans="2:8" x14ac:dyDescent="0.25">
      <c r="B88" s="479"/>
      <c r="F88" s="465"/>
    </row>
    <row r="89" spans="2:8" x14ac:dyDescent="0.25">
      <c r="B89" s="353" t="s">
        <v>737</v>
      </c>
      <c r="F89" s="446"/>
    </row>
    <row r="90" spans="2:8" ht="18.75" x14ac:dyDescent="0.35">
      <c r="B90" s="469" t="s">
        <v>1040</v>
      </c>
      <c r="F90" s="470">
        <f>(1-C31-D31)*6.35*F35*F95^2*F47^2/(F55)^(4/3)</f>
        <v>0</v>
      </c>
      <c r="G90" s="380" t="s">
        <v>1</v>
      </c>
    </row>
    <row r="91" spans="2:8" ht="18.75" x14ac:dyDescent="0.35">
      <c r="B91" s="469" t="s">
        <v>1041</v>
      </c>
      <c r="F91" s="470">
        <f>C31*6.35*F35*F96^2*F47^2/(F55)^(4/3)</f>
        <v>0</v>
      </c>
      <c r="G91" s="380" t="s">
        <v>1</v>
      </c>
    </row>
    <row r="92" spans="2:8" ht="18.75" x14ac:dyDescent="0.35">
      <c r="B92" s="469" t="s">
        <v>1042</v>
      </c>
      <c r="F92" s="465">
        <f>D31*6.35*F35*F97^2*F47^2/(F55)^(4/3)</f>
        <v>7.0465356003861024E-3</v>
      </c>
      <c r="G92" s="380" t="s">
        <v>1</v>
      </c>
    </row>
    <row r="93" spans="2:8" ht="18.75" x14ac:dyDescent="0.35">
      <c r="B93" s="469" t="s">
        <v>1487</v>
      </c>
      <c r="F93" s="465">
        <f>6.35*(F52+F59)*F97^2*F64^2/(F55)^(4/3)</f>
        <v>0.15193093043054953</v>
      </c>
      <c r="G93" s="380" t="s">
        <v>1</v>
      </c>
    </row>
    <row r="94" spans="2:8" x14ac:dyDescent="0.25">
      <c r="F94" s="407"/>
    </row>
    <row r="95" spans="2:8" ht="18" x14ac:dyDescent="0.35">
      <c r="C95" s="380" t="s">
        <v>665</v>
      </c>
      <c r="F95" s="380">
        <v>3.5000000000000003E-2</v>
      </c>
      <c r="H95" s="380" t="s">
        <v>662</v>
      </c>
    </row>
    <row r="96" spans="2:8" ht="18" x14ac:dyDescent="0.35">
      <c r="C96" s="380" t="s">
        <v>666</v>
      </c>
      <c r="F96" s="380">
        <v>2.1999999999999999E-2</v>
      </c>
      <c r="H96" s="380" t="s">
        <v>662</v>
      </c>
    </row>
    <row r="97" spans="1:17" ht="18" x14ac:dyDescent="0.35">
      <c r="C97" s="380" t="s">
        <v>667</v>
      </c>
      <c r="F97" s="380">
        <v>1.2E-2</v>
      </c>
      <c r="H97" s="380" t="s">
        <v>662</v>
      </c>
    </row>
    <row r="99" spans="1:17" ht="18" x14ac:dyDescent="0.35">
      <c r="C99" s="460" t="s">
        <v>1478</v>
      </c>
      <c r="F99" s="408">
        <f>F68/hsrf2rout!D13</f>
        <v>2.131081828208101E-3</v>
      </c>
    </row>
    <row r="101" spans="1:17" x14ac:dyDescent="0.25">
      <c r="A101" s="401" t="s">
        <v>18</v>
      </c>
      <c r="B101" s="401" t="s">
        <v>645</v>
      </c>
      <c r="C101" s="409"/>
      <c r="D101" s="409"/>
      <c r="E101" s="409"/>
      <c r="F101" s="409"/>
      <c r="G101" s="409"/>
      <c r="H101" s="409"/>
      <c r="J101" s="399" t="s">
        <v>35</v>
      </c>
      <c r="K101" s="400"/>
      <c r="L101" s="400"/>
    </row>
    <row r="102" spans="1:17" x14ac:dyDescent="0.25">
      <c r="J102" s="411"/>
    </row>
    <row r="103" spans="1:17" x14ac:dyDescent="0.25">
      <c r="B103" s="380" t="s">
        <v>17</v>
      </c>
      <c r="C103" s="402" t="s">
        <v>659</v>
      </c>
      <c r="F103" s="387">
        <f>C7</f>
        <v>200</v>
      </c>
      <c r="G103" s="380" t="s">
        <v>1</v>
      </c>
      <c r="H103" s="5"/>
      <c r="J103" s="404" t="s">
        <v>36</v>
      </c>
    </row>
    <row r="104" spans="1:17" ht="18" x14ac:dyDescent="0.35">
      <c r="B104" s="380" t="s">
        <v>28</v>
      </c>
      <c r="E104" s="380" t="s">
        <v>13</v>
      </c>
      <c r="H104" s="386"/>
      <c r="J104" s="468" t="s">
        <v>1495</v>
      </c>
      <c r="K104" s="412">
        <f>MAX(K105,K106)</f>
        <v>85.106820953614388</v>
      </c>
      <c r="L104" s="380" t="s">
        <v>114</v>
      </c>
    </row>
    <row r="105" spans="1:17" ht="18" x14ac:dyDescent="0.35">
      <c r="B105" s="384" t="s">
        <v>30</v>
      </c>
      <c r="C105" s="380" t="s">
        <v>27</v>
      </c>
      <c r="H105" s="386"/>
      <c r="J105" s="673" t="s">
        <v>1496</v>
      </c>
      <c r="K105" s="412">
        <f>(1000*F106+500)/400</f>
        <v>32.449230339078568</v>
      </c>
      <c r="L105" s="380" t="s">
        <v>114</v>
      </c>
    </row>
    <row r="106" spans="1:17" ht="18.75" x14ac:dyDescent="0.35">
      <c r="B106" s="384" t="s">
        <v>19</v>
      </c>
      <c r="C106" s="669" t="s">
        <v>1465</v>
      </c>
      <c r="F106" s="387">
        <f>IF(iohsrf2!B17=0,IF((((4/PI()*F42/E23)^0.5)+1.2)&lt;3,3-1.2,(4/PI()*F42/F107)^0.5),iohsrf2!B17)</f>
        <v>12.479692135631426</v>
      </c>
      <c r="G106" s="380" t="s">
        <v>1</v>
      </c>
      <c r="H106"/>
      <c r="J106" s="673" t="s">
        <v>1497</v>
      </c>
      <c r="K106" s="568">
        <f>10*(0.15+(1.3*(hsrf2rout!D5-hsrf2pwh!B34)/10)*(F106/2*100)/(3300/2))</f>
        <v>85.106820953614388</v>
      </c>
      <c r="L106" s="380" t="s">
        <v>114</v>
      </c>
      <c r="O106" s="415"/>
    </row>
    <row r="107" spans="1:17" ht="18" x14ac:dyDescent="0.35">
      <c r="C107" s="380" t="s">
        <v>671</v>
      </c>
      <c r="F107" s="473">
        <f>E23</f>
        <v>5.6000000000000005</v>
      </c>
      <c r="G107" s="380" t="s">
        <v>3</v>
      </c>
      <c r="J107" s="416"/>
      <c r="M107" s="413"/>
      <c r="N107" s="414"/>
    </row>
    <row r="108" spans="1:17" ht="18" x14ac:dyDescent="0.35">
      <c r="E108" s="477" t="s">
        <v>1038</v>
      </c>
      <c r="F108" s="480">
        <f>1/((F106^2)*PI()/(4*F42))</f>
        <v>5.6</v>
      </c>
      <c r="G108" s="319" t="s">
        <v>3</v>
      </c>
      <c r="J108" s="672" t="s">
        <v>1498</v>
      </c>
      <c r="K108" s="405">
        <f>1*(K104/1000*F106*PI()*F103)*7.84</f>
        <v>5231.9570624183725</v>
      </c>
      <c r="L108" s="380" t="s">
        <v>115</v>
      </c>
    </row>
    <row r="109" spans="1:17" x14ac:dyDescent="0.25">
      <c r="B109" s="384" t="s">
        <v>29</v>
      </c>
      <c r="C109" s="402" t="s">
        <v>21</v>
      </c>
      <c r="H109" s="386"/>
    </row>
    <row r="110" spans="1:17" ht="18" x14ac:dyDescent="0.35">
      <c r="B110" s="384" t="s">
        <v>8</v>
      </c>
      <c r="C110" s="460" t="s">
        <v>1463</v>
      </c>
      <c r="F110" s="387">
        <f>F106+1.2</f>
        <v>13.679692135631425</v>
      </c>
      <c r="G110" s="380" t="s">
        <v>1</v>
      </c>
      <c r="H110" s="386"/>
    </row>
    <row r="111" spans="1:17" ht="18" x14ac:dyDescent="0.35">
      <c r="C111" t="s">
        <v>1464</v>
      </c>
      <c r="H111" s="382"/>
      <c r="O111" s="410"/>
    </row>
    <row r="112" spans="1:17" s="446" customFormat="1" x14ac:dyDescent="0.25">
      <c r="A112" s="380"/>
      <c r="B112" s="380"/>
      <c r="C112" s="402"/>
      <c r="D112" s="380"/>
      <c r="E112" s="380"/>
      <c r="F112" s="380"/>
      <c r="G112" s="380"/>
      <c r="H112" s="386"/>
      <c r="I112" s="380"/>
      <c r="J112" s="380"/>
      <c r="K112" s="380"/>
      <c r="L112" s="380"/>
      <c r="M112" s="380"/>
      <c r="N112" s="417"/>
      <c r="O112" s="410"/>
      <c r="P112" s="380"/>
      <c r="Q112" s="380"/>
    </row>
    <row r="113" spans="1:17" x14ac:dyDescent="0.25">
      <c r="C113" s="384"/>
      <c r="D113" s="388"/>
      <c r="N113" s="417"/>
      <c r="O113" s="467"/>
      <c r="P113" s="446"/>
      <c r="Q113" s="446"/>
    </row>
    <row r="114" spans="1:17" x14ac:dyDescent="0.25">
      <c r="A114" s="446"/>
      <c r="B114" s="399" t="s">
        <v>25</v>
      </c>
      <c r="C114" s="400"/>
      <c r="D114" s="400"/>
      <c r="E114" s="400"/>
      <c r="F114" s="400"/>
      <c r="G114" s="400"/>
      <c r="H114" s="400"/>
      <c r="I114" s="446"/>
      <c r="J114" s="446"/>
      <c r="K114" s="446"/>
      <c r="L114" s="446"/>
      <c r="M114" s="446"/>
      <c r="N114" s="466"/>
    </row>
    <row r="115" spans="1:17" ht="18.75" x14ac:dyDescent="0.35">
      <c r="B115" s="198" t="s">
        <v>1044</v>
      </c>
      <c r="C115" s="446"/>
      <c r="D115" s="446"/>
      <c r="E115" s="446"/>
      <c r="F115" s="470">
        <f>0.1*((MIN(F107,F108)-F64)^2/(2*9.81))</f>
        <v>6.0807992612847778E-2</v>
      </c>
      <c r="G115" t="s">
        <v>1</v>
      </c>
    </row>
    <row r="116" spans="1:17" ht="18.75" x14ac:dyDescent="0.35">
      <c r="B116" s="462" t="s">
        <v>1466</v>
      </c>
      <c r="F116" s="387">
        <f>6.35*F103*F117^2*E23^2/F106^(4/3)</f>
        <v>0.13758611655101932</v>
      </c>
      <c r="G116" s="380" t="s">
        <v>1</v>
      </c>
    </row>
    <row r="117" spans="1:17" ht="18" x14ac:dyDescent="0.35">
      <c r="B117" s="402"/>
      <c r="C117" s="380" t="s">
        <v>664</v>
      </c>
      <c r="F117" s="418">
        <v>0.01</v>
      </c>
    </row>
    <row r="118" spans="1:17" x14ac:dyDescent="0.25">
      <c r="B118" s="402"/>
      <c r="F118" s="418"/>
    </row>
    <row r="119" spans="1:17" ht="18" x14ac:dyDescent="0.35">
      <c r="B119" s="402"/>
      <c r="C119" s="460" t="s">
        <v>1477</v>
      </c>
      <c r="F119" s="408">
        <f>F116/hsrf2rout!D13</f>
        <v>1.0006263021892314E-3</v>
      </c>
    </row>
    <row r="120" spans="1:17" x14ac:dyDescent="0.25">
      <c r="B120" s="402"/>
      <c r="F120" s="408"/>
    </row>
    <row r="121" spans="1:17" x14ac:dyDescent="0.25">
      <c r="B121" s="399" t="s">
        <v>741</v>
      </c>
      <c r="C121" s="404"/>
      <c r="D121" s="404"/>
      <c r="E121" s="400"/>
      <c r="F121" s="419"/>
      <c r="G121" s="400"/>
      <c r="H121" s="400"/>
    </row>
    <row r="122" spans="1:17" ht="18" x14ac:dyDescent="0.35">
      <c r="B122" s="380" t="s">
        <v>742</v>
      </c>
      <c r="C122" s="384"/>
      <c r="D122" s="670" t="s">
        <v>1467</v>
      </c>
      <c r="E122" s="462" t="s">
        <v>1468</v>
      </c>
      <c r="F122" s="565">
        <f>0.3*(hsrf2rout!D5-hsrf2pwh!B34)</f>
        <v>51.018734365529802</v>
      </c>
      <c r="G122" s="380" t="s">
        <v>1</v>
      </c>
    </row>
    <row r="123" spans="1:17" ht="18" x14ac:dyDescent="0.35">
      <c r="B123" s="380" t="s">
        <v>743</v>
      </c>
      <c r="C123" s="384"/>
      <c r="D123" s="670" t="s">
        <v>1469</v>
      </c>
      <c r="E123" s="402" t="s">
        <v>744</v>
      </c>
      <c r="F123" s="387">
        <f>IF(D126&lt;3,1/F127,1/F128)*2*(F52*F62/(PI()/4*F55^2)+F59*F62/(0.8927*F61^2)+F103*F62/(0.8927*F106^2))/9.81</f>
        <v>103.08071610269099</v>
      </c>
      <c r="G123" s="380" t="s">
        <v>1</v>
      </c>
    </row>
    <row r="124" spans="1:17" ht="18" x14ac:dyDescent="0.35">
      <c r="C124" s="384" t="s">
        <v>750</v>
      </c>
      <c r="D124" s="460" t="s">
        <v>1470</v>
      </c>
      <c r="E124" s="402"/>
      <c r="F124" s="387"/>
      <c r="H124" s="451"/>
    </row>
    <row r="125" spans="1:17" x14ac:dyDescent="0.25">
      <c r="C125" s="384"/>
      <c r="E125" s="402"/>
      <c r="F125" s="387"/>
    </row>
    <row r="126" spans="1:17" ht="15.75" x14ac:dyDescent="0.3">
      <c r="C126" s="380" t="s">
        <v>747</v>
      </c>
      <c r="D126" s="565">
        <f>(F52+F59+F103)/hsrf2rout!D13</f>
        <v>17.135332212403366</v>
      </c>
      <c r="F126" s="420" t="s">
        <v>749</v>
      </c>
      <c r="G126" s="380" t="s">
        <v>748</v>
      </c>
    </row>
    <row r="127" spans="1:17" x14ac:dyDescent="0.25">
      <c r="B127" s="460"/>
      <c r="C127" s="460"/>
      <c r="D127" s="460"/>
      <c r="E127" s="460"/>
      <c r="F127" s="420">
        <v>6</v>
      </c>
      <c r="G127" s="380" t="s">
        <v>746</v>
      </c>
    </row>
    <row r="128" spans="1:17" ht="18" x14ac:dyDescent="0.35">
      <c r="B128" s="460"/>
      <c r="C128" s="460" t="s">
        <v>1471</v>
      </c>
      <c r="D128" s="387">
        <f>F61*(hsrf2tunl!F123/hsrf2tunl!F122)^0.5</f>
        <v>28.655826345001923</v>
      </c>
      <c r="E128" s="460" t="s">
        <v>1</v>
      </c>
      <c r="F128" s="420">
        <v>10</v>
      </c>
      <c r="G128" s="380" t="s">
        <v>745</v>
      </c>
    </row>
    <row r="129" spans="1:13" ht="18" x14ac:dyDescent="0.35">
      <c r="B129" s="481"/>
      <c r="C129" s="471" t="s">
        <v>1472</v>
      </c>
      <c r="D129" s="472">
        <f>F106*(hsrf2tunl!F123/hsrf2tunl!F122)^0.5</f>
        <v>17.738943271367564</v>
      </c>
      <c r="E129" s="471" t="s">
        <v>1</v>
      </c>
    </row>
    <row r="130" spans="1:13" ht="15" customHeight="1" x14ac:dyDescent="0.25"/>
    <row r="131" spans="1:13" ht="15" customHeight="1" x14ac:dyDescent="0.25">
      <c r="A131" s="399" t="s">
        <v>32</v>
      </c>
      <c r="B131" s="463" t="s">
        <v>1250</v>
      </c>
      <c r="C131" s="400"/>
      <c r="D131" s="400"/>
      <c r="E131" s="400"/>
      <c r="F131" s="400"/>
      <c r="G131" s="400"/>
      <c r="H131" s="400"/>
      <c r="J131" s="463" t="s">
        <v>1252</v>
      </c>
      <c r="K131" s="400"/>
      <c r="L131" s="400"/>
    </row>
    <row r="132" spans="1:13" ht="15" customHeight="1" x14ac:dyDescent="0.25"/>
    <row r="133" spans="1:13" ht="15" customHeight="1" x14ac:dyDescent="0.25">
      <c r="B133" s="380" t="s">
        <v>17</v>
      </c>
      <c r="C133" s="460" t="s">
        <v>1251</v>
      </c>
      <c r="F133" s="387">
        <f>20+ROUNDUP(F106,0)</f>
        <v>33</v>
      </c>
      <c r="G133" s="380" t="s">
        <v>1</v>
      </c>
      <c r="J133" s="404" t="s">
        <v>36</v>
      </c>
    </row>
    <row r="134" spans="1:13" ht="15" customHeight="1" x14ac:dyDescent="0.35">
      <c r="B134" s="380" t="s">
        <v>28</v>
      </c>
      <c r="C134" s="380" t="s">
        <v>27</v>
      </c>
      <c r="J134" s="468" t="s">
        <v>1489</v>
      </c>
      <c r="K134" s="412">
        <f>MAX(K135,K136)</f>
        <v>65.969672176303789</v>
      </c>
      <c r="L134" s="380" t="s">
        <v>114</v>
      </c>
    </row>
    <row r="135" spans="1:13" ht="15" customHeight="1" x14ac:dyDescent="0.35">
      <c r="B135" s="380" t="s">
        <v>19</v>
      </c>
      <c r="C135" s="460" t="s">
        <v>1473</v>
      </c>
      <c r="F135" s="470">
        <f>IF(F106&gt;1.8,F106/F136^(3/8),(4/PI()*F42/MIN(F107,F108))^0.5/F136^(3/8))</f>
        <v>9.6231581546645657</v>
      </c>
      <c r="G135" s="319" t="s">
        <v>1</v>
      </c>
      <c r="H135"/>
      <c r="J135" s="673" t="s">
        <v>1494</v>
      </c>
      <c r="K135" s="412">
        <f>(1000*F135+500)/400</f>
        <v>25.307895386661411</v>
      </c>
      <c r="L135" s="380" t="s">
        <v>114</v>
      </c>
    </row>
    <row r="136" spans="1:13" ht="15" customHeight="1" x14ac:dyDescent="0.35">
      <c r="C136" s="547" t="s">
        <v>1593</v>
      </c>
      <c r="D136" s="382"/>
      <c r="E136" s="382"/>
      <c r="F136" s="421">
        <f>hsrf2pwh!B10</f>
        <v>2</v>
      </c>
      <c r="G136" s="386"/>
      <c r="J136" s="673" t="s">
        <v>1490</v>
      </c>
      <c r="K136" s="568">
        <f>10*(0.15+(1.3*(hsrf2rout!D5-hsrf2pwh!B34)/10)*(F135/2*100)/(3300/2))</f>
        <v>65.969672176303789</v>
      </c>
      <c r="L136" s="380" t="s">
        <v>114</v>
      </c>
    </row>
    <row r="137" spans="1:13" ht="15" customHeight="1" x14ac:dyDescent="0.25">
      <c r="J137" s="416"/>
    </row>
    <row r="138" spans="1:13" ht="15" customHeight="1" x14ac:dyDescent="0.35">
      <c r="B138" s="399" t="s">
        <v>25</v>
      </c>
      <c r="C138" s="400"/>
      <c r="D138" s="400"/>
      <c r="E138" s="400"/>
      <c r="F138" s="400"/>
      <c r="G138" s="400"/>
      <c r="H138" s="400"/>
      <c r="J138" s="672" t="s">
        <v>1491</v>
      </c>
      <c r="K138" s="405">
        <f>F136*(K134/1000*F135*PI()*F133)*7.84</f>
        <v>1031.9812822286883</v>
      </c>
      <c r="L138" s="380" t="s">
        <v>115</v>
      </c>
    </row>
    <row r="139" spans="1:13" ht="18.75" x14ac:dyDescent="0.35">
      <c r="B139" s="461" t="s">
        <v>1029</v>
      </c>
      <c r="F139" s="470">
        <f>0.1*(MIN(F107,F108)^2/(2*9.81))</f>
        <v>0.15983690112130478</v>
      </c>
      <c r="G139" s="319" t="s">
        <v>1</v>
      </c>
      <c r="H139" s="319" t="s">
        <v>1035</v>
      </c>
      <c r="J139" s="389"/>
    </row>
    <row r="140" spans="1:13" ht="18.75" x14ac:dyDescent="0.35">
      <c r="B140" s="462" t="s">
        <v>1474</v>
      </c>
      <c r="F140" s="387">
        <f>6.35*F133*F141^2*(hsrf2intk!B9/F136/(PI()*F135^2/4))^2/F135^(4/3)</f>
        <v>2.2701709230918167E-2</v>
      </c>
      <c r="G140" s="380" t="s">
        <v>1</v>
      </c>
      <c r="J140" s="404" t="s">
        <v>655</v>
      </c>
    </row>
    <row r="141" spans="1:13" ht="18" x14ac:dyDescent="0.35">
      <c r="B141" s="402"/>
      <c r="C141" s="380" t="s">
        <v>664</v>
      </c>
      <c r="F141" s="418">
        <v>0.01</v>
      </c>
      <c r="J141" s="672" t="s">
        <v>1492</v>
      </c>
      <c r="K141" s="569">
        <f>hsrf2pwh!B44</f>
        <v>6.3058337720700806</v>
      </c>
      <c r="L141" s="380" t="s">
        <v>1</v>
      </c>
    </row>
    <row r="142" spans="1:13" ht="18" x14ac:dyDescent="0.35">
      <c r="J142" s="672" t="s">
        <v>1488</v>
      </c>
      <c r="K142" s="422">
        <f>1.3*(hsrf2rout!D5-hsrf2pwh!B34)</f>
        <v>221.08118225062915</v>
      </c>
      <c r="L142" s="380" t="s">
        <v>1</v>
      </c>
    </row>
    <row r="143" spans="1:13" ht="18.75" x14ac:dyDescent="0.35">
      <c r="B143" s="198" t="s">
        <v>1028</v>
      </c>
      <c r="F143" s="387">
        <f>0.1*((hsrf2intk!B9/F136/(PI()*F135^2/4))-(hsrf2intk!B9/F136/(PI()*K135^2/4)))^2/(2*9.81)</f>
        <v>8.2701958478794704E-2</v>
      </c>
      <c r="G143" s="460" t="s">
        <v>1</v>
      </c>
      <c r="J143" s="674" t="s">
        <v>1493</v>
      </c>
      <c r="M143" s="424"/>
    </row>
    <row r="144" spans="1:13" ht="18.75" x14ac:dyDescent="0.35">
      <c r="B144" s="461" t="s">
        <v>1027</v>
      </c>
      <c r="F144" s="387">
        <f>0.2*(hsrf2intk!B9/F136/(PI()*K141^2/4))^2/(2*9.81)</f>
        <v>1.2260056449692218</v>
      </c>
      <c r="G144" s="460" t="s">
        <v>1</v>
      </c>
      <c r="J144" s="389"/>
      <c r="K144" s="116" t="s">
        <v>1499</v>
      </c>
      <c r="L144" s="465">
        <f>(217*((K141/1.6)^2)*K142/203)*0.1</f>
        <v>367.07984972379029</v>
      </c>
      <c r="M144" s="523" t="s">
        <v>115</v>
      </c>
    </row>
    <row r="145" spans="3:15" x14ac:dyDescent="0.25">
      <c r="K145" s="420" t="s">
        <v>488</v>
      </c>
      <c r="L145" s="424">
        <f>IF(K141&gt;=2,2.528*(K142)^0.35*(10.2*(K141)^2+9.2*(K141)-1.97),2.528*(K142)^0.35*(9.6*(K141)^2+8.6*(K141)-1.85))*1000</f>
        <v>7720863.7014232464</v>
      </c>
      <c r="M145" s="389"/>
      <c r="N145" s="389"/>
    </row>
    <row r="146" spans="3:15" ht="18" x14ac:dyDescent="0.35">
      <c r="C146" t="s">
        <v>1475</v>
      </c>
      <c r="D146" s="446"/>
      <c r="E146" s="446"/>
      <c r="F146" s="408">
        <f>(F139+F140+F143+F144)/hsrf2rout!D13</f>
        <v>1.0845427009456288E-2</v>
      </c>
      <c r="G146"/>
      <c r="J146" s="389"/>
      <c r="K146" s="389"/>
      <c r="L146" s="389"/>
      <c r="M146" s="389"/>
      <c r="N146" s="389"/>
    </row>
    <row r="147" spans="3:15" x14ac:dyDescent="0.25">
      <c r="J147" s="389"/>
      <c r="K147" s="389"/>
      <c r="L147" s="424"/>
      <c r="M147" s="389"/>
      <c r="O147" s="389"/>
    </row>
    <row r="148" spans="3:15" ht="18" x14ac:dyDescent="0.35">
      <c r="C148" s="1" t="s">
        <v>1476</v>
      </c>
      <c r="D148" s="1"/>
      <c r="E148" s="446"/>
      <c r="F148" s="464"/>
      <c r="J148" s="389"/>
      <c r="K148" s="389"/>
      <c r="L148" s="389"/>
      <c r="M148" s="389"/>
      <c r="N148" s="424"/>
    </row>
    <row r="149" spans="3:15" x14ac:dyDescent="0.25">
      <c r="C149" t="s">
        <v>1036</v>
      </c>
      <c r="D149" s="446"/>
      <c r="E149" s="446"/>
      <c r="F149" s="475">
        <f>IF(C5&gt;0,F119+F99+F146,0)</f>
        <v>1.397713513985362E-2</v>
      </c>
      <c r="K149" s="420" t="s">
        <v>656</v>
      </c>
      <c r="L149" s="424"/>
      <c r="M149" s="389" t="s">
        <v>173</v>
      </c>
    </row>
    <row r="150" spans="3:15" x14ac:dyDescent="0.25">
      <c r="C150" t="s">
        <v>1037</v>
      </c>
      <c r="D150" s="446"/>
      <c r="E150" s="446"/>
      <c r="F150" s="475">
        <f>IF(C5&gt;0,0,F119+F99+F146)</f>
        <v>0</v>
      </c>
      <c r="K150" s="420" t="s">
        <v>629</v>
      </c>
      <c r="L150" s="424">
        <f>L145+L149</f>
        <v>7720863.7014232464</v>
      </c>
      <c r="M150" s="389" t="s">
        <v>173</v>
      </c>
    </row>
    <row r="155" spans="3:15" x14ac:dyDescent="0.25">
      <c r="J155" s="423"/>
      <c r="K155" s="423"/>
      <c r="L155" s="423"/>
      <c r="M155" s="423"/>
      <c r="N155" s="429" t="s">
        <v>199</v>
      </c>
    </row>
    <row r="170" spans="1:8" x14ac:dyDescent="0.25">
      <c r="A170" s="427"/>
      <c r="H170" s="425"/>
    </row>
    <row r="171" spans="1:8" x14ac:dyDescent="0.25">
      <c r="A171" s="427"/>
      <c r="H171" s="426"/>
    </row>
    <row r="172" spans="1:8" x14ac:dyDescent="0.25">
      <c r="A172" s="426"/>
    </row>
    <row r="173" spans="1:8" x14ac:dyDescent="0.25">
      <c r="A173" s="426"/>
      <c r="H173" s="428"/>
    </row>
    <row r="174" spans="1:8" x14ac:dyDescent="0.25">
      <c r="A174" s="426"/>
      <c r="H174" s="428"/>
    </row>
    <row r="175" spans="1:8" x14ac:dyDescent="0.25">
      <c r="A175" s="426"/>
      <c r="H175" s="428"/>
    </row>
    <row r="185" spans="1:1" x14ac:dyDescent="0.25">
      <c r="A185" s="426"/>
    </row>
  </sheetData>
  <mergeCells count="6">
    <mergeCell ref="B19:C19"/>
    <mergeCell ref="C27:D27"/>
    <mergeCell ref="B23:C23"/>
    <mergeCell ref="B20:C20"/>
    <mergeCell ref="B21:C21"/>
    <mergeCell ref="B22:C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14339" r:id="rId4">
          <objectPr defaultSize="0" autoLine="0" autoPict="0" r:id="rId5">
            <anchor moveWithCells="1">
              <from>
                <xdr:col>7</xdr:col>
                <xdr:colOff>895350</xdr:colOff>
                <xdr:row>126</xdr:row>
                <xdr:rowOff>9525</xdr:rowOff>
              </from>
              <to>
                <xdr:col>7</xdr:col>
                <xdr:colOff>1514475</xdr:colOff>
                <xdr:row>127</xdr:row>
                <xdr:rowOff>9525</xdr:rowOff>
              </to>
            </anchor>
          </objectPr>
        </oleObject>
      </mc:Choice>
      <mc:Fallback>
        <oleObject progId="Equation.2" shapeId="14339" r:id="rId4"/>
      </mc:Fallback>
    </mc:AlternateContent>
    <mc:AlternateContent xmlns:mc="http://schemas.openxmlformats.org/markup-compatibility/2006">
      <mc:Choice Requires="x14">
        <oleObject progId="Equation.2" shapeId="14340" r:id="rId6">
          <objectPr defaultSize="0" autoLine="0" autoPict="0" r:id="rId7">
            <anchor moveWithCells="1">
              <from>
                <xdr:col>7</xdr:col>
                <xdr:colOff>895350</xdr:colOff>
                <xdr:row>127</xdr:row>
                <xdr:rowOff>19050</xdr:rowOff>
              </from>
              <to>
                <xdr:col>7</xdr:col>
                <xdr:colOff>1514475</xdr:colOff>
                <xdr:row>127</xdr:row>
                <xdr:rowOff>209550</xdr:rowOff>
              </to>
            </anchor>
          </objectPr>
        </oleObject>
      </mc:Choice>
      <mc:Fallback>
        <oleObject progId="Equation.2" shapeId="14340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C7AA-7507-4BB0-B7F8-BBED850CB750}">
  <dimension ref="A1:H44"/>
  <sheetViews>
    <sheetView workbookViewId="0">
      <selection activeCell="D14" sqref="D14"/>
    </sheetView>
  </sheetViews>
  <sheetFormatPr defaultRowHeight="15" x14ac:dyDescent="0.25"/>
  <cols>
    <col min="1" max="1" width="59.28515625" style="446" bestFit="1" customWidth="1"/>
    <col min="2" max="2" width="9.140625" style="617"/>
    <col min="3" max="3" width="2.7109375" style="446" customWidth="1"/>
    <col min="4" max="4" width="12.42578125" style="446" bestFit="1" customWidth="1"/>
    <col min="5" max="5" width="2.7109375" style="446" customWidth="1"/>
    <col min="6" max="6" width="9.140625" style="446" customWidth="1"/>
    <col min="7" max="7" width="13.7109375" style="446" customWidth="1"/>
    <col min="8" max="8" width="14.140625" style="446" customWidth="1"/>
    <col min="9" max="16384" width="9.140625" style="446"/>
  </cols>
  <sheetData>
    <row r="1" spans="1:8" x14ac:dyDescent="0.25">
      <c r="A1" s="595" t="s">
        <v>1305</v>
      </c>
    </row>
    <row r="3" spans="1:8" x14ac:dyDescent="0.25">
      <c r="A3" s="596" t="s">
        <v>1162</v>
      </c>
    </row>
    <row r="5" spans="1:8" ht="18" x14ac:dyDescent="0.35">
      <c r="A5" s="589" t="s">
        <v>1394</v>
      </c>
      <c r="B5" s="618">
        <f>hsrf2tunl!F47</f>
        <v>2.1459403377126307</v>
      </c>
      <c r="G5" s="621" t="s">
        <v>871</v>
      </c>
      <c r="H5" s="621" t="s">
        <v>872</v>
      </c>
    </row>
    <row r="6" spans="1:8" ht="18" x14ac:dyDescent="0.35">
      <c r="A6" s="589" t="s">
        <v>1395</v>
      </c>
      <c r="B6" s="618">
        <f>hsrf2tunl!$C$5</f>
        <v>100</v>
      </c>
      <c r="G6" s="622">
        <v>1</v>
      </c>
      <c r="H6" s="623">
        <f>hsrf2tunl!F78+hsrf2tunl!F79+hsrf2tunl!F80</f>
        <v>5.2692427322887196E-2</v>
      </c>
    </row>
    <row r="7" spans="1:8" ht="18" x14ac:dyDescent="0.35">
      <c r="A7" s="619" t="s">
        <v>1303</v>
      </c>
      <c r="B7" s="618">
        <f>0.8927*B8^2</f>
        <v>362.81368672191934</v>
      </c>
      <c r="G7" s="622">
        <v>2</v>
      </c>
      <c r="H7" s="623">
        <f>hsrf2tunl!F84+hsrf2tunl!F85+hsrf2tunl!F86</f>
        <v>2.0356658401115401E-2</v>
      </c>
    </row>
    <row r="8" spans="1:8" ht="18" x14ac:dyDescent="0.35">
      <c r="A8" s="589" t="s">
        <v>1379</v>
      </c>
      <c r="B8" s="618">
        <f>hsrf2tunl!F37</f>
        <v>20.159932032420912</v>
      </c>
      <c r="G8" s="622">
        <v>3</v>
      </c>
      <c r="H8" s="623">
        <f>hsrf2tunl!F90+hsrf2tunl!F91+hsrf2tunl!F92</f>
        <v>7.0465356003861024E-3</v>
      </c>
    </row>
    <row r="9" spans="1:8" x14ac:dyDescent="0.25">
      <c r="A9" s="589" t="s">
        <v>1304</v>
      </c>
      <c r="B9" s="620">
        <f>hsrf2tunl!F73</f>
        <v>4.6942506962509678E-2</v>
      </c>
    </row>
    <row r="10" spans="1:8" x14ac:dyDescent="0.25">
      <c r="A10" s="589" t="s">
        <v>1306</v>
      </c>
      <c r="B10" s="620">
        <f>LOOKUP(hsrf2tunl!D26,G6:G8,H6:H8)</f>
        <v>5.2692427322887196E-2</v>
      </c>
    </row>
    <row r="11" spans="1:8" ht="18" x14ac:dyDescent="0.35">
      <c r="A11" s="589" t="s">
        <v>1260</v>
      </c>
      <c r="B11" s="618">
        <f>iohsrf2!B25</f>
        <v>1548</v>
      </c>
    </row>
    <row r="12" spans="1:8" ht="18" x14ac:dyDescent="0.35">
      <c r="A12" s="589" t="s">
        <v>1261</v>
      </c>
      <c r="B12" s="618">
        <f>iohsrf2!B26</f>
        <v>1538</v>
      </c>
    </row>
    <row r="13" spans="1:8" x14ac:dyDescent="0.25">
      <c r="A13" s="589" t="s">
        <v>1195</v>
      </c>
      <c r="B13" s="618">
        <f>hsrf2pwh!B34</f>
        <v>1377.9375521149007</v>
      </c>
      <c r="D13" s="466"/>
    </row>
    <row r="14" spans="1:8" ht="18" x14ac:dyDescent="0.35">
      <c r="A14" s="589" t="s">
        <v>1265</v>
      </c>
      <c r="B14" s="618">
        <f>hsrf2intk!B25</f>
        <v>1511.7860731685219</v>
      </c>
    </row>
    <row r="16" spans="1:8" x14ac:dyDescent="0.25">
      <c r="A16" s="597" t="s">
        <v>1269</v>
      </c>
    </row>
    <row r="18" spans="1:4" x14ac:dyDescent="0.25">
      <c r="A18" s="587" t="s">
        <v>1299</v>
      </c>
      <c r="B18" s="618">
        <f>B6/(B11-B13)</f>
        <v>0.5880192908170051</v>
      </c>
      <c r="D18" s="5" t="s">
        <v>1255</v>
      </c>
    </row>
    <row r="19" spans="1:4" ht="18" x14ac:dyDescent="0.35">
      <c r="A19" s="587" t="s">
        <v>1293</v>
      </c>
      <c r="B19" s="618">
        <f>1.25*B9/0.2*(B6*B7/(((B12-B13)-B9-B10)*(B9+B10)))</f>
        <v>667.88130540568716</v>
      </c>
      <c r="D19" s="5" t="s">
        <v>1298</v>
      </c>
    </row>
    <row r="20" spans="1:4" ht="18" x14ac:dyDescent="0.35">
      <c r="A20" s="589" t="s">
        <v>1294</v>
      </c>
      <c r="B20" s="618">
        <f>ROUND(SQRT(4*B19/PI()),2)</f>
        <v>29.16</v>
      </c>
    </row>
    <row r="21" spans="1:4" ht="18" x14ac:dyDescent="0.35">
      <c r="A21" s="589" t="s">
        <v>1295</v>
      </c>
      <c r="B21" s="618">
        <f>IF(B19&gt;0,B5*SQRT(B6*B7/(9.81*B19)),0)</f>
        <v>5.0498133599508925</v>
      </c>
    </row>
    <row r="22" spans="1:4" ht="18" x14ac:dyDescent="0.35">
      <c r="A22" s="589" t="s">
        <v>1296</v>
      </c>
      <c r="B22" s="618">
        <f>IF(B18=0,0,B11-2/3*(B9+B10)+B21)</f>
        <v>1552.9833900704273</v>
      </c>
    </row>
    <row r="23" spans="1:4" ht="18" x14ac:dyDescent="0.35">
      <c r="A23" s="589" t="s">
        <v>1307</v>
      </c>
      <c r="B23" s="618">
        <f>IF(B18=0,0,B12+2*(B9+B10)-B21)</f>
        <v>1533.14945650862</v>
      </c>
    </row>
    <row r="24" spans="1:4" ht="18" x14ac:dyDescent="0.35">
      <c r="A24" s="589" t="s">
        <v>1378</v>
      </c>
      <c r="B24" s="618">
        <f>IF(B18=0,0,IF((B14-(0.005*B6)+B8)&gt;(B23-1),(B23-1),(B14-(0.005*B6)+B8)))</f>
        <v>1531.4460052009429</v>
      </c>
    </row>
    <row r="44" spans="5:5" x14ac:dyDescent="0.25">
      <c r="E44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25601" r:id="rId4">
          <objectPr defaultSize="0" autoLine="0" autoPict="0" r:id="rId5">
            <anchor moveWithCells="1">
              <from>
                <xdr:col>3</xdr:col>
                <xdr:colOff>685800</xdr:colOff>
                <xdr:row>16</xdr:row>
                <xdr:rowOff>180975</xdr:rowOff>
              </from>
              <to>
                <xdr:col>8</xdr:col>
                <xdr:colOff>47625</xdr:colOff>
                <xdr:row>18</xdr:row>
                <xdr:rowOff>209550</xdr:rowOff>
              </to>
            </anchor>
          </objectPr>
        </oleObject>
      </mc:Choice>
      <mc:Fallback>
        <oleObject progId="Equation.2" shapeId="25601" r:id="rId4"/>
      </mc:Fallback>
    </mc:AlternateContent>
    <mc:AlternateContent xmlns:mc="http://schemas.openxmlformats.org/markup-compatibility/2006">
      <mc:Choice Requires="x14">
        <oleObject progId="Equation.2" shapeId="25602" r:id="rId6">
          <objectPr defaultSize="0" autoLine="0" autoPict="0" r:id="rId7">
            <anchor moveWithCells="1">
              <from>
                <xdr:col>2</xdr:col>
                <xdr:colOff>161925</xdr:colOff>
                <xdr:row>19</xdr:row>
                <xdr:rowOff>38100</xdr:rowOff>
              </from>
              <to>
                <xdr:col>5</xdr:col>
                <xdr:colOff>571500</xdr:colOff>
                <xdr:row>20</xdr:row>
                <xdr:rowOff>209550</xdr:rowOff>
              </to>
            </anchor>
          </objectPr>
        </oleObject>
      </mc:Choice>
      <mc:Fallback>
        <oleObject progId="Equation.2" shapeId="25602" r:id="rId6"/>
      </mc:Fallback>
    </mc:AlternateContent>
    <mc:AlternateContent xmlns:mc="http://schemas.openxmlformats.org/markup-compatibility/2006">
      <mc:Choice Requires="x14">
        <oleObject progId="Equation.2" shapeId="25603" r:id="rId8">
          <objectPr defaultSize="0" autoLine="0" autoPict="0" r:id="rId9">
            <anchor moveWithCells="1">
              <from>
                <xdr:col>5</xdr:col>
                <xdr:colOff>733425</xdr:colOff>
                <xdr:row>19</xdr:row>
                <xdr:rowOff>38100</xdr:rowOff>
              </from>
              <to>
                <xdr:col>9</xdr:col>
                <xdr:colOff>0</xdr:colOff>
                <xdr:row>20</xdr:row>
                <xdr:rowOff>142875</xdr:rowOff>
              </to>
            </anchor>
          </objectPr>
        </oleObject>
      </mc:Choice>
      <mc:Fallback>
        <oleObject progId="Equation.2" shapeId="25603" r:id="rId8"/>
      </mc:Fallback>
    </mc:AlternateContent>
    <mc:AlternateContent xmlns:mc="http://schemas.openxmlformats.org/markup-compatibility/2006">
      <mc:Choice Requires="x14">
        <oleObject progId="Equation.2" shapeId="25604" r:id="rId10">
          <objectPr defaultSize="0" autoLine="0" autoPict="0" r:id="rId11">
            <anchor moveWithCells="1">
              <from>
                <xdr:col>5</xdr:col>
                <xdr:colOff>704850</xdr:colOff>
                <xdr:row>20</xdr:row>
                <xdr:rowOff>133350</xdr:rowOff>
              </from>
              <to>
                <xdr:col>8</xdr:col>
                <xdr:colOff>447675</xdr:colOff>
                <xdr:row>21</xdr:row>
                <xdr:rowOff>133350</xdr:rowOff>
              </to>
            </anchor>
          </objectPr>
        </oleObject>
      </mc:Choice>
      <mc:Fallback>
        <oleObject progId="Equation.2" shapeId="25604" r:id="rId1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9925-AE28-489E-8FC3-B4E73E264BD4}">
  <dimension ref="A1:K174"/>
  <sheetViews>
    <sheetView zoomScaleNormal="100" workbookViewId="0">
      <selection activeCell="H10" sqref="H10"/>
    </sheetView>
  </sheetViews>
  <sheetFormatPr defaultRowHeight="15" x14ac:dyDescent="0.25"/>
  <cols>
    <col min="1" max="1" width="54.5703125" style="613" bestFit="1" customWidth="1"/>
    <col min="2" max="3" width="9.7109375" style="613" customWidth="1"/>
    <col min="4" max="4" width="54.140625" style="613" bestFit="1" customWidth="1"/>
    <col min="5" max="5" width="3.7109375" style="613" customWidth="1"/>
    <col min="6" max="6" width="30.28515625" style="613" bestFit="1" customWidth="1"/>
    <col min="7" max="8" width="8.7109375" style="613" customWidth="1"/>
    <col min="9" max="11" width="7.7109375" style="613" customWidth="1"/>
    <col min="12" max="12" width="25.7109375" style="613" customWidth="1"/>
    <col min="13" max="13" width="9.140625" style="613"/>
    <col min="14" max="14" width="25.7109375" style="613" customWidth="1"/>
    <col min="15" max="252" width="9.140625" style="613"/>
    <col min="253" max="253" width="37.85546875" style="613" customWidth="1"/>
    <col min="254" max="254" width="12.140625" style="613" customWidth="1"/>
    <col min="255" max="255" width="11.85546875" style="613" customWidth="1"/>
    <col min="256" max="256" width="14.5703125" style="613" customWidth="1"/>
    <col min="257" max="257" width="40.7109375" style="613" customWidth="1"/>
    <col min="258" max="258" width="12.42578125" style="613" customWidth="1"/>
    <col min="259" max="259" width="9.140625" style="613"/>
    <col min="260" max="260" width="10" style="613" customWidth="1"/>
    <col min="261" max="264" width="9.140625" style="613"/>
    <col min="265" max="265" width="35.7109375" style="613" customWidth="1"/>
    <col min="266" max="266" width="20.7109375" style="613" customWidth="1"/>
    <col min="267" max="267" width="9.140625" style="613"/>
    <col min="268" max="268" width="25.7109375" style="613" customWidth="1"/>
    <col min="269" max="269" width="9.140625" style="613"/>
    <col min="270" max="270" width="25.7109375" style="613" customWidth="1"/>
    <col min="271" max="508" width="9.140625" style="613"/>
    <col min="509" max="509" width="37.85546875" style="613" customWidth="1"/>
    <col min="510" max="510" width="12.140625" style="613" customWidth="1"/>
    <col min="511" max="511" width="11.85546875" style="613" customWidth="1"/>
    <col min="512" max="512" width="14.5703125" style="613" customWidth="1"/>
    <col min="513" max="513" width="40.7109375" style="613" customWidth="1"/>
    <col min="514" max="514" width="12.42578125" style="613" customWidth="1"/>
    <col min="515" max="515" width="9.140625" style="613"/>
    <col min="516" max="516" width="10" style="613" customWidth="1"/>
    <col min="517" max="520" width="9.140625" style="613"/>
    <col min="521" max="521" width="35.7109375" style="613" customWidth="1"/>
    <col min="522" max="522" width="20.7109375" style="613" customWidth="1"/>
    <col min="523" max="523" width="9.140625" style="613"/>
    <col min="524" max="524" width="25.7109375" style="613" customWidth="1"/>
    <col min="525" max="525" width="9.140625" style="613"/>
    <col min="526" max="526" width="25.7109375" style="613" customWidth="1"/>
    <col min="527" max="764" width="9.140625" style="613"/>
    <col min="765" max="765" width="37.85546875" style="613" customWidth="1"/>
    <col min="766" max="766" width="12.140625" style="613" customWidth="1"/>
    <col min="767" max="767" width="11.85546875" style="613" customWidth="1"/>
    <col min="768" max="768" width="14.5703125" style="613" customWidth="1"/>
    <col min="769" max="769" width="40.7109375" style="613" customWidth="1"/>
    <col min="770" max="770" width="12.42578125" style="613" customWidth="1"/>
    <col min="771" max="771" width="9.140625" style="613"/>
    <col min="772" max="772" width="10" style="613" customWidth="1"/>
    <col min="773" max="776" width="9.140625" style="613"/>
    <col min="777" max="777" width="35.7109375" style="613" customWidth="1"/>
    <col min="778" max="778" width="20.7109375" style="613" customWidth="1"/>
    <col min="779" max="779" width="9.140625" style="613"/>
    <col min="780" max="780" width="25.7109375" style="613" customWidth="1"/>
    <col min="781" max="781" width="9.140625" style="613"/>
    <col min="782" max="782" width="25.7109375" style="613" customWidth="1"/>
    <col min="783" max="1020" width="9.140625" style="613"/>
    <col min="1021" max="1021" width="37.85546875" style="613" customWidth="1"/>
    <col min="1022" max="1022" width="12.140625" style="613" customWidth="1"/>
    <col min="1023" max="1023" width="11.85546875" style="613" customWidth="1"/>
    <col min="1024" max="1024" width="14.5703125" style="613" customWidth="1"/>
    <col min="1025" max="1025" width="40.7109375" style="613" customWidth="1"/>
    <col min="1026" max="1026" width="12.42578125" style="613" customWidth="1"/>
    <col min="1027" max="1027" width="9.140625" style="613"/>
    <col min="1028" max="1028" width="10" style="613" customWidth="1"/>
    <col min="1029" max="1032" width="9.140625" style="613"/>
    <col min="1033" max="1033" width="35.7109375" style="613" customWidth="1"/>
    <col min="1034" max="1034" width="20.7109375" style="613" customWidth="1"/>
    <col min="1035" max="1035" width="9.140625" style="613"/>
    <col min="1036" max="1036" width="25.7109375" style="613" customWidth="1"/>
    <col min="1037" max="1037" width="9.140625" style="613"/>
    <col min="1038" max="1038" width="25.7109375" style="613" customWidth="1"/>
    <col min="1039" max="1276" width="9.140625" style="613"/>
    <col min="1277" max="1277" width="37.85546875" style="613" customWidth="1"/>
    <col min="1278" max="1278" width="12.140625" style="613" customWidth="1"/>
    <col min="1279" max="1279" width="11.85546875" style="613" customWidth="1"/>
    <col min="1280" max="1280" width="14.5703125" style="613" customWidth="1"/>
    <col min="1281" max="1281" width="40.7109375" style="613" customWidth="1"/>
    <col min="1282" max="1282" width="12.42578125" style="613" customWidth="1"/>
    <col min="1283" max="1283" width="9.140625" style="613"/>
    <col min="1284" max="1284" width="10" style="613" customWidth="1"/>
    <col min="1285" max="1288" width="9.140625" style="613"/>
    <col min="1289" max="1289" width="35.7109375" style="613" customWidth="1"/>
    <col min="1290" max="1290" width="20.7109375" style="613" customWidth="1"/>
    <col min="1291" max="1291" width="9.140625" style="613"/>
    <col min="1292" max="1292" width="25.7109375" style="613" customWidth="1"/>
    <col min="1293" max="1293" width="9.140625" style="613"/>
    <col min="1294" max="1294" width="25.7109375" style="613" customWidth="1"/>
    <col min="1295" max="1532" width="9.140625" style="613"/>
    <col min="1533" max="1533" width="37.85546875" style="613" customWidth="1"/>
    <col min="1534" max="1534" width="12.140625" style="613" customWidth="1"/>
    <col min="1535" max="1535" width="11.85546875" style="613" customWidth="1"/>
    <col min="1536" max="1536" width="14.5703125" style="613" customWidth="1"/>
    <col min="1537" max="1537" width="40.7109375" style="613" customWidth="1"/>
    <col min="1538" max="1538" width="12.42578125" style="613" customWidth="1"/>
    <col min="1539" max="1539" width="9.140625" style="613"/>
    <col min="1540" max="1540" width="10" style="613" customWidth="1"/>
    <col min="1541" max="1544" width="9.140625" style="613"/>
    <col min="1545" max="1545" width="35.7109375" style="613" customWidth="1"/>
    <col min="1546" max="1546" width="20.7109375" style="613" customWidth="1"/>
    <col min="1547" max="1547" width="9.140625" style="613"/>
    <col min="1548" max="1548" width="25.7109375" style="613" customWidth="1"/>
    <col min="1549" max="1549" width="9.140625" style="613"/>
    <col min="1550" max="1550" width="25.7109375" style="613" customWidth="1"/>
    <col min="1551" max="1788" width="9.140625" style="613"/>
    <col min="1789" max="1789" width="37.85546875" style="613" customWidth="1"/>
    <col min="1790" max="1790" width="12.140625" style="613" customWidth="1"/>
    <col min="1791" max="1791" width="11.85546875" style="613" customWidth="1"/>
    <col min="1792" max="1792" width="14.5703125" style="613" customWidth="1"/>
    <col min="1793" max="1793" width="40.7109375" style="613" customWidth="1"/>
    <col min="1794" max="1794" width="12.42578125" style="613" customWidth="1"/>
    <col min="1795" max="1795" width="9.140625" style="613"/>
    <col min="1796" max="1796" width="10" style="613" customWidth="1"/>
    <col min="1797" max="1800" width="9.140625" style="613"/>
    <col min="1801" max="1801" width="35.7109375" style="613" customWidth="1"/>
    <col min="1802" max="1802" width="20.7109375" style="613" customWidth="1"/>
    <col min="1803" max="1803" width="9.140625" style="613"/>
    <col min="1804" max="1804" width="25.7109375" style="613" customWidth="1"/>
    <col min="1805" max="1805" width="9.140625" style="613"/>
    <col min="1806" max="1806" width="25.7109375" style="613" customWidth="1"/>
    <col min="1807" max="2044" width="9.140625" style="613"/>
    <col min="2045" max="2045" width="37.85546875" style="613" customWidth="1"/>
    <col min="2046" max="2046" width="12.140625" style="613" customWidth="1"/>
    <col min="2047" max="2047" width="11.85546875" style="613" customWidth="1"/>
    <col min="2048" max="2048" width="14.5703125" style="613" customWidth="1"/>
    <col min="2049" max="2049" width="40.7109375" style="613" customWidth="1"/>
    <col min="2050" max="2050" width="12.42578125" style="613" customWidth="1"/>
    <col min="2051" max="2051" width="9.140625" style="613"/>
    <col min="2052" max="2052" width="10" style="613" customWidth="1"/>
    <col min="2053" max="2056" width="9.140625" style="613"/>
    <col min="2057" max="2057" width="35.7109375" style="613" customWidth="1"/>
    <col min="2058" max="2058" width="20.7109375" style="613" customWidth="1"/>
    <col min="2059" max="2059" width="9.140625" style="613"/>
    <col min="2060" max="2060" width="25.7109375" style="613" customWidth="1"/>
    <col min="2061" max="2061" width="9.140625" style="613"/>
    <col min="2062" max="2062" width="25.7109375" style="613" customWidth="1"/>
    <col min="2063" max="2300" width="9.140625" style="613"/>
    <col min="2301" max="2301" width="37.85546875" style="613" customWidth="1"/>
    <col min="2302" max="2302" width="12.140625" style="613" customWidth="1"/>
    <col min="2303" max="2303" width="11.85546875" style="613" customWidth="1"/>
    <col min="2304" max="2304" width="14.5703125" style="613" customWidth="1"/>
    <col min="2305" max="2305" width="40.7109375" style="613" customWidth="1"/>
    <col min="2306" max="2306" width="12.42578125" style="613" customWidth="1"/>
    <col min="2307" max="2307" width="9.140625" style="613"/>
    <col min="2308" max="2308" width="10" style="613" customWidth="1"/>
    <col min="2309" max="2312" width="9.140625" style="613"/>
    <col min="2313" max="2313" width="35.7109375" style="613" customWidth="1"/>
    <col min="2314" max="2314" width="20.7109375" style="613" customWidth="1"/>
    <col min="2315" max="2315" width="9.140625" style="613"/>
    <col min="2316" max="2316" width="25.7109375" style="613" customWidth="1"/>
    <col min="2317" max="2317" width="9.140625" style="613"/>
    <col min="2318" max="2318" width="25.7109375" style="613" customWidth="1"/>
    <col min="2319" max="2556" width="9.140625" style="613"/>
    <col min="2557" max="2557" width="37.85546875" style="613" customWidth="1"/>
    <col min="2558" max="2558" width="12.140625" style="613" customWidth="1"/>
    <col min="2559" max="2559" width="11.85546875" style="613" customWidth="1"/>
    <col min="2560" max="2560" width="14.5703125" style="613" customWidth="1"/>
    <col min="2561" max="2561" width="40.7109375" style="613" customWidth="1"/>
    <col min="2562" max="2562" width="12.42578125" style="613" customWidth="1"/>
    <col min="2563" max="2563" width="9.140625" style="613"/>
    <col min="2564" max="2564" width="10" style="613" customWidth="1"/>
    <col min="2565" max="2568" width="9.140625" style="613"/>
    <col min="2569" max="2569" width="35.7109375" style="613" customWidth="1"/>
    <col min="2570" max="2570" width="20.7109375" style="613" customWidth="1"/>
    <col min="2571" max="2571" width="9.140625" style="613"/>
    <col min="2572" max="2572" width="25.7109375" style="613" customWidth="1"/>
    <col min="2573" max="2573" width="9.140625" style="613"/>
    <col min="2574" max="2574" width="25.7109375" style="613" customWidth="1"/>
    <col min="2575" max="2812" width="9.140625" style="613"/>
    <col min="2813" max="2813" width="37.85546875" style="613" customWidth="1"/>
    <col min="2814" max="2814" width="12.140625" style="613" customWidth="1"/>
    <col min="2815" max="2815" width="11.85546875" style="613" customWidth="1"/>
    <col min="2816" max="2816" width="14.5703125" style="613" customWidth="1"/>
    <col min="2817" max="2817" width="40.7109375" style="613" customWidth="1"/>
    <col min="2818" max="2818" width="12.42578125" style="613" customWidth="1"/>
    <col min="2819" max="2819" width="9.140625" style="613"/>
    <col min="2820" max="2820" width="10" style="613" customWidth="1"/>
    <col min="2821" max="2824" width="9.140625" style="613"/>
    <col min="2825" max="2825" width="35.7109375" style="613" customWidth="1"/>
    <col min="2826" max="2826" width="20.7109375" style="613" customWidth="1"/>
    <col min="2827" max="2827" width="9.140625" style="613"/>
    <col min="2828" max="2828" width="25.7109375" style="613" customWidth="1"/>
    <col min="2829" max="2829" width="9.140625" style="613"/>
    <col min="2830" max="2830" width="25.7109375" style="613" customWidth="1"/>
    <col min="2831" max="3068" width="9.140625" style="613"/>
    <col min="3069" max="3069" width="37.85546875" style="613" customWidth="1"/>
    <col min="3070" max="3070" width="12.140625" style="613" customWidth="1"/>
    <col min="3071" max="3071" width="11.85546875" style="613" customWidth="1"/>
    <col min="3072" max="3072" width="14.5703125" style="613" customWidth="1"/>
    <col min="3073" max="3073" width="40.7109375" style="613" customWidth="1"/>
    <col min="3074" max="3074" width="12.42578125" style="613" customWidth="1"/>
    <col min="3075" max="3075" width="9.140625" style="613"/>
    <col min="3076" max="3076" width="10" style="613" customWidth="1"/>
    <col min="3077" max="3080" width="9.140625" style="613"/>
    <col min="3081" max="3081" width="35.7109375" style="613" customWidth="1"/>
    <col min="3082" max="3082" width="20.7109375" style="613" customWidth="1"/>
    <col min="3083" max="3083" width="9.140625" style="613"/>
    <col min="3084" max="3084" width="25.7109375" style="613" customWidth="1"/>
    <col min="3085" max="3085" width="9.140625" style="613"/>
    <col min="3086" max="3086" width="25.7109375" style="613" customWidth="1"/>
    <col min="3087" max="3324" width="9.140625" style="613"/>
    <col min="3325" max="3325" width="37.85546875" style="613" customWidth="1"/>
    <col min="3326" max="3326" width="12.140625" style="613" customWidth="1"/>
    <col min="3327" max="3327" width="11.85546875" style="613" customWidth="1"/>
    <col min="3328" max="3328" width="14.5703125" style="613" customWidth="1"/>
    <col min="3329" max="3329" width="40.7109375" style="613" customWidth="1"/>
    <col min="3330" max="3330" width="12.42578125" style="613" customWidth="1"/>
    <col min="3331" max="3331" width="9.140625" style="613"/>
    <col min="3332" max="3332" width="10" style="613" customWidth="1"/>
    <col min="3333" max="3336" width="9.140625" style="613"/>
    <col min="3337" max="3337" width="35.7109375" style="613" customWidth="1"/>
    <col min="3338" max="3338" width="20.7109375" style="613" customWidth="1"/>
    <col min="3339" max="3339" width="9.140625" style="613"/>
    <col min="3340" max="3340" width="25.7109375" style="613" customWidth="1"/>
    <col min="3341" max="3341" width="9.140625" style="613"/>
    <col min="3342" max="3342" width="25.7109375" style="613" customWidth="1"/>
    <col min="3343" max="3580" width="9.140625" style="613"/>
    <col min="3581" max="3581" width="37.85546875" style="613" customWidth="1"/>
    <col min="3582" max="3582" width="12.140625" style="613" customWidth="1"/>
    <col min="3583" max="3583" width="11.85546875" style="613" customWidth="1"/>
    <col min="3584" max="3584" width="14.5703125" style="613" customWidth="1"/>
    <col min="3585" max="3585" width="40.7109375" style="613" customWidth="1"/>
    <col min="3586" max="3586" width="12.42578125" style="613" customWidth="1"/>
    <col min="3587" max="3587" width="9.140625" style="613"/>
    <col min="3588" max="3588" width="10" style="613" customWidth="1"/>
    <col min="3589" max="3592" width="9.140625" style="613"/>
    <col min="3593" max="3593" width="35.7109375" style="613" customWidth="1"/>
    <col min="3594" max="3594" width="20.7109375" style="613" customWidth="1"/>
    <col min="3595" max="3595" width="9.140625" style="613"/>
    <col min="3596" max="3596" width="25.7109375" style="613" customWidth="1"/>
    <col min="3597" max="3597" width="9.140625" style="613"/>
    <col min="3598" max="3598" width="25.7109375" style="613" customWidth="1"/>
    <col min="3599" max="3836" width="9.140625" style="613"/>
    <col min="3837" max="3837" width="37.85546875" style="613" customWidth="1"/>
    <col min="3838" max="3838" width="12.140625" style="613" customWidth="1"/>
    <col min="3839" max="3839" width="11.85546875" style="613" customWidth="1"/>
    <col min="3840" max="3840" width="14.5703125" style="613" customWidth="1"/>
    <col min="3841" max="3841" width="40.7109375" style="613" customWidth="1"/>
    <col min="3842" max="3842" width="12.42578125" style="613" customWidth="1"/>
    <col min="3843" max="3843" width="9.140625" style="613"/>
    <col min="3844" max="3844" width="10" style="613" customWidth="1"/>
    <col min="3845" max="3848" width="9.140625" style="613"/>
    <col min="3849" max="3849" width="35.7109375" style="613" customWidth="1"/>
    <col min="3850" max="3850" width="20.7109375" style="613" customWidth="1"/>
    <col min="3851" max="3851" width="9.140625" style="613"/>
    <col min="3852" max="3852" width="25.7109375" style="613" customWidth="1"/>
    <col min="3853" max="3853" width="9.140625" style="613"/>
    <col min="3854" max="3854" width="25.7109375" style="613" customWidth="1"/>
    <col min="3855" max="4092" width="9.140625" style="613"/>
    <col min="4093" max="4093" width="37.85546875" style="613" customWidth="1"/>
    <col min="4094" max="4094" width="12.140625" style="613" customWidth="1"/>
    <col min="4095" max="4095" width="11.85546875" style="613" customWidth="1"/>
    <col min="4096" max="4096" width="14.5703125" style="613" customWidth="1"/>
    <col min="4097" max="4097" width="40.7109375" style="613" customWidth="1"/>
    <col min="4098" max="4098" width="12.42578125" style="613" customWidth="1"/>
    <col min="4099" max="4099" width="9.140625" style="613"/>
    <col min="4100" max="4100" width="10" style="613" customWidth="1"/>
    <col min="4101" max="4104" width="9.140625" style="613"/>
    <col min="4105" max="4105" width="35.7109375" style="613" customWidth="1"/>
    <col min="4106" max="4106" width="20.7109375" style="613" customWidth="1"/>
    <col min="4107" max="4107" width="9.140625" style="613"/>
    <col min="4108" max="4108" width="25.7109375" style="613" customWidth="1"/>
    <col min="4109" max="4109" width="9.140625" style="613"/>
    <col min="4110" max="4110" width="25.7109375" style="613" customWidth="1"/>
    <col min="4111" max="4348" width="9.140625" style="613"/>
    <col min="4349" max="4349" width="37.85546875" style="613" customWidth="1"/>
    <col min="4350" max="4350" width="12.140625" style="613" customWidth="1"/>
    <col min="4351" max="4351" width="11.85546875" style="613" customWidth="1"/>
    <col min="4352" max="4352" width="14.5703125" style="613" customWidth="1"/>
    <col min="4353" max="4353" width="40.7109375" style="613" customWidth="1"/>
    <col min="4354" max="4354" width="12.42578125" style="613" customWidth="1"/>
    <col min="4355" max="4355" width="9.140625" style="613"/>
    <col min="4356" max="4356" width="10" style="613" customWidth="1"/>
    <col min="4357" max="4360" width="9.140625" style="613"/>
    <col min="4361" max="4361" width="35.7109375" style="613" customWidth="1"/>
    <col min="4362" max="4362" width="20.7109375" style="613" customWidth="1"/>
    <col min="4363" max="4363" width="9.140625" style="613"/>
    <col min="4364" max="4364" width="25.7109375" style="613" customWidth="1"/>
    <col min="4365" max="4365" width="9.140625" style="613"/>
    <col min="4366" max="4366" width="25.7109375" style="613" customWidth="1"/>
    <col min="4367" max="4604" width="9.140625" style="613"/>
    <col min="4605" max="4605" width="37.85546875" style="613" customWidth="1"/>
    <col min="4606" max="4606" width="12.140625" style="613" customWidth="1"/>
    <col min="4607" max="4607" width="11.85546875" style="613" customWidth="1"/>
    <col min="4608" max="4608" width="14.5703125" style="613" customWidth="1"/>
    <col min="4609" max="4609" width="40.7109375" style="613" customWidth="1"/>
    <col min="4610" max="4610" width="12.42578125" style="613" customWidth="1"/>
    <col min="4611" max="4611" width="9.140625" style="613"/>
    <col min="4612" max="4612" width="10" style="613" customWidth="1"/>
    <col min="4613" max="4616" width="9.140625" style="613"/>
    <col min="4617" max="4617" width="35.7109375" style="613" customWidth="1"/>
    <col min="4618" max="4618" width="20.7109375" style="613" customWidth="1"/>
    <col min="4619" max="4619" width="9.140625" style="613"/>
    <col min="4620" max="4620" width="25.7109375" style="613" customWidth="1"/>
    <col min="4621" max="4621" width="9.140625" style="613"/>
    <col min="4622" max="4622" width="25.7109375" style="613" customWidth="1"/>
    <col min="4623" max="4860" width="9.140625" style="613"/>
    <col min="4861" max="4861" width="37.85546875" style="613" customWidth="1"/>
    <col min="4862" max="4862" width="12.140625" style="613" customWidth="1"/>
    <col min="4863" max="4863" width="11.85546875" style="613" customWidth="1"/>
    <col min="4864" max="4864" width="14.5703125" style="613" customWidth="1"/>
    <col min="4865" max="4865" width="40.7109375" style="613" customWidth="1"/>
    <col min="4866" max="4866" width="12.42578125" style="613" customWidth="1"/>
    <col min="4867" max="4867" width="9.140625" style="613"/>
    <col min="4868" max="4868" width="10" style="613" customWidth="1"/>
    <col min="4869" max="4872" width="9.140625" style="613"/>
    <col min="4873" max="4873" width="35.7109375" style="613" customWidth="1"/>
    <col min="4874" max="4874" width="20.7109375" style="613" customWidth="1"/>
    <col min="4875" max="4875" width="9.140625" style="613"/>
    <col min="4876" max="4876" width="25.7109375" style="613" customWidth="1"/>
    <col min="4877" max="4877" width="9.140625" style="613"/>
    <col min="4878" max="4878" width="25.7109375" style="613" customWidth="1"/>
    <col min="4879" max="5116" width="9.140625" style="613"/>
    <col min="5117" max="5117" width="37.85546875" style="613" customWidth="1"/>
    <col min="5118" max="5118" width="12.140625" style="613" customWidth="1"/>
    <col min="5119" max="5119" width="11.85546875" style="613" customWidth="1"/>
    <col min="5120" max="5120" width="14.5703125" style="613" customWidth="1"/>
    <col min="5121" max="5121" width="40.7109375" style="613" customWidth="1"/>
    <col min="5122" max="5122" width="12.42578125" style="613" customWidth="1"/>
    <col min="5123" max="5123" width="9.140625" style="613"/>
    <col min="5124" max="5124" width="10" style="613" customWidth="1"/>
    <col min="5125" max="5128" width="9.140625" style="613"/>
    <col min="5129" max="5129" width="35.7109375" style="613" customWidth="1"/>
    <col min="5130" max="5130" width="20.7109375" style="613" customWidth="1"/>
    <col min="5131" max="5131" width="9.140625" style="613"/>
    <col min="5132" max="5132" width="25.7109375" style="613" customWidth="1"/>
    <col min="5133" max="5133" width="9.140625" style="613"/>
    <col min="5134" max="5134" width="25.7109375" style="613" customWidth="1"/>
    <col min="5135" max="5372" width="9.140625" style="613"/>
    <col min="5373" max="5373" width="37.85546875" style="613" customWidth="1"/>
    <col min="5374" max="5374" width="12.140625" style="613" customWidth="1"/>
    <col min="5375" max="5375" width="11.85546875" style="613" customWidth="1"/>
    <col min="5376" max="5376" width="14.5703125" style="613" customWidth="1"/>
    <col min="5377" max="5377" width="40.7109375" style="613" customWidth="1"/>
    <col min="5378" max="5378" width="12.42578125" style="613" customWidth="1"/>
    <col min="5379" max="5379" width="9.140625" style="613"/>
    <col min="5380" max="5380" width="10" style="613" customWidth="1"/>
    <col min="5381" max="5384" width="9.140625" style="613"/>
    <col min="5385" max="5385" width="35.7109375" style="613" customWidth="1"/>
    <col min="5386" max="5386" width="20.7109375" style="613" customWidth="1"/>
    <col min="5387" max="5387" width="9.140625" style="613"/>
    <col min="5388" max="5388" width="25.7109375" style="613" customWidth="1"/>
    <col min="5389" max="5389" width="9.140625" style="613"/>
    <col min="5390" max="5390" width="25.7109375" style="613" customWidth="1"/>
    <col min="5391" max="5628" width="9.140625" style="613"/>
    <col min="5629" max="5629" width="37.85546875" style="613" customWidth="1"/>
    <col min="5630" max="5630" width="12.140625" style="613" customWidth="1"/>
    <col min="5631" max="5631" width="11.85546875" style="613" customWidth="1"/>
    <col min="5632" max="5632" width="14.5703125" style="613" customWidth="1"/>
    <col min="5633" max="5633" width="40.7109375" style="613" customWidth="1"/>
    <col min="5634" max="5634" width="12.42578125" style="613" customWidth="1"/>
    <col min="5635" max="5635" width="9.140625" style="613"/>
    <col min="5636" max="5636" width="10" style="613" customWidth="1"/>
    <col min="5637" max="5640" width="9.140625" style="613"/>
    <col min="5641" max="5641" width="35.7109375" style="613" customWidth="1"/>
    <col min="5642" max="5642" width="20.7109375" style="613" customWidth="1"/>
    <col min="5643" max="5643" width="9.140625" style="613"/>
    <col min="5644" max="5644" width="25.7109375" style="613" customWidth="1"/>
    <col min="5645" max="5645" width="9.140625" style="613"/>
    <col min="5646" max="5646" width="25.7109375" style="613" customWidth="1"/>
    <col min="5647" max="5884" width="9.140625" style="613"/>
    <col min="5885" max="5885" width="37.85546875" style="613" customWidth="1"/>
    <col min="5886" max="5886" width="12.140625" style="613" customWidth="1"/>
    <col min="5887" max="5887" width="11.85546875" style="613" customWidth="1"/>
    <col min="5888" max="5888" width="14.5703125" style="613" customWidth="1"/>
    <col min="5889" max="5889" width="40.7109375" style="613" customWidth="1"/>
    <col min="5890" max="5890" width="12.42578125" style="613" customWidth="1"/>
    <col min="5891" max="5891" width="9.140625" style="613"/>
    <col min="5892" max="5892" width="10" style="613" customWidth="1"/>
    <col min="5893" max="5896" width="9.140625" style="613"/>
    <col min="5897" max="5897" width="35.7109375" style="613" customWidth="1"/>
    <col min="5898" max="5898" width="20.7109375" style="613" customWidth="1"/>
    <col min="5899" max="5899" width="9.140625" style="613"/>
    <col min="5900" max="5900" width="25.7109375" style="613" customWidth="1"/>
    <col min="5901" max="5901" width="9.140625" style="613"/>
    <col min="5902" max="5902" width="25.7109375" style="613" customWidth="1"/>
    <col min="5903" max="6140" width="9.140625" style="613"/>
    <col min="6141" max="6141" width="37.85546875" style="613" customWidth="1"/>
    <col min="6142" max="6142" width="12.140625" style="613" customWidth="1"/>
    <col min="6143" max="6143" width="11.85546875" style="613" customWidth="1"/>
    <col min="6144" max="6144" width="14.5703125" style="613" customWidth="1"/>
    <col min="6145" max="6145" width="40.7109375" style="613" customWidth="1"/>
    <col min="6146" max="6146" width="12.42578125" style="613" customWidth="1"/>
    <col min="6147" max="6147" width="9.140625" style="613"/>
    <col min="6148" max="6148" width="10" style="613" customWidth="1"/>
    <col min="6149" max="6152" width="9.140625" style="613"/>
    <col min="6153" max="6153" width="35.7109375" style="613" customWidth="1"/>
    <col min="6154" max="6154" width="20.7109375" style="613" customWidth="1"/>
    <col min="6155" max="6155" width="9.140625" style="613"/>
    <col min="6156" max="6156" width="25.7109375" style="613" customWidth="1"/>
    <col min="6157" max="6157" width="9.140625" style="613"/>
    <col min="6158" max="6158" width="25.7109375" style="613" customWidth="1"/>
    <col min="6159" max="6396" width="9.140625" style="613"/>
    <col min="6397" max="6397" width="37.85546875" style="613" customWidth="1"/>
    <col min="6398" max="6398" width="12.140625" style="613" customWidth="1"/>
    <col min="6399" max="6399" width="11.85546875" style="613" customWidth="1"/>
    <col min="6400" max="6400" width="14.5703125" style="613" customWidth="1"/>
    <col min="6401" max="6401" width="40.7109375" style="613" customWidth="1"/>
    <col min="6402" max="6402" width="12.42578125" style="613" customWidth="1"/>
    <col min="6403" max="6403" width="9.140625" style="613"/>
    <col min="6404" max="6404" width="10" style="613" customWidth="1"/>
    <col min="6405" max="6408" width="9.140625" style="613"/>
    <col min="6409" max="6409" width="35.7109375" style="613" customWidth="1"/>
    <col min="6410" max="6410" width="20.7109375" style="613" customWidth="1"/>
    <col min="6411" max="6411" width="9.140625" style="613"/>
    <col min="6412" max="6412" width="25.7109375" style="613" customWidth="1"/>
    <col min="6413" max="6413" width="9.140625" style="613"/>
    <col min="6414" max="6414" width="25.7109375" style="613" customWidth="1"/>
    <col min="6415" max="6652" width="9.140625" style="613"/>
    <col min="6653" max="6653" width="37.85546875" style="613" customWidth="1"/>
    <col min="6654" max="6654" width="12.140625" style="613" customWidth="1"/>
    <col min="6655" max="6655" width="11.85546875" style="613" customWidth="1"/>
    <col min="6656" max="6656" width="14.5703125" style="613" customWidth="1"/>
    <col min="6657" max="6657" width="40.7109375" style="613" customWidth="1"/>
    <col min="6658" max="6658" width="12.42578125" style="613" customWidth="1"/>
    <col min="6659" max="6659" width="9.140625" style="613"/>
    <col min="6660" max="6660" width="10" style="613" customWidth="1"/>
    <col min="6661" max="6664" width="9.140625" style="613"/>
    <col min="6665" max="6665" width="35.7109375" style="613" customWidth="1"/>
    <col min="6666" max="6666" width="20.7109375" style="613" customWidth="1"/>
    <col min="6667" max="6667" width="9.140625" style="613"/>
    <col min="6668" max="6668" width="25.7109375" style="613" customWidth="1"/>
    <col min="6669" max="6669" width="9.140625" style="613"/>
    <col min="6670" max="6670" width="25.7109375" style="613" customWidth="1"/>
    <col min="6671" max="6908" width="9.140625" style="613"/>
    <col min="6909" max="6909" width="37.85546875" style="613" customWidth="1"/>
    <col min="6910" max="6910" width="12.140625" style="613" customWidth="1"/>
    <col min="6911" max="6911" width="11.85546875" style="613" customWidth="1"/>
    <col min="6912" max="6912" width="14.5703125" style="613" customWidth="1"/>
    <col min="6913" max="6913" width="40.7109375" style="613" customWidth="1"/>
    <col min="6914" max="6914" width="12.42578125" style="613" customWidth="1"/>
    <col min="6915" max="6915" width="9.140625" style="613"/>
    <col min="6916" max="6916" width="10" style="613" customWidth="1"/>
    <col min="6917" max="6920" width="9.140625" style="613"/>
    <col min="6921" max="6921" width="35.7109375" style="613" customWidth="1"/>
    <col min="6922" max="6922" width="20.7109375" style="613" customWidth="1"/>
    <col min="6923" max="6923" width="9.140625" style="613"/>
    <col min="6924" max="6924" width="25.7109375" style="613" customWidth="1"/>
    <col min="6925" max="6925" width="9.140625" style="613"/>
    <col min="6926" max="6926" width="25.7109375" style="613" customWidth="1"/>
    <col min="6927" max="7164" width="9.140625" style="613"/>
    <col min="7165" max="7165" width="37.85546875" style="613" customWidth="1"/>
    <col min="7166" max="7166" width="12.140625" style="613" customWidth="1"/>
    <col min="7167" max="7167" width="11.85546875" style="613" customWidth="1"/>
    <col min="7168" max="7168" width="14.5703125" style="613" customWidth="1"/>
    <col min="7169" max="7169" width="40.7109375" style="613" customWidth="1"/>
    <col min="7170" max="7170" width="12.42578125" style="613" customWidth="1"/>
    <col min="7171" max="7171" width="9.140625" style="613"/>
    <col min="7172" max="7172" width="10" style="613" customWidth="1"/>
    <col min="7173" max="7176" width="9.140625" style="613"/>
    <col min="7177" max="7177" width="35.7109375" style="613" customWidth="1"/>
    <col min="7178" max="7178" width="20.7109375" style="613" customWidth="1"/>
    <col min="7179" max="7179" width="9.140625" style="613"/>
    <col min="7180" max="7180" width="25.7109375" style="613" customWidth="1"/>
    <col min="7181" max="7181" width="9.140625" style="613"/>
    <col min="7182" max="7182" width="25.7109375" style="613" customWidth="1"/>
    <col min="7183" max="7420" width="9.140625" style="613"/>
    <col min="7421" max="7421" width="37.85546875" style="613" customWidth="1"/>
    <col min="7422" max="7422" width="12.140625" style="613" customWidth="1"/>
    <col min="7423" max="7423" width="11.85546875" style="613" customWidth="1"/>
    <col min="7424" max="7424" width="14.5703125" style="613" customWidth="1"/>
    <col min="7425" max="7425" width="40.7109375" style="613" customWidth="1"/>
    <col min="7426" max="7426" width="12.42578125" style="613" customWidth="1"/>
    <col min="7427" max="7427" width="9.140625" style="613"/>
    <col min="7428" max="7428" width="10" style="613" customWidth="1"/>
    <col min="7429" max="7432" width="9.140625" style="613"/>
    <col min="7433" max="7433" width="35.7109375" style="613" customWidth="1"/>
    <col min="7434" max="7434" width="20.7109375" style="613" customWidth="1"/>
    <col min="7435" max="7435" width="9.140625" style="613"/>
    <col min="7436" max="7436" width="25.7109375" style="613" customWidth="1"/>
    <col min="7437" max="7437" width="9.140625" style="613"/>
    <col min="7438" max="7438" width="25.7109375" style="613" customWidth="1"/>
    <col min="7439" max="7676" width="9.140625" style="613"/>
    <col min="7677" max="7677" width="37.85546875" style="613" customWidth="1"/>
    <col min="7678" max="7678" width="12.140625" style="613" customWidth="1"/>
    <col min="7679" max="7679" width="11.85546875" style="613" customWidth="1"/>
    <col min="7680" max="7680" width="14.5703125" style="613" customWidth="1"/>
    <col min="7681" max="7681" width="40.7109375" style="613" customWidth="1"/>
    <col min="7682" max="7682" width="12.42578125" style="613" customWidth="1"/>
    <col min="7683" max="7683" width="9.140625" style="613"/>
    <col min="7684" max="7684" width="10" style="613" customWidth="1"/>
    <col min="7685" max="7688" width="9.140625" style="613"/>
    <col min="7689" max="7689" width="35.7109375" style="613" customWidth="1"/>
    <col min="7690" max="7690" width="20.7109375" style="613" customWidth="1"/>
    <col min="7691" max="7691" width="9.140625" style="613"/>
    <col min="7692" max="7692" width="25.7109375" style="613" customWidth="1"/>
    <col min="7693" max="7693" width="9.140625" style="613"/>
    <col min="7694" max="7694" width="25.7109375" style="613" customWidth="1"/>
    <col min="7695" max="7932" width="9.140625" style="613"/>
    <col min="7933" max="7933" width="37.85546875" style="613" customWidth="1"/>
    <col min="7934" max="7934" width="12.140625" style="613" customWidth="1"/>
    <col min="7935" max="7935" width="11.85546875" style="613" customWidth="1"/>
    <col min="7936" max="7936" width="14.5703125" style="613" customWidth="1"/>
    <col min="7937" max="7937" width="40.7109375" style="613" customWidth="1"/>
    <col min="7938" max="7938" width="12.42578125" style="613" customWidth="1"/>
    <col min="7939" max="7939" width="9.140625" style="613"/>
    <col min="7940" max="7940" width="10" style="613" customWidth="1"/>
    <col min="7941" max="7944" width="9.140625" style="613"/>
    <col min="7945" max="7945" width="35.7109375" style="613" customWidth="1"/>
    <col min="7946" max="7946" width="20.7109375" style="613" customWidth="1"/>
    <col min="7947" max="7947" width="9.140625" style="613"/>
    <col min="7948" max="7948" width="25.7109375" style="613" customWidth="1"/>
    <col min="7949" max="7949" width="9.140625" style="613"/>
    <col min="7950" max="7950" width="25.7109375" style="613" customWidth="1"/>
    <col min="7951" max="8188" width="9.140625" style="613"/>
    <col min="8189" max="8189" width="37.85546875" style="613" customWidth="1"/>
    <col min="8190" max="8190" width="12.140625" style="613" customWidth="1"/>
    <col min="8191" max="8191" width="11.85546875" style="613" customWidth="1"/>
    <col min="8192" max="8192" width="14.5703125" style="613" customWidth="1"/>
    <col min="8193" max="8193" width="40.7109375" style="613" customWidth="1"/>
    <col min="8194" max="8194" width="12.42578125" style="613" customWidth="1"/>
    <col min="8195" max="8195" width="9.140625" style="613"/>
    <col min="8196" max="8196" width="10" style="613" customWidth="1"/>
    <col min="8197" max="8200" width="9.140625" style="613"/>
    <col min="8201" max="8201" width="35.7109375" style="613" customWidth="1"/>
    <col min="8202" max="8202" width="20.7109375" style="613" customWidth="1"/>
    <col min="8203" max="8203" width="9.140625" style="613"/>
    <col min="8204" max="8204" width="25.7109375" style="613" customWidth="1"/>
    <col min="8205" max="8205" width="9.140625" style="613"/>
    <col min="8206" max="8206" width="25.7109375" style="613" customWidth="1"/>
    <col min="8207" max="8444" width="9.140625" style="613"/>
    <col min="8445" max="8445" width="37.85546875" style="613" customWidth="1"/>
    <col min="8446" max="8446" width="12.140625" style="613" customWidth="1"/>
    <col min="8447" max="8447" width="11.85546875" style="613" customWidth="1"/>
    <col min="8448" max="8448" width="14.5703125" style="613" customWidth="1"/>
    <col min="8449" max="8449" width="40.7109375" style="613" customWidth="1"/>
    <col min="8450" max="8450" width="12.42578125" style="613" customWidth="1"/>
    <col min="8451" max="8451" width="9.140625" style="613"/>
    <col min="8452" max="8452" width="10" style="613" customWidth="1"/>
    <col min="8453" max="8456" width="9.140625" style="613"/>
    <col min="8457" max="8457" width="35.7109375" style="613" customWidth="1"/>
    <col min="8458" max="8458" width="20.7109375" style="613" customWidth="1"/>
    <col min="8459" max="8459" width="9.140625" style="613"/>
    <col min="8460" max="8460" width="25.7109375" style="613" customWidth="1"/>
    <col min="8461" max="8461" width="9.140625" style="613"/>
    <col min="8462" max="8462" width="25.7109375" style="613" customWidth="1"/>
    <col min="8463" max="8700" width="9.140625" style="613"/>
    <col min="8701" max="8701" width="37.85546875" style="613" customWidth="1"/>
    <col min="8702" max="8702" width="12.140625" style="613" customWidth="1"/>
    <col min="8703" max="8703" width="11.85546875" style="613" customWidth="1"/>
    <col min="8704" max="8704" width="14.5703125" style="613" customWidth="1"/>
    <col min="8705" max="8705" width="40.7109375" style="613" customWidth="1"/>
    <col min="8706" max="8706" width="12.42578125" style="613" customWidth="1"/>
    <col min="8707" max="8707" width="9.140625" style="613"/>
    <col min="8708" max="8708" width="10" style="613" customWidth="1"/>
    <col min="8709" max="8712" width="9.140625" style="613"/>
    <col min="8713" max="8713" width="35.7109375" style="613" customWidth="1"/>
    <col min="8714" max="8714" width="20.7109375" style="613" customWidth="1"/>
    <col min="8715" max="8715" width="9.140625" style="613"/>
    <col min="8716" max="8716" width="25.7109375" style="613" customWidth="1"/>
    <col min="8717" max="8717" width="9.140625" style="613"/>
    <col min="8718" max="8718" width="25.7109375" style="613" customWidth="1"/>
    <col min="8719" max="8956" width="9.140625" style="613"/>
    <col min="8957" max="8957" width="37.85546875" style="613" customWidth="1"/>
    <col min="8958" max="8958" width="12.140625" style="613" customWidth="1"/>
    <col min="8959" max="8959" width="11.85546875" style="613" customWidth="1"/>
    <col min="8960" max="8960" width="14.5703125" style="613" customWidth="1"/>
    <col min="8961" max="8961" width="40.7109375" style="613" customWidth="1"/>
    <col min="8962" max="8962" width="12.42578125" style="613" customWidth="1"/>
    <col min="8963" max="8963" width="9.140625" style="613"/>
    <col min="8964" max="8964" width="10" style="613" customWidth="1"/>
    <col min="8965" max="8968" width="9.140625" style="613"/>
    <col min="8969" max="8969" width="35.7109375" style="613" customWidth="1"/>
    <col min="8970" max="8970" width="20.7109375" style="613" customWidth="1"/>
    <col min="8971" max="8971" width="9.140625" style="613"/>
    <col min="8972" max="8972" width="25.7109375" style="613" customWidth="1"/>
    <col min="8973" max="8973" width="9.140625" style="613"/>
    <col min="8974" max="8974" width="25.7109375" style="613" customWidth="1"/>
    <col min="8975" max="9212" width="9.140625" style="613"/>
    <col min="9213" max="9213" width="37.85546875" style="613" customWidth="1"/>
    <col min="9214" max="9214" width="12.140625" style="613" customWidth="1"/>
    <col min="9215" max="9215" width="11.85546875" style="613" customWidth="1"/>
    <col min="9216" max="9216" width="14.5703125" style="613" customWidth="1"/>
    <col min="9217" max="9217" width="40.7109375" style="613" customWidth="1"/>
    <col min="9218" max="9218" width="12.42578125" style="613" customWidth="1"/>
    <col min="9219" max="9219" width="9.140625" style="613"/>
    <col min="9220" max="9220" width="10" style="613" customWidth="1"/>
    <col min="9221" max="9224" width="9.140625" style="613"/>
    <col min="9225" max="9225" width="35.7109375" style="613" customWidth="1"/>
    <col min="9226" max="9226" width="20.7109375" style="613" customWidth="1"/>
    <col min="9227" max="9227" width="9.140625" style="613"/>
    <col min="9228" max="9228" width="25.7109375" style="613" customWidth="1"/>
    <col min="9229" max="9229" width="9.140625" style="613"/>
    <col min="9230" max="9230" width="25.7109375" style="613" customWidth="1"/>
    <col min="9231" max="9468" width="9.140625" style="613"/>
    <col min="9469" max="9469" width="37.85546875" style="613" customWidth="1"/>
    <col min="9470" max="9470" width="12.140625" style="613" customWidth="1"/>
    <col min="9471" max="9471" width="11.85546875" style="613" customWidth="1"/>
    <col min="9472" max="9472" width="14.5703125" style="613" customWidth="1"/>
    <col min="9473" max="9473" width="40.7109375" style="613" customWidth="1"/>
    <col min="9474" max="9474" width="12.42578125" style="613" customWidth="1"/>
    <col min="9475" max="9475" width="9.140625" style="613"/>
    <col min="9476" max="9476" width="10" style="613" customWidth="1"/>
    <col min="9477" max="9480" width="9.140625" style="613"/>
    <col min="9481" max="9481" width="35.7109375" style="613" customWidth="1"/>
    <col min="9482" max="9482" width="20.7109375" style="613" customWidth="1"/>
    <col min="9483" max="9483" width="9.140625" style="613"/>
    <col min="9484" max="9484" width="25.7109375" style="613" customWidth="1"/>
    <col min="9485" max="9485" width="9.140625" style="613"/>
    <col min="9486" max="9486" width="25.7109375" style="613" customWidth="1"/>
    <col min="9487" max="9724" width="9.140625" style="613"/>
    <col min="9725" max="9725" width="37.85546875" style="613" customWidth="1"/>
    <col min="9726" max="9726" width="12.140625" style="613" customWidth="1"/>
    <col min="9727" max="9727" width="11.85546875" style="613" customWidth="1"/>
    <col min="9728" max="9728" width="14.5703125" style="613" customWidth="1"/>
    <col min="9729" max="9729" width="40.7109375" style="613" customWidth="1"/>
    <col min="9730" max="9730" width="12.42578125" style="613" customWidth="1"/>
    <col min="9731" max="9731" width="9.140625" style="613"/>
    <col min="9732" max="9732" width="10" style="613" customWidth="1"/>
    <col min="9733" max="9736" width="9.140625" style="613"/>
    <col min="9737" max="9737" width="35.7109375" style="613" customWidth="1"/>
    <col min="9738" max="9738" width="20.7109375" style="613" customWidth="1"/>
    <col min="9739" max="9739" width="9.140625" style="613"/>
    <col min="9740" max="9740" width="25.7109375" style="613" customWidth="1"/>
    <col min="9741" max="9741" width="9.140625" style="613"/>
    <col min="9742" max="9742" width="25.7109375" style="613" customWidth="1"/>
    <col min="9743" max="9980" width="9.140625" style="613"/>
    <col min="9981" max="9981" width="37.85546875" style="613" customWidth="1"/>
    <col min="9982" max="9982" width="12.140625" style="613" customWidth="1"/>
    <col min="9983" max="9983" width="11.85546875" style="613" customWidth="1"/>
    <col min="9984" max="9984" width="14.5703125" style="613" customWidth="1"/>
    <col min="9985" max="9985" width="40.7109375" style="613" customWidth="1"/>
    <col min="9986" max="9986" width="12.42578125" style="613" customWidth="1"/>
    <col min="9987" max="9987" width="9.140625" style="613"/>
    <col min="9988" max="9988" width="10" style="613" customWidth="1"/>
    <col min="9989" max="9992" width="9.140625" style="613"/>
    <col min="9993" max="9993" width="35.7109375" style="613" customWidth="1"/>
    <col min="9994" max="9994" width="20.7109375" style="613" customWidth="1"/>
    <col min="9995" max="9995" width="9.140625" style="613"/>
    <col min="9996" max="9996" width="25.7109375" style="613" customWidth="1"/>
    <col min="9997" max="9997" width="9.140625" style="613"/>
    <col min="9998" max="9998" width="25.7109375" style="613" customWidth="1"/>
    <col min="9999" max="10236" width="9.140625" style="613"/>
    <col min="10237" max="10237" width="37.85546875" style="613" customWidth="1"/>
    <col min="10238" max="10238" width="12.140625" style="613" customWidth="1"/>
    <col min="10239" max="10239" width="11.85546875" style="613" customWidth="1"/>
    <col min="10240" max="10240" width="14.5703125" style="613" customWidth="1"/>
    <col min="10241" max="10241" width="40.7109375" style="613" customWidth="1"/>
    <col min="10242" max="10242" width="12.42578125" style="613" customWidth="1"/>
    <col min="10243" max="10243" width="9.140625" style="613"/>
    <col min="10244" max="10244" width="10" style="613" customWidth="1"/>
    <col min="10245" max="10248" width="9.140625" style="613"/>
    <col min="10249" max="10249" width="35.7109375" style="613" customWidth="1"/>
    <col min="10250" max="10250" width="20.7109375" style="613" customWidth="1"/>
    <col min="10251" max="10251" width="9.140625" style="613"/>
    <col min="10252" max="10252" width="25.7109375" style="613" customWidth="1"/>
    <col min="10253" max="10253" width="9.140625" style="613"/>
    <col min="10254" max="10254" width="25.7109375" style="613" customWidth="1"/>
    <col min="10255" max="10492" width="9.140625" style="613"/>
    <col min="10493" max="10493" width="37.85546875" style="613" customWidth="1"/>
    <col min="10494" max="10494" width="12.140625" style="613" customWidth="1"/>
    <col min="10495" max="10495" width="11.85546875" style="613" customWidth="1"/>
    <col min="10496" max="10496" width="14.5703125" style="613" customWidth="1"/>
    <col min="10497" max="10497" width="40.7109375" style="613" customWidth="1"/>
    <col min="10498" max="10498" width="12.42578125" style="613" customWidth="1"/>
    <col min="10499" max="10499" width="9.140625" style="613"/>
    <col min="10500" max="10500" width="10" style="613" customWidth="1"/>
    <col min="10501" max="10504" width="9.140625" style="613"/>
    <col min="10505" max="10505" width="35.7109375" style="613" customWidth="1"/>
    <col min="10506" max="10506" width="20.7109375" style="613" customWidth="1"/>
    <col min="10507" max="10507" width="9.140625" style="613"/>
    <col min="10508" max="10508" width="25.7109375" style="613" customWidth="1"/>
    <col min="10509" max="10509" width="9.140625" style="613"/>
    <col min="10510" max="10510" width="25.7109375" style="613" customWidth="1"/>
    <col min="10511" max="10748" width="9.140625" style="613"/>
    <col min="10749" max="10749" width="37.85546875" style="613" customWidth="1"/>
    <col min="10750" max="10750" width="12.140625" style="613" customWidth="1"/>
    <col min="10751" max="10751" width="11.85546875" style="613" customWidth="1"/>
    <col min="10752" max="10752" width="14.5703125" style="613" customWidth="1"/>
    <col min="10753" max="10753" width="40.7109375" style="613" customWidth="1"/>
    <col min="10754" max="10754" width="12.42578125" style="613" customWidth="1"/>
    <col min="10755" max="10755" width="9.140625" style="613"/>
    <col min="10756" max="10756" width="10" style="613" customWidth="1"/>
    <col min="10757" max="10760" width="9.140625" style="613"/>
    <col min="10761" max="10761" width="35.7109375" style="613" customWidth="1"/>
    <col min="10762" max="10762" width="20.7109375" style="613" customWidth="1"/>
    <col min="10763" max="10763" width="9.140625" style="613"/>
    <col min="10764" max="10764" width="25.7109375" style="613" customWidth="1"/>
    <col min="10765" max="10765" width="9.140625" style="613"/>
    <col min="10766" max="10766" width="25.7109375" style="613" customWidth="1"/>
    <col min="10767" max="11004" width="9.140625" style="613"/>
    <col min="11005" max="11005" width="37.85546875" style="613" customWidth="1"/>
    <col min="11006" max="11006" width="12.140625" style="613" customWidth="1"/>
    <col min="11007" max="11007" width="11.85546875" style="613" customWidth="1"/>
    <col min="11008" max="11008" width="14.5703125" style="613" customWidth="1"/>
    <col min="11009" max="11009" width="40.7109375" style="613" customWidth="1"/>
    <col min="11010" max="11010" width="12.42578125" style="613" customWidth="1"/>
    <col min="11011" max="11011" width="9.140625" style="613"/>
    <col min="11012" max="11012" width="10" style="613" customWidth="1"/>
    <col min="11013" max="11016" width="9.140625" style="613"/>
    <col min="11017" max="11017" width="35.7109375" style="613" customWidth="1"/>
    <col min="11018" max="11018" width="20.7109375" style="613" customWidth="1"/>
    <col min="11019" max="11019" width="9.140625" style="613"/>
    <col min="11020" max="11020" width="25.7109375" style="613" customWidth="1"/>
    <col min="11021" max="11021" width="9.140625" style="613"/>
    <col min="11022" max="11022" width="25.7109375" style="613" customWidth="1"/>
    <col min="11023" max="11260" width="9.140625" style="613"/>
    <col min="11261" max="11261" width="37.85546875" style="613" customWidth="1"/>
    <col min="11262" max="11262" width="12.140625" style="613" customWidth="1"/>
    <col min="11263" max="11263" width="11.85546875" style="613" customWidth="1"/>
    <col min="11264" max="11264" width="14.5703125" style="613" customWidth="1"/>
    <col min="11265" max="11265" width="40.7109375" style="613" customWidth="1"/>
    <col min="11266" max="11266" width="12.42578125" style="613" customWidth="1"/>
    <col min="11267" max="11267" width="9.140625" style="613"/>
    <col min="11268" max="11268" width="10" style="613" customWidth="1"/>
    <col min="11269" max="11272" width="9.140625" style="613"/>
    <col min="11273" max="11273" width="35.7109375" style="613" customWidth="1"/>
    <col min="11274" max="11274" width="20.7109375" style="613" customWidth="1"/>
    <col min="11275" max="11275" width="9.140625" style="613"/>
    <col min="11276" max="11276" width="25.7109375" style="613" customWidth="1"/>
    <col min="11277" max="11277" width="9.140625" style="613"/>
    <col min="11278" max="11278" width="25.7109375" style="613" customWidth="1"/>
    <col min="11279" max="11516" width="9.140625" style="613"/>
    <col min="11517" max="11517" width="37.85546875" style="613" customWidth="1"/>
    <col min="11518" max="11518" width="12.140625" style="613" customWidth="1"/>
    <col min="11519" max="11519" width="11.85546875" style="613" customWidth="1"/>
    <col min="11520" max="11520" width="14.5703125" style="613" customWidth="1"/>
    <col min="11521" max="11521" width="40.7109375" style="613" customWidth="1"/>
    <col min="11522" max="11522" width="12.42578125" style="613" customWidth="1"/>
    <col min="11523" max="11523" width="9.140625" style="613"/>
    <col min="11524" max="11524" width="10" style="613" customWidth="1"/>
    <col min="11525" max="11528" width="9.140625" style="613"/>
    <col min="11529" max="11529" width="35.7109375" style="613" customWidth="1"/>
    <col min="11530" max="11530" width="20.7109375" style="613" customWidth="1"/>
    <col min="11531" max="11531" width="9.140625" style="613"/>
    <col min="11532" max="11532" width="25.7109375" style="613" customWidth="1"/>
    <col min="11533" max="11533" width="9.140625" style="613"/>
    <col min="11534" max="11534" width="25.7109375" style="613" customWidth="1"/>
    <col min="11535" max="11772" width="9.140625" style="613"/>
    <col min="11773" max="11773" width="37.85546875" style="613" customWidth="1"/>
    <col min="11774" max="11774" width="12.140625" style="613" customWidth="1"/>
    <col min="11775" max="11775" width="11.85546875" style="613" customWidth="1"/>
    <col min="11776" max="11776" width="14.5703125" style="613" customWidth="1"/>
    <col min="11777" max="11777" width="40.7109375" style="613" customWidth="1"/>
    <col min="11778" max="11778" width="12.42578125" style="613" customWidth="1"/>
    <col min="11779" max="11779" width="9.140625" style="613"/>
    <col min="11780" max="11780" width="10" style="613" customWidth="1"/>
    <col min="11781" max="11784" width="9.140625" style="613"/>
    <col min="11785" max="11785" width="35.7109375" style="613" customWidth="1"/>
    <col min="11786" max="11786" width="20.7109375" style="613" customWidth="1"/>
    <col min="11787" max="11787" width="9.140625" style="613"/>
    <col min="11788" max="11788" width="25.7109375" style="613" customWidth="1"/>
    <col min="11789" max="11789" width="9.140625" style="613"/>
    <col min="11790" max="11790" width="25.7109375" style="613" customWidth="1"/>
    <col min="11791" max="12028" width="9.140625" style="613"/>
    <col min="12029" max="12029" width="37.85546875" style="613" customWidth="1"/>
    <col min="12030" max="12030" width="12.140625" style="613" customWidth="1"/>
    <col min="12031" max="12031" width="11.85546875" style="613" customWidth="1"/>
    <col min="12032" max="12032" width="14.5703125" style="613" customWidth="1"/>
    <col min="12033" max="12033" width="40.7109375" style="613" customWidth="1"/>
    <col min="12034" max="12034" width="12.42578125" style="613" customWidth="1"/>
    <col min="12035" max="12035" width="9.140625" style="613"/>
    <col min="12036" max="12036" width="10" style="613" customWidth="1"/>
    <col min="12037" max="12040" width="9.140625" style="613"/>
    <col min="12041" max="12041" width="35.7109375" style="613" customWidth="1"/>
    <col min="12042" max="12042" width="20.7109375" style="613" customWidth="1"/>
    <col min="12043" max="12043" width="9.140625" style="613"/>
    <col min="12044" max="12044" width="25.7109375" style="613" customWidth="1"/>
    <col min="12045" max="12045" width="9.140625" style="613"/>
    <col min="12046" max="12046" width="25.7109375" style="613" customWidth="1"/>
    <col min="12047" max="12284" width="9.140625" style="613"/>
    <col min="12285" max="12285" width="37.85546875" style="613" customWidth="1"/>
    <col min="12286" max="12286" width="12.140625" style="613" customWidth="1"/>
    <col min="12287" max="12287" width="11.85546875" style="613" customWidth="1"/>
    <col min="12288" max="12288" width="14.5703125" style="613" customWidth="1"/>
    <col min="12289" max="12289" width="40.7109375" style="613" customWidth="1"/>
    <col min="12290" max="12290" width="12.42578125" style="613" customWidth="1"/>
    <col min="12291" max="12291" width="9.140625" style="613"/>
    <col min="12292" max="12292" width="10" style="613" customWidth="1"/>
    <col min="12293" max="12296" width="9.140625" style="613"/>
    <col min="12297" max="12297" width="35.7109375" style="613" customWidth="1"/>
    <col min="12298" max="12298" width="20.7109375" style="613" customWidth="1"/>
    <col min="12299" max="12299" width="9.140625" style="613"/>
    <col min="12300" max="12300" width="25.7109375" style="613" customWidth="1"/>
    <col min="12301" max="12301" width="9.140625" style="613"/>
    <col min="12302" max="12302" width="25.7109375" style="613" customWidth="1"/>
    <col min="12303" max="12540" width="9.140625" style="613"/>
    <col min="12541" max="12541" width="37.85546875" style="613" customWidth="1"/>
    <col min="12542" max="12542" width="12.140625" style="613" customWidth="1"/>
    <col min="12543" max="12543" width="11.85546875" style="613" customWidth="1"/>
    <col min="12544" max="12544" width="14.5703125" style="613" customWidth="1"/>
    <col min="12545" max="12545" width="40.7109375" style="613" customWidth="1"/>
    <col min="12546" max="12546" width="12.42578125" style="613" customWidth="1"/>
    <col min="12547" max="12547" width="9.140625" style="613"/>
    <col min="12548" max="12548" width="10" style="613" customWidth="1"/>
    <col min="12549" max="12552" width="9.140625" style="613"/>
    <col min="12553" max="12553" width="35.7109375" style="613" customWidth="1"/>
    <col min="12554" max="12554" width="20.7109375" style="613" customWidth="1"/>
    <col min="12555" max="12555" width="9.140625" style="613"/>
    <col min="12556" max="12556" width="25.7109375" style="613" customWidth="1"/>
    <col min="12557" max="12557" width="9.140625" style="613"/>
    <col min="12558" max="12558" width="25.7109375" style="613" customWidth="1"/>
    <col min="12559" max="12796" width="9.140625" style="613"/>
    <col min="12797" max="12797" width="37.85546875" style="613" customWidth="1"/>
    <col min="12798" max="12798" width="12.140625" style="613" customWidth="1"/>
    <col min="12799" max="12799" width="11.85546875" style="613" customWidth="1"/>
    <col min="12800" max="12800" width="14.5703125" style="613" customWidth="1"/>
    <col min="12801" max="12801" width="40.7109375" style="613" customWidth="1"/>
    <col min="12802" max="12802" width="12.42578125" style="613" customWidth="1"/>
    <col min="12803" max="12803" width="9.140625" style="613"/>
    <col min="12804" max="12804" width="10" style="613" customWidth="1"/>
    <col min="12805" max="12808" width="9.140625" style="613"/>
    <col min="12809" max="12809" width="35.7109375" style="613" customWidth="1"/>
    <col min="12810" max="12810" width="20.7109375" style="613" customWidth="1"/>
    <col min="12811" max="12811" width="9.140625" style="613"/>
    <col min="12812" max="12812" width="25.7109375" style="613" customWidth="1"/>
    <col min="12813" max="12813" width="9.140625" style="613"/>
    <col min="12814" max="12814" width="25.7109375" style="613" customWidth="1"/>
    <col min="12815" max="13052" width="9.140625" style="613"/>
    <col min="13053" max="13053" width="37.85546875" style="613" customWidth="1"/>
    <col min="13054" max="13054" width="12.140625" style="613" customWidth="1"/>
    <col min="13055" max="13055" width="11.85546875" style="613" customWidth="1"/>
    <col min="13056" max="13056" width="14.5703125" style="613" customWidth="1"/>
    <col min="13057" max="13057" width="40.7109375" style="613" customWidth="1"/>
    <col min="13058" max="13058" width="12.42578125" style="613" customWidth="1"/>
    <col min="13059" max="13059" width="9.140625" style="613"/>
    <col min="13060" max="13060" width="10" style="613" customWidth="1"/>
    <col min="13061" max="13064" width="9.140625" style="613"/>
    <col min="13065" max="13065" width="35.7109375" style="613" customWidth="1"/>
    <col min="13066" max="13066" width="20.7109375" style="613" customWidth="1"/>
    <col min="13067" max="13067" width="9.140625" style="613"/>
    <col min="13068" max="13068" width="25.7109375" style="613" customWidth="1"/>
    <col min="13069" max="13069" width="9.140625" style="613"/>
    <col min="13070" max="13070" width="25.7109375" style="613" customWidth="1"/>
    <col min="13071" max="13308" width="9.140625" style="613"/>
    <col min="13309" max="13309" width="37.85546875" style="613" customWidth="1"/>
    <col min="13310" max="13310" width="12.140625" style="613" customWidth="1"/>
    <col min="13311" max="13311" width="11.85546875" style="613" customWidth="1"/>
    <col min="13312" max="13312" width="14.5703125" style="613" customWidth="1"/>
    <col min="13313" max="13313" width="40.7109375" style="613" customWidth="1"/>
    <col min="13314" max="13314" width="12.42578125" style="613" customWidth="1"/>
    <col min="13315" max="13315" width="9.140625" style="613"/>
    <col min="13316" max="13316" width="10" style="613" customWidth="1"/>
    <col min="13317" max="13320" width="9.140625" style="613"/>
    <col min="13321" max="13321" width="35.7109375" style="613" customWidth="1"/>
    <col min="13322" max="13322" width="20.7109375" style="613" customWidth="1"/>
    <col min="13323" max="13323" width="9.140625" style="613"/>
    <col min="13324" max="13324" width="25.7109375" style="613" customWidth="1"/>
    <col min="13325" max="13325" width="9.140625" style="613"/>
    <col min="13326" max="13326" width="25.7109375" style="613" customWidth="1"/>
    <col min="13327" max="13564" width="9.140625" style="613"/>
    <col min="13565" max="13565" width="37.85546875" style="613" customWidth="1"/>
    <col min="13566" max="13566" width="12.140625" style="613" customWidth="1"/>
    <col min="13567" max="13567" width="11.85546875" style="613" customWidth="1"/>
    <col min="13568" max="13568" width="14.5703125" style="613" customWidth="1"/>
    <col min="13569" max="13569" width="40.7109375" style="613" customWidth="1"/>
    <col min="13570" max="13570" width="12.42578125" style="613" customWidth="1"/>
    <col min="13571" max="13571" width="9.140625" style="613"/>
    <col min="13572" max="13572" width="10" style="613" customWidth="1"/>
    <col min="13573" max="13576" width="9.140625" style="613"/>
    <col min="13577" max="13577" width="35.7109375" style="613" customWidth="1"/>
    <col min="13578" max="13578" width="20.7109375" style="613" customWidth="1"/>
    <col min="13579" max="13579" width="9.140625" style="613"/>
    <col min="13580" max="13580" width="25.7109375" style="613" customWidth="1"/>
    <col min="13581" max="13581" width="9.140625" style="613"/>
    <col min="13582" max="13582" width="25.7109375" style="613" customWidth="1"/>
    <col min="13583" max="13820" width="9.140625" style="613"/>
    <col min="13821" max="13821" width="37.85546875" style="613" customWidth="1"/>
    <col min="13822" max="13822" width="12.140625" style="613" customWidth="1"/>
    <col min="13823" max="13823" width="11.85546875" style="613" customWidth="1"/>
    <col min="13824" max="13824" width="14.5703125" style="613" customWidth="1"/>
    <col min="13825" max="13825" width="40.7109375" style="613" customWidth="1"/>
    <col min="13826" max="13826" width="12.42578125" style="613" customWidth="1"/>
    <col min="13827" max="13827" width="9.140625" style="613"/>
    <col min="13828" max="13828" width="10" style="613" customWidth="1"/>
    <col min="13829" max="13832" width="9.140625" style="613"/>
    <col min="13833" max="13833" width="35.7109375" style="613" customWidth="1"/>
    <col min="13834" max="13834" width="20.7109375" style="613" customWidth="1"/>
    <col min="13835" max="13835" width="9.140625" style="613"/>
    <col min="13836" max="13836" width="25.7109375" style="613" customWidth="1"/>
    <col min="13837" max="13837" width="9.140625" style="613"/>
    <col min="13838" max="13838" width="25.7109375" style="613" customWidth="1"/>
    <col min="13839" max="14076" width="9.140625" style="613"/>
    <col min="14077" max="14077" width="37.85546875" style="613" customWidth="1"/>
    <col min="14078" max="14078" width="12.140625" style="613" customWidth="1"/>
    <col min="14079" max="14079" width="11.85546875" style="613" customWidth="1"/>
    <col min="14080" max="14080" width="14.5703125" style="613" customWidth="1"/>
    <col min="14081" max="14081" width="40.7109375" style="613" customWidth="1"/>
    <col min="14082" max="14082" width="12.42578125" style="613" customWidth="1"/>
    <col min="14083" max="14083" width="9.140625" style="613"/>
    <col min="14084" max="14084" width="10" style="613" customWidth="1"/>
    <col min="14085" max="14088" width="9.140625" style="613"/>
    <col min="14089" max="14089" width="35.7109375" style="613" customWidth="1"/>
    <col min="14090" max="14090" width="20.7109375" style="613" customWidth="1"/>
    <col min="14091" max="14091" width="9.140625" style="613"/>
    <col min="14092" max="14092" width="25.7109375" style="613" customWidth="1"/>
    <col min="14093" max="14093" width="9.140625" style="613"/>
    <col min="14094" max="14094" width="25.7109375" style="613" customWidth="1"/>
    <col min="14095" max="14332" width="9.140625" style="613"/>
    <col min="14333" max="14333" width="37.85546875" style="613" customWidth="1"/>
    <col min="14334" max="14334" width="12.140625" style="613" customWidth="1"/>
    <col min="14335" max="14335" width="11.85546875" style="613" customWidth="1"/>
    <col min="14336" max="14336" width="14.5703125" style="613" customWidth="1"/>
    <col min="14337" max="14337" width="40.7109375" style="613" customWidth="1"/>
    <col min="14338" max="14338" width="12.42578125" style="613" customWidth="1"/>
    <col min="14339" max="14339" width="9.140625" style="613"/>
    <col min="14340" max="14340" width="10" style="613" customWidth="1"/>
    <col min="14341" max="14344" width="9.140625" style="613"/>
    <col min="14345" max="14345" width="35.7109375" style="613" customWidth="1"/>
    <col min="14346" max="14346" width="20.7109375" style="613" customWidth="1"/>
    <col min="14347" max="14347" width="9.140625" style="613"/>
    <col min="14348" max="14348" width="25.7109375" style="613" customWidth="1"/>
    <col min="14349" max="14349" width="9.140625" style="613"/>
    <col min="14350" max="14350" width="25.7109375" style="613" customWidth="1"/>
    <col min="14351" max="14588" width="9.140625" style="613"/>
    <col min="14589" max="14589" width="37.85546875" style="613" customWidth="1"/>
    <col min="14590" max="14590" width="12.140625" style="613" customWidth="1"/>
    <col min="14591" max="14591" width="11.85546875" style="613" customWidth="1"/>
    <col min="14592" max="14592" width="14.5703125" style="613" customWidth="1"/>
    <col min="14593" max="14593" width="40.7109375" style="613" customWidth="1"/>
    <col min="14594" max="14594" width="12.42578125" style="613" customWidth="1"/>
    <col min="14595" max="14595" width="9.140625" style="613"/>
    <col min="14596" max="14596" width="10" style="613" customWidth="1"/>
    <col min="14597" max="14600" width="9.140625" style="613"/>
    <col min="14601" max="14601" width="35.7109375" style="613" customWidth="1"/>
    <col min="14602" max="14602" width="20.7109375" style="613" customWidth="1"/>
    <col min="14603" max="14603" width="9.140625" style="613"/>
    <col min="14604" max="14604" width="25.7109375" style="613" customWidth="1"/>
    <col min="14605" max="14605" width="9.140625" style="613"/>
    <col min="14606" max="14606" width="25.7109375" style="613" customWidth="1"/>
    <col min="14607" max="14844" width="9.140625" style="613"/>
    <col min="14845" max="14845" width="37.85546875" style="613" customWidth="1"/>
    <col min="14846" max="14846" width="12.140625" style="613" customWidth="1"/>
    <col min="14847" max="14847" width="11.85546875" style="613" customWidth="1"/>
    <col min="14848" max="14848" width="14.5703125" style="613" customWidth="1"/>
    <col min="14849" max="14849" width="40.7109375" style="613" customWidth="1"/>
    <col min="14850" max="14850" width="12.42578125" style="613" customWidth="1"/>
    <col min="14851" max="14851" width="9.140625" style="613"/>
    <col min="14852" max="14852" width="10" style="613" customWidth="1"/>
    <col min="14853" max="14856" width="9.140625" style="613"/>
    <col min="14857" max="14857" width="35.7109375" style="613" customWidth="1"/>
    <col min="14858" max="14858" width="20.7109375" style="613" customWidth="1"/>
    <col min="14859" max="14859" width="9.140625" style="613"/>
    <col min="14860" max="14860" width="25.7109375" style="613" customWidth="1"/>
    <col min="14861" max="14861" width="9.140625" style="613"/>
    <col min="14862" max="14862" width="25.7109375" style="613" customWidth="1"/>
    <col min="14863" max="15100" width="9.140625" style="613"/>
    <col min="15101" max="15101" width="37.85546875" style="613" customWidth="1"/>
    <col min="15102" max="15102" width="12.140625" style="613" customWidth="1"/>
    <col min="15103" max="15103" width="11.85546875" style="613" customWidth="1"/>
    <col min="15104" max="15104" width="14.5703125" style="613" customWidth="1"/>
    <col min="15105" max="15105" width="40.7109375" style="613" customWidth="1"/>
    <col min="15106" max="15106" width="12.42578125" style="613" customWidth="1"/>
    <col min="15107" max="15107" width="9.140625" style="613"/>
    <col min="15108" max="15108" width="10" style="613" customWidth="1"/>
    <col min="15109" max="15112" width="9.140625" style="613"/>
    <col min="15113" max="15113" width="35.7109375" style="613" customWidth="1"/>
    <col min="15114" max="15114" width="20.7109375" style="613" customWidth="1"/>
    <col min="15115" max="15115" width="9.140625" style="613"/>
    <col min="15116" max="15116" width="25.7109375" style="613" customWidth="1"/>
    <col min="15117" max="15117" width="9.140625" style="613"/>
    <col min="15118" max="15118" width="25.7109375" style="613" customWidth="1"/>
    <col min="15119" max="15356" width="9.140625" style="613"/>
    <col min="15357" max="15357" width="37.85546875" style="613" customWidth="1"/>
    <col min="15358" max="15358" width="12.140625" style="613" customWidth="1"/>
    <col min="15359" max="15359" width="11.85546875" style="613" customWidth="1"/>
    <col min="15360" max="15360" width="14.5703125" style="613" customWidth="1"/>
    <col min="15361" max="15361" width="40.7109375" style="613" customWidth="1"/>
    <col min="15362" max="15362" width="12.42578125" style="613" customWidth="1"/>
    <col min="15363" max="15363" width="9.140625" style="613"/>
    <col min="15364" max="15364" width="10" style="613" customWidth="1"/>
    <col min="15365" max="15368" width="9.140625" style="613"/>
    <col min="15369" max="15369" width="35.7109375" style="613" customWidth="1"/>
    <col min="15370" max="15370" width="20.7109375" style="613" customWidth="1"/>
    <col min="15371" max="15371" width="9.140625" style="613"/>
    <col min="15372" max="15372" width="25.7109375" style="613" customWidth="1"/>
    <col min="15373" max="15373" width="9.140625" style="613"/>
    <col min="15374" max="15374" width="25.7109375" style="613" customWidth="1"/>
    <col min="15375" max="15612" width="9.140625" style="613"/>
    <col min="15613" max="15613" width="37.85546875" style="613" customWidth="1"/>
    <col min="15614" max="15614" width="12.140625" style="613" customWidth="1"/>
    <col min="15615" max="15615" width="11.85546875" style="613" customWidth="1"/>
    <col min="15616" max="15616" width="14.5703125" style="613" customWidth="1"/>
    <col min="15617" max="15617" width="40.7109375" style="613" customWidth="1"/>
    <col min="15618" max="15618" width="12.42578125" style="613" customWidth="1"/>
    <col min="15619" max="15619" width="9.140625" style="613"/>
    <col min="15620" max="15620" width="10" style="613" customWidth="1"/>
    <col min="15621" max="15624" width="9.140625" style="613"/>
    <col min="15625" max="15625" width="35.7109375" style="613" customWidth="1"/>
    <col min="15626" max="15626" width="20.7109375" style="613" customWidth="1"/>
    <col min="15627" max="15627" width="9.140625" style="613"/>
    <col min="15628" max="15628" width="25.7109375" style="613" customWidth="1"/>
    <col min="15629" max="15629" width="9.140625" style="613"/>
    <col min="15630" max="15630" width="25.7109375" style="613" customWidth="1"/>
    <col min="15631" max="15868" width="9.140625" style="613"/>
    <col min="15869" max="15869" width="37.85546875" style="613" customWidth="1"/>
    <col min="15870" max="15870" width="12.140625" style="613" customWidth="1"/>
    <col min="15871" max="15871" width="11.85546875" style="613" customWidth="1"/>
    <col min="15872" max="15872" width="14.5703125" style="613" customWidth="1"/>
    <col min="15873" max="15873" width="40.7109375" style="613" customWidth="1"/>
    <col min="15874" max="15874" width="12.42578125" style="613" customWidth="1"/>
    <col min="15875" max="15875" width="9.140625" style="613"/>
    <col min="15876" max="15876" width="10" style="613" customWidth="1"/>
    <col min="15877" max="15880" width="9.140625" style="613"/>
    <col min="15881" max="15881" width="35.7109375" style="613" customWidth="1"/>
    <col min="15882" max="15882" width="20.7109375" style="613" customWidth="1"/>
    <col min="15883" max="15883" width="9.140625" style="613"/>
    <col min="15884" max="15884" width="25.7109375" style="613" customWidth="1"/>
    <col min="15885" max="15885" width="9.140625" style="613"/>
    <col min="15886" max="15886" width="25.7109375" style="613" customWidth="1"/>
    <col min="15887" max="16124" width="9.140625" style="613"/>
    <col min="16125" max="16125" width="37.85546875" style="613" customWidth="1"/>
    <col min="16126" max="16126" width="12.140625" style="613" customWidth="1"/>
    <col min="16127" max="16127" width="11.85546875" style="613" customWidth="1"/>
    <col min="16128" max="16128" width="14.5703125" style="613" customWidth="1"/>
    <col min="16129" max="16129" width="40.7109375" style="613" customWidth="1"/>
    <col min="16130" max="16130" width="12.42578125" style="613" customWidth="1"/>
    <col min="16131" max="16131" width="9.140625" style="613"/>
    <col min="16132" max="16132" width="10" style="613" customWidth="1"/>
    <col min="16133" max="16136" width="9.140625" style="613"/>
    <col min="16137" max="16137" width="35.7109375" style="613" customWidth="1"/>
    <col min="16138" max="16138" width="20.7109375" style="613" customWidth="1"/>
    <col min="16139" max="16139" width="9.140625" style="613"/>
    <col min="16140" max="16140" width="25.7109375" style="613" customWidth="1"/>
    <col min="16141" max="16141" width="9.140625" style="613"/>
    <col min="16142" max="16142" width="25.7109375" style="613" customWidth="1"/>
    <col min="16143" max="16384" width="9.140625" style="613"/>
  </cols>
  <sheetData>
    <row r="1" spans="1:11" x14ac:dyDescent="0.25">
      <c r="A1" s="624" t="s">
        <v>1162</v>
      </c>
      <c r="B1" s="597" t="s">
        <v>1163</v>
      </c>
      <c r="C1" s="597" t="s">
        <v>1164</v>
      </c>
      <c r="F1" s="597" t="s">
        <v>1228</v>
      </c>
    </row>
    <row r="3" spans="1:11" ht="18" x14ac:dyDescent="0.35">
      <c r="A3" s="665" t="s">
        <v>1542</v>
      </c>
      <c r="B3" s="626">
        <f>AVERAGE(B4:B5)</f>
        <v>130.625</v>
      </c>
      <c r="C3" s="625"/>
      <c r="D3" s="627" t="s">
        <v>1509</v>
      </c>
      <c r="F3" s="628" t="s">
        <v>1170</v>
      </c>
      <c r="G3" s="629">
        <v>50</v>
      </c>
      <c r="H3" s="629">
        <v>60</v>
      </c>
    </row>
    <row r="4" spans="1:11" ht="18" x14ac:dyDescent="0.35">
      <c r="A4" s="665" t="s">
        <v>1543</v>
      </c>
      <c r="B4" s="626">
        <f>(iohsrf2!B26-iohsrf2!B36)*(1-iohsrf2!B5)</f>
        <v>123.5</v>
      </c>
      <c r="C4" s="625"/>
      <c r="D4" s="627" t="s">
        <v>1509</v>
      </c>
    </row>
    <row r="5" spans="1:11" ht="18" x14ac:dyDescent="0.35">
      <c r="A5" s="665" t="s">
        <v>1544</v>
      </c>
      <c r="B5" s="626">
        <f>(iohsrf2!B25-iohsrf2!B37)*(1-iohsrf2!B5)</f>
        <v>137.75</v>
      </c>
      <c r="C5" s="625"/>
      <c r="D5" s="627" t="s">
        <v>1509</v>
      </c>
      <c r="F5" s="628" t="s">
        <v>1169</v>
      </c>
      <c r="G5" s="630">
        <f>MAX(I20:I54)</f>
        <v>115.38</v>
      </c>
      <c r="H5" s="630">
        <f>MAX(K20:K54)</f>
        <v>120</v>
      </c>
      <c r="I5" s="631"/>
    </row>
    <row r="6" spans="1:11" ht="18" x14ac:dyDescent="0.35">
      <c r="A6" s="665" t="s">
        <v>1545</v>
      </c>
      <c r="B6" s="625"/>
      <c r="C6" s="626">
        <f>B3</f>
        <v>130.625</v>
      </c>
      <c r="D6" s="627" t="s">
        <v>1509</v>
      </c>
      <c r="F6" s="632"/>
    </row>
    <row r="7" spans="1:11" ht="18" x14ac:dyDescent="0.25">
      <c r="A7" s="787" t="s">
        <v>1591</v>
      </c>
      <c r="B7" s="786"/>
      <c r="C7" s="790">
        <f>IF(AND(C6&gt;=27,C6&lt;46),0.000000000155*C6^7.3423,IF(AND(C6&gt;=46,C6&lt;110),2.0076*C6^1.2601,IF(AND(C6&gt;=110,C6&lt;200),750,IF(AND(C6&gt;=200,C6&lt;=600),440010*C6^-1.2031,"Valor fora da faixa de variacao!"))))</f>
        <v>750</v>
      </c>
      <c r="D7" s="652"/>
      <c r="F7" s="628" t="s">
        <v>1157</v>
      </c>
      <c r="G7" s="633">
        <f>(G5*$B$16^0.5)</f>
        <v>2385.4740361372701</v>
      </c>
      <c r="H7" s="633">
        <f>(H5*$B$16^0.5)</f>
        <v>2480.9922372722517</v>
      </c>
    </row>
    <row r="8" spans="1:11" ht="18" x14ac:dyDescent="0.35">
      <c r="A8" s="665" t="s">
        <v>1592</v>
      </c>
      <c r="B8" s="786"/>
      <c r="C8" s="790">
        <f>IF(AND(C6&gt;=27,C6&lt;200),5,IF(AND(C6&gt;=200,C6&lt;350),0.0071*C6^1.2386,IF(AND(C6&gt;=350,C6&lt;=600),0.00000836*C6^2.5312,"Valor fora da faixa de variacao!")))</f>
        <v>5</v>
      </c>
      <c r="D8" s="652"/>
      <c r="F8" s="632"/>
      <c r="G8" s="636"/>
      <c r="H8" s="636"/>
    </row>
    <row r="9" spans="1:11" ht="18" x14ac:dyDescent="0.35">
      <c r="A9" s="781" t="s">
        <v>1594</v>
      </c>
      <c r="B9" s="788">
        <f>IF(INT(iohsrf2!B4/C99/(hsrf2pwh!C7*1000)+0.999)&lt;2,2,INT(iohsrf2!B4/C99/(hsrf2pwh!C7*1000)+0.999))</f>
        <v>2</v>
      </c>
      <c r="C9" s="789"/>
      <c r="D9" s="627" t="s">
        <v>1586</v>
      </c>
      <c r="F9" s="628" t="s">
        <v>1158</v>
      </c>
      <c r="G9" s="633">
        <f>(10-(1+(($B$5/1200)+(G7^1.333/1000))))</f>
        <v>-22.906002344018503</v>
      </c>
      <c r="H9" s="633">
        <f>(10-(1+(($B$5/1200)+(H7^1.333/1000))))</f>
        <v>-24.614086521100688</v>
      </c>
    </row>
    <row r="10" spans="1:11" ht="18" x14ac:dyDescent="0.35">
      <c r="A10" s="781" t="s">
        <v>1541</v>
      </c>
      <c r="B10" s="788">
        <f>IF((iohsrf2!B4/B9)&lt;C99*C8,INT(iohsrf2!B4/C8),B9)</f>
        <v>2</v>
      </c>
      <c r="C10" s="789"/>
      <c r="F10" s="628" t="s">
        <v>1192</v>
      </c>
      <c r="G10" s="633">
        <f>-($B$32*$B$3)+9.91-0.43</f>
        <v>-25.062447885099314</v>
      </c>
      <c r="H10" s="633">
        <f>-($B$32*$B$3)+9.91-0.43</f>
        <v>-25.062447885099314</v>
      </c>
    </row>
    <row r="11" spans="1:11" ht="18" x14ac:dyDescent="0.35">
      <c r="A11" s="665" t="s">
        <v>1461</v>
      </c>
      <c r="B11" s="639">
        <v>0.9</v>
      </c>
      <c r="C11" s="626">
        <v>0.93</v>
      </c>
      <c r="D11" s="627" t="s">
        <v>1460</v>
      </c>
      <c r="E11" s="627"/>
      <c r="F11" s="665" t="s">
        <v>1546</v>
      </c>
      <c r="G11" s="634">
        <f>H11*B17</f>
        <v>483116.88311688317</v>
      </c>
      <c r="H11" s="635">
        <f>iohsrf2!B4*1000/B10</f>
        <v>400000</v>
      </c>
    </row>
    <row r="12" spans="1:11" x14ac:dyDescent="0.25">
      <c r="A12" s="665" t="s">
        <v>1165</v>
      </c>
      <c r="B12" s="706">
        <v>60</v>
      </c>
      <c r="C12" s="706"/>
      <c r="D12" s="627" t="s">
        <v>713</v>
      </c>
      <c r="F12" s="632"/>
      <c r="G12" s="636"/>
      <c r="H12" s="636"/>
    </row>
    <row r="13" spans="1:11" x14ac:dyDescent="0.25">
      <c r="E13" s="627"/>
      <c r="F13" s="628" t="s">
        <v>1159</v>
      </c>
      <c r="G13" s="633">
        <f>(0.9*G5)</f>
        <v>103.842</v>
      </c>
      <c r="H13" s="633">
        <f>(0.9*H5)</f>
        <v>108</v>
      </c>
    </row>
    <row r="14" spans="1:11" x14ac:dyDescent="0.25">
      <c r="A14" s="597" t="s">
        <v>1168</v>
      </c>
      <c r="F14" s="628" t="s">
        <v>1160</v>
      </c>
      <c r="G14" s="633">
        <f>(1.04*G5)</f>
        <v>119.9952</v>
      </c>
      <c r="H14" s="633">
        <f>(1.04*H5)</f>
        <v>124.80000000000001</v>
      </c>
      <c r="I14" s="638"/>
    </row>
    <row r="15" spans="1:11" x14ac:dyDescent="0.25">
      <c r="A15" s="637"/>
      <c r="F15" s="640"/>
      <c r="I15" s="641"/>
    </row>
    <row r="16" spans="1:11" ht="18" x14ac:dyDescent="0.35">
      <c r="A16" s="665" t="s">
        <v>1587</v>
      </c>
      <c r="B16" s="626">
        <f>(G11)/(9.81*B3*B11*B99)</f>
        <v>427.45295009758155</v>
      </c>
      <c r="C16" s="626">
        <f>(H11)/(9.81*C6*C11*C99)</f>
        <v>342.49612026549187</v>
      </c>
      <c r="D16" s="627" t="s">
        <v>1462</v>
      </c>
      <c r="G16" s="724" t="s">
        <v>1161</v>
      </c>
      <c r="H16" s="727" t="s">
        <v>1172</v>
      </c>
      <c r="I16" s="728"/>
      <c r="J16" s="728"/>
      <c r="K16" s="729"/>
    </row>
    <row r="17" spans="1:11" ht="18" x14ac:dyDescent="0.35">
      <c r="A17" s="665" t="s">
        <v>1547</v>
      </c>
      <c r="B17" s="707">
        <f>iohsrf2!B7/iohsrf2!B6</f>
        <v>1.2077922077922079</v>
      </c>
      <c r="C17" s="707"/>
      <c r="D17" s="627" t="s">
        <v>1167</v>
      </c>
      <c r="G17" s="725"/>
      <c r="H17" s="730"/>
      <c r="I17" s="731"/>
      <c r="J17" s="731"/>
      <c r="K17" s="732"/>
    </row>
    <row r="18" spans="1:11" ht="18" x14ac:dyDescent="0.35">
      <c r="A18" s="665" t="s">
        <v>1556</v>
      </c>
      <c r="B18" s="626">
        <f>(1768*(B3^-0.481))</f>
        <v>169.69678276108894</v>
      </c>
      <c r="C18" s="626">
        <f>(1825*(C6^-0.481))</f>
        <v>175.16777632295663</v>
      </c>
      <c r="D18" s="631"/>
      <c r="G18" s="726"/>
      <c r="H18" s="733"/>
      <c r="I18" s="734"/>
      <c r="J18" s="734"/>
      <c r="K18" s="735"/>
    </row>
    <row r="19" spans="1:11" ht="18" x14ac:dyDescent="0.35">
      <c r="A19" s="665" t="s">
        <v>1548</v>
      </c>
      <c r="B19" s="710">
        <f>(B3/C6)</f>
        <v>1</v>
      </c>
      <c r="C19" s="710"/>
      <c r="D19" s="631"/>
      <c r="E19" s="631"/>
      <c r="G19" s="642" t="s">
        <v>1171</v>
      </c>
      <c r="H19" s="736">
        <v>50</v>
      </c>
      <c r="I19" s="737"/>
      <c r="J19" s="736">
        <v>60</v>
      </c>
      <c r="K19" s="737"/>
    </row>
    <row r="20" spans="1:11" ht="18" x14ac:dyDescent="0.35">
      <c r="A20" s="665" t="s">
        <v>1557</v>
      </c>
      <c r="B20" s="704">
        <f>(C18)/(($H$11^0.5)*$B$3^(-1.25))</f>
        <v>122.30862968841667</v>
      </c>
      <c r="C20" s="705"/>
      <c r="D20" s="631"/>
      <c r="E20" s="631"/>
      <c r="G20" s="625">
        <v>2</v>
      </c>
      <c r="H20" s="626">
        <v>3000</v>
      </c>
      <c r="I20" s="626">
        <f t="shared" ref="I20:I54" si="0">IF($B$20&gt;H20,H20,0)</f>
        <v>0</v>
      </c>
      <c r="J20" s="626">
        <v>3600</v>
      </c>
      <c r="K20" s="626">
        <f>IF($B$20&gt;J20,J20,0)</f>
        <v>0</v>
      </c>
    </row>
    <row r="21" spans="1:11" x14ac:dyDescent="0.25">
      <c r="A21" s="667"/>
      <c r="B21" s="643"/>
      <c r="C21" s="631"/>
      <c r="D21" s="631"/>
      <c r="E21" s="631"/>
      <c r="G21" s="625">
        <v>4</v>
      </c>
      <c r="H21" s="626">
        <v>1500</v>
      </c>
      <c r="I21" s="626">
        <f t="shared" si="0"/>
        <v>0</v>
      </c>
      <c r="J21" s="626">
        <v>1800</v>
      </c>
      <c r="K21" s="626">
        <f t="shared" ref="K21:K54" si="1">IF(J21&lt;$B$20,J21,0)</f>
        <v>0</v>
      </c>
    </row>
    <row r="22" spans="1:11" ht="18" x14ac:dyDescent="0.35">
      <c r="A22" s="665" t="s">
        <v>1555</v>
      </c>
      <c r="B22" s="626">
        <f>IF(B19&lt;1,(1.272*(C22^0.978)),IF(B19=1,(0.842*(C22^1.033)),IF(B19&gt;1,(0.619*(C22^1.065)))))</f>
        <v>171.49495154950358</v>
      </c>
      <c r="C22" s="626">
        <f>HLOOKUP(B12,G3:H14,3)*($H$11^0.5)*$C$6^(-1.25)</f>
        <v>171.86140677320924</v>
      </c>
      <c r="D22" s="644"/>
      <c r="E22" s="631"/>
      <c r="G22" s="625">
        <v>6</v>
      </c>
      <c r="H22" s="626">
        <v>1000</v>
      </c>
      <c r="I22" s="626">
        <f t="shared" si="0"/>
        <v>0</v>
      </c>
      <c r="J22" s="626">
        <v>1200</v>
      </c>
      <c r="K22" s="626">
        <f t="shared" si="1"/>
        <v>0</v>
      </c>
    </row>
    <row r="23" spans="1:11" ht="18" x14ac:dyDescent="0.35">
      <c r="A23" s="665" t="s">
        <v>1549</v>
      </c>
      <c r="B23" s="645">
        <f>(B22/(HLOOKUP(B12,G3:H14,3)*(B3^-1.25)))^(1/0.5)</f>
        <v>398296.00122788746</v>
      </c>
      <c r="C23" s="626"/>
      <c r="D23" s="644"/>
      <c r="E23" s="631"/>
      <c r="G23" s="625">
        <v>8</v>
      </c>
      <c r="H23" s="626">
        <v>750</v>
      </c>
      <c r="I23" s="626">
        <f t="shared" si="0"/>
        <v>0</v>
      </c>
      <c r="J23" s="626">
        <v>900</v>
      </c>
      <c r="K23" s="626">
        <f t="shared" si="1"/>
        <v>0</v>
      </c>
    </row>
    <row r="24" spans="1:11" ht="18" x14ac:dyDescent="0.35">
      <c r="A24" s="665" t="s">
        <v>1550</v>
      </c>
      <c r="B24" s="711">
        <f>(B23/H11)</f>
        <v>0.99574000306971866</v>
      </c>
      <c r="C24" s="711"/>
      <c r="D24" s="631"/>
      <c r="E24" s="631"/>
      <c r="G24" s="625">
        <v>10</v>
      </c>
      <c r="H24" s="626">
        <v>600</v>
      </c>
      <c r="I24" s="626">
        <f t="shared" si="0"/>
        <v>0</v>
      </c>
      <c r="J24" s="626">
        <v>720</v>
      </c>
      <c r="K24" s="626">
        <f t="shared" si="1"/>
        <v>0</v>
      </c>
    </row>
    <row r="25" spans="1:11" x14ac:dyDescent="0.25">
      <c r="A25" s="665" t="s">
        <v>1588</v>
      </c>
      <c r="B25" s="646">
        <f>(-0.417+(114.7/B22))</f>
        <v>0.25182435292499444</v>
      </c>
      <c r="C25" s="626"/>
      <c r="D25" s="631"/>
      <c r="E25" s="631"/>
      <c r="G25" s="625">
        <v>12</v>
      </c>
      <c r="H25" s="626">
        <v>500</v>
      </c>
      <c r="I25" s="626">
        <f t="shared" si="0"/>
        <v>0</v>
      </c>
      <c r="J25" s="626">
        <v>600</v>
      </c>
      <c r="K25" s="626">
        <f t="shared" si="1"/>
        <v>0</v>
      </c>
    </row>
    <row r="26" spans="1:11" ht="18" x14ac:dyDescent="0.35">
      <c r="A26" s="665" t="s">
        <v>1558</v>
      </c>
      <c r="B26" s="626">
        <f>IF(B22&lt;275,(B5-B3),(B3-B4))</f>
        <v>7.125</v>
      </c>
      <c r="C26" s="626"/>
      <c r="D26" s="631"/>
      <c r="E26" s="631"/>
      <c r="G26" s="625">
        <v>14</v>
      </c>
      <c r="H26" s="626">
        <v>428.57</v>
      </c>
      <c r="I26" s="626">
        <f t="shared" si="0"/>
        <v>0</v>
      </c>
      <c r="J26" s="626">
        <v>514.29</v>
      </c>
      <c r="K26" s="626">
        <f t="shared" si="1"/>
        <v>0</v>
      </c>
    </row>
    <row r="27" spans="1:11" ht="18" x14ac:dyDescent="0.35">
      <c r="A27" s="665" t="s">
        <v>1551</v>
      </c>
      <c r="B27" s="635">
        <f>(B23*(1+((B25*B26)/B3)))</f>
        <v>403766.94483416888</v>
      </c>
      <c r="C27" s="626"/>
      <c r="D27" s="631"/>
      <c r="E27" s="631"/>
      <c r="G27" s="625">
        <v>16</v>
      </c>
      <c r="H27" s="626">
        <v>375</v>
      </c>
      <c r="I27" s="626">
        <f t="shared" si="0"/>
        <v>0</v>
      </c>
      <c r="J27" s="626">
        <v>450</v>
      </c>
      <c r="K27" s="626">
        <f t="shared" si="1"/>
        <v>0</v>
      </c>
    </row>
    <row r="28" spans="1:11" ht="18" x14ac:dyDescent="0.35">
      <c r="A28" s="665" t="s">
        <v>1559</v>
      </c>
      <c r="B28" s="626">
        <f>IF((B5/B4)&lt;1.05,(0.00122*(B18^0.982)),(0.000712*(B18^1.15)))</f>
        <v>0.26097844772582596</v>
      </c>
      <c r="C28" s="626"/>
      <c r="D28" s="631"/>
      <c r="E28" s="631"/>
      <c r="G28" s="625">
        <v>18</v>
      </c>
      <c r="H28" s="626">
        <v>333.33</v>
      </c>
      <c r="I28" s="626">
        <f t="shared" si="0"/>
        <v>0</v>
      </c>
      <c r="J28" s="626">
        <v>400</v>
      </c>
      <c r="K28" s="626">
        <f t="shared" si="1"/>
        <v>0</v>
      </c>
    </row>
    <row r="29" spans="1:11" ht="18" x14ac:dyDescent="0.35">
      <c r="A29" s="665" t="s">
        <v>1554</v>
      </c>
      <c r="B29" s="626">
        <f>(1.153+(0.00215*B22))*HLOOKUP(B12,G3:H14,3)</f>
        <v>182.60569749977194</v>
      </c>
      <c r="C29" s="626"/>
      <c r="D29" s="631"/>
      <c r="E29" s="631"/>
      <c r="G29" s="625">
        <v>20</v>
      </c>
      <c r="H29" s="626">
        <v>300</v>
      </c>
      <c r="I29" s="626">
        <f t="shared" si="0"/>
        <v>0</v>
      </c>
      <c r="J29" s="626">
        <v>360</v>
      </c>
      <c r="K29" s="626">
        <f t="shared" si="1"/>
        <v>0</v>
      </c>
    </row>
    <row r="30" spans="1:11" ht="18" x14ac:dyDescent="0.35">
      <c r="A30" s="665" t="s">
        <v>1589</v>
      </c>
      <c r="B30" s="626">
        <f>(B5/B3)</f>
        <v>1.0545454545454545</v>
      </c>
      <c r="C30" s="626"/>
      <c r="D30" s="631"/>
      <c r="E30" s="631"/>
      <c r="G30" s="625">
        <v>22</v>
      </c>
      <c r="H30" s="626">
        <v>272.73</v>
      </c>
      <c r="I30" s="626">
        <f t="shared" si="0"/>
        <v>0</v>
      </c>
      <c r="J30" s="626">
        <v>327.27</v>
      </c>
      <c r="K30" s="626">
        <f t="shared" si="1"/>
        <v>0</v>
      </c>
    </row>
    <row r="31" spans="1:11" ht="18" x14ac:dyDescent="0.35">
      <c r="A31" s="665" t="s">
        <v>1552</v>
      </c>
      <c r="B31" s="626">
        <f>IF((B5/B3)&lt;1.15,(0.895+(1.07*0.001*B22)),(0.915+(1.07*0.001*B22)))</f>
        <v>1.0784995981579688</v>
      </c>
      <c r="C31" s="626"/>
      <c r="D31" s="631"/>
      <c r="E31" s="631"/>
      <c r="G31" s="625">
        <v>24</v>
      </c>
      <c r="H31" s="626">
        <v>250</v>
      </c>
      <c r="I31" s="626">
        <f t="shared" si="0"/>
        <v>0</v>
      </c>
      <c r="J31" s="626">
        <v>300</v>
      </c>
      <c r="K31" s="626">
        <f t="shared" si="1"/>
        <v>0</v>
      </c>
    </row>
    <row r="32" spans="1:11" x14ac:dyDescent="0.25">
      <c r="A32" s="665" t="s">
        <v>1560</v>
      </c>
      <c r="B32" s="626">
        <f>((B22/B18)^1.25)*B28</f>
        <v>0.26443979242181292</v>
      </c>
      <c r="C32" s="626"/>
      <c r="D32" s="631"/>
      <c r="E32" s="631"/>
      <c r="G32" s="625">
        <v>26</v>
      </c>
      <c r="H32" s="626">
        <v>230.77</v>
      </c>
      <c r="I32" s="626">
        <f t="shared" si="0"/>
        <v>0</v>
      </c>
      <c r="J32" s="626">
        <v>276.92</v>
      </c>
      <c r="K32" s="626">
        <f t="shared" si="1"/>
        <v>0</v>
      </c>
    </row>
    <row r="33" spans="1:11" ht="18" x14ac:dyDescent="0.35">
      <c r="A33" s="665" t="s">
        <v>1553</v>
      </c>
      <c r="B33" s="702">
        <f>MIN(HLOOKUP(B12,G3:H14,7),HLOOKUP(B12,G3:H14,8))</f>
        <v>-25.062447885099314</v>
      </c>
      <c r="C33" s="703"/>
      <c r="D33" s="644"/>
      <c r="E33" s="631"/>
      <c r="G33" s="625">
        <v>28</v>
      </c>
      <c r="H33" s="626">
        <v>214.29</v>
      </c>
      <c r="I33" s="626">
        <f t="shared" si="0"/>
        <v>0</v>
      </c>
      <c r="J33" s="626">
        <v>257.14</v>
      </c>
      <c r="K33" s="626">
        <f t="shared" si="1"/>
        <v>0</v>
      </c>
    </row>
    <row r="34" spans="1:11" x14ac:dyDescent="0.25">
      <c r="A34" s="781" t="s">
        <v>1195</v>
      </c>
      <c r="B34" s="783">
        <f>iohsrf2!B37+hsrf2pwh!B33</f>
        <v>1377.9375521149007</v>
      </c>
      <c r="C34" s="784"/>
      <c r="D34" s="644"/>
      <c r="E34" s="631"/>
      <c r="G34" s="625">
        <v>30</v>
      </c>
      <c r="H34" s="626">
        <v>200</v>
      </c>
      <c r="I34" s="626">
        <f t="shared" si="0"/>
        <v>0</v>
      </c>
      <c r="J34" s="626">
        <v>240</v>
      </c>
      <c r="K34" s="626">
        <f t="shared" si="1"/>
        <v>0</v>
      </c>
    </row>
    <row r="35" spans="1:11" x14ac:dyDescent="0.25">
      <c r="A35" s="665" t="s">
        <v>1169</v>
      </c>
      <c r="B35" s="704">
        <f>HLOOKUP(B12,G3:H14,3)</f>
        <v>120</v>
      </c>
      <c r="C35" s="705"/>
      <c r="D35" s="644"/>
      <c r="E35" s="631"/>
      <c r="G35" s="625">
        <v>32</v>
      </c>
      <c r="H35" s="626">
        <v>187.5</v>
      </c>
      <c r="I35" s="626">
        <f t="shared" si="0"/>
        <v>0</v>
      </c>
      <c r="J35" s="626">
        <v>225</v>
      </c>
      <c r="K35" s="626">
        <f t="shared" si="1"/>
        <v>0</v>
      </c>
    </row>
    <row r="36" spans="1:11" ht="18" x14ac:dyDescent="0.35">
      <c r="A36" s="666" t="s">
        <v>1536</v>
      </c>
      <c r="B36" s="704">
        <f>(B31*60*((2*9.91*B3)^0.5))/(3.14*B35)</f>
        <v>8.7382672038650728</v>
      </c>
      <c r="C36" s="705"/>
      <c r="D36" s="627"/>
      <c r="E36" s="631"/>
      <c r="G36" s="625">
        <v>36</v>
      </c>
      <c r="H36" s="626">
        <v>166.67</v>
      </c>
      <c r="I36" s="626">
        <f t="shared" si="0"/>
        <v>0</v>
      </c>
      <c r="J36" s="626">
        <v>200</v>
      </c>
      <c r="K36" s="626">
        <f t="shared" si="1"/>
        <v>0</v>
      </c>
    </row>
    <row r="37" spans="1:11" x14ac:dyDescent="0.25">
      <c r="A37" s="631"/>
      <c r="B37" s="631"/>
      <c r="C37" s="631"/>
      <c r="D37" s="631"/>
      <c r="E37" s="631"/>
      <c r="G37" s="625">
        <v>40</v>
      </c>
      <c r="H37" s="626">
        <v>150</v>
      </c>
      <c r="I37" s="626">
        <f t="shared" si="0"/>
        <v>0</v>
      </c>
      <c r="J37" s="626">
        <v>180</v>
      </c>
      <c r="K37" s="626">
        <f t="shared" si="1"/>
        <v>0</v>
      </c>
    </row>
    <row r="38" spans="1:11" x14ac:dyDescent="0.25">
      <c r="A38" s="598" t="s">
        <v>1387</v>
      </c>
      <c r="B38" s="643"/>
      <c r="C38" s="631"/>
      <c r="D38" s="631"/>
      <c r="G38" s="625">
        <v>44</v>
      </c>
      <c r="H38" s="626">
        <v>136.36000000000001</v>
      </c>
      <c r="I38" s="626">
        <f t="shared" si="0"/>
        <v>0</v>
      </c>
      <c r="J38" s="626">
        <v>163.63999999999999</v>
      </c>
      <c r="K38" s="626">
        <f t="shared" si="1"/>
        <v>0</v>
      </c>
    </row>
    <row r="39" spans="1:11" x14ac:dyDescent="0.25">
      <c r="G39" s="625">
        <v>48</v>
      </c>
      <c r="H39" s="626">
        <v>125</v>
      </c>
      <c r="I39" s="626">
        <f t="shared" si="0"/>
        <v>0</v>
      </c>
      <c r="J39" s="626">
        <v>150</v>
      </c>
      <c r="K39" s="626">
        <f t="shared" si="1"/>
        <v>0</v>
      </c>
    </row>
    <row r="40" spans="1:11" ht="18" x14ac:dyDescent="0.35">
      <c r="A40" s="665" t="s">
        <v>1537</v>
      </c>
      <c r="B40" s="702">
        <f>(B36*(0.284+(0.0023*B22)))</f>
        <v>5.9283759206306312</v>
      </c>
      <c r="C40" s="703"/>
      <c r="G40" s="625">
        <v>52</v>
      </c>
      <c r="H40" s="626">
        <v>115.38</v>
      </c>
      <c r="I40" s="626">
        <f t="shared" si="0"/>
        <v>115.38</v>
      </c>
      <c r="J40" s="626">
        <v>138.46</v>
      </c>
      <c r="K40" s="626">
        <f t="shared" si="1"/>
        <v>0</v>
      </c>
    </row>
    <row r="41" spans="1:11" ht="18" x14ac:dyDescent="0.35">
      <c r="A41" s="666" t="s">
        <v>1538</v>
      </c>
      <c r="B41" s="704">
        <f>IF(B22&lt;190,B36,(B36/(1.198-(0.00104*B22))))</f>
        <v>8.7382672038650728</v>
      </c>
      <c r="C41" s="705"/>
      <c r="G41" s="625">
        <v>56</v>
      </c>
      <c r="H41" s="626">
        <v>107.14</v>
      </c>
      <c r="I41" s="626">
        <f t="shared" si="0"/>
        <v>107.14</v>
      </c>
      <c r="J41" s="626">
        <v>128.57</v>
      </c>
      <c r="K41" s="626">
        <f t="shared" si="1"/>
        <v>0</v>
      </c>
    </row>
    <row r="42" spans="1:11" ht="18" x14ac:dyDescent="0.35">
      <c r="A42" s="666" t="s">
        <v>1539</v>
      </c>
      <c r="B42" s="702">
        <f>(B36)*(-0.0438+(0.00121*B22))</f>
        <v>1.4305320364823926</v>
      </c>
      <c r="C42" s="703"/>
      <c r="G42" s="625">
        <v>60</v>
      </c>
      <c r="H42" s="626">
        <v>100</v>
      </c>
      <c r="I42" s="626">
        <f t="shared" si="0"/>
        <v>100</v>
      </c>
      <c r="J42" s="626">
        <v>120</v>
      </c>
      <c r="K42" s="626">
        <f t="shared" si="1"/>
        <v>120</v>
      </c>
    </row>
    <row r="43" spans="1:11" ht="18" x14ac:dyDescent="0.35">
      <c r="A43" s="666" t="s">
        <v>1540</v>
      </c>
      <c r="B43" s="702">
        <f>(B36)*(0.155+(0.00119*B22))-B42</f>
        <v>1.7071961459133074</v>
      </c>
      <c r="C43" s="703"/>
      <c r="G43" s="625">
        <v>64</v>
      </c>
      <c r="H43" s="626">
        <v>93.75</v>
      </c>
      <c r="I43" s="626">
        <f t="shared" si="0"/>
        <v>93.75</v>
      </c>
      <c r="J43" s="626">
        <v>112.5</v>
      </c>
      <c r="K43" s="626">
        <f t="shared" si="1"/>
        <v>112.5</v>
      </c>
    </row>
    <row r="44" spans="1:11" x14ac:dyDescent="0.25">
      <c r="A44" s="666" t="s">
        <v>1173</v>
      </c>
      <c r="B44" s="702">
        <f>(B36*(0.19+(0.0031*B22)))</f>
        <v>6.3058337720700806</v>
      </c>
      <c r="C44" s="703"/>
      <c r="G44" s="625">
        <v>68</v>
      </c>
      <c r="H44" s="626">
        <v>88.24</v>
      </c>
      <c r="I44" s="626">
        <f t="shared" si="0"/>
        <v>88.24</v>
      </c>
      <c r="J44" s="626">
        <v>105.88</v>
      </c>
      <c r="K44" s="626">
        <f t="shared" si="1"/>
        <v>105.88</v>
      </c>
    </row>
    <row r="45" spans="1:11" x14ac:dyDescent="0.25">
      <c r="A45" s="666" t="s">
        <v>1190</v>
      </c>
      <c r="B45" s="702">
        <f>(B36*(0.84+(0.0016*B22)))</f>
        <v>9.7378543884521935</v>
      </c>
      <c r="C45" s="703"/>
      <c r="G45" s="625">
        <v>72</v>
      </c>
      <c r="H45" s="626">
        <v>83.33</v>
      </c>
      <c r="I45" s="626">
        <f t="shared" si="0"/>
        <v>83.33</v>
      </c>
      <c r="J45" s="626">
        <v>100</v>
      </c>
      <c r="K45" s="626">
        <f t="shared" si="1"/>
        <v>100</v>
      </c>
    </row>
    <row r="46" spans="1:11" x14ac:dyDescent="0.25">
      <c r="A46" s="666" t="s">
        <v>1189</v>
      </c>
      <c r="B46" s="702">
        <f>(B36*(0.88+(0.002*B22)))</f>
        <v>10.686812560908178</v>
      </c>
      <c r="C46" s="703"/>
      <c r="G46" s="625">
        <v>76</v>
      </c>
      <c r="H46" s="626">
        <v>78.95</v>
      </c>
      <c r="I46" s="626">
        <f t="shared" si="0"/>
        <v>78.95</v>
      </c>
      <c r="J46" s="626">
        <v>94.74</v>
      </c>
      <c r="K46" s="626">
        <f t="shared" si="1"/>
        <v>94.74</v>
      </c>
    </row>
    <row r="47" spans="1:11" x14ac:dyDescent="0.25">
      <c r="A47" s="666" t="s">
        <v>1187</v>
      </c>
      <c r="B47" s="702">
        <f>(B36*(0.91+(0.0026*B22)))</f>
        <v>11.848101803476204</v>
      </c>
      <c r="C47" s="703"/>
      <c r="G47" s="625">
        <v>80</v>
      </c>
      <c r="H47" s="626">
        <v>75</v>
      </c>
      <c r="I47" s="626">
        <f t="shared" si="0"/>
        <v>75</v>
      </c>
      <c r="J47" s="626">
        <v>90</v>
      </c>
      <c r="K47" s="626">
        <f t="shared" si="1"/>
        <v>90</v>
      </c>
    </row>
    <row r="48" spans="1:11" x14ac:dyDescent="0.25">
      <c r="A48" s="666" t="s">
        <v>1188</v>
      </c>
      <c r="B48" s="702">
        <f>(B36*(0.86+(0.0012*B22)))</f>
        <v>9.3131922482281109</v>
      </c>
      <c r="C48" s="703"/>
      <c r="G48" s="625">
        <v>84</v>
      </c>
      <c r="H48" s="626">
        <v>71.430000000000007</v>
      </c>
      <c r="I48" s="626">
        <f t="shared" si="0"/>
        <v>71.430000000000007</v>
      </c>
      <c r="J48" s="626">
        <v>85.71</v>
      </c>
      <c r="K48" s="626">
        <f t="shared" si="1"/>
        <v>85.71</v>
      </c>
    </row>
    <row r="49" spans="1:11" x14ac:dyDescent="0.25">
      <c r="A49" s="666" t="s">
        <v>1185</v>
      </c>
      <c r="B49" s="702">
        <f>(B36*(1.58+(0.000072*B22)))</f>
        <v>13.914359129281065</v>
      </c>
      <c r="C49" s="703"/>
      <c r="G49" s="625">
        <v>88</v>
      </c>
      <c r="H49" s="626">
        <v>68.180000000000007</v>
      </c>
      <c r="I49" s="626">
        <f t="shared" si="0"/>
        <v>68.180000000000007</v>
      </c>
      <c r="J49" s="626">
        <v>81.819999999999993</v>
      </c>
      <c r="K49" s="626">
        <f t="shared" si="1"/>
        <v>81.819999999999993</v>
      </c>
    </row>
    <row r="50" spans="1:11" x14ac:dyDescent="0.25">
      <c r="A50" s="666" t="s">
        <v>1186</v>
      </c>
      <c r="B50" s="702">
        <f>(B36*(1.23+(0.0006*B22)))</f>
        <v>11.647209887206113</v>
      </c>
      <c r="C50" s="703"/>
      <c r="G50" s="625">
        <v>92</v>
      </c>
      <c r="H50" s="626">
        <v>65.22</v>
      </c>
      <c r="I50" s="626">
        <f t="shared" si="0"/>
        <v>65.22</v>
      </c>
      <c r="J50" s="626">
        <v>78.260000000000005</v>
      </c>
      <c r="K50" s="626">
        <f t="shared" si="1"/>
        <v>78.260000000000005</v>
      </c>
    </row>
    <row r="51" spans="1:11" x14ac:dyDescent="0.25">
      <c r="A51" s="666" t="s">
        <v>1191</v>
      </c>
      <c r="B51" s="702">
        <f>(B36*(1.084+(0.00061*B22)))</f>
        <v>10.386408562549349</v>
      </c>
      <c r="C51" s="703"/>
      <c r="G51" s="625">
        <v>96</v>
      </c>
      <c r="H51" s="626">
        <v>62.5</v>
      </c>
      <c r="I51" s="626">
        <f t="shared" si="0"/>
        <v>62.5</v>
      </c>
      <c r="J51" s="626">
        <v>75</v>
      </c>
      <c r="K51" s="626">
        <f t="shared" si="1"/>
        <v>75</v>
      </c>
    </row>
    <row r="52" spans="1:11" x14ac:dyDescent="0.25">
      <c r="A52" s="666" t="s">
        <v>1174</v>
      </c>
      <c r="B52" s="702">
        <f>(B36*(-0.041+(0.0012*B22)))</f>
        <v>1.44001349754568</v>
      </c>
      <c r="C52" s="703"/>
      <c r="E52" s="631"/>
      <c r="G52" s="625">
        <v>100</v>
      </c>
      <c r="H52" s="626">
        <v>60</v>
      </c>
      <c r="I52" s="626">
        <f t="shared" si="0"/>
        <v>60</v>
      </c>
      <c r="J52" s="626">
        <v>72</v>
      </c>
      <c r="K52" s="626">
        <f t="shared" si="1"/>
        <v>72</v>
      </c>
    </row>
    <row r="53" spans="1:11" x14ac:dyDescent="0.25">
      <c r="A53" s="666" t="s">
        <v>1175</v>
      </c>
      <c r="B53" s="702">
        <f>B41*(1.54+203.5/B22)+0.4*B41</f>
        <v>27.321274664436679</v>
      </c>
      <c r="C53" s="703"/>
      <c r="D53" s="631"/>
      <c r="E53" s="631"/>
      <c r="G53" s="625">
        <v>104</v>
      </c>
      <c r="H53" s="626">
        <v>57.69</v>
      </c>
      <c r="I53" s="626">
        <f t="shared" si="0"/>
        <v>57.69</v>
      </c>
      <c r="J53" s="626">
        <v>69.23</v>
      </c>
      <c r="K53" s="626">
        <f t="shared" si="1"/>
        <v>69.23</v>
      </c>
    </row>
    <row r="54" spans="1:11" x14ac:dyDescent="0.25">
      <c r="A54" s="666" t="s">
        <v>1176</v>
      </c>
      <c r="B54" s="702">
        <f>(B36*(0.21+(0.0022*B22)))</f>
        <v>5.1318872764692705</v>
      </c>
      <c r="C54" s="703"/>
      <c r="D54" s="631"/>
      <c r="E54" s="647"/>
      <c r="G54" s="625">
        <v>108</v>
      </c>
      <c r="H54" s="626">
        <v>55.56</v>
      </c>
      <c r="I54" s="626">
        <f t="shared" si="0"/>
        <v>55.56</v>
      </c>
      <c r="J54" s="626">
        <v>66.67</v>
      </c>
      <c r="K54" s="626">
        <f t="shared" si="1"/>
        <v>66.67</v>
      </c>
    </row>
    <row r="55" spans="1:11" x14ac:dyDescent="0.25">
      <c r="A55" s="666" t="s">
        <v>1177</v>
      </c>
      <c r="B55" s="702">
        <f>(B36*(0.12+(0.0013*B22)))</f>
        <v>2.9967313884433024</v>
      </c>
      <c r="C55" s="703"/>
    </row>
    <row r="56" spans="1:11" x14ac:dyDescent="0.25">
      <c r="A56" s="666" t="s">
        <v>1184</v>
      </c>
      <c r="B56" s="702">
        <f>(B36*(1.42+(0.0035*B22)))</f>
        <v>17.653329917125504</v>
      </c>
      <c r="C56" s="703"/>
    </row>
    <row r="57" spans="1:11" x14ac:dyDescent="0.25">
      <c r="A57" s="666" t="s">
        <v>1154</v>
      </c>
      <c r="B57" s="702">
        <f>(B36*(0.57+(0.00033*B22)))</f>
        <v>5.4753399807517313</v>
      </c>
      <c r="C57" s="703"/>
    </row>
    <row r="58" spans="1:11" x14ac:dyDescent="0.25">
      <c r="A58" s="666" t="s">
        <v>1155</v>
      </c>
      <c r="B58" s="702">
        <f>(B41*(1.37-0.00056*B22))</f>
        <v>11.132227591273214</v>
      </c>
      <c r="C58" s="703"/>
    </row>
    <row r="59" spans="1:11" x14ac:dyDescent="0.25">
      <c r="A59" s="666" t="s">
        <v>1178</v>
      </c>
      <c r="B59" s="702">
        <f>(B36*(0.37+(0.00094*B22)))</f>
        <v>4.641813453538326</v>
      </c>
      <c r="C59" s="703"/>
    </row>
    <row r="60" spans="1:11" x14ac:dyDescent="0.25">
      <c r="A60" s="666" t="s">
        <v>1183</v>
      </c>
      <c r="B60" s="702">
        <f>(B36*(0.54+(0.0019*B22)))</f>
        <v>7.565944840518708</v>
      </c>
      <c r="C60" s="703"/>
    </row>
    <row r="61" spans="1:11" x14ac:dyDescent="0.25">
      <c r="A61" s="666" t="s">
        <v>1179</v>
      </c>
      <c r="B61" s="702">
        <f>(B36*(2.32+(0.0059*B22)))</f>
        <v>29.114335306412361</v>
      </c>
      <c r="C61" s="703"/>
    </row>
    <row r="62" spans="1:11" x14ac:dyDescent="0.25">
      <c r="A62" s="666" t="s">
        <v>1182</v>
      </c>
      <c r="B62" s="702">
        <f>(B36*(0.55+(0.0028*B22)))</f>
        <v>9.0020393522354709</v>
      </c>
      <c r="C62" s="703"/>
      <c r="F62" s="632" t="s">
        <v>1502</v>
      </c>
    </row>
    <row r="63" spans="1:11" ht="18" x14ac:dyDescent="0.35">
      <c r="A63" s="781" t="s">
        <v>1529</v>
      </c>
      <c r="B63" s="782">
        <v>2</v>
      </c>
      <c r="C63" s="782"/>
      <c r="F63" s="613">
        <f>IF(B60*B66&lt;30,0,1.7)</f>
        <v>1.7</v>
      </c>
      <c r="G63" s="679" t="s">
        <v>1505</v>
      </c>
    </row>
    <row r="64" spans="1:11" x14ac:dyDescent="0.25">
      <c r="A64" s="666" t="s">
        <v>1156</v>
      </c>
      <c r="B64" s="702">
        <f>B36*(0.15+(0.0012*B22))</f>
        <v>3.109022533483909</v>
      </c>
      <c r="C64" s="703"/>
      <c r="G64" s="677"/>
    </row>
    <row r="65" spans="1:9" x14ac:dyDescent="0.25">
      <c r="A65" s="666" t="s">
        <v>1180</v>
      </c>
      <c r="B65" s="708">
        <f>(B41*(1.1+53.7/B22))</f>
        <v>12.348296620644673</v>
      </c>
      <c r="C65" s="709"/>
      <c r="F65" s="631">
        <f>B41*(2.63+33.8/B35)</f>
        <v>25.442921341920471</v>
      </c>
      <c r="G65" s="679" t="s">
        <v>1506</v>
      </c>
      <c r="H65" s="631">
        <f>(B41*(1.1+53.7/B22))*2</f>
        <v>24.696593241289346</v>
      </c>
      <c r="I65" s="679" t="s">
        <v>1507</v>
      </c>
    </row>
    <row r="66" spans="1:9" x14ac:dyDescent="0.25">
      <c r="A66" s="666" t="s">
        <v>1181</v>
      </c>
      <c r="B66" s="708">
        <f>(B36*(-0.083+(0.012*B22)))</f>
        <v>17.257548351120683</v>
      </c>
      <c r="C66" s="709"/>
    </row>
    <row r="67" spans="1:9" ht="18" x14ac:dyDescent="0.25">
      <c r="A67" s="776" t="s">
        <v>1575</v>
      </c>
      <c r="B67" s="702">
        <f>(B49+B50)/2</f>
        <v>12.780784508243588</v>
      </c>
      <c r="C67" s="703"/>
      <c r="F67" s="632" t="s">
        <v>1501</v>
      </c>
      <c r="G67" s="676" t="s">
        <v>1508</v>
      </c>
      <c r="H67" s="632"/>
    </row>
    <row r="68" spans="1:9" x14ac:dyDescent="0.25">
      <c r="A68" s="777" t="s">
        <v>1576</v>
      </c>
      <c r="B68" s="778">
        <f>B34+B44/2+2</f>
        <v>1383.0904690009356</v>
      </c>
      <c r="C68" s="779"/>
      <c r="F68" s="675">
        <f>((((B41*3.28)^3)*3)*(HLOOKUP(B12,G3:H14,3)^0.5))*(0.4536/1000)</f>
        <v>350.98003813848146</v>
      </c>
      <c r="G68" s="678">
        <f>B70/F68</f>
        <v>0.52502055631154454</v>
      </c>
    </row>
    <row r="69" spans="1:9" x14ac:dyDescent="0.25">
      <c r="A69" s="780" t="s">
        <v>1060</v>
      </c>
      <c r="F69" s="675">
        <f>((B41*3.28)^2.33)*(2100*0.4536/1000)</f>
        <v>2368.0964877127471</v>
      </c>
      <c r="G69" s="678">
        <f>B71/F69</f>
        <v>0.68899717481086398</v>
      </c>
    </row>
    <row r="70" spans="1:9" x14ac:dyDescent="0.25">
      <c r="A70" s="665" t="s">
        <v>1503</v>
      </c>
      <c r="B70" s="722">
        <f>1014*B36^2.4/1000</f>
        <v>184.27173487771265</v>
      </c>
      <c r="C70" s="723"/>
    </row>
    <row r="71" spans="1:9" x14ac:dyDescent="0.25">
      <c r="A71" s="599" t="s">
        <v>1504</v>
      </c>
      <c r="B71" s="720">
        <f>13851*B36^2.2/1000</f>
        <v>1631.6117897136126</v>
      </c>
      <c r="C71" s="721"/>
    </row>
    <row r="72" spans="1:9" x14ac:dyDescent="0.25">
      <c r="A72" s="688" t="s">
        <v>1522</v>
      </c>
      <c r="B72" s="686"/>
      <c r="C72" s="687"/>
    </row>
    <row r="73" spans="1:9" x14ac:dyDescent="0.25">
      <c r="A73" s="689" t="s">
        <v>471</v>
      </c>
      <c r="B73" s="697">
        <f>MAX(G11,H11)/B35</f>
        <v>4025.9740259740265</v>
      </c>
      <c r="C73" s="698"/>
    </row>
    <row r="74" spans="1:9" x14ac:dyDescent="0.25">
      <c r="A74" s="668" t="s">
        <v>1524</v>
      </c>
      <c r="B74" s="695">
        <f>IF(AND(B73&gt;=10,B73&lt;=10000),1000*(-0.0011*B73^2+18.162*B73+3279.8),"Fora da faixa de variacao da curva!  ERRO!")</f>
        <v>58570226.716141015</v>
      </c>
      <c r="C74" s="696"/>
    </row>
    <row r="76" spans="1:9" x14ac:dyDescent="0.25">
      <c r="A76" s="598" t="s">
        <v>1194</v>
      </c>
      <c r="B76" s="648"/>
      <c r="C76" s="606"/>
      <c r="D76" s="627" t="s">
        <v>1205</v>
      </c>
    </row>
    <row r="77" spans="1:9" x14ac:dyDescent="0.25">
      <c r="A77" s="606"/>
      <c r="B77" s="648"/>
      <c r="C77" s="606"/>
    </row>
    <row r="78" spans="1:9" ht="18" x14ac:dyDescent="0.35">
      <c r="A78" s="668" t="s">
        <v>1530</v>
      </c>
      <c r="B78" s="701">
        <f>B44/2+B45+B46+2*(1.3+0.1*B41)</f>
        <v>27.925237276168428</v>
      </c>
      <c r="C78" s="701"/>
    </row>
    <row r="79" spans="1:9" ht="18" x14ac:dyDescent="0.35">
      <c r="A79" s="668" t="s">
        <v>1531</v>
      </c>
      <c r="B79" s="701">
        <f>B10*B78+2</f>
        <v>57.850474552336856</v>
      </c>
      <c r="C79" s="701"/>
      <c r="F79" s="552"/>
    </row>
    <row r="80" spans="1:9" ht="18" x14ac:dyDescent="0.35">
      <c r="A80" s="668" t="s">
        <v>1532</v>
      </c>
      <c r="B80" s="701">
        <f>IF(B10&gt;3,2.25*B78,1.5*B78)</f>
        <v>41.88785591425264</v>
      </c>
      <c r="C80" s="701"/>
    </row>
    <row r="81" spans="1:6" ht="18" x14ac:dyDescent="0.35">
      <c r="A81" s="668" t="s">
        <v>1568</v>
      </c>
      <c r="B81" s="701">
        <f>B101/2+2.1+0.2*B41</f>
        <v>12.561245597845312</v>
      </c>
      <c r="C81" s="701"/>
    </row>
    <row r="82" spans="1:6" ht="18" x14ac:dyDescent="0.35">
      <c r="A82" s="668" t="s">
        <v>1569</v>
      </c>
      <c r="B82" s="701">
        <f>B47+2.1+0.2*B41</f>
        <v>15.695755244249218</v>
      </c>
      <c r="C82" s="701"/>
    </row>
    <row r="83" spans="1:6" ht="18" x14ac:dyDescent="0.35">
      <c r="A83" s="668" t="s">
        <v>1533</v>
      </c>
      <c r="B83" s="701">
        <f>B81+B82</f>
        <v>28.257000842094531</v>
      </c>
      <c r="C83" s="701"/>
    </row>
    <row r="84" spans="1:6" ht="18" x14ac:dyDescent="0.35">
      <c r="A84" s="668" t="s">
        <v>1534</v>
      </c>
      <c r="B84" s="701">
        <f>B81+B61</f>
        <v>41.675580904257671</v>
      </c>
      <c r="C84" s="701"/>
    </row>
    <row r="85" spans="1:6" ht="18" x14ac:dyDescent="0.35">
      <c r="A85" s="668" t="s">
        <v>1535</v>
      </c>
      <c r="B85" s="701">
        <f>B83</f>
        <v>28.257000842094531</v>
      </c>
      <c r="C85" s="701"/>
    </row>
    <row r="86" spans="1:6" x14ac:dyDescent="0.25">
      <c r="A86" s="661"/>
      <c r="B86" s="662"/>
      <c r="C86" s="662"/>
    </row>
    <row r="87" spans="1:6" x14ac:dyDescent="0.25">
      <c r="A87" s="598" t="s">
        <v>1577</v>
      </c>
      <c r="B87" s="662"/>
      <c r="C87" s="662"/>
    </row>
    <row r="88" spans="1:6" x14ac:dyDescent="0.25">
      <c r="A88" s="661"/>
      <c r="B88" s="662"/>
      <c r="C88" s="662"/>
    </row>
    <row r="89" spans="1:6" x14ac:dyDescent="0.25">
      <c r="A89" s="668" t="s">
        <v>1404</v>
      </c>
      <c r="B89" s="739">
        <f>IF(AND(B41&gt;=1,B41&lt;=9),485*EXP(0.535*B41),"Fora da faixa de validade da curva! ERRO!")</f>
        <v>52006.388459365036</v>
      </c>
      <c r="C89" s="739"/>
    </row>
    <row r="90" spans="1:6" x14ac:dyDescent="0.25">
      <c r="A90" s="668" t="s">
        <v>1405</v>
      </c>
      <c r="B90" s="739">
        <f>IF(AND(B42&gt;=1,B42&lt;=9),285*EXP(0.381*B42),"Fora da faixa de validade da curva! ERRO!")</f>
        <v>491.52946462781307</v>
      </c>
      <c r="C90" s="739"/>
      <c r="F90" s="552"/>
    </row>
    <row r="91" spans="1:6" x14ac:dyDescent="0.25">
      <c r="A91" s="668" t="s">
        <v>1406</v>
      </c>
      <c r="B91" s="739">
        <f>IF(AND(B43&gt;=1,B43&lt;=9),370*EXP(0.314*B43),"Fora da faixa de validade da curva! ERRO!")</f>
        <v>632.42560647011931</v>
      </c>
      <c r="C91" s="739"/>
      <c r="F91" s="552"/>
    </row>
    <row r="92" spans="1:6" x14ac:dyDescent="0.25">
      <c r="A92" s="668" t="s">
        <v>1407</v>
      </c>
      <c r="B92" s="739">
        <f>IF(B10&lt;=3,B90,2*B90)</f>
        <v>491.52946462781307</v>
      </c>
      <c r="C92" s="739"/>
      <c r="F92" s="552"/>
    </row>
    <row r="93" spans="1:6" ht="18" x14ac:dyDescent="0.35">
      <c r="A93" s="600" t="s">
        <v>1570</v>
      </c>
      <c r="B93" s="738">
        <f>SUM(B89:C92)</f>
        <v>53621.87299509078</v>
      </c>
      <c r="C93" s="738"/>
      <c r="F93" s="552"/>
    </row>
    <row r="94" spans="1:6" ht="18" x14ac:dyDescent="0.35">
      <c r="A94" s="600" t="s">
        <v>1571</v>
      </c>
      <c r="B94" s="738">
        <f>0.1*((B79+B80)*3*B83+2*B83*B83)</f>
        <v>1005.1834457130831</v>
      </c>
      <c r="C94" s="738"/>
      <c r="F94" s="552"/>
    </row>
    <row r="95" spans="1:6" ht="18" x14ac:dyDescent="0.35">
      <c r="A95" s="600" t="s">
        <v>1574</v>
      </c>
      <c r="B95" s="738">
        <f>(B79*B84*B56*2)+(B80*B85*B56)</f>
        <v>106017.59261878104</v>
      </c>
      <c r="C95" s="738"/>
      <c r="F95" s="552"/>
    </row>
    <row r="96" spans="1:6" x14ac:dyDescent="0.25">
      <c r="A96" s="606"/>
      <c r="B96" s="606"/>
      <c r="C96" s="606"/>
      <c r="F96" s="552"/>
    </row>
    <row r="97" spans="1:8" x14ac:dyDescent="0.25">
      <c r="A97" s="598" t="s">
        <v>1386</v>
      </c>
      <c r="B97" s="598" t="s">
        <v>1201</v>
      </c>
      <c r="C97" s="598" t="s">
        <v>1202</v>
      </c>
      <c r="F97" s="552"/>
    </row>
    <row r="98" spans="1:8" x14ac:dyDescent="0.25">
      <c r="A98" s="606"/>
      <c r="B98" s="606"/>
      <c r="C98" s="606"/>
      <c r="F98" s="552"/>
    </row>
    <row r="99" spans="1:8" x14ac:dyDescent="0.25">
      <c r="A99" s="602" t="s">
        <v>1461</v>
      </c>
      <c r="B99" s="649">
        <v>0.98</v>
      </c>
      <c r="C99" s="649">
        <v>0.98</v>
      </c>
      <c r="D99" s="627" t="s">
        <v>1204</v>
      </c>
      <c r="F99" s="552"/>
    </row>
    <row r="100" spans="1:8" x14ac:dyDescent="0.25">
      <c r="A100" s="602" t="s">
        <v>1526</v>
      </c>
      <c r="B100" s="650">
        <f>G11/B99</f>
        <v>492976.41134375834</v>
      </c>
      <c r="C100" s="650">
        <f>H11*C99</f>
        <v>392000</v>
      </c>
      <c r="F100" s="552"/>
    </row>
    <row r="101" spans="1:8" ht="18" x14ac:dyDescent="0.35">
      <c r="A101" s="602" t="s">
        <v>1590</v>
      </c>
      <c r="B101" s="718">
        <f>9*((C100)/(B35^2))^0.2</f>
        <v>17.427184314144597</v>
      </c>
      <c r="C101" s="719"/>
    </row>
    <row r="102" spans="1:8" x14ac:dyDescent="0.25">
      <c r="A102" s="651" t="s">
        <v>1203</v>
      </c>
      <c r="B102" s="717">
        <f>310*(MAX(B100:C100)/B35^1.5)^1.25</f>
        <v>511598.81665012741</v>
      </c>
      <c r="C102" s="717"/>
      <c r="D102" s="627" t="s">
        <v>1234</v>
      </c>
    </row>
    <row r="103" spans="1:8" x14ac:dyDescent="0.25">
      <c r="A103" s="651" t="s">
        <v>496</v>
      </c>
      <c r="B103" s="697">
        <f>MAX(B100,C100)/B35</f>
        <v>4108.1367611979858</v>
      </c>
      <c r="C103" s="698"/>
      <c r="D103" s="627"/>
    </row>
    <row r="104" spans="1:8" x14ac:dyDescent="0.25">
      <c r="A104" s="600" t="s">
        <v>1060</v>
      </c>
      <c r="B104" s="652"/>
      <c r="C104" s="652"/>
      <c r="D104" s="627"/>
    </row>
    <row r="105" spans="1:8" x14ac:dyDescent="0.25">
      <c r="A105" s="651" t="s">
        <v>1383</v>
      </c>
      <c r="B105" s="717">
        <f>50*(C100/1000/(B35^0.5))^0.74</f>
        <v>705.83734543242781</v>
      </c>
      <c r="C105" s="717"/>
      <c r="D105" s="627" t="s">
        <v>1233</v>
      </c>
    </row>
    <row r="106" spans="1:8" x14ac:dyDescent="0.25">
      <c r="A106" s="651" t="s">
        <v>1384</v>
      </c>
      <c r="B106" s="717">
        <f>B105*0.65</f>
        <v>458.79427453107809</v>
      </c>
      <c r="C106" s="717"/>
      <c r="D106" s="627"/>
    </row>
    <row r="107" spans="1:8" x14ac:dyDescent="0.25">
      <c r="A107" s="651" t="s">
        <v>1385</v>
      </c>
      <c r="B107" s="717">
        <f>1.3*(B105+B106)</f>
        <v>1514.0211059525577</v>
      </c>
      <c r="C107" s="717"/>
      <c r="D107" s="627"/>
    </row>
    <row r="108" spans="1:8" x14ac:dyDescent="0.25">
      <c r="A108" s="600" t="s">
        <v>1522</v>
      </c>
      <c r="B108" s="686"/>
      <c r="C108" s="687"/>
      <c r="D108" s="627"/>
    </row>
    <row r="109" spans="1:8" x14ac:dyDescent="0.25">
      <c r="A109" s="602" t="s">
        <v>1524</v>
      </c>
      <c r="B109" s="695">
        <f>IF(AND(B103/1000&gt;=0,B103/1000&lt;=8),1000*32000*(B103/1000)^0.58, "Relacao MVA/rpm fora da validade do grafico B16.")</f>
        <v>72621299.540753737</v>
      </c>
      <c r="C109" s="696"/>
      <c r="D109" s="627"/>
    </row>
    <row r="110" spans="1:8" x14ac:dyDescent="0.25">
      <c r="A110" s="653"/>
      <c r="B110" s="653"/>
      <c r="C110" s="653"/>
      <c r="D110" s="627"/>
      <c r="E110" s="552"/>
    </row>
    <row r="111" spans="1:8" x14ac:dyDescent="0.25">
      <c r="A111" s="598" t="s">
        <v>1388</v>
      </c>
      <c r="B111" s="606"/>
      <c r="C111" s="606"/>
      <c r="E111" s="552"/>
    </row>
    <row r="112" spans="1:8" x14ac:dyDescent="0.25">
      <c r="A112" s="606"/>
      <c r="B112" s="606"/>
      <c r="C112" s="606"/>
      <c r="E112" s="552"/>
      <c r="G112" s="607" t="s">
        <v>1086</v>
      </c>
      <c r="H112" s="607" t="s">
        <v>1060</v>
      </c>
    </row>
    <row r="113" spans="1:8" x14ac:dyDescent="0.25">
      <c r="A113" s="600" t="s">
        <v>1231</v>
      </c>
      <c r="B113" s="606"/>
      <c r="C113" s="606"/>
      <c r="E113" s="552"/>
      <c r="G113" s="609" t="s">
        <v>1089</v>
      </c>
      <c r="H113" s="609" t="s">
        <v>190</v>
      </c>
    </row>
    <row r="114" spans="1:8" x14ac:dyDescent="0.25">
      <c r="A114" s="600" t="s">
        <v>1227</v>
      </c>
      <c r="B114" s="606"/>
      <c r="C114" s="606"/>
      <c r="E114" s="552"/>
      <c r="G114" s="593">
        <v>5</v>
      </c>
      <c r="H114" s="594">
        <f>8.053996037+0.500809115*B115</f>
        <v>379.21826115196166</v>
      </c>
    </row>
    <row r="115" spans="1:8" x14ac:dyDescent="0.25">
      <c r="A115" s="602" t="s">
        <v>1223</v>
      </c>
      <c r="B115" s="701">
        <f>1.05*B105</f>
        <v>741.12921270404922</v>
      </c>
      <c r="C115" s="701"/>
      <c r="E115" s="552"/>
      <c r="G115" s="593">
        <v>10</v>
      </c>
      <c r="H115" s="594">
        <f>5.60006605+0.569848085*B115</f>
        <v>427.93112864696008</v>
      </c>
    </row>
    <row r="116" spans="1:8" x14ac:dyDescent="0.25">
      <c r="A116" s="602" t="s">
        <v>1224</v>
      </c>
      <c r="B116" s="701">
        <f>B85-2*(0.5+0.02*B85)</f>
        <v>26.126720808410749</v>
      </c>
      <c r="C116" s="701"/>
      <c r="E116" s="552"/>
      <c r="G116" s="593">
        <v>15</v>
      </c>
      <c r="H116" s="594">
        <f>7.432298547+0.630713342*B115</f>
        <v>474.87238114539974</v>
      </c>
    </row>
    <row r="117" spans="1:8" x14ac:dyDescent="0.25">
      <c r="A117" s="600" t="s">
        <v>1060</v>
      </c>
      <c r="B117" s="606"/>
      <c r="C117" s="606"/>
      <c r="E117" s="552"/>
      <c r="G117" s="593">
        <v>20</v>
      </c>
      <c r="H117" s="594">
        <f>8.307959049+0.691964188*B115</f>
        <v>521.14283292083678</v>
      </c>
    </row>
    <row r="118" spans="1:8" x14ac:dyDescent="0.25">
      <c r="A118" s="602" t="s">
        <v>1322</v>
      </c>
      <c r="B118" s="713">
        <f>(VLOOKUP(B116+5,G114:H120,2)-VLOOKUP(B116,G114:H120,2))*(B116-(VLOOKUP(B116,G114:H120,1)))/5+VLOOKUP(B116,G114:H120,2)</f>
        <v>569.62581875756359</v>
      </c>
      <c r="C118" s="713"/>
      <c r="E118" s="552"/>
      <c r="G118" s="593">
        <v>25</v>
      </c>
      <c r="H118" s="594">
        <f>11.40042933+0.74151255*B115</f>
        <v>560.95704172167189</v>
      </c>
    </row>
    <row r="119" spans="1:8" x14ac:dyDescent="0.25">
      <c r="A119" s="600" t="s">
        <v>1522</v>
      </c>
      <c r="B119" s="686"/>
      <c r="C119" s="687"/>
      <c r="E119" s="552"/>
      <c r="G119" s="593">
        <v>30</v>
      </c>
      <c r="H119" s="594">
        <f>15.01585205+0.788540291*B115</f>
        <v>599.42609710425188</v>
      </c>
    </row>
    <row r="120" spans="1:8" x14ac:dyDescent="0.25">
      <c r="A120" s="602" t="s">
        <v>1524</v>
      </c>
      <c r="B120" s="695">
        <f>IF(AND(B103&gt;=22,B103&lt;=11100),1000*25.12*B103^0.6961,"Relacao kVA/rpm fora da faixa de validade do Grafico B17.")</f>
        <v>8231478.4408903569</v>
      </c>
      <c r="C120" s="696"/>
      <c r="E120" s="552"/>
      <c r="G120" s="593">
        <v>35</v>
      </c>
      <c r="H120" s="594">
        <f>16.01304491+0.844996697*B115</f>
        <v>642.264781695132</v>
      </c>
    </row>
    <row r="121" spans="1:8" x14ac:dyDescent="0.25">
      <c r="A121" s="654"/>
      <c r="B121" s="606"/>
      <c r="C121" s="606"/>
      <c r="E121" s="552"/>
    </row>
    <row r="122" spans="1:8" x14ac:dyDescent="0.25">
      <c r="A122" s="600" t="s">
        <v>1389</v>
      </c>
      <c r="B122" s="606"/>
      <c r="C122" s="606"/>
      <c r="D122" s="552"/>
      <c r="E122" s="552"/>
    </row>
    <row r="123" spans="1:8" x14ac:dyDescent="0.25">
      <c r="A123" s="608"/>
      <c r="B123" s="608"/>
      <c r="C123" s="608"/>
      <c r="D123" s="552"/>
      <c r="E123" s="552"/>
    </row>
    <row r="124" spans="1:8" x14ac:dyDescent="0.25">
      <c r="A124" s="600" t="s">
        <v>1058</v>
      </c>
      <c r="B124" s="608"/>
      <c r="C124" s="608"/>
      <c r="D124" s="552"/>
      <c r="E124" s="552"/>
    </row>
    <row r="125" spans="1:8" x14ac:dyDescent="0.25">
      <c r="A125" s="602" t="s">
        <v>1207</v>
      </c>
      <c r="B125" s="715"/>
      <c r="C125" s="716"/>
      <c r="D125" s="552"/>
    </row>
    <row r="126" spans="1:8" x14ac:dyDescent="0.25">
      <c r="A126" s="602" t="s">
        <v>1208</v>
      </c>
      <c r="B126" s="701">
        <f>iohsrf2!B36</f>
        <v>1408</v>
      </c>
      <c r="C126" s="701"/>
      <c r="D126" s="655" t="s">
        <v>1214</v>
      </c>
    </row>
    <row r="127" spans="1:8" x14ac:dyDescent="0.25">
      <c r="A127" s="602" t="s">
        <v>1209</v>
      </c>
      <c r="B127" s="701"/>
      <c r="C127" s="701"/>
      <c r="D127" s="552"/>
    </row>
    <row r="128" spans="1:8" x14ac:dyDescent="0.25">
      <c r="A128" s="602" t="s">
        <v>1210</v>
      </c>
      <c r="B128" s="701">
        <f>B126+1</f>
        <v>1409</v>
      </c>
      <c r="C128" s="701"/>
      <c r="D128" s="655" t="s">
        <v>1214</v>
      </c>
    </row>
    <row r="129" spans="1:9" x14ac:dyDescent="0.25">
      <c r="A129" s="602" t="s">
        <v>1211</v>
      </c>
      <c r="B129" s="701">
        <f>B34-B56+B61/6</f>
        <v>1365.1366114155105</v>
      </c>
      <c r="C129" s="701"/>
      <c r="D129" s="552"/>
    </row>
    <row r="130" spans="1:9" x14ac:dyDescent="0.25">
      <c r="A130" s="600" t="s">
        <v>1073</v>
      </c>
      <c r="B130" s="608"/>
      <c r="C130" s="656"/>
    </row>
    <row r="131" spans="1:9" ht="18" x14ac:dyDescent="0.25">
      <c r="A131" s="651" t="s">
        <v>1520</v>
      </c>
      <c r="B131" s="701">
        <f>B65</f>
        <v>12.348296620644673</v>
      </c>
      <c r="C131" s="701"/>
      <c r="D131" s="627" t="s">
        <v>1216</v>
      </c>
    </row>
    <row r="132" spans="1:9" ht="18" x14ac:dyDescent="0.25">
      <c r="A132" s="651" t="s">
        <v>1519</v>
      </c>
      <c r="B132" s="701">
        <f>B60</f>
        <v>7.565944840518708</v>
      </c>
      <c r="C132" s="701"/>
      <c r="D132" s="627" t="s">
        <v>712</v>
      </c>
    </row>
    <row r="133" spans="1:9" x14ac:dyDescent="0.25">
      <c r="A133" s="682"/>
      <c r="B133" s="662"/>
      <c r="C133" s="662"/>
      <c r="D133" s="627"/>
      <c r="E133" s="552"/>
    </row>
    <row r="134" spans="1:9" ht="18.75" x14ac:dyDescent="0.35">
      <c r="A134" s="600" t="s">
        <v>1521</v>
      </c>
      <c r="B134" s="714">
        <f>B131^2*B132*(B126-B129)/1000</f>
        <v>49.449713365275116</v>
      </c>
      <c r="C134" s="714"/>
      <c r="D134" s="5"/>
      <c r="E134" s="552"/>
    </row>
    <row r="135" spans="1:9" x14ac:dyDescent="0.25">
      <c r="A135" s="769"/>
      <c r="B135" s="772"/>
      <c r="C135" s="772"/>
      <c r="D135" s="5"/>
      <c r="E135" s="552"/>
    </row>
    <row r="136" spans="1:9" x14ac:dyDescent="0.25">
      <c r="A136" s="600" t="s">
        <v>1522</v>
      </c>
      <c r="B136" s="683"/>
      <c r="C136" s="772"/>
      <c r="D136" s="5"/>
      <c r="E136" s="552"/>
    </row>
    <row r="137" spans="1:9" x14ac:dyDescent="0.25">
      <c r="A137" s="602" t="s">
        <v>1528</v>
      </c>
      <c r="B137" s="773">
        <f>2*B63*B10*((B126-B129)+2)*2084.8</f>
        <v>748249.54016754951</v>
      </c>
      <c r="C137" s="773"/>
      <c r="D137" s="5"/>
      <c r="E137" s="552"/>
    </row>
    <row r="138" spans="1:9" x14ac:dyDescent="0.25">
      <c r="A138" s="652"/>
      <c r="B138" s="652"/>
      <c r="C138" s="652"/>
      <c r="D138" s="627"/>
    </row>
    <row r="139" spans="1:9" x14ac:dyDescent="0.25">
      <c r="A139" s="600" t="s">
        <v>1206</v>
      </c>
      <c r="B139" s="606"/>
      <c r="C139" s="606"/>
    </row>
    <row r="140" spans="1:9" x14ac:dyDescent="0.25">
      <c r="A140" s="600" t="s">
        <v>1232</v>
      </c>
      <c r="B140" s="713">
        <f>IF(B10&gt;10,3*B63,2*B63)</f>
        <v>4</v>
      </c>
      <c r="C140" s="713"/>
      <c r="I140" s="552"/>
    </row>
    <row r="141" spans="1:9" x14ac:dyDescent="0.25">
      <c r="A141" s="600" t="s">
        <v>1218</v>
      </c>
      <c r="B141" s="712">
        <v>2</v>
      </c>
      <c r="C141" s="712"/>
      <c r="D141" s="627" t="s">
        <v>1166</v>
      </c>
      <c r="I141" s="552"/>
    </row>
    <row r="142" spans="1:9" x14ac:dyDescent="0.25">
      <c r="A142" s="600" t="s">
        <v>1215</v>
      </c>
      <c r="B142" s="713">
        <f>TRUNC(B132/B141)+1</f>
        <v>4</v>
      </c>
      <c r="C142" s="713"/>
      <c r="I142" s="552"/>
    </row>
    <row r="143" spans="1:9" x14ac:dyDescent="0.25">
      <c r="A143" s="600" t="s">
        <v>1217</v>
      </c>
      <c r="B143" s="608"/>
      <c r="C143" s="608"/>
      <c r="I143" s="552"/>
    </row>
    <row r="144" spans="1:9" x14ac:dyDescent="0.25">
      <c r="A144" s="602" t="s">
        <v>1219</v>
      </c>
      <c r="B144" s="701"/>
      <c r="C144" s="701"/>
      <c r="I144" s="552"/>
    </row>
    <row r="145" spans="1:11" x14ac:dyDescent="0.25">
      <c r="A145" s="602" t="s">
        <v>1220</v>
      </c>
      <c r="B145" s="701">
        <f>B128-B129+1.5</f>
        <v>45.363388584489485</v>
      </c>
      <c r="C145" s="701"/>
      <c r="I145" s="552"/>
    </row>
    <row r="146" spans="1:11" x14ac:dyDescent="0.25">
      <c r="A146" s="600" t="s">
        <v>1221</v>
      </c>
      <c r="B146" s="608"/>
      <c r="C146" s="608"/>
      <c r="I146" s="552"/>
    </row>
    <row r="147" spans="1:11" x14ac:dyDescent="0.25">
      <c r="A147" s="602" t="s">
        <v>1311</v>
      </c>
      <c r="B147" s="701">
        <f>B132+0.5</f>
        <v>8.0659448405187071</v>
      </c>
      <c r="C147" s="701"/>
      <c r="I147" s="552"/>
    </row>
    <row r="148" spans="1:11" x14ac:dyDescent="0.25">
      <c r="A148" s="602" t="s">
        <v>1312</v>
      </c>
      <c r="B148" s="701">
        <f>((B149)-(B147/2))</f>
        <v>38.83041616423013</v>
      </c>
      <c r="C148" s="701"/>
      <c r="I148" s="552"/>
    </row>
    <row r="149" spans="1:11" x14ac:dyDescent="0.25">
      <c r="A149" s="602" t="s">
        <v>1313</v>
      </c>
      <c r="B149" s="701">
        <f>B126-B129</f>
        <v>42.863388584489485</v>
      </c>
      <c r="C149" s="701"/>
      <c r="I149" s="552"/>
    </row>
    <row r="150" spans="1:11" x14ac:dyDescent="0.25">
      <c r="A150" s="600" t="s">
        <v>1222</v>
      </c>
      <c r="B150" s="608"/>
      <c r="C150" s="608"/>
      <c r="G150" s="610"/>
      <c r="H150" s="610"/>
      <c r="I150" s="552"/>
    </row>
    <row r="151" spans="1:11" x14ac:dyDescent="0.25">
      <c r="A151" s="602" t="s">
        <v>1314</v>
      </c>
      <c r="B151" s="701">
        <f>(B131+0.4)</f>
        <v>12.748296620644673</v>
      </c>
      <c r="C151" s="701"/>
    </row>
    <row r="152" spans="1:11" x14ac:dyDescent="0.25">
      <c r="A152" s="600" t="s">
        <v>1060</v>
      </c>
      <c r="B152" s="608"/>
      <c r="C152" s="608"/>
    </row>
    <row r="153" spans="1:11" x14ac:dyDescent="0.25">
      <c r="A153" s="602" t="s">
        <v>1315</v>
      </c>
      <c r="B153" s="712">
        <f>((100*((2*B151)+(B145)))+(((B149)^2)*(B151^2)*B147*0.005))/(1000)</f>
        <v>19.128107755363722</v>
      </c>
      <c r="C153" s="712"/>
      <c r="E153" s="552"/>
    </row>
    <row r="154" spans="1:11" x14ac:dyDescent="0.25">
      <c r="A154" s="602" t="s">
        <v>1316</v>
      </c>
      <c r="B154" s="712">
        <f>((B147*B151/1000)*(((B148^0.5)*30.074)+((19.989+(1.113*B148))*B151)))</f>
        <v>102.12661026180729</v>
      </c>
      <c r="C154" s="712"/>
      <c r="E154" s="552"/>
    </row>
    <row r="155" spans="1:11" x14ac:dyDescent="0.25">
      <c r="A155" s="602" t="s">
        <v>1317</v>
      </c>
      <c r="B155" s="712">
        <f>B154/B142</f>
        <v>25.531652565451822</v>
      </c>
      <c r="C155" s="712"/>
    </row>
    <row r="156" spans="1:11" x14ac:dyDescent="0.25">
      <c r="A156" s="600" t="s">
        <v>1522</v>
      </c>
      <c r="B156" s="686"/>
      <c r="C156" s="687"/>
    </row>
    <row r="157" spans="1:11" x14ac:dyDescent="0.25">
      <c r="A157" s="602" t="s">
        <v>1525</v>
      </c>
      <c r="B157" s="697">
        <f>ROUND(0.4999999+B134/54.5,0)</f>
        <v>1</v>
      </c>
      <c r="C157" s="698"/>
    </row>
    <row r="158" spans="1:11" ht="18.75" x14ac:dyDescent="0.35">
      <c r="A158" s="602" t="s">
        <v>1523</v>
      </c>
      <c r="B158" s="699">
        <f>B134/B157</f>
        <v>49.449713365275116</v>
      </c>
      <c r="C158" s="700"/>
    </row>
    <row r="159" spans="1:11" x14ac:dyDescent="0.25">
      <c r="A159" s="602" t="s">
        <v>1524</v>
      </c>
      <c r="B159" s="695">
        <f>IF(AND(B158&gt;=0.16,B158&lt;=54.5),1000*72.9*B158^0.716,"Fora da faixa de variacao da curva!")</f>
        <v>1190553.1646202216</v>
      </c>
      <c r="C159" s="696"/>
    </row>
    <row r="160" spans="1:11" x14ac:dyDescent="0.25">
      <c r="A160" s="606"/>
      <c r="B160" s="606"/>
      <c r="C160" s="606"/>
      <c r="G160" s="607" t="s">
        <v>1083</v>
      </c>
      <c r="H160" s="552"/>
      <c r="I160" s="552"/>
      <c r="J160" s="607" t="s">
        <v>1084</v>
      </c>
      <c r="K160" s="607"/>
    </row>
    <row r="161" spans="1:11" x14ac:dyDescent="0.25">
      <c r="A161" s="600" t="s">
        <v>1226</v>
      </c>
      <c r="B161" s="606"/>
      <c r="C161" s="606"/>
      <c r="G161" s="607" t="s">
        <v>1086</v>
      </c>
      <c r="H161" s="607" t="s">
        <v>1060</v>
      </c>
      <c r="I161" s="552"/>
      <c r="J161" s="607" t="s">
        <v>8</v>
      </c>
      <c r="K161" s="607" t="s">
        <v>1060</v>
      </c>
    </row>
    <row r="162" spans="1:11" x14ac:dyDescent="0.25">
      <c r="A162" s="600" t="s">
        <v>1227</v>
      </c>
      <c r="B162" s="608"/>
      <c r="C162" s="608"/>
      <c r="D162" s="552"/>
      <c r="G162" s="609" t="s">
        <v>1089</v>
      </c>
      <c r="H162" s="609" t="s">
        <v>190</v>
      </c>
      <c r="J162" s="609" t="s">
        <v>1089</v>
      </c>
      <c r="K162" s="609" t="s">
        <v>190</v>
      </c>
    </row>
    <row r="163" spans="1:11" x14ac:dyDescent="0.25">
      <c r="A163" s="602" t="s">
        <v>1223</v>
      </c>
      <c r="B163" s="712">
        <f>1.1*B155</f>
        <v>28.084817821997007</v>
      </c>
      <c r="C163" s="712"/>
      <c r="D163" s="552"/>
      <c r="G163" s="593">
        <v>5</v>
      </c>
      <c r="H163" s="594">
        <f>8.053996037+0.500809115*B163</f>
        <v>22.11912879537055</v>
      </c>
      <c r="J163" s="593">
        <v>5</v>
      </c>
      <c r="K163" s="594">
        <f>-0.018874907+0.250814212*B163</f>
        <v>7.0251965441877351</v>
      </c>
    </row>
    <row r="164" spans="1:11" x14ac:dyDescent="0.25">
      <c r="A164" s="602" t="s">
        <v>1224</v>
      </c>
      <c r="B164" s="712">
        <v>5</v>
      </c>
      <c r="C164" s="712"/>
      <c r="D164" s="552" t="s">
        <v>1088</v>
      </c>
      <c r="G164" s="593">
        <v>10</v>
      </c>
      <c r="H164" s="594">
        <f>5.60006605+0.569848085*B163</f>
        <v>21.604145703438864</v>
      </c>
      <c r="J164" s="593">
        <v>6</v>
      </c>
      <c r="K164" s="594">
        <f>-0.165278806+0.300675426*B163</f>
        <v>8.2791357567613435</v>
      </c>
    </row>
    <row r="165" spans="1:11" x14ac:dyDescent="0.25">
      <c r="A165" s="602" t="s">
        <v>1225</v>
      </c>
      <c r="B165" s="712">
        <v>5</v>
      </c>
      <c r="C165" s="712"/>
      <c r="D165" s="552" t="s">
        <v>1088</v>
      </c>
      <c r="G165" s="593">
        <v>15</v>
      </c>
      <c r="H165" s="594">
        <f>7.432298547+0.630713342*B163</f>
        <v>25.145767854972895</v>
      </c>
      <c r="J165" s="593">
        <v>7</v>
      </c>
      <c r="K165" s="594">
        <f>-0.143628177+0.35121065*B163</f>
        <v>9.720058945395154</v>
      </c>
    </row>
    <row r="166" spans="1:11" x14ac:dyDescent="0.25">
      <c r="A166" s="600" t="s">
        <v>1060</v>
      </c>
      <c r="B166" s="608"/>
      <c r="C166" s="606"/>
      <c r="G166" s="593">
        <v>20</v>
      </c>
      <c r="H166" s="594">
        <f>8.307959049+0.691964188*B163</f>
        <v>27.741647208326089</v>
      </c>
      <c r="J166" s="593">
        <v>8</v>
      </c>
      <c r="K166" s="594">
        <f>-0.4215396+0.401517395*B163</f>
        <v>10.855003290937812</v>
      </c>
    </row>
    <row r="167" spans="1:11" x14ac:dyDescent="0.25">
      <c r="A167" s="602" t="s">
        <v>1229</v>
      </c>
      <c r="B167" s="712">
        <f>(VLOOKUP(B164+5,G163:H169,2)-VLOOKUP(B164,G163:H169,2))*(B164-(VLOOKUP(B164,G163:H169,1)))/5+VLOOKUP(B164,G163:H169,2)</f>
        <v>22.11912879537055</v>
      </c>
      <c r="C167" s="712"/>
      <c r="G167" s="593">
        <v>25</v>
      </c>
      <c r="H167" s="594">
        <f>11.40042933+0.74151255*B163</f>
        <v>32.225674209474448</v>
      </c>
      <c r="J167" s="593">
        <v>9</v>
      </c>
      <c r="K167" s="594">
        <f>-0.302152726+0.451841229*B163</f>
        <v>12.387725874932231</v>
      </c>
    </row>
    <row r="168" spans="1:11" x14ac:dyDescent="0.25">
      <c r="A168" s="602" t="s">
        <v>1230</v>
      </c>
      <c r="B168" s="712">
        <f>(VLOOKUP(B165+5,J163:K173,2)-VLOOKUP(B165,J163:K173,2))*(B165-(VLOOKUP(B165,J163:K173,1)))/5+VLOOKUP(B165,J163:K173,2)</f>
        <v>7.0251965441877351</v>
      </c>
      <c r="C168" s="712"/>
      <c r="G168" s="593">
        <v>30</v>
      </c>
      <c r="H168" s="594">
        <f>15.01585205+0.788540291*B163</f>
        <v>37.161862468039502</v>
      </c>
      <c r="J168" s="593">
        <v>10</v>
      </c>
      <c r="K168" s="594">
        <f>-0.4215396+0.501517395*B163</f>
        <v>13.663485073137512</v>
      </c>
    </row>
    <row r="169" spans="1:11" x14ac:dyDescent="0.25">
      <c r="A169" s="600" t="s">
        <v>1522</v>
      </c>
      <c r="B169" s="686"/>
      <c r="C169" s="687"/>
      <c r="G169" s="593">
        <v>35</v>
      </c>
      <c r="H169" s="594">
        <f>16.01304491+0.844996697*B163</f>
        <v>39.744623205434209</v>
      </c>
      <c r="J169" s="593">
        <v>11</v>
      </c>
      <c r="K169" s="594">
        <f>-0.544905009+0.552590674*B163</f>
        <v>14.974503400424537</v>
      </c>
    </row>
    <row r="170" spans="1:11" x14ac:dyDescent="0.25">
      <c r="A170" s="602" t="s">
        <v>1524</v>
      </c>
      <c r="B170" s="695">
        <f>IF(AND(B103&gt;=22,B103&lt;=11100),1000*(59.506*B103^0.6621),"Fora da validade da curva! ERRO!")</f>
        <v>14694507.726205692</v>
      </c>
      <c r="C170" s="696"/>
      <c r="J170" s="593">
        <v>12</v>
      </c>
      <c r="K170" s="594">
        <f>-0.704817419+0.602544412*B163</f>
        <v>16.217532621682306</v>
      </c>
    </row>
    <row r="171" spans="1:11" x14ac:dyDescent="0.25">
      <c r="J171" s="593">
        <v>13</v>
      </c>
      <c r="K171" s="594">
        <f>-0.828182828+0.653617691*B163</f>
        <v>17.528550948969333</v>
      </c>
    </row>
    <row r="172" spans="1:11" x14ac:dyDescent="0.25">
      <c r="A172" s="600" t="s">
        <v>1522</v>
      </c>
      <c r="B172" s="686"/>
      <c r="C172" s="687"/>
      <c r="J172" s="593">
        <v>14</v>
      </c>
      <c r="K172" s="594">
        <f>-0.559801382+0.702007772*B163</f>
        <v>19.155959004246011</v>
      </c>
    </row>
    <row r="173" spans="1:11" x14ac:dyDescent="0.25">
      <c r="A173" s="602" t="s">
        <v>1566</v>
      </c>
      <c r="B173" s="695">
        <f>IF(AND((MAX(G11,H11)*B10/1000)&gt;=30),1565*MAX(G11,H11)*B10/1000+772973,1565*30+772973)</f>
        <v>2285128.8441558443</v>
      </c>
      <c r="C173" s="696"/>
      <c r="J173" s="593">
        <v>15</v>
      </c>
      <c r="K173" s="594">
        <f>-0.68316679+0.753081051*B163</f>
        <v>20.466977332533034</v>
      </c>
    </row>
    <row r="174" spans="1:11" x14ac:dyDescent="0.25">
      <c r="A174" s="602" t="s">
        <v>1567</v>
      </c>
      <c r="B174" s="695">
        <f>IF(AND(MAX(G11,H11)*B10/1000&gt;=30),6190*(MAX(G11,H11)*B10/1000)^(1+15.34/(MAX(G11,H11)*B10/1000)),6190*30^(1+15.34/30))</f>
        <v>6670590.0180888688</v>
      </c>
      <c r="C174" s="696"/>
    </row>
  </sheetData>
  <mergeCells count="106">
    <mergeCell ref="B173:C173"/>
    <mergeCell ref="B174:C174"/>
    <mergeCell ref="B95:C95"/>
    <mergeCell ref="B68:C68"/>
    <mergeCell ref="B10:C10"/>
    <mergeCell ref="B41:C41"/>
    <mergeCell ref="B42:C42"/>
    <mergeCell ref="B43:C43"/>
    <mergeCell ref="B45:C45"/>
    <mergeCell ref="B94:C94"/>
    <mergeCell ref="B89:C89"/>
    <mergeCell ref="B90:C90"/>
    <mergeCell ref="B91:C91"/>
    <mergeCell ref="B92:C92"/>
    <mergeCell ref="B93:C93"/>
    <mergeCell ref="G16:G18"/>
    <mergeCell ref="H16:K18"/>
    <mergeCell ref="J19:K19"/>
    <mergeCell ref="H19:I19"/>
    <mergeCell ref="B40:C40"/>
    <mergeCell ref="B61:C61"/>
    <mergeCell ref="B70:C70"/>
    <mergeCell ref="B46:C46"/>
    <mergeCell ref="B47:C47"/>
    <mergeCell ref="B48:C48"/>
    <mergeCell ref="B56:C56"/>
    <mergeCell ref="B57:C57"/>
    <mergeCell ref="B58:C58"/>
    <mergeCell ref="B59:C59"/>
    <mergeCell ref="B60:C60"/>
    <mergeCell ref="B125:C125"/>
    <mergeCell ref="B127:C127"/>
    <mergeCell ref="B102:C102"/>
    <mergeCell ref="B101:C101"/>
    <mergeCell ref="B105:C105"/>
    <mergeCell ref="B106:C106"/>
    <mergeCell ref="B107:C107"/>
    <mergeCell ref="B115:C115"/>
    <mergeCell ref="B116:C116"/>
    <mergeCell ref="B118:C118"/>
    <mergeCell ref="B129:C129"/>
    <mergeCell ref="B131:C131"/>
    <mergeCell ref="B132:C132"/>
    <mergeCell ref="B141:C141"/>
    <mergeCell ref="B126:C126"/>
    <mergeCell ref="B128:C128"/>
    <mergeCell ref="B140:C140"/>
    <mergeCell ref="B134:C134"/>
    <mergeCell ref="B137:C137"/>
    <mergeCell ref="B151:C151"/>
    <mergeCell ref="B153:C153"/>
    <mergeCell ref="B154:C154"/>
    <mergeCell ref="B155:C155"/>
    <mergeCell ref="B142:C142"/>
    <mergeCell ref="B144:C144"/>
    <mergeCell ref="B145:C145"/>
    <mergeCell ref="B147:C147"/>
    <mergeCell ref="B148:C148"/>
    <mergeCell ref="B9:C9"/>
    <mergeCell ref="B63:C63"/>
    <mergeCell ref="B82:C82"/>
    <mergeCell ref="B83:C83"/>
    <mergeCell ref="B84:C84"/>
    <mergeCell ref="B12:C12"/>
    <mergeCell ref="B17:C17"/>
    <mergeCell ref="B65:C65"/>
    <mergeCell ref="B66:C66"/>
    <mergeCell ref="B67:C67"/>
    <mergeCell ref="B62:C62"/>
    <mergeCell ref="B64:C64"/>
    <mergeCell ref="B19:C19"/>
    <mergeCell ref="B24:C24"/>
    <mergeCell ref="B20:C20"/>
    <mergeCell ref="B33:C33"/>
    <mergeCell ref="B34:C34"/>
    <mergeCell ref="B78:C78"/>
    <mergeCell ref="B79:C79"/>
    <mergeCell ref="B80:C80"/>
    <mergeCell ref="B81:C81"/>
    <mergeCell ref="B49:C49"/>
    <mergeCell ref="B36:C36"/>
    <mergeCell ref="B35:C35"/>
    <mergeCell ref="B50:C50"/>
    <mergeCell ref="B51:C51"/>
    <mergeCell ref="B52:C52"/>
    <mergeCell ref="B53:C53"/>
    <mergeCell ref="B54:C54"/>
    <mergeCell ref="B55:C55"/>
    <mergeCell ref="B44:C44"/>
    <mergeCell ref="B71:C71"/>
    <mergeCell ref="B170:C170"/>
    <mergeCell ref="B109:C109"/>
    <mergeCell ref="B74:C74"/>
    <mergeCell ref="B73:C73"/>
    <mergeCell ref="B157:C157"/>
    <mergeCell ref="B158:C158"/>
    <mergeCell ref="B159:C159"/>
    <mergeCell ref="B103:C103"/>
    <mergeCell ref="B120:C120"/>
    <mergeCell ref="B85:C85"/>
    <mergeCell ref="B163:C163"/>
    <mergeCell ref="B164:C164"/>
    <mergeCell ref="B165:C165"/>
    <mergeCell ref="B167:C167"/>
    <mergeCell ref="B168:C168"/>
    <mergeCell ref="B149:C149"/>
  </mergeCells>
  <phoneticPr fontId="94" type="noConversion"/>
  <pageMargins left="0.78740157499999996" right="0.78740157499999996" top="0.984251969" bottom="0.984251969" header="0.49212598499999999" footer="0.49212598499999999"/>
  <pageSetup paperSize="9" scale="6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9457" r:id="rId4">
          <objectPr defaultSize="0" autoPict="0" r:id="rId5">
            <anchor moveWithCells="1">
              <from>
                <xdr:col>3</xdr:col>
                <xdr:colOff>47625</xdr:colOff>
                <xdr:row>44</xdr:row>
                <xdr:rowOff>0</xdr:rowOff>
              </from>
              <to>
                <xdr:col>3</xdr:col>
                <xdr:colOff>3533775</xdr:colOff>
                <xdr:row>67</xdr:row>
                <xdr:rowOff>161925</xdr:rowOff>
              </to>
            </anchor>
          </objectPr>
        </oleObject>
      </mc:Choice>
      <mc:Fallback>
        <oleObject progId="Paint.Picture" shapeId="19457" r:id="rId4"/>
      </mc:Fallback>
    </mc:AlternateContent>
    <mc:AlternateContent xmlns:mc="http://schemas.openxmlformats.org/markup-compatibility/2006">
      <mc:Choice Requires="x14">
        <oleObject progId="Paint.Picture" shapeId="19458" r:id="rId6">
          <objectPr defaultSize="0" autoPict="0" r:id="rId7">
            <anchor moveWithCells="1">
              <from>
                <xdr:col>3</xdr:col>
                <xdr:colOff>1752600</xdr:colOff>
                <xdr:row>38</xdr:row>
                <xdr:rowOff>133350</xdr:rowOff>
              </from>
              <to>
                <xdr:col>3</xdr:col>
                <xdr:colOff>3562350</xdr:colOff>
                <xdr:row>44</xdr:row>
                <xdr:rowOff>28575</xdr:rowOff>
              </to>
            </anchor>
          </objectPr>
        </oleObject>
      </mc:Choice>
      <mc:Fallback>
        <oleObject progId="Paint.Picture" shapeId="19458" r:id="rId6"/>
      </mc:Fallback>
    </mc:AlternateContent>
    <mc:AlternateContent xmlns:mc="http://schemas.openxmlformats.org/markup-compatibility/2006">
      <mc:Choice Requires="x14">
        <oleObject progId="Paint.Picture" shapeId="19459" r:id="rId8">
          <objectPr defaultSize="0" autoPict="0" r:id="rId9">
            <anchor moveWithCells="1">
              <from>
                <xdr:col>3</xdr:col>
                <xdr:colOff>19050</xdr:colOff>
                <xdr:row>38</xdr:row>
                <xdr:rowOff>57150</xdr:rowOff>
              </from>
              <to>
                <xdr:col>3</xdr:col>
                <xdr:colOff>1819275</xdr:colOff>
                <xdr:row>45</xdr:row>
                <xdr:rowOff>9525</xdr:rowOff>
              </to>
            </anchor>
          </objectPr>
        </oleObject>
      </mc:Choice>
      <mc:Fallback>
        <oleObject progId="Paint.Picture" shapeId="19459" r:id="rId8"/>
      </mc:Fallback>
    </mc:AlternateContent>
    <mc:AlternateContent xmlns:mc="http://schemas.openxmlformats.org/markup-compatibility/2006">
      <mc:Choice Requires="x14">
        <oleObject progId="Equation.2" shapeId="19460" r:id="rId10">
          <objectPr defaultSize="0" autoLine="0" autoPict="0" r:id="rId11">
            <anchor moveWithCells="1">
              <from>
                <xdr:col>3</xdr:col>
                <xdr:colOff>38100</xdr:colOff>
                <xdr:row>76</xdr:row>
                <xdr:rowOff>47625</xdr:rowOff>
              </from>
              <to>
                <xdr:col>3</xdr:col>
                <xdr:colOff>2171700</xdr:colOff>
                <xdr:row>77</xdr:row>
                <xdr:rowOff>142875</xdr:rowOff>
              </to>
            </anchor>
          </objectPr>
        </oleObject>
      </mc:Choice>
      <mc:Fallback>
        <oleObject progId="Equation.2" shapeId="19460" r:id="rId10"/>
      </mc:Fallback>
    </mc:AlternateContent>
    <mc:AlternateContent xmlns:mc="http://schemas.openxmlformats.org/markup-compatibility/2006">
      <mc:Choice Requires="x14">
        <oleObject progId="Equation.2" shapeId="19461" r:id="rId12">
          <objectPr defaultSize="0" autoLine="0" autoPict="0" r:id="rId13">
            <anchor moveWithCells="1">
              <from>
                <xdr:col>3</xdr:col>
                <xdr:colOff>47625</xdr:colOff>
                <xdr:row>78</xdr:row>
                <xdr:rowOff>9525</xdr:rowOff>
              </from>
              <to>
                <xdr:col>3</xdr:col>
                <xdr:colOff>1428750</xdr:colOff>
                <xdr:row>78</xdr:row>
                <xdr:rowOff>200025</xdr:rowOff>
              </to>
            </anchor>
          </objectPr>
        </oleObject>
      </mc:Choice>
      <mc:Fallback>
        <oleObject progId="Equation.2" shapeId="19461" r:id="rId12"/>
      </mc:Fallback>
    </mc:AlternateContent>
    <mc:AlternateContent xmlns:mc="http://schemas.openxmlformats.org/markup-compatibility/2006">
      <mc:Choice Requires="x14">
        <oleObject progId="Equation.2" shapeId="19462" r:id="rId14">
          <objectPr defaultSize="0" autoLine="0" autoPict="0" r:id="rId15">
            <anchor moveWithCells="1">
              <from>
                <xdr:col>3</xdr:col>
                <xdr:colOff>1504950</xdr:colOff>
                <xdr:row>77</xdr:row>
                <xdr:rowOff>95250</xdr:rowOff>
              </from>
              <to>
                <xdr:col>3</xdr:col>
                <xdr:colOff>3457575</xdr:colOff>
                <xdr:row>79</xdr:row>
                <xdr:rowOff>47625</xdr:rowOff>
              </to>
            </anchor>
          </objectPr>
        </oleObject>
      </mc:Choice>
      <mc:Fallback>
        <oleObject progId="Equation.2" shapeId="19462" r:id="rId14"/>
      </mc:Fallback>
    </mc:AlternateContent>
    <mc:AlternateContent xmlns:mc="http://schemas.openxmlformats.org/markup-compatibility/2006">
      <mc:Choice Requires="x14">
        <oleObject progId="Equation.2" shapeId="19463" r:id="rId16">
          <objectPr defaultSize="0" autoLine="0" autoPict="0" r:id="rId17">
            <anchor moveWithCells="1">
              <from>
                <xdr:col>3</xdr:col>
                <xdr:colOff>95250</xdr:colOff>
                <xdr:row>80</xdr:row>
                <xdr:rowOff>0</xdr:rowOff>
              </from>
              <to>
                <xdr:col>3</xdr:col>
                <xdr:colOff>1781175</xdr:colOff>
                <xdr:row>81</xdr:row>
                <xdr:rowOff>104775</xdr:rowOff>
              </to>
            </anchor>
          </objectPr>
        </oleObject>
      </mc:Choice>
      <mc:Fallback>
        <oleObject progId="Equation.2" shapeId="19463" r:id="rId16"/>
      </mc:Fallback>
    </mc:AlternateContent>
    <mc:AlternateContent xmlns:mc="http://schemas.openxmlformats.org/markup-compatibility/2006">
      <mc:Choice Requires="x14">
        <oleObject progId="Equation.2" shapeId="19464" r:id="rId18">
          <objectPr defaultSize="0" autoLine="0" autoPict="0" r:id="rId19">
            <anchor moveWithCells="1">
              <from>
                <xdr:col>3</xdr:col>
                <xdr:colOff>1857375</xdr:colOff>
                <xdr:row>80</xdr:row>
                <xdr:rowOff>66675</xdr:rowOff>
              </from>
              <to>
                <xdr:col>3</xdr:col>
                <xdr:colOff>3429000</xdr:colOff>
                <xdr:row>81</xdr:row>
                <xdr:rowOff>28575</xdr:rowOff>
              </to>
            </anchor>
          </objectPr>
        </oleObject>
      </mc:Choice>
      <mc:Fallback>
        <oleObject progId="Equation.2" shapeId="19464" r:id="rId18"/>
      </mc:Fallback>
    </mc:AlternateContent>
    <mc:AlternateContent xmlns:mc="http://schemas.openxmlformats.org/markup-compatibility/2006">
      <mc:Choice Requires="x14">
        <oleObject progId="Equation.2" shapeId="19465" r:id="rId20">
          <objectPr defaultSize="0" autoLine="0" autoPict="0" r:id="rId21">
            <anchor moveWithCells="1">
              <from>
                <xdr:col>3</xdr:col>
                <xdr:colOff>57150</xdr:colOff>
                <xdr:row>82</xdr:row>
                <xdr:rowOff>9525</xdr:rowOff>
              </from>
              <to>
                <xdr:col>3</xdr:col>
                <xdr:colOff>971550</xdr:colOff>
                <xdr:row>82</xdr:row>
                <xdr:rowOff>190500</xdr:rowOff>
              </to>
            </anchor>
          </objectPr>
        </oleObject>
      </mc:Choice>
      <mc:Fallback>
        <oleObject progId="Equation.2" shapeId="19465" r:id="rId20"/>
      </mc:Fallback>
    </mc:AlternateContent>
    <mc:AlternateContent xmlns:mc="http://schemas.openxmlformats.org/markup-compatibility/2006">
      <mc:Choice Requires="x14">
        <oleObject progId="Equation.2" shapeId="19466" r:id="rId22">
          <objectPr defaultSize="0" autoLine="0" autoPict="0" r:id="rId23">
            <anchor moveWithCells="1">
              <from>
                <xdr:col>3</xdr:col>
                <xdr:colOff>47625</xdr:colOff>
                <xdr:row>83</xdr:row>
                <xdr:rowOff>28575</xdr:rowOff>
              </from>
              <to>
                <xdr:col>3</xdr:col>
                <xdr:colOff>838200</xdr:colOff>
                <xdr:row>83</xdr:row>
                <xdr:rowOff>190500</xdr:rowOff>
              </to>
            </anchor>
          </objectPr>
        </oleObject>
      </mc:Choice>
      <mc:Fallback>
        <oleObject progId="Equation.2" shapeId="19466" r:id="rId22"/>
      </mc:Fallback>
    </mc:AlternateContent>
    <mc:AlternateContent xmlns:mc="http://schemas.openxmlformats.org/markup-compatibility/2006">
      <mc:Choice Requires="x14">
        <oleObject progId="Equation.2" shapeId="19467" r:id="rId24">
          <objectPr defaultSize="0" autoLine="0" autoPict="0" r:id="rId25">
            <anchor moveWithCells="1">
              <from>
                <xdr:col>3</xdr:col>
                <xdr:colOff>76200</xdr:colOff>
                <xdr:row>84</xdr:row>
                <xdr:rowOff>9525</xdr:rowOff>
              </from>
              <to>
                <xdr:col>3</xdr:col>
                <xdr:colOff>771525</xdr:colOff>
                <xdr:row>84</xdr:row>
                <xdr:rowOff>180975</xdr:rowOff>
              </to>
            </anchor>
          </objectPr>
        </oleObject>
      </mc:Choice>
      <mc:Fallback>
        <oleObject progId="Equation.2" shapeId="19467" r:id="rId24"/>
      </mc:Fallback>
    </mc:AlternateContent>
    <mc:AlternateContent xmlns:mc="http://schemas.openxmlformats.org/markup-compatibility/2006">
      <mc:Choice Requires="x14">
        <oleObject progId="Equation.2" shapeId="19468" r:id="rId26">
          <objectPr defaultSize="0" autoLine="0" autoPict="0" r:id="rId27">
            <anchor moveWithCells="1">
              <from>
                <xdr:col>3</xdr:col>
                <xdr:colOff>561975</xdr:colOff>
                <xdr:row>139</xdr:row>
                <xdr:rowOff>28575</xdr:rowOff>
              </from>
              <to>
                <xdr:col>3</xdr:col>
                <xdr:colOff>2181225</xdr:colOff>
                <xdr:row>141</xdr:row>
                <xdr:rowOff>95250</xdr:rowOff>
              </to>
            </anchor>
          </objectPr>
        </oleObject>
      </mc:Choice>
      <mc:Fallback>
        <oleObject progId="Equation.2" shapeId="19468" r:id="rId26"/>
      </mc:Fallback>
    </mc:AlternateContent>
    <mc:AlternateContent xmlns:mc="http://schemas.openxmlformats.org/markup-compatibility/2006">
      <mc:Choice Requires="x14">
        <oleObject progId="Equation.2" shapeId="19469" r:id="rId28">
          <objectPr defaultSize="0" autoLine="0" autoPict="0" r:id="rId29">
            <anchor moveWithCells="1">
              <from>
                <xdr:col>3</xdr:col>
                <xdr:colOff>57150</xdr:colOff>
                <xdr:row>88</xdr:row>
                <xdr:rowOff>9525</xdr:rowOff>
              </from>
              <to>
                <xdr:col>3</xdr:col>
                <xdr:colOff>1276350</xdr:colOff>
                <xdr:row>88</xdr:row>
                <xdr:rowOff>180975</xdr:rowOff>
              </to>
            </anchor>
          </objectPr>
        </oleObject>
      </mc:Choice>
      <mc:Fallback>
        <oleObject progId="Equation.2" shapeId="19469" r:id="rId28"/>
      </mc:Fallback>
    </mc:AlternateContent>
    <mc:AlternateContent xmlns:mc="http://schemas.openxmlformats.org/markup-compatibility/2006">
      <mc:Choice Requires="x14">
        <oleObject progId="Equation.2" shapeId="19470" r:id="rId30">
          <objectPr defaultSize="0" autoLine="0" autoPict="0" r:id="rId31">
            <anchor moveWithCells="1">
              <from>
                <xdr:col>3</xdr:col>
                <xdr:colOff>57150</xdr:colOff>
                <xdr:row>89</xdr:row>
                <xdr:rowOff>9525</xdr:rowOff>
              </from>
              <to>
                <xdr:col>3</xdr:col>
                <xdr:colOff>1266825</xdr:colOff>
                <xdr:row>89</xdr:row>
                <xdr:rowOff>180975</xdr:rowOff>
              </to>
            </anchor>
          </objectPr>
        </oleObject>
      </mc:Choice>
      <mc:Fallback>
        <oleObject progId="Equation.2" shapeId="19470" r:id="rId30"/>
      </mc:Fallback>
    </mc:AlternateContent>
    <mc:AlternateContent xmlns:mc="http://schemas.openxmlformats.org/markup-compatibility/2006">
      <mc:Choice Requires="x14">
        <oleObject progId="Equation.2" shapeId="19471" r:id="rId32">
          <objectPr defaultSize="0" autoLine="0" autoPict="0" r:id="rId33">
            <anchor moveWithCells="1">
              <from>
                <xdr:col>3</xdr:col>
                <xdr:colOff>57150</xdr:colOff>
                <xdr:row>90</xdr:row>
                <xdr:rowOff>9525</xdr:rowOff>
              </from>
              <to>
                <xdr:col>3</xdr:col>
                <xdr:colOff>1285875</xdr:colOff>
                <xdr:row>90</xdr:row>
                <xdr:rowOff>180975</xdr:rowOff>
              </to>
            </anchor>
          </objectPr>
        </oleObject>
      </mc:Choice>
      <mc:Fallback>
        <oleObject progId="Equation.2" shapeId="19471" r:id="rId32"/>
      </mc:Fallback>
    </mc:AlternateContent>
    <mc:AlternateContent xmlns:mc="http://schemas.openxmlformats.org/markup-compatibility/2006">
      <mc:Choice Requires="x14">
        <oleObject progId="Equation.2" shapeId="19472" r:id="rId34">
          <objectPr defaultSize="0" autoLine="0" autoPict="0" r:id="rId35">
            <anchor moveWithCells="1">
              <from>
                <xdr:col>3</xdr:col>
                <xdr:colOff>1438275</xdr:colOff>
                <xdr:row>90</xdr:row>
                <xdr:rowOff>47625</xdr:rowOff>
              </from>
              <to>
                <xdr:col>3</xdr:col>
                <xdr:colOff>2895600</xdr:colOff>
                <xdr:row>92</xdr:row>
                <xdr:rowOff>85725</xdr:rowOff>
              </to>
            </anchor>
          </objectPr>
        </oleObject>
      </mc:Choice>
      <mc:Fallback>
        <oleObject progId="Equation.2" shapeId="19472" r:id="rId34"/>
      </mc:Fallback>
    </mc:AlternateContent>
    <mc:AlternateContent xmlns:mc="http://schemas.openxmlformats.org/markup-compatibility/2006">
      <mc:Choice Requires="x14">
        <oleObject progId="Equation.2" shapeId="19473" r:id="rId36">
          <objectPr defaultSize="0" autoLine="0" autoPict="0" r:id="rId37">
            <anchor moveWithCells="1">
              <from>
                <xdr:col>3</xdr:col>
                <xdr:colOff>28575</xdr:colOff>
                <xdr:row>93</xdr:row>
                <xdr:rowOff>9525</xdr:rowOff>
              </from>
              <to>
                <xdr:col>3</xdr:col>
                <xdr:colOff>2581275</xdr:colOff>
                <xdr:row>93</xdr:row>
                <xdr:rowOff>200025</xdr:rowOff>
              </to>
            </anchor>
          </objectPr>
        </oleObject>
      </mc:Choice>
      <mc:Fallback>
        <oleObject progId="Equation.2" shapeId="19473" r:id="rId36"/>
      </mc:Fallback>
    </mc:AlternateContent>
    <mc:AlternateContent xmlns:mc="http://schemas.openxmlformats.org/markup-compatibility/2006">
      <mc:Choice Requires="x14">
        <oleObject progId="Equation.2" shapeId="19474" r:id="rId38">
          <objectPr defaultSize="0" autoLine="0" autoPict="0" r:id="rId39">
            <anchor moveWithCells="1">
              <from>
                <xdr:col>3</xdr:col>
                <xdr:colOff>28575</xdr:colOff>
                <xdr:row>136</xdr:row>
                <xdr:rowOff>0</xdr:rowOff>
              </from>
              <to>
                <xdr:col>3</xdr:col>
                <xdr:colOff>2228850</xdr:colOff>
                <xdr:row>137</xdr:row>
                <xdr:rowOff>9525</xdr:rowOff>
              </to>
            </anchor>
          </objectPr>
        </oleObject>
      </mc:Choice>
      <mc:Fallback>
        <oleObject progId="Equation.2" shapeId="19474" r:id="rId38"/>
      </mc:Fallback>
    </mc:AlternateContent>
    <mc:AlternateContent xmlns:mc="http://schemas.openxmlformats.org/markup-compatibility/2006">
      <mc:Choice Requires="x14">
        <oleObject progId="Equation.2" shapeId="19477" r:id="rId40">
          <objectPr defaultSize="0" autoLine="0" autoPict="0" r:id="rId41">
            <anchor moveWithCells="1">
              <from>
                <xdr:col>3</xdr:col>
                <xdr:colOff>47625</xdr:colOff>
                <xdr:row>172</xdr:row>
                <xdr:rowOff>19050</xdr:rowOff>
              </from>
              <to>
                <xdr:col>3</xdr:col>
                <xdr:colOff>2124075</xdr:colOff>
                <xdr:row>173</xdr:row>
                <xdr:rowOff>0</xdr:rowOff>
              </to>
            </anchor>
          </objectPr>
        </oleObject>
      </mc:Choice>
      <mc:Fallback>
        <oleObject progId="Equation.2" shapeId="19477" r:id="rId40"/>
      </mc:Fallback>
    </mc:AlternateContent>
    <mc:AlternateContent xmlns:mc="http://schemas.openxmlformats.org/markup-compatibility/2006">
      <mc:Choice Requires="x14">
        <oleObject progId="Equation.2" shapeId="19478" r:id="rId42">
          <objectPr defaultSize="0" autoLine="0" r:id="rId43">
            <anchor moveWithCells="1">
              <from>
                <xdr:col>3</xdr:col>
                <xdr:colOff>57150</xdr:colOff>
                <xdr:row>172</xdr:row>
                <xdr:rowOff>180975</xdr:rowOff>
              </from>
              <to>
                <xdr:col>3</xdr:col>
                <xdr:colOff>2276475</xdr:colOff>
                <xdr:row>173</xdr:row>
                <xdr:rowOff>180975</xdr:rowOff>
              </to>
            </anchor>
          </objectPr>
        </oleObject>
      </mc:Choice>
      <mc:Fallback>
        <oleObject progId="Equation.2" shapeId="19478" r:id="rId42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E76-83B5-4938-9DDC-5C5406D4E7DD}">
  <dimension ref="A1:O125"/>
  <sheetViews>
    <sheetView topLeftCell="A109" workbookViewId="0">
      <selection activeCell="D29" sqref="D29"/>
    </sheetView>
  </sheetViews>
  <sheetFormatPr defaultRowHeight="15" x14ac:dyDescent="0.25"/>
  <cols>
    <col min="1" max="1" width="65.5703125" style="446" bestFit="1" customWidth="1"/>
    <col min="2" max="2" width="11.7109375" style="466" bestFit="1" customWidth="1"/>
    <col min="3" max="3" width="2.7109375" style="446" customWidth="1"/>
    <col min="4" max="4" width="12.42578125" style="446" bestFit="1" customWidth="1"/>
    <col min="5" max="5" width="2.7109375" style="446" customWidth="1"/>
    <col min="6" max="6" width="68.42578125" style="446" bestFit="1" customWidth="1"/>
    <col min="7" max="7" width="9.140625" style="617"/>
    <col min="8" max="8" width="2.7109375" style="446" customWidth="1"/>
    <col min="9" max="9" width="12.42578125" style="446" bestFit="1" customWidth="1"/>
    <col min="10" max="10" width="2.7109375" style="446" customWidth="1"/>
    <col min="11" max="16384" width="9.140625" style="446"/>
  </cols>
  <sheetData>
    <row r="1" spans="1:9" x14ac:dyDescent="0.25">
      <c r="A1" s="595" t="s">
        <v>1595</v>
      </c>
      <c r="F1" s="660" t="s">
        <v>1263</v>
      </c>
    </row>
    <row r="3" spans="1:9" x14ac:dyDescent="0.25">
      <c r="A3" s="596" t="s">
        <v>1162</v>
      </c>
      <c r="F3" s="596" t="s">
        <v>1162</v>
      </c>
    </row>
    <row r="5" spans="1:9" ht="18" x14ac:dyDescent="0.35">
      <c r="A5" s="587" t="s">
        <v>1260</v>
      </c>
      <c r="B5" s="657">
        <f>iohsrf2!B36</f>
        <v>1408</v>
      </c>
      <c r="F5" s="619" t="s">
        <v>1399</v>
      </c>
      <c r="G5" s="618">
        <f>iohsrf2!B15-B30</f>
        <v>189.39957594983176</v>
      </c>
      <c r="I5" s="5" t="s">
        <v>1254</v>
      </c>
    </row>
    <row r="6" spans="1:9" ht="18" x14ac:dyDescent="0.35">
      <c r="A6" s="587" t="s">
        <v>1261</v>
      </c>
      <c r="B6" s="657">
        <f>iohsrf2!B37</f>
        <v>1403</v>
      </c>
      <c r="F6" s="619" t="s">
        <v>1400</v>
      </c>
      <c r="G6" s="618">
        <f>B9</f>
        <v>854.9059001951631</v>
      </c>
      <c r="I6" s="5" t="s">
        <v>1262</v>
      </c>
    </row>
    <row r="7" spans="1:9" ht="18" x14ac:dyDescent="0.35">
      <c r="A7" s="587" t="s">
        <v>1282</v>
      </c>
      <c r="B7" s="657">
        <f>iohsrf2!B38</f>
        <v>1410</v>
      </c>
      <c r="F7" s="619" t="s">
        <v>1401</v>
      </c>
      <c r="G7" s="618">
        <f>iohsrf2!B37</f>
        <v>1403</v>
      </c>
    </row>
    <row r="8" spans="1:9" ht="18" x14ac:dyDescent="0.35">
      <c r="A8" s="587" t="s">
        <v>1281</v>
      </c>
      <c r="B8" s="657">
        <f>iohsrf2!B39</f>
        <v>4</v>
      </c>
      <c r="F8" s="619" t="s">
        <v>1402</v>
      </c>
      <c r="G8" s="618">
        <v>2.4</v>
      </c>
      <c r="I8" s="5" t="s">
        <v>1289</v>
      </c>
    </row>
    <row r="9" spans="1:9" ht="18" x14ac:dyDescent="0.35">
      <c r="A9" s="587" t="s">
        <v>1400</v>
      </c>
      <c r="B9" s="618">
        <f>hsrf2pwh!B16*hsrf2pwh!B10</f>
        <v>854.9059001951631</v>
      </c>
      <c r="D9" s="5" t="s">
        <v>1262</v>
      </c>
      <c r="F9" s="619" t="s">
        <v>1256</v>
      </c>
      <c r="G9" s="618">
        <f>hsrf2pwh!B129</f>
        <v>1365.1366114155105</v>
      </c>
    </row>
    <row r="10" spans="1:9" ht="18" x14ac:dyDescent="0.35">
      <c r="A10" s="589" t="s">
        <v>1275</v>
      </c>
      <c r="B10" s="618">
        <f>G18</f>
        <v>356.21079174798462</v>
      </c>
      <c r="F10" s="619" t="s">
        <v>1257</v>
      </c>
      <c r="G10" s="618">
        <f>B25</f>
        <v>1379.4978797491588</v>
      </c>
      <c r="I10" s="5" t="s">
        <v>1258</v>
      </c>
    </row>
    <row r="11" spans="1:9" ht="18" x14ac:dyDescent="0.35">
      <c r="A11" s="587" t="s">
        <v>1264</v>
      </c>
      <c r="B11" s="618">
        <v>0.8</v>
      </c>
      <c r="F11" s="619" t="s">
        <v>1285</v>
      </c>
      <c r="G11" s="620">
        <v>3.5000000000000003E-2</v>
      </c>
      <c r="I11" s="5" t="s">
        <v>1288</v>
      </c>
    </row>
    <row r="12" spans="1:9" ht="18" x14ac:dyDescent="0.35">
      <c r="F12" s="619" t="s">
        <v>1287</v>
      </c>
      <c r="G12" s="620">
        <v>2.1999999999999999E-2</v>
      </c>
      <c r="I12" s="5" t="s">
        <v>1288</v>
      </c>
    </row>
    <row r="13" spans="1:9" ht="18" x14ac:dyDescent="0.35">
      <c r="A13" s="597" t="s">
        <v>1268</v>
      </c>
      <c r="F13" s="619" t="s">
        <v>1286</v>
      </c>
      <c r="G13" s="620">
        <v>1.2E-2</v>
      </c>
      <c r="I13" s="5" t="s">
        <v>1288</v>
      </c>
    </row>
    <row r="15" spans="1:9" ht="18" x14ac:dyDescent="0.35">
      <c r="A15" s="587" t="s">
        <v>1403</v>
      </c>
      <c r="B15" s="618">
        <f>B9/B10</f>
        <v>2.4</v>
      </c>
      <c r="D15" s="5" t="s">
        <v>1271</v>
      </c>
      <c r="F15" s="597" t="s">
        <v>1269</v>
      </c>
    </row>
    <row r="16" spans="1:9" ht="18.75" x14ac:dyDescent="0.35">
      <c r="A16" s="587" t="s">
        <v>1396</v>
      </c>
      <c r="B16" s="618">
        <f>B11*B15*G19^0.5</f>
        <v>8.5812709170234704</v>
      </c>
    </row>
    <row r="17" spans="1:9" ht="18" x14ac:dyDescent="0.35">
      <c r="A17" s="589" t="s">
        <v>1272</v>
      </c>
      <c r="B17" s="618">
        <f>B6-B16</f>
        <v>1394.4187290829766</v>
      </c>
      <c r="F17" s="658" t="s">
        <v>1266</v>
      </c>
      <c r="G17" s="620">
        <f>(G10-G9)/G5</f>
        <v>7.5825240165544303E-2</v>
      </c>
      <c r="I17" s="5" t="s">
        <v>1267</v>
      </c>
    </row>
    <row r="18" spans="1:9" ht="18" x14ac:dyDescent="0.35">
      <c r="A18" s="589" t="s">
        <v>1391</v>
      </c>
      <c r="B18" s="618">
        <f>0.2*B15^2/2/9.81</f>
        <v>5.8715596330275219E-2</v>
      </c>
      <c r="F18" s="619" t="s">
        <v>1253</v>
      </c>
      <c r="G18" s="618">
        <f>G6/G8</f>
        <v>356.21079174798462</v>
      </c>
    </row>
    <row r="19" spans="1:9" ht="18" x14ac:dyDescent="0.35">
      <c r="F19" s="619" t="s">
        <v>1397</v>
      </c>
      <c r="G19" s="618">
        <f>(G18/0.8927)^0.5</f>
        <v>19.975643053209858</v>
      </c>
    </row>
    <row r="20" spans="1:9" ht="18.75" x14ac:dyDescent="0.35">
      <c r="A20" s="598" t="s">
        <v>1270</v>
      </c>
      <c r="F20" s="658" t="s">
        <v>1398</v>
      </c>
      <c r="G20" s="618">
        <f>6.35*G5*G12^2*G8^2/(G18^0.5)^(4/3)</f>
        <v>6.6724069217833665E-2</v>
      </c>
    </row>
    <row r="22" spans="1:9" ht="18" x14ac:dyDescent="0.35">
      <c r="A22" s="587" t="s">
        <v>1276</v>
      </c>
      <c r="B22" s="659">
        <v>2</v>
      </c>
      <c r="D22" s="5" t="s">
        <v>1271</v>
      </c>
      <c r="F22" s="595" t="s">
        <v>1290</v>
      </c>
    </row>
    <row r="23" spans="1:9" ht="18" x14ac:dyDescent="0.35">
      <c r="A23" s="589" t="s">
        <v>1273</v>
      </c>
      <c r="B23" s="618">
        <f>(B10/2*0.8)^0.5</f>
        <v>11.936679467054221</v>
      </c>
      <c r="D23" s="5" t="s">
        <v>1271</v>
      </c>
    </row>
    <row r="24" spans="1:9" ht="18" x14ac:dyDescent="0.35">
      <c r="A24" s="589" t="s">
        <v>1274</v>
      </c>
      <c r="B24" s="618">
        <f>(B10/2)/B23</f>
        <v>14.920849333817777</v>
      </c>
      <c r="D24" s="5" t="s">
        <v>1271</v>
      </c>
      <c r="F24" s="596" t="s">
        <v>1162</v>
      </c>
    </row>
    <row r="25" spans="1:9" ht="18" x14ac:dyDescent="0.35">
      <c r="A25" s="589" t="s">
        <v>1265</v>
      </c>
      <c r="B25" s="618">
        <f>B17-B24</f>
        <v>1379.4978797491588</v>
      </c>
    </row>
    <row r="26" spans="1:9" ht="18" x14ac:dyDescent="0.35">
      <c r="F26" s="589" t="s">
        <v>1402</v>
      </c>
      <c r="G26" s="618">
        <f>G8</f>
        <v>2.4</v>
      </c>
    </row>
    <row r="27" spans="1:9" ht="18" x14ac:dyDescent="0.35">
      <c r="A27" s="587" t="s">
        <v>1277</v>
      </c>
      <c r="B27" s="618">
        <f>B7-B25+2.5</f>
        <v>33.002120250841244</v>
      </c>
      <c r="F27" s="589" t="s">
        <v>1399</v>
      </c>
      <c r="G27" s="618">
        <f>G5</f>
        <v>189.39957594983176</v>
      </c>
    </row>
    <row r="28" spans="1:9" ht="18" x14ac:dyDescent="0.35">
      <c r="A28" s="589" t="s">
        <v>1278</v>
      </c>
      <c r="B28" s="618">
        <f>1.2*B23+1.2</f>
        <v>15.524015360465064</v>
      </c>
      <c r="F28" s="619" t="s">
        <v>1253</v>
      </c>
      <c r="G28" s="618">
        <f>G18</f>
        <v>356.21079174798462</v>
      </c>
    </row>
    <row r="29" spans="1:9" ht="18" x14ac:dyDescent="0.35">
      <c r="A29" s="589" t="s">
        <v>1279</v>
      </c>
      <c r="B29" s="618">
        <f>B22*B28+2*2</f>
        <v>35.048030720930129</v>
      </c>
      <c r="F29" s="589" t="s">
        <v>1259</v>
      </c>
      <c r="G29" s="618">
        <f>G19</f>
        <v>19.975643053209858</v>
      </c>
    </row>
    <row r="30" spans="1:9" ht="18" x14ac:dyDescent="0.35">
      <c r="A30" s="589" t="s">
        <v>1280</v>
      </c>
      <c r="B30" s="618">
        <f>0.2*B27+B8</f>
        <v>10.60042405016825</v>
      </c>
      <c r="F30" s="589" t="s">
        <v>1304</v>
      </c>
      <c r="G30" s="618">
        <f>B18</f>
        <v>5.8715596330275219E-2</v>
      </c>
    </row>
    <row r="31" spans="1:9" x14ac:dyDescent="0.25">
      <c r="F31" s="589" t="s">
        <v>1284</v>
      </c>
      <c r="G31" s="618">
        <f>G20</f>
        <v>6.6724069217833665E-2</v>
      </c>
    </row>
    <row r="32" spans="1:9" ht="18" x14ac:dyDescent="0.35">
      <c r="A32" s="598" t="s">
        <v>1388</v>
      </c>
      <c r="D32" s="5" t="s">
        <v>1510</v>
      </c>
      <c r="F32" s="589" t="s">
        <v>1260</v>
      </c>
      <c r="G32" s="618">
        <f>B5</f>
        <v>1408</v>
      </c>
    </row>
    <row r="33" spans="1:11" ht="18" x14ac:dyDescent="0.35">
      <c r="D33" s="5" t="s">
        <v>1511</v>
      </c>
      <c r="F33" s="589" t="s">
        <v>1261</v>
      </c>
      <c r="G33" s="618">
        <f>B6</f>
        <v>1403</v>
      </c>
    </row>
    <row r="34" spans="1:11" x14ac:dyDescent="0.25">
      <c r="A34" s="599" t="s">
        <v>1389</v>
      </c>
      <c r="B34" s="586"/>
      <c r="D34" s="5" t="s">
        <v>1283</v>
      </c>
      <c r="F34" s="589" t="s">
        <v>1195</v>
      </c>
      <c r="G34" s="618">
        <f>hsrf2pwh!B34</f>
        <v>1377.9375521149007</v>
      </c>
    </row>
    <row r="35" spans="1:11" ht="18" x14ac:dyDescent="0.35">
      <c r="A35" s="466"/>
      <c r="B35" s="586"/>
      <c r="D35" s="5" t="s">
        <v>1512</v>
      </c>
      <c r="F35" s="589" t="s">
        <v>1265</v>
      </c>
      <c r="G35" s="618">
        <f>B25</f>
        <v>1379.4978797491588</v>
      </c>
    </row>
    <row r="36" spans="1:11" x14ac:dyDescent="0.25">
      <c r="A36" s="600" t="s">
        <v>1058</v>
      </c>
      <c r="B36" s="601"/>
      <c r="D36" s="5"/>
      <c r="F36" s="589" t="s">
        <v>1291</v>
      </c>
      <c r="G36" s="618"/>
    </row>
    <row r="37" spans="1:11" x14ac:dyDescent="0.25">
      <c r="A37" s="602" t="s">
        <v>1207</v>
      </c>
      <c r="B37" s="603">
        <f>B5</f>
        <v>1408</v>
      </c>
      <c r="D37" s="5"/>
      <c r="F37" s="589" t="s">
        <v>1292</v>
      </c>
      <c r="G37" s="618"/>
    </row>
    <row r="38" spans="1:11" x14ac:dyDescent="0.25">
      <c r="A38" s="602" t="s">
        <v>1208</v>
      </c>
      <c r="B38" s="603"/>
      <c r="D38" s="5"/>
    </row>
    <row r="39" spans="1:11" x14ac:dyDescent="0.25">
      <c r="A39" s="602" t="s">
        <v>1209</v>
      </c>
      <c r="B39" s="603">
        <f>B7</f>
        <v>1410</v>
      </c>
      <c r="D39" s="5"/>
      <c r="F39" s="597" t="s">
        <v>1269</v>
      </c>
    </row>
    <row r="40" spans="1:11" x14ac:dyDescent="0.25">
      <c r="A40" s="602" t="s">
        <v>1210</v>
      </c>
      <c r="B40" s="603"/>
      <c r="D40" s="5"/>
    </row>
    <row r="41" spans="1:11" x14ac:dyDescent="0.25">
      <c r="A41" s="602" t="s">
        <v>1211</v>
      </c>
      <c r="B41" s="603">
        <f>B25</f>
        <v>1379.4978797491588</v>
      </c>
      <c r="D41" s="5"/>
      <c r="F41" s="587" t="s">
        <v>1299</v>
      </c>
      <c r="G41" s="618">
        <f>G5/(G32-G9)</f>
        <v>4.41867948859199</v>
      </c>
      <c r="I41" s="5" t="s">
        <v>1255</v>
      </c>
    </row>
    <row r="42" spans="1:11" ht="18" x14ac:dyDescent="0.35">
      <c r="A42" s="600" t="s">
        <v>1073</v>
      </c>
      <c r="B42" s="604"/>
      <c r="D42" s="5"/>
      <c r="F42" s="587" t="s">
        <v>1293</v>
      </c>
      <c r="G42" s="618">
        <f>1.25*G30/0.2*(G27*G28/(((G33-G34)-G30-G31)*(G30+G31)))</f>
        <v>7914.8070612290312</v>
      </c>
      <c r="I42" s="5" t="s">
        <v>1298</v>
      </c>
    </row>
    <row r="43" spans="1:11" ht="18" x14ac:dyDescent="0.35">
      <c r="A43" s="602" t="s">
        <v>1520</v>
      </c>
      <c r="B43" s="603">
        <f>B23</f>
        <v>11.936679467054221</v>
      </c>
      <c r="D43" s="5"/>
      <c r="F43" s="589" t="s">
        <v>1294</v>
      </c>
      <c r="G43" s="618">
        <f>ROUND(SQRT(4*G42/PI()),2)</f>
        <v>100.39</v>
      </c>
    </row>
    <row r="44" spans="1:11" ht="18" x14ac:dyDescent="0.35">
      <c r="A44" s="602" t="s">
        <v>1519</v>
      </c>
      <c r="B44" s="603">
        <f>B24</f>
        <v>14.920849333817777</v>
      </c>
      <c r="D44" s="5"/>
      <c r="F44" s="589" t="s">
        <v>1295</v>
      </c>
      <c r="G44" s="618">
        <f>IF(G42&gt;0,G26*SQRT(G27*G28/(9.81*G42)),0)</f>
        <v>2.2371732059296434</v>
      </c>
    </row>
    <row r="45" spans="1:11" ht="18" x14ac:dyDescent="0.35">
      <c r="A45" s="5"/>
      <c r="B45" s="5"/>
      <c r="C45" s="5"/>
      <c r="D45" s="5"/>
      <c r="F45" s="589" t="s">
        <v>1296</v>
      </c>
      <c r="G45" s="618">
        <f>G32-2/3*(G30+G31)+G44</f>
        <v>1410.1535467622309</v>
      </c>
    </row>
    <row r="46" spans="1:11" ht="18.75" x14ac:dyDescent="0.35">
      <c r="A46" s="600" t="s">
        <v>1521</v>
      </c>
      <c r="B46" s="681">
        <f>B43^2*B44*(B37-B41)/1000</f>
        <v>60.595137749940115</v>
      </c>
      <c r="C46" s="5"/>
      <c r="D46" s="5"/>
      <c r="F46" s="589" t="s">
        <v>1297</v>
      </c>
      <c r="G46" s="618">
        <f>G32+2*(G30+G31)-G44</f>
        <v>1406.0137061251667</v>
      </c>
      <c r="I46" s="581">
        <f>G9+G19</f>
        <v>1385.1122544687203</v>
      </c>
      <c r="J46" s="5"/>
      <c r="K46" s="5" t="s">
        <v>1300</v>
      </c>
    </row>
    <row r="47" spans="1:11" x14ac:dyDescent="0.25">
      <c r="A47" s="466"/>
      <c r="B47" s="586"/>
      <c r="D47" s="5"/>
      <c r="E47" s="466"/>
      <c r="F47" s="586"/>
      <c r="G47" s="446"/>
      <c r="K47" s="617"/>
    </row>
    <row r="48" spans="1:11" x14ac:dyDescent="0.25">
      <c r="A48" s="600" t="s">
        <v>1522</v>
      </c>
      <c r="B48" s="683"/>
      <c r="D48" s="5"/>
      <c r="E48" s="466"/>
      <c r="F48" s="586"/>
      <c r="G48" s="446"/>
      <c r="K48" s="617"/>
    </row>
    <row r="49" spans="1:11" x14ac:dyDescent="0.25">
      <c r="A49" s="602" t="s">
        <v>1528</v>
      </c>
      <c r="B49" s="774">
        <f>2*B22*(B27-1)*2084.8</f>
        <v>266872.08119581535</v>
      </c>
      <c r="D49" s="5"/>
      <c r="E49" s="466"/>
      <c r="F49" s="586"/>
      <c r="G49" s="446"/>
      <c r="K49" s="617"/>
    </row>
    <row r="50" spans="1:11" x14ac:dyDescent="0.25">
      <c r="A50" s="466"/>
      <c r="B50" s="586"/>
      <c r="D50" s="5"/>
      <c r="E50" s="466"/>
      <c r="F50" s="586"/>
      <c r="G50" s="446"/>
      <c r="K50" s="617"/>
    </row>
    <row r="51" spans="1:11" x14ac:dyDescent="0.25">
      <c r="A51" s="600" t="s">
        <v>1309</v>
      </c>
      <c r="B51" s="586"/>
      <c r="D51" s="5"/>
    </row>
    <row r="52" spans="1:11" x14ac:dyDescent="0.25">
      <c r="A52" s="600" t="s">
        <v>1232</v>
      </c>
      <c r="B52" s="591">
        <v>1</v>
      </c>
      <c r="D52" s="5" t="s">
        <v>1518</v>
      </c>
    </row>
    <row r="53" spans="1:11" x14ac:dyDescent="0.25">
      <c r="A53" s="600" t="s">
        <v>1217</v>
      </c>
      <c r="B53" s="604"/>
      <c r="D53" s="5"/>
    </row>
    <row r="54" spans="1:11" x14ac:dyDescent="0.25">
      <c r="A54" s="602" t="s">
        <v>1219</v>
      </c>
      <c r="B54" s="603"/>
      <c r="D54" s="5"/>
    </row>
    <row r="55" spans="1:11" x14ac:dyDescent="0.25">
      <c r="A55" s="602" t="s">
        <v>1220</v>
      </c>
      <c r="B55" s="603">
        <f>((2*B57)+1)</f>
        <v>31.141698667635556</v>
      </c>
      <c r="D55" s="5"/>
    </row>
    <row r="56" spans="1:11" x14ac:dyDescent="0.25">
      <c r="A56" s="600" t="s">
        <v>1221</v>
      </c>
      <c r="B56" s="604"/>
      <c r="D56" s="5"/>
    </row>
    <row r="57" spans="1:11" x14ac:dyDescent="0.25">
      <c r="A57" s="602" t="s">
        <v>1311</v>
      </c>
      <c r="B57" s="603">
        <f>B44+0.15</f>
        <v>15.070849333817778</v>
      </c>
      <c r="D57" s="5"/>
    </row>
    <row r="58" spans="1:11" x14ac:dyDescent="0.25">
      <c r="A58" s="602" t="s">
        <v>1312</v>
      </c>
      <c r="B58" s="603"/>
      <c r="D58" s="5"/>
    </row>
    <row r="59" spans="1:11" x14ac:dyDescent="0.25">
      <c r="A59" s="602" t="s">
        <v>1313</v>
      </c>
      <c r="B59" s="603">
        <f>B37-B41</f>
        <v>28.502120250841244</v>
      </c>
      <c r="D59" s="5"/>
    </row>
    <row r="60" spans="1:11" x14ac:dyDescent="0.25">
      <c r="A60" s="600" t="s">
        <v>1222</v>
      </c>
      <c r="B60" s="604"/>
      <c r="D60" s="5"/>
    </row>
    <row r="61" spans="1:11" x14ac:dyDescent="0.25">
      <c r="A61" s="602" t="s">
        <v>1314</v>
      </c>
      <c r="B61" s="603">
        <f>B43+0.6</f>
        <v>12.536679467054221</v>
      </c>
      <c r="D61" s="5"/>
    </row>
    <row r="62" spans="1:11" x14ac:dyDescent="0.25">
      <c r="A62" s="600" t="s">
        <v>1060</v>
      </c>
      <c r="B62" s="604"/>
      <c r="D62" s="5"/>
    </row>
    <row r="63" spans="1:11" x14ac:dyDescent="0.25">
      <c r="A63" s="602" t="s">
        <v>1315</v>
      </c>
      <c r="B63" s="603">
        <f>((100*((2*B61)+(B55)))+(((B59)^2)*(B61^2)*B57*0.0125))/(1000)</f>
        <v>29.674387804278521</v>
      </c>
      <c r="D63" s="5"/>
    </row>
    <row r="64" spans="1:11" x14ac:dyDescent="0.25">
      <c r="A64" s="602" t="s">
        <v>1316</v>
      </c>
      <c r="B64" s="603">
        <f>(((((B43)^2)*B57*(B59))^0.7)*0.1019*0.706)</f>
        <v>161.33413212692506</v>
      </c>
      <c r="D64" s="5"/>
    </row>
    <row r="65" spans="1:4" x14ac:dyDescent="0.25">
      <c r="A65" s="600" t="s">
        <v>1522</v>
      </c>
      <c r="B65" s="683"/>
      <c r="D65" s="537"/>
    </row>
    <row r="66" spans="1:4" x14ac:dyDescent="0.25">
      <c r="A66" s="602" t="s">
        <v>1525</v>
      </c>
      <c r="B66" s="684">
        <f>ROUND(0.4999999+B46/125.39,0)</f>
        <v>1</v>
      </c>
      <c r="D66" s="537"/>
    </row>
    <row r="67" spans="1:4" ht="18.75" x14ac:dyDescent="0.35">
      <c r="A67" s="602" t="s">
        <v>1523</v>
      </c>
      <c r="B67" s="681">
        <f>B46/B66</f>
        <v>60.595137749940115</v>
      </c>
      <c r="D67" s="537"/>
    </row>
    <row r="68" spans="1:4" x14ac:dyDescent="0.25">
      <c r="A68" s="602" t="s">
        <v>1524</v>
      </c>
      <c r="B68" s="603">
        <f>IF(AND(B67&gt;=0,B67&lt;=125.39),(IF(B67&lt;=9.17,(-4.3986*B67^2+124.79*B67+110.2)*1000,(-0.128*B67^2+57.311*B67+369.83)*1000) ),"O parametro z esta fora da validade da curva.")*B66</f>
        <v>3372611.2875632378</v>
      </c>
      <c r="D68" s="537"/>
    </row>
    <row r="69" spans="1:4" x14ac:dyDescent="0.25">
      <c r="B69" s="586"/>
      <c r="D69" s="5"/>
    </row>
    <row r="70" spans="1:4" x14ac:dyDescent="0.25">
      <c r="A70" s="600" t="s">
        <v>1206</v>
      </c>
      <c r="B70" s="592"/>
      <c r="D70" s="5"/>
    </row>
    <row r="71" spans="1:4" x14ac:dyDescent="0.25">
      <c r="A71" s="600" t="s">
        <v>1232</v>
      </c>
      <c r="B71" s="684">
        <v>1</v>
      </c>
      <c r="D71" s="5" t="s">
        <v>1518</v>
      </c>
    </row>
    <row r="72" spans="1:4" x14ac:dyDescent="0.25">
      <c r="A72" s="600" t="s">
        <v>1218</v>
      </c>
      <c r="B72" s="603">
        <v>2</v>
      </c>
      <c r="D72" s="5"/>
    </row>
    <row r="73" spans="1:4" x14ac:dyDescent="0.25">
      <c r="A73" s="600" t="s">
        <v>1215</v>
      </c>
      <c r="B73" s="603">
        <f>TRUNC(B44/B72)+1</f>
        <v>8</v>
      </c>
      <c r="D73" s="5"/>
    </row>
    <row r="74" spans="1:4" x14ac:dyDescent="0.25">
      <c r="A74" s="600" t="s">
        <v>1217</v>
      </c>
      <c r="B74" s="604"/>
      <c r="D74" s="5"/>
    </row>
    <row r="75" spans="1:4" x14ac:dyDescent="0.25">
      <c r="A75" s="602" t="s">
        <v>1219</v>
      </c>
      <c r="B75" s="603"/>
      <c r="D75" s="5"/>
    </row>
    <row r="76" spans="1:4" x14ac:dyDescent="0.25">
      <c r="A76" s="602" t="s">
        <v>1220</v>
      </c>
      <c r="B76" s="603">
        <f>B39-B41-1.5</f>
        <v>29.002120250841244</v>
      </c>
      <c r="D76" s="5"/>
    </row>
    <row r="77" spans="1:4" x14ac:dyDescent="0.25">
      <c r="A77" s="600" t="s">
        <v>1221</v>
      </c>
      <c r="B77" s="604"/>
      <c r="D77" s="5"/>
    </row>
    <row r="78" spans="1:4" x14ac:dyDescent="0.25">
      <c r="A78" s="602" t="s">
        <v>1311</v>
      </c>
      <c r="B78" s="603">
        <f>B44+0.15</f>
        <v>15.070849333817778</v>
      </c>
      <c r="D78" s="5"/>
    </row>
    <row r="79" spans="1:4" x14ac:dyDescent="0.25">
      <c r="A79" s="602" t="s">
        <v>1312</v>
      </c>
      <c r="B79" s="603">
        <f>B80-B78/2</f>
        <v>20.966695583932356</v>
      </c>
      <c r="D79" s="5"/>
    </row>
    <row r="80" spans="1:4" x14ac:dyDescent="0.25">
      <c r="A80" s="602" t="s">
        <v>1313</v>
      </c>
      <c r="B80" s="603">
        <f>B37-B41</f>
        <v>28.502120250841244</v>
      </c>
      <c r="D80" s="5"/>
    </row>
    <row r="81" spans="1:15" x14ac:dyDescent="0.25">
      <c r="A81" s="600" t="s">
        <v>1222</v>
      </c>
      <c r="B81" s="604"/>
      <c r="D81" s="5"/>
    </row>
    <row r="82" spans="1:15" x14ac:dyDescent="0.25">
      <c r="A82" s="602" t="s">
        <v>1314</v>
      </c>
      <c r="B82" s="603">
        <f>(B43+0.4)</f>
        <v>12.336679467054221</v>
      </c>
      <c r="D82" s="5"/>
    </row>
    <row r="83" spans="1:15" x14ac:dyDescent="0.25">
      <c r="A83" s="600" t="s">
        <v>1060</v>
      </c>
      <c r="B83" s="604"/>
      <c r="D83" s="5"/>
    </row>
    <row r="84" spans="1:15" x14ac:dyDescent="0.25">
      <c r="A84" s="602" t="s">
        <v>1315</v>
      </c>
      <c r="B84" s="603">
        <f>((100*((2*B82)+(B76)))+(((B80)^2)*(B82^2)*B78*0.005))/(1000)</f>
        <v>14.684173247351831</v>
      </c>
      <c r="D84" s="5"/>
      <c r="I84" s="552"/>
      <c r="K84" s="607" t="s">
        <v>1083</v>
      </c>
      <c r="L84" s="552"/>
      <c r="N84" s="607" t="s">
        <v>1084</v>
      </c>
      <c r="O84" s="607"/>
    </row>
    <row r="85" spans="1:15" x14ac:dyDescent="0.25">
      <c r="A85" s="602" t="s">
        <v>1316</v>
      </c>
      <c r="B85" s="603">
        <f>((B78*B82/1000)*(((B79^0.5)*30.074)+((19.989+(1.113*B79))*B82)))</f>
        <v>124.97694425881438</v>
      </c>
      <c r="D85" s="5"/>
      <c r="I85" s="552"/>
      <c r="K85" s="607" t="s">
        <v>1086</v>
      </c>
      <c r="L85" s="607" t="s">
        <v>1060</v>
      </c>
      <c r="N85" s="607" t="s">
        <v>8</v>
      </c>
      <c r="O85" s="607" t="s">
        <v>1060</v>
      </c>
    </row>
    <row r="86" spans="1:15" x14ac:dyDescent="0.25">
      <c r="A86" s="602" t="s">
        <v>1317</v>
      </c>
      <c r="B86" s="603">
        <f>B85/B73</f>
        <v>15.622118032351798</v>
      </c>
      <c r="D86" s="5"/>
      <c r="I86" s="552"/>
      <c r="K86" s="609" t="s">
        <v>1089</v>
      </c>
      <c r="L86" s="609" t="s">
        <v>190</v>
      </c>
      <c r="N86" s="609" t="s">
        <v>1089</v>
      </c>
      <c r="O86" s="609" t="s">
        <v>190</v>
      </c>
    </row>
    <row r="87" spans="1:15" x14ac:dyDescent="0.25">
      <c r="A87" s="600" t="s">
        <v>1522</v>
      </c>
      <c r="B87" s="683"/>
      <c r="D87" s="537"/>
      <c r="I87" s="552"/>
      <c r="K87" s="593">
        <v>5</v>
      </c>
      <c r="L87" s="594">
        <f>8.053996037+0.500809115*B86</f>
        <v>15.877695143207646</v>
      </c>
      <c r="N87" s="593">
        <v>5</v>
      </c>
      <c r="O87" s="594">
        <f>-0.018874907+0.250814212*B86</f>
        <v>3.8993743170553068</v>
      </c>
    </row>
    <row r="88" spans="1:15" x14ac:dyDescent="0.25">
      <c r="A88" s="602" t="s">
        <v>1525</v>
      </c>
      <c r="B88" s="684">
        <f>ROUND(0.4999999+B46/54.43,0)</f>
        <v>2</v>
      </c>
      <c r="D88" s="537"/>
      <c r="I88" s="552"/>
      <c r="K88" s="593">
        <v>10</v>
      </c>
      <c r="L88" s="594">
        <f>5.60006605+0.569848085*B86</f>
        <v>14.502300094379638</v>
      </c>
      <c r="N88" s="593">
        <v>6</v>
      </c>
      <c r="O88" s="594">
        <f>-0.165278806+0.300675426*B86</f>
        <v>4.531908188399659</v>
      </c>
    </row>
    <row r="89" spans="1:15" ht="18.75" x14ac:dyDescent="0.35">
      <c r="A89" s="602" t="s">
        <v>1523</v>
      </c>
      <c r="B89" s="681">
        <f>B46/B88</f>
        <v>30.297568874970057</v>
      </c>
      <c r="D89" s="537"/>
      <c r="I89" s="552"/>
      <c r="K89" s="593">
        <v>15</v>
      </c>
      <c r="L89" s="594">
        <f>7.432298547+0.630713342*B86</f>
        <v>17.285376820303064</v>
      </c>
      <c r="N89" s="593">
        <v>7</v>
      </c>
      <c r="O89" s="594">
        <f>-0.143628177+0.35121065*B86</f>
        <v>5.3430260515189962</v>
      </c>
    </row>
    <row r="90" spans="1:15" x14ac:dyDescent="0.25">
      <c r="A90" s="602" t="s">
        <v>1524</v>
      </c>
      <c r="B90" s="603">
        <f>IF(AND(B89&gt;=0,B89&lt;=54.43),1000*72.896*B89^0.716,"O parametro z esta fora da validade da curva.")*B88</f>
        <v>1676569.9013937262</v>
      </c>
      <c r="D90" s="537"/>
      <c r="I90" s="552"/>
      <c r="K90" s="593">
        <v>20</v>
      </c>
      <c r="L90" s="594">
        <f>8.307959049+0.691964188*B86</f>
        <v>19.117905268096472</v>
      </c>
      <c r="N90" s="593">
        <v>8</v>
      </c>
      <c r="O90" s="594">
        <f>-0.4215396+0.401517395*B86</f>
        <v>5.8510125367324193</v>
      </c>
    </row>
    <row r="91" spans="1:15" x14ac:dyDescent="0.25">
      <c r="B91" s="586"/>
      <c r="D91" s="5"/>
      <c r="I91" s="552"/>
      <c r="K91" s="593">
        <v>25</v>
      </c>
      <c r="L91" s="594">
        <f>11.40042933+0.74151255*B86</f>
        <v>22.984425908570167</v>
      </c>
      <c r="N91" s="593">
        <v>9</v>
      </c>
      <c r="O91" s="594">
        <f>-0.302152726+0.451841229*B86</f>
        <v>6.7565642853208985</v>
      </c>
    </row>
    <row r="92" spans="1:15" x14ac:dyDescent="0.25">
      <c r="A92" s="600" t="s">
        <v>1226</v>
      </c>
      <c r="B92" s="601"/>
      <c r="C92" s="606"/>
      <c r="D92" s="5"/>
      <c r="I92" s="552"/>
      <c r="K92" s="593">
        <v>30</v>
      </c>
      <c r="L92" s="594">
        <f>15.01585205+0.788540291*B86</f>
        <v>27.334521549267034</v>
      </c>
      <c r="N92" s="593">
        <v>10</v>
      </c>
      <c r="O92" s="594">
        <f>-0.4215396+0.501517395*B86</f>
        <v>7.4132243399676003</v>
      </c>
    </row>
    <row r="93" spans="1:15" x14ac:dyDescent="0.25">
      <c r="A93" s="600" t="s">
        <v>1227</v>
      </c>
      <c r="B93" s="604"/>
      <c r="C93" s="608"/>
      <c r="D93" s="5"/>
      <c r="I93" s="552"/>
      <c r="K93" s="593">
        <v>35</v>
      </c>
      <c r="L93" s="594">
        <f>16.01304491+0.844996697*B86</f>
        <v>29.21368304748141</v>
      </c>
      <c r="N93" s="593">
        <v>11</v>
      </c>
      <c r="O93" s="594">
        <f>-0.544905009+0.552590674*B86</f>
        <v>8.0877317238048327</v>
      </c>
    </row>
    <row r="94" spans="1:15" x14ac:dyDescent="0.25">
      <c r="A94" s="602" t="s">
        <v>1223</v>
      </c>
      <c r="B94" s="603">
        <f>1.1*B64</f>
        <v>177.46754533961757</v>
      </c>
      <c r="C94" s="608"/>
      <c r="D94" s="5"/>
      <c r="G94" s="610"/>
      <c r="H94" s="610"/>
      <c r="I94" s="552"/>
      <c r="N94" s="593">
        <v>12</v>
      </c>
      <c r="O94" s="594">
        <f>-0.704817419+0.602544412*B86</f>
        <v>8.7082025049980114</v>
      </c>
    </row>
    <row r="95" spans="1:15" x14ac:dyDescent="0.25">
      <c r="A95" s="602" t="s">
        <v>1224</v>
      </c>
      <c r="B95" s="603">
        <v>5</v>
      </c>
      <c r="C95" s="608"/>
      <c r="D95" s="5"/>
      <c r="G95" s="552"/>
      <c r="H95" s="552"/>
      <c r="I95" s="552"/>
      <c r="N95" s="593">
        <v>13</v>
      </c>
      <c r="O95" s="594">
        <f>-0.828182828+0.653617691*B86</f>
        <v>9.3827098888352456</v>
      </c>
    </row>
    <row r="96" spans="1:15" x14ac:dyDescent="0.25">
      <c r="A96" s="602" t="s">
        <v>1225</v>
      </c>
      <c r="B96" s="603">
        <v>5</v>
      </c>
      <c r="C96" s="608"/>
      <c r="D96" s="5"/>
      <c r="G96" s="552"/>
      <c r="H96" s="552"/>
      <c r="I96" s="552"/>
      <c r="N96" s="593">
        <v>14</v>
      </c>
      <c r="O96" s="594">
        <f>-0.559801382+0.702007772*B86</f>
        <v>10.407046891812309</v>
      </c>
    </row>
    <row r="97" spans="1:15" x14ac:dyDescent="0.25">
      <c r="A97" s="600" t="s">
        <v>1060</v>
      </c>
      <c r="B97" s="604"/>
      <c r="C97" s="608"/>
      <c r="D97" s="5"/>
      <c r="G97" s="552"/>
      <c r="H97" s="552"/>
      <c r="I97" s="613"/>
      <c r="N97" s="593">
        <v>15</v>
      </c>
      <c r="O97" s="594">
        <f>-0.68316679+0.753081051*B86</f>
        <v>11.081554276649545</v>
      </c>
    </row>
    <row r="98" spans="1:15" x14ac:dyDescent="0.25">
      <c r="A98" s="602" t="s">
        <v>1229</v>
      </c>
      <c r="B98" s="603">
        <f>(VLOOKUP(B95+5,K87:L93,2)-VLOOKUP(B95,K87:L93,2))*(B95-(VLOOKUP(B95,K87:L93,1)))/5+VLOOKUP(B95,K87:L93,2)</f>
        <v>15.877695143207646</v>
      </c>
      <c r="C98" s="608"/>
      <c r="D98" s="5"/>
    </row>
    <row r="99" spans="1:15" x14ac:dyDescent="0.25">
      <c r="A99" s="602" t="s">
        <v>1230</v>
      </c>
      <c r="B99" s="603">
        <f>(VLOOKUP(B96+5,N87:O97,2)-VLOOKUP(B96,N87:O97,2))*(B96-(VLOOKUP(B96,N87:O97,1)))/5+VLOOKUP(B96,N87:O97,2)</f>
        <v>3.8993743170553068</v>
      </c>
      <c r="C99" s="608"/>
      <c r="D99" s="5"/>
    </row>
    <row r="100" spans="1:15" x14ac:dyDescent="0.25">
      <c r="A100" s="600" t="s">
        <v>1522</v>
      </c>
      <c r="B100" s="683"/>
      <c r="D100" s="537"/>
    </row>
    <row r="101" spans="1:15" x14ac:dyDescent="0.25">
      <c r="A101" s="602" t="s">
        <v>1525</v>
      </c>
      <c r="B101" s="684">
        <f>ROUND(0.4999999+B46/54.43,0)</f>
        <v>2</v>
      </c>
      <c r="D101" s="685"/>
    </row>
    <row r="102" spans="1:15" ht="18.75" x14ac:dyDescent="0.35">
      <c r="A102" s="602" t="s">
        <v>1523</v>
      </c>
      <c r="B102" s="681">
        <f>B46/B101</f>
        <v>30.297568874970057</v>
      </c>
      <c r="D102" s="537"/>
    </row>
    <row r="103" spans="1:15" x14ac:dyDescent="0.25">
      <c r="A103" s="602" t="s">
        <v>1524</v>
      </c>
      <c r="B103" s="603">
        <f>IF(AND(B102&gt;=0,B102&lt;=125.39),(-0.71*(B102^2)+97.3*B102+57.78)*1000,"O parametro z esta fora da validade da curva.")*B101</f>
        <v>4707988.2978475261</v>
      </c>
      <c r="D103" s="537"/>
    </row>
    <row r="104" spans="1:15" x14ac:dyDescent="0.25">
      <c r="B104" s="586"/>
      <c r="D104" s="5"/>
    </row>
    <row r="105" spans="1:15" x14ac:dyDescent="0.25">
      <c r="A105" s="600" t="s">
        <v>1310</v>
      </c>
      <c r="B105" s="592"/>
      <c r="D105" s="5"/>
    </row>
    <row r="106" spans="1:15" x14ac:dyDescent="0.25">
      <c r="A106" s="600" t="s">
        <v>1232</v>
      </c>
      <c r="B106" s="684">
        <v>1</v>
      </c>
      <c r="D106" s="5" t="s">
        <v>1518</v>
      </c>
    </row>
    <row r="107" spans="1:15" x14ac:dyDescent="0.25">
      <c r="A107" s="600" t="s">
        <v>1091</v>
      </c>
      <c r="B107" s="552"/>
      <c r="D107" s="5"/>
    </row>
    <row r="108" spans="1:15" x14ac:dyDescent="0.25">
      <c r="A108" s="602" t="s">
        <v>1093</v>
      </c>
      <c r="B108" s="611">
        <f>1/(1^2+0.2^2)^0.5</f>
        <v>0.98058067569092011</v>
      </c>
      <c r="D108" s="5"/>
    </row>
    <row r="109" spans="1:15" x14ac:dyDescent="0.25">
      <c r="A109" s="602" t="s">
        <v>1321</v>
      </c>
      <c r="B109" s="612">
        <v>5</v>
      </c>
      <c r="D109" s="5"/>
    </row>
    <row r="110" spans="1:15" x14ac:dyDescent="0.25">
      <c r="A110" s="602" t="s">
        <v>1094</v>
      </c>
      <c r="B110" s="614">
        <f>TRUNC(B43/B109)+1</f>
        <v>3</v>
      </c>
      <c r="D110" s="5"/>
    </row>
    <row r="111" spans="1:15" x14ac:dyDescent="0.25">
      <c r="A111" s="602" t="s">
        <v>1096</v>
      </c>
      <c r="B111" s="615">
        <f>B110*B106</f>
        <v>3</v>
      </c>
      <c r="D111" s="5"/>
    </row>
    <row r="112" spans="1:15" x14ac:dyDescent="0.25">
      <c r="A112" s="600" t="s">
        <v>1217</v>
      </c>
      <c r="B112" s="604"/>
      <c r="D112" s="5"/>
    </row>
    <row r="113" spans="1:4" x14ac:dyDescent="0.25">
      <c r="A113" s="602" t="s">
        <v>1219</v>
      </c>
      <c r="B113" s="603">
        <f>(((B39-B41)*2*B110)/B108)+(B44*B110)</f>
        <v>231.39963563944511</v>
      </c>
      <c r="D113" s="5"/>
    </row>
    <row r="114" spans="1:4" x14ac:dyDescent="0.25">
      <c r="A114" s="602" t="s">
        <v>1220</v>
      </c>
      <c r="B114" s="603"/>
      <c r="D114" s="5"/>
    </row>
    <row r="115" spans="1:4" x14ac:dyDescent="0.25">
      <c r="A115" s="600" t="s">
        <v>1221</v>
      </c>
      <c r="B115" s="604"/>
      <c r="D115" s="5"/>
    </row>
    <row r="116" spans="1:4" x14ac:dyDescent="0.25">
      <c r="A116" s="602" t="s">
        <v>1311</v>
      </c>
      <c r="B116" s="603"/>
      <c r="D116" s="5"/>
    </row>
    <row r="117" spans="1:4" x14ac:dyDescent="0.25">
      <c r="A117" s="602" t="s">
        <v>1312</v>
      </c>
      <c r="B117" s="603"/>
      <c r="D117" s="5"/>
    </row>
    <row r="118" spans="1:4" x14ac:dyDescent="0.25">
      <c r="A118" s="602" t="s">
        <v>1313</v>
      </c>
      <c r="B118" s="603"/>
    </row>
    <row r="119" spans="1:4" x14ac:dyDescent="0.25">
      <c r="A119" s="600" t="s">
        <v>1222</v>
      </c>
      <c r="B119" s="604"/>
    </row>
    <row r="120" spans="1:4" x14ac:dyDescent="0.25">
      <c r="A120" s="602" t="s">
        <v>1314</v>
      </c>
      <c r="B120" s="603"/>
    </row>
    <row r="121" spans="1:4" x14ac:dyDescent="0.25">
      <c r="A121" s="600" t="s">
        <v>1060</v>
      </c>
      <c r="B121" s="604"/>
    </row>
    <row r="122" spans="1:4" x14ac:dyDescent="0.25">
      <c r="A122" s="602" t="s">
        <v>1315</v>
      </c>
      <c r="B122" s="603">
        <f>(40*B113)/(1000)</f>
        <v>9.2559854255778049</v>
      </c>
    </row>
    <row r="123" spans="1:4" x14ac:dyDescent="0.25">
      <c r="A123" s="602" t="s">
        <v>1316</v>
      </c>
      <c r="B123" s="603">
        <f>(180*B43*B44)/1000</f>
        <v>32.058971257318618</v>
      </c>
    </row>
    <row r="124" spans="1:4" x14ac:dyDescent="0.25">
      <c r="A124" s="600" t="s">
        <v>1522</v>
      </c>
      <c r="B124" s="683"/>
      <c r="D124" s="537"/>
    </row>
    <row r="125" spans="1:4" x14ac:dyDescent="0.25">
      <c r="A125" s="602" t="s">
        <v>1524</v>
      </c>
      <c r="B125" s="603">
        <f>IF(AND(B9/B106&gt;=2,B9/B106&lt;=1000),5.35*1000*B9,"Vazao fora da validade da curva.")*B106</f>
        <v>4573746.5660441229</v>
      </c>
      <c r="D125" s="537" t="s">
        <v>1527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23553" r:id="rId4">
          <objectPr defaultSize="0" autoLine="0" autoPict="0" r:id="rId5">
            <anchor moveWithCells="1">
              <from>
                <xdr:col>9</xdr:col>
                <xdr:colOff>133350</xdr:colOff>
                <xdr:row>40</xdr:row>
                <xdr:rowOff>95250</xdr:rowOff>
              </from>
              <to>
                <xdr:col>14</xdr:col>
                <xdr:colOff>352425</xdr:colOff>
                <xdr:row>42</xdr:row>
                <xdr:rowOff>85725</xdr:rowOff>
              </to>
            </anchor>
          </objectPr>
        </oleObject>
      </mc:Choice>
      <mc:Fallback>
        <oleObject progId="Equation.2" shapeId="23553" r:id="rId4"/>
      </mc:Fallback>
    </mc:AlternateContent>
    <mc:AlternateContent xmlns:mc="http://schemas.openxmlformats.org/markup-compatibility/2006">
      <mc:Choice Requires="x14">
        <oleObject progId="Equation.2" shapeId="23554" r:id="rId6">
          <objectPr defaultSize="0" autoLine="0" autoPict="0" r:id="rId7">
            <anchor moveWithCells="1">
              <from>
                <xdr:col>7</xdr:col>
                <xdr:colOff>161925</xdr:colOff>
                <xdr:row>42</xdr:row>
                <xdr:rowOff>38100</xdr:rowOff>
              </from>
              <to>
                <xdr:col>10</xdr:col>
                <xdr:colOff>571500</xdr:colOff>
                <xdr:row>43</xdr:row>
                <xdr:rowOff>209550</xdr:rowOff>
              </to>
            </anchor>
          </objectPr>
        </oleObject>
      </mc:Choice>
      <mc:Fallback>
        <oleObject progId="Equation.2" shapeId="23554" r:id="rId6"/>
      </mc:Fallback>
    </mc:AlternateContent>
    <mc:AlternateContent xmlns:mc="http://schemas.openxmlformats.org/markup-compatibility/2006">
      <mc:Choice Requires="x14">
        <oleObject progId="Equation.2" shapeId="23555" r:id="rId8">
          <objectPr defaultSize="0" autoLine="0" autoPict="0" r:id="rId9">
            <anchor moveWithCells="1">
              <from>
                <xdr:col>11</xdr:col>
                <xdr:colOff>95250</xdr:colOff>
                <xdr:row>42</xdr:row>
                <xdr:rowOff>180975</xdr:rowOff>
              </from>
              <to>
                <xdr:col>15</xdr:col>
                <xdr:colOff>123825</xdr:colOff>
                <xdr:row>44</xdr:row>
                <xdr:rowOff>57150</xdr:rowOff>
              </to>
            </anchor>
          </objectPr>
        </oleObject>
      </mc:Choice>
      <mc:Fallback>
        <oleObject progId="Equation.2" shapeId="23555" r:id="rId8"/>
      </mc:Fallback>
    </mc:AlternateContent>
    <mc:AlternateContent xmlns:mc="http://schemas.openxmlformats.org/markup-compatibility/2006">
      <mc:Choice Requires="x14">
        <oleObject progId="Equation.2" shapeId="23556" r:id="rId10">
          <objectPr defaultSize="0" autoLine="0" autoPict="0" r:id="rId11">
            <anchor moveWithCells="1">
              <from>
                <xdr:col>11</xdr:col>
                <xdr:colOff>142875</xdr:colOff>
                <xdr:row>44</xdr:row>
                <xdr:rowOff>9525</xdr:rowOff>
              </from>
              <to>
                <xdr:col>15</xdr:col>
                <xdr:colOff>9525</xdr:colOff>
                <xdr:row>45</xdr:row>
                <xdr:rowOff>9525</xdr:rowOff>
              </to>
            </anchor>
          </objectPr>
        </oleObject>
      </mc:Choice>
      <mc:Fallback>
        <oleObject progId="Equation.2" shapeId="23556" r:id="rId10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14"/>
  <sheetViews>
    <sheetView topLeftCell="A6" workbookViewId="0">
      <selection activeCell="F21" sqref="F21"/>
    </sheetView>
  </sheetViews>
  <sheetFormatPr defaultColWidth="11.42578125" defaultRowHeight="12.75" x14ac:dyDescent="0.2"/>
  <cols>
    <col min="1" max="1" width="12.7109375" style="6" customWidth="1"/>
    <col min="2" max="2" width="12.85546875" style="6" customWidth="1"/>
    <col min="3" max="3" width="13.7109375" style="6" customWidth="1"/>
    <col min="4" max="5" width="12.42578125" style="6" customWidth="1"/>
    <col min="6" max="6" width="34.28515625" style="10" customWidth="1"/>
    <col min="7" max="7" width="12.42578125" style="6" customWidth="1"/>
    <col min="8" max="8" width="14" style="6" customWidth="1"/>
    <col min="9" max="9" width="11.85546875" style="6" customWidth="1"/>
    <col min="10" max="11" width="12.42578125" style="6" customWidth="1"/>
    <col min="12" max="13" width="6.7109375" style="6" customWidth="1"/>
    <col min="14" max="14" width="30.85546875" style="491" bestFit="1" customWidth="1"/>
    <col min="15" max="15" width="9.5703125" style="491" bestFit="1" customWidth="1"/>
    <col min="16" max="16" width="7.5703125" style="491" bestFit="1" customWidth="1"/>
    <col min="17" max="17" width="2.5703125" style="491" bestFit="1" customWidth="1"/>
    <col min="18" max="18" width="6.7109375" style="491" customWidth="1"/>
    <col min="19" max="19" width="15.28515625" style="491" bestFit="1" customWidth="1"/>
    <col min="20" max="20" width="8.140625" style="491" bestFit="1" customWidth="1"/>
    <col min="21" max="21" width="2.5703125" style="491" bestFit="1" customWidth="1"/>
    <col min="22" max="22" width="6.7109375" style="491" customWidth="1"/>
    <col min="23" max="23" width="11.42578125" style="491"/>
    <col min="24" max="24" width="6.140625" style="491" bestFit="1" customWidth="1"/>
    <col min="25" max="25" width="1.5703125" style="491" bestFit="1" customWidth="1"/>
    <col min="26" max="31" width="6.7109375" style="6" customWidth="1"/>
    <col min="32" max="256" width="11.42578125" style="6"/>
    <col min="257" max="257" width="12.7109375" style="6" customWidth="1"/>
    <col min="258" max="258" width="12.85546875" style="6" customWidth="1"/>
    <col min="259" max="259" width="13.7109375" style="6" customWidth="1"/>
    <col min="260" max="263" width="12.42578125" style="6" customWidth="1"/>
    <col min="264" max="264" width="14" style="6" customWidth="1"/>
    <col min="265" max="265" width="11.85546875" style="6" customWidth="1"/>
    <col min="266" max="267" width="12.42578125" style="6" customWidth="1"/>
    <col min="268" max="512" width="11.42578125" style="6"/>
    <col min="513" max="513" width="12.7109375" style="6" customWidth="1"/>
    <col min="514" max="514" width="12.85546875" style="6" customWidth="1"/>
    <col min="515" max="515" width="13.7109375" style="6" customWidth="1"/>
    <col min="516" max="519" width="12.42578125" style="6" customWidth="1"/>
    <col min="520" max="520" width="14" style="6" customWidth="1"/>
    <col min="521" max="521" width="11.85546875" style="6" customWidth="1"/>
    <col min="522" max="523" width="12.42578125" style="6" customWidth="1"/>
    <col min="524" max="768" width="11.42578125" style="6"/>
    <col min="769" max="769" width="12.7109375" style="6" customWidth="1"/>
    <col min="770" max="770" width="12.85546875" style="6" customWidth="1"/>
    <col min="771" max="771" width="13.7109375" style="6" customWidth="1"/>
    <col min="772" max="775" width="12.42578125" style="6" customWidth="1"/>
    <col min="776" max="776" width="14" style="6" customWidth="1"/>
    <col min="777" max="777" width="11.85546875" style="6" customWidth="1"/>
    <col min="778" max="779" width="12.42578125" style="6" customWidth="1"/>
    <col min="780" max="1024" width="11.42578125" style="6"/>
    <col min="1025" max="1025" width="12.7109375" style="6" customWidth="1"/>
    <col min="1026" max="1026" width="12.85546875" style="6" customWidth="1"/>
    <col min="1027" max="1027" width="13.7109375" style="6" customWidth="1"/>
    <col min="1028" max="1031" width="12.42578125" style="6" customWidth="1"/>
    <col min="1032" max="1032" width="14" style="6" customWidth="1"/>
    <col min="1033" max="1033" width="11.85546875" style="6" customWidth="1"/>
    <col min="1034" max="1035" width="12.42578125" style="6" customWidth="1"/>
    <col min="1036" max="1280" width="11.42578125" style="6"/>
    <col min="1281" max="1281" width="12.7109375" style="6" customWidth="1"/>
    <col min="1282" max="1282" width="12.85546875" style="6" customWidth="1"/>
    <col min="1283" max="1283" width="13.7109375" style="6" customWidth="1"/>
    <col min="1284" max="1287" width="12.42578125" style="6" customWidth="1"/>
    <col min="1288" max="1288" width="14" style="6" customWidth="1"/>
    <col min="1289" max="1289" width="11.85546875" style="6" customWidth="1"/>
    <col min="1290" max="1291" width="12.42578125" style="6" customWidth="1"/>
    <col min="1292" max="1536" width="11.42578125" style="6"/>
    <col min="1537" max="1537" width="12.7109375" style="6" customWidth="1"/>
    <col min="1538" max="1538" width="12.85546875" style="6" customWidth="1"/>
    <col min="1539" max="1539" width="13.7109375" style="6" customWidth="1"/>
    <col min="1540" max="1543" width="12.42578125" style="6" customWidth="1"/>
    <col min="1544" max="1544" width="14" style="6" customWidth="1"/>
    <col min="1545" max="1545" width="11.85546875" style="6" customWidth="1"/>
    <col min="1546" max="1547" width="12.42578125" style="6" customWidth="1"/>
    <col min="1548" max="1792" width="11.42578125" style="6"/>
    <col min="1793" max="1793" width="12.7109375" style="6" customWidth="1"/>
    <col min="1794" max="1794" width="12.85546875" style="6" customWidth="1"/>
    <col min="1795" max="1795" width="13.7109375" style="6" customWidth="1"/>
    <col min="1796" max="1799" width="12.42578125" style="6" customWidth="1"/>
    <col min="1800" max="1800" width="14" style="6" customWidth="1"/>
    <col min="1801" max="1801" width="11.85546875" style="6" customWidth="1"/>
    <col min="1802" max="1803" width="12.42578125" style="6" customWidth="1"/>
    <col min="1804" max="2048" width="11.42578125" style="6"/>
    <col min="2049" max="2049" width="12.7109375" style="6" customWidth="1"/>
    <col min="2050" max="2050" width="12.85546875" style="6" customWidth="1"/>
    <col min="2051" max="2051" width="13.7109375" style="6" customWidth="1"/>
    <col min="2052" max="2055" width="12.42578125" style="6" customWidth="1"/>
    <col min="2056" max="2056" width="14" style="6" customWidth="1"/>
    <col min="2057" max="2057" width="11.85546875" style="6" customWidth="1"/>
    <col min="2058" max="2059" width="12.42578125" style="6" customWidth="1"/>
    <col min="2060" max="2304" width="11.42578125" style="6"/>
    <col min="2305" max="2305" width="12.7109375" style="6" customWidth="1"/>
    <col min="2306" max="2306" width="12.85546875" style="6" customWidth="1"/>
    <col min="2307" max="2307" width="13.7109375" style="6" customWidth="1"/>
    <col min="2308" max="2311" width="12.42578125" style="6" customWidth="1"/>
    <col min="2312" max="2312" width="14" style="6" customWidth="1"/>
    <col min="2313" max="2313" width="11.85546875" style="6" customWidth="1"/>
    <col min="2314" max="2315" width="12.42578125" style="6" customWidth="1"/>
    <col min="2316" max="2560" width="11.42578125" style="6"/>
    <col min="2561" max="2561" width="12.7109375" style="6" customWidth="1"/>
    <col min="2562" max="2562" width="12.85546875" style="6" customWidth="1"/>
    <col min="2563" max="2563" width="13.7109375" style="6" customWidth="1"/>
    <col min="2564" max="2567" width="12.42578125" style="6" customWidth="1"/>
    <col min="2568" max="2568" width="14" style="6" customWidth="1"/>
    <col min="2569" max="2569" width="11.85546875" style="6" customWidth="1"/>
    <col min="2570" max="2571" width="12.42578125" style="6" customWidth="1"/>
    <col min="2572" max="2816" width="11.42578125" style="6"/>
    <col min="2817" max="2817" width="12.7109375" style="6" customWidth="1"/>
    <col min="2818" max="2818" width="12.85546875" style="6" customWidth="1"/>
    <col min="2819" max="2819" width="13.7109375" style="6" customWidth="1"/>
    <col min="2820" max="2823" width="12.42578125" style="6" customWidth="1"/>
    <col min="2824" max="2824" width="14" style="6" customWidth="1"/>
    <col min="2825" max="2825" width="11.85546875" style="6" customWidth="1"/>
    <col min="2826" max="2827" width="12.42578125" style="6" customWidth="1"/>
    <col min="2828" max="3072" width="11.42578125" style="6"/>
    <col min="3073" max="3073" width="12.7109375" style="6" customWidth="1"/>
    <col min="3074" max="3074" width="12.85546875" style="6" customWidth="1"/>
    <col min="3075" max="3075" width="13.7109375" style="6" customWidth="1"/>
    <col min="3076" max="3079" width="12.42578125" style="6" customWidth="1"/>
    <col min="3080" max="3080" width="14" style="6" customWidth="1"/>
    <col min="3081" max="3081" width="11.85546875" style="6" customWidth="1"/>
    <col min="3082" max="3083" width="12.42578125" style="6" customWidth="1"/>
    <col min="3084" max="3328" width="11.42578125" style="6"/>
    <col min="3329" max="3329" width="12.7109375" style="6" customWidth="1"/>
    <col min="3330" max="3330" width="12.85546875" style="6" customWidth="1"/>
    <col min="3331" max="3331" width="13.7109375" style="6" customWidth="1"/>
    <col min="3332" max="3335" width="12.42578125" style="6" customWidth="1"/>
    <col min="3336" max="3336" width="14" style="6" customWidth="1"/>
    <col min="3337" max="3337" width="11.85546875" style="6" customWidth="1"/>
    <col min="3338" max="3339" width="12.42578125" style="6" customWidth="1"/>
    <col min="3340" max="3584" width="11.42578125" style="6"/>
    <col min="3585" max="3585" width="12.7109375" style="6" customWidth="1"/>
    <col min="3586" max="3586" width="12.85546875" style="6" customWidth="1"/>
    <col min="3587" max="3587" width="13.7109375" style="6" customWidth="1"/>
    <col min="3588" max="3591" width="12.42578125" style="6" customWidth="1"/>
    <col min="3592" max="3592" width="14" style="6" customWidth="1"/>
    <col min="3593" max="3593" width="11.85546875" style="6" customWidth="1"/>
    <col min="3594" max="3595" width="12.42578125" style="6" customWidth="1"/>
    <col min="3596" max="3840" width="11.42578125" style="6"/>
    <col min="3841" max="3841" width="12.7109375" style="6" customWidth="1"/>
    <col min="3842" max="3842" width="12.85546875" style="6" customWidth="1"/>
    <col min="3843" max="3843" width="13.7109375" style="6" customWidth="1"/>
    <col min="3844" max="3847" width="12.42578125" style="6" customWidth="1"/>
    <col min="3848" max="3848" width="14" style="6" customWidth="1"/>
    <col min="3849" max="3849" width="11.85546875" style="6" customWidth="1"/>
    <col min="3850" max="3851" width="12.42578125" style="6" customWidth="1"/>
    <col min="3852" max="4096" width="11.42578125" style="6"/>
    <col min="4097" max="4097" width="12.7109375" style="6" customWidth="1"/>
    <col min="4098" max="4098" width="12.85546875" style="6" customWidth="1"/>
    <col min="4099" max="4099" width="13.7109375" style="6" customWidth="1"/>
    <col min="4100" max="4103" width="12.42578125" style="6" customWidth="1"/>
    <col min="4104" max="4104" width="14" style="6" customWidth="1"/>
    <col min="4105" max="4105" width="11.85546875" style="6" customWidth="1"/>
    <col min="4106" max="4107" width="12.42578125" style="6" customWidth="1"/>
    <col min="4108" max="4352" width="11.42578125" style="6"/>
    <col min="4353" max="4353" width="12.7109375" style="6" customWidth="1"/>
    <col min="4354" max="4354" width="12.85546875" style="6" customWidth="1"/>
    <col min="4355" max="4355" width="13.7109375" style="6" customWidth="1"/>
    <col min="4356" max="4359" width="12.42578125" style="6" customWidth="1"/>
    <col min="4360" max="4360" width="14" style="6" customWidth="1"/>
    <col min="4361" max="4361" width="11.85546875" style="6" customWidth="1"/>
    <col min="4362" max="4363" width="12.42578125" style="6" customWidth="1"/>
    <col min="4364" max="4608" width="11.42578125" style="6"/>
    <col min="4609" max="4609" width="12.7109375" style="6" customWidth="1"/>
    <col min="4610" max="4610" width="12.85546875" style="6" customWidth="1"/>
    <col min="4611" max="4611" width="13.7109375" style="6" customWidth="1"/>
    <col min="4612" max="4615" width="12.42578125" style="6" customWidth="1"/>
    <col min="4616" max="4616" width="14" style="6" customWidth="1"/>
    <col min="4617" max="4617" width="11.85546875" style="6" customWidth="1"/>
    <col min="4618" max="4619" width="12.42578125" style="6" customWidth="1"/>
    <col min="4620" max="4864" width="11.42578125" style="6"/>
    <col min="4865" max="4865" width="12.7109375" style="6" customWidth="1"/>
    <col min="4866" max="4866" width="12.85546875" style="6" customWidth="1"/>
    <col min="4867" max="4867" width="13.7109375" style="6" customWidth="1"/>
    <col min="4868" max="4871" width="12.42578125" style="6" customWidth="1"/>
    <col min="4872" max="4872" width="14" style="6" customWidth="1"/>
    <col min="4873" max="4873" width="11.85546875" style="6" customWidth="1"/>
    <col min="4874" max="4875" width="12.42578125" style="6" customWidth="1"/>
    <col min="4876" max="5120" width="11.42578125" style="6"/>
    <col min="5121" max="5121" width="12.7109375" style="6" customWidth="1"/>
    <col min="5122" max="5122" width="12.85546875" style="6" customWidth="1"/>
    <col min="5123" max="5123" width="13.7109375" style="6" customWidth="1"/>
    <col min="5124" max="5127" width="12.42578125" style="6" customWidth="1"/>
    <col min="5128" max="5128" width="14" style="6" customWidth="1"/>
    <col min="5129" max="5129" width="11.85546875" style="6" customWidth="1"/>
    <col min="5130" max="5131" width="12.42578125" style="6" customWidth="1"/>
    <col min="5132" max="5376" width="11.42578125" style="6"/>
    <col min="5377" max="5377" width="12.7109375" style="6" customWidth="1"/>
    <col min="5378" max="5378" width="12.85546875" style="6" customWidth="1"/>
    <col min="5379" max="5379" width="13.7109375" style="6" customWidth="1"/>
    <col min="5380" max="5383" width="12.42578125" style="6" customWidth="1"/>
    <col min="5384" max="5384" width="14" style="6" customWidth="1"/>
    <col min="5385" max="5385" width="11.85546875" style="6" customWidth="1"/>
    <col min="5386" max="5387" width="12.42578125" style="6" customWidth="1"/>
    <col min="5388" max="5632" width="11.42578125" style="6"/>
    <col min="5633" max="5633" width="12.7109375" style="6" customWidth="1"/>
    <col min="5634" max="5634" width="12.85546875" style="6" customWidth="1"/>
    <col min="5635" max="5635" width="13.7109375" style="6" customWidth="1"/>
    <col min="5636" max="5639" width="12.42578125" style="6" customWidth="1"/>
    <col min="5640" max="5640" width="14" style="6" customWidth="1"/>
    <col min="5641" max="5641" width="11.85546875" style="6" customWidth="1"/>
    <col min="5642" max="5643" width="12.42578125" style="6" customWidth="1"/>
    <col min="5644" max="5888" width="11.42578125" style="6"/>
    <col min="5889" max="5889" width="12.7109375" style="6" customWidth="1"/>
    <col min="5890" max="5890" width="12.85546875" style="6" customWidth="1"/>
    <col min="5891" max="5891" width="13.7109375" style="6" customWidth="1"/>
    <col min="5892" max="5895" width="12.42578125" style="6" customWidth="1"/>
    <col min="5896" max="5896" width="14" style="6" customWidth="1"/>
    <col min="5897" max="5897" width="11.85546875" style="6" customWidth="1"/>
    <col min="5898" max="5899" width="12.42578125" style="6" customWidth="1"/>
    <col min="5900" max="6144" width="11.42578125" style="6"/>
    <col min="6145" max="6145" width="12.7109375" style="6" customWidth="1"/>
    <col min="6146" max="6146" width="12.85546875" style="6" customWidth="1"/>
    <col min="6147" max="6147" width="13.7109375" style="6" customWidth="1"/>
    <col min="6148" max="6151" width="12.42578125" style="6" customWidth="1"/>
    <col min="6152" max="6152" width="14" style="6" customWidth="1"/>
    <col min="6153" max="6153" width="11.85546875" style="6" customWidth="1"/>
    <col min="6154" max="6155" width="12.42578125" style="6" customWidth="1"/>
    <col min="6156" max="6400" width="11.42578125" style="6"/>
    <col min="6401" max="6401" width="12.7109375" style="6" customWidth="1"/>
    <col min="6402" max="6402" width="12.85546875" style="6" customWidth="1"/>
    <col min="6403" max="6403" width="13.7109375" style="6" customWidth="1"/>
    <col min="6404" max="6407" width="12.42578125" style="6" customWidth="1"/>
    <col min="6408" max="6408" width="14" style="6" customWidth="1"/>
    <col min="6409" max="6409" width="11.85546875" style="6" customWidth="1"/>
    <col min="6410" max="6411" width="12.42578125" style="6" customWidth="1"/>
    <col min="6412" max="6656" width="11.42578125" style="6"/>
    <col min="6657" max="6657" width="12.7109375" style="6" customWidth="1"/>
    <col min="6658" max="6658" width="12.85546875" style="6" customWidth="1"/>
    <col min="6659" max="6659" width="13.7109375" style="6" customWidth="1"/>
    <col min="6660" max="6663" width="12.42578125" style="6" customWidth="1"/>
    <col min="6664" max="6664" width="14" style="6" customWidth="1"/>
    <col min="6665" max="6665" width="11.85546875" style="6" customWidth="1"/>
    <col min="6666" max="6667" width="12.42578125" style="6" customWidth="1"/>
    <col min="6668" max="6912" width="11.42578125" style="6"/>
    <col min="6913" max="6913" width="12.7109375" style="6" customWidth="1"/>
    <col min="6914" max="6914" width="12.85546875" style="6" customWidth="1"/>
    <col min="6915" max="6915" width="13.7109375" style="6" customWidth="1"/>
    <col min="6916" max="6919" width="12.42578125" style="6" customWidth="1"/>
    <col min="6920" max="6920" width="14" style="6" customWidth="1"/>
    <col min="6921" max="6921" width="11.85546875" style="6" customWidth="1"/>
    <col min="6922" max="6923" width="12.42578125" style="6" customWidth="1"/>
    <col min="6924" max="7168" width="11.42578125" style="6"/>
    <col min="7169" max="7169" width="12.7109375" style="6" customWidth="1"/>
    <col min="7170" max="7170" width="12.85546875" style="6" customWidth="1"/>
    <col min="7171" max="7171" width="13.7109375" style="6" customWidth="1"/>
    <col min="7172" max="7175" width="12.42578125" style="6" customWidth="1"/>
    <col min="7176" max="7176" width="14" style="6" customWidth="1"/>
    <col min="7177" max="7177" width="11.85546875" style="6" customWidth="1"/>
    <col min="7178" max="7179" width="12.42578125" style="6" customWidth="1"/>
    <col min="7180" max="7424" width="11.42578125" style="6"/>
    <col min="7425" max="7425" width="12.7109375" style="6" customWidth="1"/>
    <col min="7426" max="7426" width="12.85546875" style="6" customWidth="1"/>
    <col min="7427" max="7427" width="13.7109375" style="6" customWidth="1"/>
    <col min="7428" max="7431" width="12.42578125" style="6" customWidth="1"/>
    <col min="7432" max="7432" width="14" style="6" customWidth="1"/>
    <col min="7433" max="7433" width="11.85546875" style="6" customWidth="1"/>
    <col min="7434" max="7435" width="12.42578125" style="6" customWidth="1"/>
    <col min="7436" max="7680" width="11.42578125" style="6"/>
    <col min="7681" max="7681" width="12.7109375" style="6" customWidth="1"/>
    <col min="7682" max="7682" width="12.85546875" style="6" customWidth="1"/>
    <col min="7683" max="7683" width="13.7109375" style="6" customWidth="1"/>
    <col min="7684" max="7687" width="12.42578125" style="6" customWidth="1"/>
    <col min="7688" max="7688" width="14" style="6" customWidth="1"/>
    <col min="7689" max="7689" width="11.85546875" style="6" customWidth="1"/>
    <col min="7690" max="7691" width="12.42578125" style="6" customWidth="1"/>
    <col min="7692" max="7936" width="11.42578125" style="6"/>
    <col min="7937" max="7937" width="12.7109375" style="6" customWidth="1"/>
    <col min="7938" max="7938" width="12.85546875" style="6" customWidth="1"/>
    <col min="7939" max="7939" width="13.7109375" style="6" customWidth="1"/>
    <col min="7940" max="7943" width="12.42578125" style="6" customWidth="1"/>
    <col min="7944" max="7944" width="14" style="6" customWidth="1"/>
    <col min="7945" max="7945" width="11.85546875" style="6" customWidth="1"/>
    <col min="7946" max="7947" width="12.42578125" style="6" customWidth="1"/>
    <col min="7948" max="8192" width="11.42578125" style="6"/>
    <col min="8193" max="8193" width="12.7109375" style="6" customWidth="1"/>
    <col min="8194" max="8194" width="12.85546875" style="6" customWidth="1"/>
    <col min="8195" max="8195" width="13.7109375" style="6" customWidth="1"/>
    <col min="8196" max="8199" width="12.42578125" style="6" customWidth="1"/>
    <col min="8200" max="8200" width="14" style="6" customWidth="1"/>
    <col min="8201" max="8201" width="11.85546875" style="6" customWidth="1"/>
    <col min="8202" max="8203" width="12.42578125" style="6" customWidth="1"/>
    <col min="8204" max="8448" width="11.42578125" style="6"/>
    <col min="8449" max="8449" width="12.7109375" style="6" customWidth="1"/>
    <col min="8450" max="8450" width="12.85546875" style="6" customWidth="1"/>
    <col min="8451" max="8451" width="13.7109375" style="6" customWidth="1"/>
    <col min="8452" max="8455" width="12.42578125" style="6" customWidth="1"/>
    <col min="8456" max="8456" width="14" style="6" customWidth="1"/>
    <col min="8457" max="8457" width="11.85546875" style="6" customWidth="1"/>
    <col min="8458" max="8459" width="12.42578125" style="6" customWidth="1"/>
    <col min="8460" max="8704" width="11.42578125" style="6"/>
    <col min="8705" max="8705" width="12.7109375" style="6" customWidth="1"/>
    <col min="8706" max="8706" width="12.85546875" style="6" customWidth="1"/>
    <col min="8707" max="8707" width="13.7109375" style="6" customWidth="1"/>
    <col min="8708" max="8711" width="12.42578125" style="6" customWidth="1"/>
    <col min="8712" max="8712" width="14" style="6" customWidth="1"/>
    <col min="8713" max="8713" width="11.85546875" style="6" customWidth="1"/>
    <col min="8714" max="8715" width="12.42578125" style="6" customWidth="1"/>
    <col min="8716" max="8960" width="11.42578125" style="6"/>
    <col min="8961" max="8961" width="12.7109375" style="6" customWidth="1"/>
    <col min="8962" max="8962" width="12.85546875" style="6" customWidth="1"/>
    <col min="8963" max="8963" width="13.7109375" style="6" customWidth="1"/>
    <col min="8964" max="8967" width="12.42578125" style="6" customWidth="1"/>
    <col min="8968" max="8968" width="14" style="6" customWidth="1"/>
    <col min="8969" max="8969" width="11.85546875" style="6" customWidth="1"/>
    <col min="8970" max="8971" width="12.42578125" style="6" customWidth="1"/>
    <col min="8972" max="9216" width="11.42578125" style="6"/>
    <col min="9217" max="9217" width="12.7109375" style="6" customWidth="1"/>
    <col min="9218" max="9218" width="12.85546875" style="6" customWidth="1"/>
    <col min="9219" max="9219" width="13.7109375" style="6" customWidth="1"/>
    <col min="9220" max="9223" width="12.42578125" style="6" customWidth="1"/>
    <col min="9224" max="9224" width="14" style="6" customWidth="1"/>
    <col min="9225" max="9225" width="11.85546875" style="6" customWidth="1"/>
    <col min="9226" max="9227" width="12.42578125" style="6" customWidth="1"/>
    <col min="9228" max="9472" width="11.42578125" style="6"/>
    <col min="9473" max="9473" width="12.7109375" style="6" customWidth="1"/>
    <col min="9474" max="9474" width="12.85546875" style="6" customWidth="1"/>
    <col min="9475" max="9475" width="13.7109375" style="6" customWidth="1"/>
    <col min="9476" max="9479" width="12.42578125" style="6" customWidth="1"/>
    <col min="9480" max="9480" width="14" style="6" customWidth="1"/>
    <col min="9481" max="9481" width="11.85546875" style="6" customWidth="1"/>
    <col min="9482" max="9483" width="12.42578125" style="6" customWidth="1"/>
    <col min="9484" max="9728" width="11.42578125" style="6"/>
    <col min="9729" max="9729" width="12.7109375" style="6" customWidth="1"/>
    <col min="9730" max="9730" width="12.85546875" style="6" customWidth="1"/>
    <col min="9731" max="9731" width="13.7109375" style="6" customWidth="1"/>
    <col min="9732" max="9735" width="12.42578125" style="6" customWidth="1"/>
    <col min="9736" max="9736" width="14" style="6" customWidth="1"/>
    <col min="9737" max="9737" width="11.85546875" style="6" customWidth="1"/>
    <col min="9738" max="9739" width="12.42578125" style="6" customWidth="1"/>
    <col min="9740" max="9984" width="11.42578125" style="6"/>
    <col min="9985" max="9985" width="12.7109375" style="6" customWidth="1"/>
    <col min="9986" max="9986" width="12.85546875" style="6" customWidth="1"/>
    <col min="9987" max="9987" width="13.7109375" style="6" customWidth="1"/>
    <col min="9988" max="9991" width="12.42578125" style="6" customWidth="1"/>
    <col min="9992" max="9992" width="14" style="6" customWidth="1"/>
    <col min="9993" max="9993" width="11.85546875" style="6" customWidth="1"/>
    <col min="9994" max="9995" width="12.42578125" style="6" customWidth="1"/>
    <col min="9996" max="10240" width="11.42578125" style="6"/>
    <col min="10241" max="10241" width="12.7109375" style="6" customWidth="1"/>
    <col min="10242" max="10242" width="12.85546875" style="6" customWidth="1"/>
    <col min="10243" max="10243" width="13.7109375" style="6" customWidth="1"/>
    <col min="10244" max="10247" width="12.42578125" style="6" customWidth="1"/>
    <col min="10248" max="10248" width="14" style="6" customWidth="1"/>
    <col min="10249" max="10249" width="11.85546875" style="6" customWidth="1"/>
    <col min="10250" max="10251" width="12.42578125" style="6" customWidth="1"/>
    <col min="10252" max="10496" width="11.42578125" style="6"/>
    <col min="10497" max="10497" width="12.7109375" style="6" customWidth="1"/>
    <col min="10498" max="10498" width="12.85546875" style="6" customWidth="1"/>
    <col min="10499" max="10499" width="13.7109375" style="6" customWidth="1"/>
    <col min="10500" max="10503" width="12.42578125" style="6" customWidth="1"/>
    <col min="10504" max="10504" width="14" style="6" customWidth="1"/>
    <col min="10505" max="10505" width="11.85546875" style="6" customWidth="1"/>
    <col min="10506" max="10507" width="12.42578125" style="6" customWidth="1"/>
    <col min="10508" max="10752" width="11.42578125" style="6"/>
    <col min="10753" max="10753" width="12.7109375" style="6" customWidth="1"/>
    <col min="10754" max="10754" width="12.85546875" style="6" customWidth="1"/>
    <col min="10755" max="10755" width="13.7109375" style="6" customWidth="1"/>
    <col min="10756" max="10759" width="12.42578125" style="6" customWidth="1"/>
    <col min="10760" max="10760" width="14" style="6" customWidth="1"/>
    <col min="10761" max="10761" width="11.85546875" style="6" customWidth="1"/>
    <col min="10762" max="10763" width="12.42578125" style="6" customWidth="1"/>
    <col min="10764" max="11008" width="11.42578125" style="6"/>
    <col min="11009" max="11009" width="12.7109375" style="6" customWidth="1"/>
    <col min="11010" max="11010" width="12.85546875" style="6" customWidth="1"/>
    <col min="11011" max="11011" width="13.7109375" style="6" customWidth="1"/>
    <col min="11012" max="11015" width="12.42578125" style="6" customWidth="1"/>
    <col min="11016" max="11016" width="14" style="6" customWidth="1"/>
    <col min="11017" max="11017" width="11.85546875" style="6" customWidth="1"/>
    <col min="11018" max="11019" width="12.42578125" style="6" customWidth="1"/>
    <col min="11020" max="11264" width="11.42578125" style="6"/>
    <col min="11265" max="11265" width="12.7109375" style="6" customWidth="1"/>
    <col min="11266" max="11266" width="12.85546875" style="6" customWidth="1"/>
    <col min="11267" max="11267" width="13.7109375" style="6" customWidth="1"/>
    <col min="11268" max="11271" width="12.42578125" style="6" customWidth="1"/>
    <col min="11272" max="11272" width="14" style="6" customWidth="1"/>
    <col min="11273" max="11273" width="11.85546875" style="6" customWidth="1"/>
    <col min="11274" max="11275" width="12.42578125" style="6" customWidth="1"/>
    <col min="11276" max="11520" width="11.42578125" style="6"/>
    <col min="11521" max="11521" width="12.7109375" style="6" customWidth="1"/>
    <col min="11522" max="11522" width="12.85546875" style="6" customWidth="1"/>
    <col min="11523" max="11523" width="13.7109375" style="6" customWidth="1"/>
    <col min="11524" max="11527" width="12.42578125" style="6" customWidth="1"/>
    <col min="11528" max="11528" width="14" style="6" customWidth="1"/>
    <col min="11529" max="11529" width="11.85546875" style="6" customWidth="1"/>
    <col min="11530" max="11531" width="12.42578125" style="6" customWidth="1"/>
    <col min="11532" max="11776" width="11.42578125" style="6"/>
    <col min="11777" max="11777" width="12.7109375" style="6" customWidth="1"/>
    <col min="11778" max="11778" width="12.85546875" style="6" customWidth="1"/>
    <col min="11779" max="11779" width="13.7109375" style="6" customWidth="1"/>
    <col min="11780" max="11783" width="12.42578125" style="6" customWidth="1"/>
    <col min="11784" max="11784" width="14" style="6" customWidth="1"/>
    <col min="11785" max="11785" width="11.85546875" style="6" customWidth="1"/>
    <col min="11786" max="11787" width="12.42578125" style="6" customWidth="1"/>
    <col min="11788" max="12032" width="11.42578125" style="6"/>
    <col min="12033" max="12033" width="12.7109375" style="6" customWidth="1"/>
    <col min="12034" max="12034" width="12.85546875" style="6" customWidth="1"/>
    <col min="12035" max="12035" width="13.7109375" style="6" customWidth="1"/>
    <col min="12036" max="12039" width="12.42578125" style="6" customWidth="1"/>
    <col min="12040" max="12040" width="14" style="6" customWidth="1"/>
    <col min="12041" max="12041" width="11.85546875" style="6" customWidth="1"/>
    <col min="12042" max="12043" width="12.42578125" style="6" customWidth="1"/>
    <col min="12044" max="12288" width="11.42578125" style="6"/>
    <col min="12289" max="12289" width="12.7109375" style="6" customWidth="1"/>
    <col min="12290" max="12290" width="12.85546875" style="6" customWidth="1"/>
    <col min="12291" max="12291" width="13.7109375" style="6" customWidth="1"/>
    <col min="12292" max="12295" width="12.42578125" style="6" customWidth="1"/>
    <col min="12296" max="12296" width="14" style="6" customWidth="1"/>
    <col min="12297" max="12297" width="11.85546875" style="6" customWidth="1"/>
    <col min="12298" max="12299" width="12.42578125" style="6" customWidth="1"/>
    <col min="12300" max="12544" width="11.42578125" style="6"/>
    <col min="12545" max="12545" width="12.7109375" style="6" customWidth="1"/>
    <col min="12546" max="12546" width="12.85546875" style="6" customWidth="1"/>
    <col min="12547" max="12547" width="13.7109375" style="6" customWidth="1"/>
    <col min="12548" max="12551" width="12.42578125" style="6" customWidth="1"/>
    <col min="12552" max="12552" width="14" style="6" customWidth="1"/>
    <col min="12553" max="12553" width="11.85546875" style="6" customWidth="1"/>
    <col min="12554" max="12555" width="12.42578125" style="6" customWidth="1"/>
    <col min="12556" max="12800" width="11.42578125" style="6"/>
    <col min="12801" max="12801" width="12.7109375" style="6" customWidth="1"/>
    <col min="12802" max="12802" width="12.85546875" style="6" customWidth="1"/>
    <col min="12803" max="12803" width="13.7109375" style="6" customWidth="1"/>
    <col min="12804" max="12807" width="12.42578125" style="6" customWidth="1"/>
    <col min="12808" max="12808" width="14" style="6" customWidth="1"/>
    <col min="12809" max="12809" width="11.85546875" style="6" customWidth="1"/>
    <col min="12810" max="12811" width="12.42578125" style="6" customWidth="1"/>
    <col min="12812" max="13056" width="11.42578125" style="6"/>
    <col min="13057" max="13057" width="12.7109375" style="6" customWidth="1"/>
    <col min="13058" max="13058" width="12.85546875" style="6" customWidth="1"/>
    <col min="13059" max="13059" width="13.7109375" style="6" customWidth="1"/>
    <col min="13060" max="13063" width="12.42578125" style="6" customWidth="1"/>
    <col min="13064" max="13064" width="14" style="6" customWidth="1"/>
    <col min="13065" max="13065" width="11.85546875" style="6" customWidth="1"/>
    <col min="13066" max="13067" width="12.42578125" style="6" customWidth="1"/>
    <col min="13068" max="13312" width="11.42578125" style="6"/>
    <col min="13313" max="13313" width="12.7109375" style="6" customWidth="1"/>
    <col min="13314" max="13314" width="12.85546875" style="6" customWidth="1"/>
    <col min="13315" max="13315" width="13.7109375" style="6" customWidth="1"/>
    <col min="13316" max="13319" width="12.42578125" style="6" customWidth="1"/>
    <col min="13320" max="13320" width="14" style="6" customWidth="1"/>
    <col min="13321" max="13321" width="11.85546875" style="6" customWidth="1"/>
    <col min="13322" max="13323" width="12.42578125" style="6" customWidth="1"/>
    <col min="13324" max="13568" width="11.42578125" style="6"/>
    <col min="13569" max="13569" width="12.7109375" style="6" customWidth="1"/>
    <col min="13570" max="13570" width="12.85546875" style="6" customWidth="1"/>
    <col min="13571" max="13571" width="13.7109375" style="6" customWidth="1"/>
    <col min="13572" max="13575" width="12.42578125" style="6" customWidth="1"/>
    <col min="13576" max="13576" width="14" style="6" customWidth="1"/>
    <col min="13577" max="13577" width="11.85546875" style="6" customWidth="1"/>
    <col min="13578" max="13579" width="12.42578125" style="6" customWidth="1"/>
    <col min="13580" max="13824" width="11.42578125" style="6"/>
    <col min="13825" max="13825" width="12.7109375" style="6" customWidth="1"/>
    <col min="13826" max="13826" width="12.85546875" style="6" customWidth="1"/>
    <col min="13827" max="13827" width="13.7109375" style="6" customWidth="1"/>
    <col min="13828" max="13831" width="12.42578125" style="6" customWidth="1"/>
    <col min="13832" max="13832" width="14" style="6" customWidth="1"/>
    <col min="13833" max="13833" width="11.85546875" style="6" customWidth="1"/>
    <col min="13834" max="13835" width="12.42578125" style="6" customWidth="1"/>
    <col min="13836" max="14080" width="11.42578125" style="6"/>
    <col min="14081" max="14081" width="12.7109375" style="6" customWidth="1"/>
    <col min="14082" max="14082" width="12.85546875" style="6" customWidth="1"/>
    <col min="14083" max="14083" width="13.7109375" style="6" customWidth="1"/>
    <col min="14084" max="14087" width="12.42578125" style="6" customWidth="1"/>
    <col min="14088" max="14088" width="14" style="6" customWidth="1"/>
    <col min="14089" max="14089" width="11.85546875" style="6" customWidth="1"/>
    <col min="14090" max="14091" width="12.42578125" style="6" customWidth="1"/>
    <col min="14092" max="14336" width="11.42578125" style="6"/>
    <col min="14337" max="14337" width="12.7109375" style="6" customWidth="1"/>
    <col min="14338" max="14338" width="12.85546875" style="6" customWidth="1"/>
    <col min="14339" max="14339" width="13.7109375" style="6" customWidth="1"/>
    <col min="14340" max="14343" width="12.42578125" style="6" customWidth="1"/>
    <col min="14344" max="14344" width="14" style="6" customWidth="1"/>
    <col min="14345" max="14345" width="11.85546875" style="6" customWidth="1"/>
    <col min="14346" max="14347" width="12.42578125" style="6" customWidth="1"/>
    <col min="14348" max="14592" width="11.42578125" style="6"/>
    <col min="14593" max="14593" width="12.7109375" style="6" customWidth="1"/>
    <col min="14594" max="14594" width="12.85546875" style="6" customWidth="1"/>
    <col min="14595" max="14595" width="13.7109375" style="6" customWidth="1"/>
    <col min="14596" max="14599" width="12.42578125" style="6" customWidth="1"/>
    <col min="14600" max="14600" width="14" style="6" customWidth="1"/>
    <col min="14601" max="14601" width="11.85546875" style="6" customWidth="1"/>
    <col min="14602" max="14603" width="12.42578125" style="6" customWidth="1"/>
    <col min="14604" max="14848" width="11.42578125" style="6"/>
    <col min="14849" max="14849" width="12.7109375" style="6" customWidth="1"/>
    <col min="14850" max="14850" width="12.85546875" style="6" customWidth="1"/>
    <col min="14851" max="14851" width="13.7109375" style="6" customWidth="1"/>
    <col min="14852" max="14855" width="12.42578125" style="6" customWidth="1"/>
    <col min="14856" max="14856" width="14" style="6" customWidth="1"/>
    <col min="14857" max="14857" width="11.85546875" style="6" customWidth="1"/>
    <col min="14858" max="14859" width="12.42578125" style="6" customWidth="1"/>
    <col min="14860" max="15104" width="11.42578125" style="6"/>
    <col min="15105" max="15105" width="12.7109375" style="6" customWidth="1"/>
    <col min="15106" max="15106" width="12.85546875" style="6" customWidth="1"/>
    <col min="15107" max="15107" width="13.7109375" style="6" customWidth="1"/>
    <col min="15108" max="15111" width="12.42578125" style="6" customWidth="1"/>
    <col min="15112" max="15112" width="14" style="6" customWidth="1"/>
    <col min="15113" max="15113" width="11.85546875" style="6" customWidth="1"/>
    <col min="15114" max="15115" width="12.42578125" style="6" customWidth="1"/>
    <col min="15116" max="15360" width="11.42578125" style="6"/>
    <col min="15361" max="15361" width="12.7109375" style="6" customWidth="1"/>
    <col min="15362" max="15362" width="12.85546875" style="6" customWidth="1"/>
    <col min="15363" max="15363" width="13.7109375" style="6" customWidth="1"/>
    <col min="15364" max="15367" width="12.42578125" style="6" customWidth="1"/>
    <col min="15368" max="15368" width="14" style="6" customWidth="1"/>
    <col min="15369" max="15369" width="11.85546875" style="6" customWidth="1"/>
    <col min="15370" max="15371" width="12.42578125" style="6" customWidth="1"/>
    <col min="15372" max="15616" width="11.42578125" style="6"/>
    <col min="15617" max="15617" width="12.7109375" style="6" customWidth="1"/>
    <col min="15618" max="15618" width="12.85546875" style="6" customWidth="1"/>
    <col min="15619" max="15619" width="13.7109375" style="6" customWidth="1"/>
    <col min="15620" max="15623" width="12.42578125" style="6" customWidth="1"/>
    <col min="15624" max="15624" width="14" style="6" customWidth="1"/>
    <col min="15625" max="15625" width="11.85546875" style="6" customWidth="1"/>
    <col min="15626" max="15627" width="12.42578125" style="6" customWidth="1"/>
    <col min="15628" max="15872" width="11.42578125" style="6"/>
    <col min="15873" max="15873" width="12.7109375" style="6" customWidth="1"/>
    <col min="15874" max="15874" width="12.85546875" style="6" customWidth="1"/>
    <col min="15875" max="15875" width="13.7109375" style="6" customWidth="1"/>
    <col min="15876" max="15879" width="12.42578125" style="6" customWidth="1"/>
    <col min="15880" max="15880" width="14" style="6" customWidth="1"/>
    <col min="15881" max="15881" width="11.85546875" style="6" customWidth="1"/>
    <col min="15882" max="15883" width="12.42578125" style="6" customWidth="1"/>
    <col min="15884" max="16128" width="11.42578125" style="6"/>
    <col min="16129" max="16129" width="12.7109375" style="6" customWidth="1"/>
    <col min="16130" max="16130" width="12.85546875" style="6" customWidth="1"/>
    <col min="16131" max="16131" width="13.7109375" style="6" customWidth="1"/>
    <col min="16132" max="16135" width="12.42578125" style="6" customWidth="1"/>
    <col min="16136" max="16136" width="14" style="6" customWidth="1"/>
    <col min="16137" max="16137" width="11.85546875" style="6" customWidth="1"/>
    <col min="16138" max="16139" width="12.42578125" style="6" customWidth="1"/>
    <col min="16140" max="16384" width="11.42578125" style="6"/>
  </cols>
  <sheetData>
    <row r="1" spans="1:25" ht="15" customHeight="1" x14ac:dyDescent="0.2">
      <c r="A1" s="25"/>
      <c r="B1" s="26"/>
      <c r="C1" s="27" t="s">
        <v>116</v>
      </c>
      <c r="D1" s="28"/>
      <c r="E1" s="749" t="s">
        <v>117</v>
      </c>
      <c r="F1" s="750"/>
      <c r="G1" s="750"/>
      <c r="H1" s="751"/>
      <c r="I1" s="29"/>
      <c r="J1" s="26"/>
      <c r="K1" s="30"/>
    </row>
    <row r="2" spans="1:25" ht="40.5" customHeight="1" x14ac:dyDescent="0.2">
      <c r="A2" s="31"/>
      <c r="B2" s="32"/>
      <c r="C2" s="33"/>
      <c r="D2" s="34"/>
      <c r="E2" s="752"/>
      <c r="F2" s="753"/>
      <c r="G2" s="753"/>
      <c r="H2" s="754"/>
      <c r="I2" s="35"/>
      <c r="J2" s="36"/>
      <c r="K2" s="37"/>
    </row>
    <row r="3" spans="1:25" ht="15" customHeight="1" x14ac:dyDescent="0.2">
      <c r="A3" s="755" t="s">
        <v>237</v>
      </c>
      <c r="B3" s="756"/>
      <c r="C3" s="756"/>
      <c r="D3" s="757"/>
      <c r="E3" s="38" t="s">
        <v>119</v>
      </c>
      <c r="F3" s="369" t="s">
        <v>238</v>
      </c>
      <c r="G3" s="39"/>
      <c r="H3" s="40"/>
      <c r="I3" s="41" t="s">
        <v>121</v>
      </c>
      <c r="J3" s="758">
        <v>2007</v>
      </c>
      <c r="K3" s="759"/>
    </row>
    <row r="4" spans="1:25" x14ac:dyDescent="0.2">
      <c r="A4" s="160"/>
      <c r="B4" s="160"/>
      <c r="C4" s="160"/>
      <c r="D4" s="76"/>
      <c r="E4" s="76"/>
      <c r="F4" s="76"/>
      <c r="G4" s="76"/>
      <c r="H4" s="76"/>
      <c r="I4" s="76"/>
      <c r="J4" s="161"/>
      <c r="K4" s="161"/>
    </row>
    <row r="5" spans="1:25" ht="25.5" x14ac:dyDescent="0.35">
      <c r="A5" s="76"/>
      <c r="B5" s="76"/>
      <c r="C5" s="355" t="s">
        <v>681</v>
      </c>
      <c r="D5"/>
      <c r="F5" s="6"/>
      <c r="G5" s="358">
        <f>G6*G7*hsrf2tunl!F37^0.5</f>
        <v>6.0539947990571328</v>
      </c>
      <c r="H5" s="355" t="s">
        <v>1</v>
      </c>
      <c r="I5"/>
      <c r="J5" s="161"/>
      <c r="K5" s="161"/>
      <c r="N5" s="492" t="s">
        <v>751</v>
      </c>
      <c r="O5" s="492" t="s">
        <v>752</v>
      </c>
    </row>
    <row r="6" spans="1:25" ht="15" x14ac:dyDescent="0.25">
      <c r="A6" s="76"/>
      <c r="B6" s="76"/>
      <c r="C6" s="356" t="s">
        <v>651</v>
      </c>
      <c r="D6"/>
      <c r="F6" s="6"/>
      <c r="G6" s="355">
        <v>0.8</v>
      </c>
      <c r="H6" s="355"/>
      <c r="I6" s="5" t="s">
        <v>720</v>
      </c>
      <c r="J6" s="161"/>
      <c r="K6" s="161"/>
      <c r="N6" s="493" t="s">
        <v>753</v>
      </c>
      <c r="O6" s="493">
        <f>iohsrf2!B31</f>
        <v>2</v>
      </c>
    </row>
    <row r="7" spans="1:25" ht="18" x14ac:dyDescent="0.35">
      <c r="A7" s="76"/>
      <c r="B7" s="76"/>
      <c r="C7" s="356" t="s">
        <v>682</v>
      </c>
      <c r="D7"/>
      <c r="F7" s="6"/>
      <c r="G7" s="358">
        <f>C19/(F187^2)</f>
        <v>1.6854176000000001</v>
      </c>
      <c r="H7" s="355" t="s">
        <v>3</v>
      </c>
      <c r="I7" s="5" t="s">
        <v>684</v>
      </c>
      <c r="J7" s="161"/>
      <c r="K7" s="161"/>
      <c r="N7" s="493"/>
      <c r="O7" s="493"/>
    </row>
    <row r="8" spans="1:25" s="47" customFormat="1" ht="15" x14ac:dyDescent="0.25">
      <c r="A8" s="162"/>
      <c r="B8" s="163"/>
      <c r="C8" s="357"/>
      <c r="D8" s="319"/>
      <c r="G8" s="359"/>
      <c r="H8" s="355"/>
      <c r="I8"/>
      <c r="J8" s="162"/>
      <c r="K8" s="162"/>
      <c r="N8" s="493" t="s">
        <v>754</v>
      </c>
      <c r="O8" s="493">
        <f>iohsrf2!B32</f>
        <v>3</v>
      </c>
      <c r="P8" s="494"/>
      <c r="Q8" s="494"/>
      <c r="R8" s="494"/>
      <c r="S8" s="494"/>
      <c r="T8" s="494"/>
      <c r="U8" s="494"/>
      <c r="V8" s="494"/>
      <c r="W8" s="494"/>
      <c r="X8" s="494"/>
      <c r="Y8" s="494"/>
    </row>
    <row r="10" spans="1:25" ht="15" customHeight="1" x14ac:dyDescent="0.25">
      <c r="A10" s="21" t="s">
        <v>239</v>
      </c>
      <c r="D10"/>
      <c r="E10"/>
      <c r="F10"/>
      <c r="G10"/>
    </row>
    <row r="11" spans="1:25" ht="15" customHeight="1" x14ac:dyDescent="0.2">
      <c r="A11" s="21"/>
      <c r="B11" s="6" t="s">
        <v>59</v>
      </c>
    </row>
    <row r="12" spans="1:25" ht="15" customHeight="1" x14ac:dyDescent="0.3">
      <c r="B12" s="11" t="s">
        <v>60</v>
      </c>
      <c r="C12" s="164">
        <f>hsrf2pwh!B9</f>
        <v>2</v>
      </c>
      <c r="D12" s="6" t="s">
        <v>61</v>
      </c>
      <c r="E12" s="11" t="s">
        <v>62</v>
      </c>
      <c r="J12" s="537" t="s">
        <v>897</v>
      </c>
    </row>
    <row r="13" spans="1:25" ht="15" customHeight="1" x14ac:dyDescent="0.3">
      <c r="B13" s="11" t="s">
        <v>63</v>
      </c>
      <c r="C13" s="165">
        <f>C12</f>
        <v>2</v>
      </c>
      <c r="D13" s="6" t="s">
        <v>61</v>
      </c>
      <c r="E13" s="11" t="s">
        <v>64</v>
      </c>
      <c r="J13" s="5" t="s">
        <v>714</v>
      </c>
    </row>
    <row r="14" spans="1:25" ht="15" customHeight="1" x14ac:dyDescent="0.3">
      <c r="B14" s="9" t="s">
        <v>65</v>
      </c>
      <c r="C14" s="166">
        <f>hsrf2tunl!F37</f>
        <v>20.159932032420912</v>
      </c>
      <c r="D14" s="6" t="s">
        <v>1</v>
      </c>
      <c r="E14" s="11" t="s">
        <v>66</v>
      </c>
      <c r="J14" s="5" t="s">
        <v>898</v>
      </c>
    </row>
    <row r="15" spans="1:25" ht="15" customHeight="1" x14ac:dyDescent="0.3">
      <c r="B15" s="9" t="s">
        <v>67</v>
      </c>
      <c r="C15" s="166">
        <f>iohsrf2!B25</f>
        <v>1548</v>
      </c>
      <c r="D15" s="12" t="s">
        <v>1</v>
      </c>
      <c r="E15" s="11" t="s">
        <v>48</v>
      </c>
      <c r="J15" s="5" t="s">
        <v>713</v>
      </c>
    </row>
    <row r="16" spans="1:25" ht="15" customHeight="1" x14ac:dyDescent="0.3">
      <c r="B16" s="562" t="s">
        <v>53</v>
      </c>
      <c r="C16" s="166">
        <f>iohsrf2!B26-G5-hsrf2tunl!F37</f>
        <v>1511.7860731685219</v>
      </c>
      <c r="D16" s="12" t="s">
        <v>1</v>
      </c>
      <c r="E16" s="11" t="s">
        <v>54</v>
      </c>
      <c r="J16" s="5" t="s">
        <v>1249</v>
      </c>
    </row>
    <row r="17" spans="1:10" ht="15" customHeight="1" x14ac:dyDescent="0.25">
      <c r="B17" s="6" t="s">
        <v>68</v>
      </c>
      <c r="C17"/>
      <c r="D17" s="12"/>
      <c r="E17"/>
      <c r="J17" s="5"/>
    </row>
    <row r="18" spans="1:10" ht="15" customHeight="1" x14ac:dyDescent="0.3">
      <c r="B18" s="11" t="s">
        <v>55</v>
      </c>
      <c r="C18" s="167"/>
      <c r="D18" s="12" t="s">
        <v>1</v>
      </c>
      <c r="E18" s="11" t="s">
        <v>69</v>
      </c>
      <c r="J18" s="352"/>
    </row>
    <row r="19" spans="1:10" ht="15" customHeight="1" x14ac:dyDescent="0.3">
      <c r="A19" s="168"/>
      <c r="B19" s="562" t="s">
        <v>70</v>
      </c>
      <c r="C19" s="167">
        <f>hsrf2pwh!C16*hsrf2pwh!B9</f>
        <v>684.99224053098374</v>
      </c>
      <c r="D19" s="6" t="s">
        <v>0</v>
      </c>
      <c r="E19" s="6" t="s">
        <v>71</v>
      </c>
      <c r="J19" s="5" t="s">
        <v>721</v>
      </c>
    </row>
    <row r="20" spans="1:10" ht="15" customHeight="1" x14ac:dyDescent="0.3">
      <c r="A20" s="168"/>
      <c r="B20" s="562" t="s">
        <v>72</v>
      </c>
      <c r="C20" s="166">
        <f>IF(iohsrf2!B29=1,iohsrf2!B30,VLOOKUP(iohsrf2!B33,N6:O8,2,FALSE))</f>
        <v>1</v>
      </c>
      <c r="D20" s="6" t="s">
        <v>1</v>
      </c>
      <c r="E20" s="11" t="s">
        <v>73</v>
      </c>
      <c r="J20" s="5" t="s">
        <v>713</v>
      </c>
    </row>
    <row r="21" spans="1:10" ht="15" customHeight="1" x14ac:dyDescent="0.2">
      <c r="A21" s="168"/>
      <c r="B21" s="11"/>
    </row>
    <row r="22" spans="1:10" ht="15" customHeight="1" x14ac:dyDescent="0.25">
      <c r="A22"/>
      <c r="B22"/>
      <c r="C22"/>
      <c r="D22"/>
      <c r="E22"/>
    </row>
    <row r="23" spans="1:10" ht="15" customHeight="1" x14ac:dyDescent="0.2"/>
    <row r="24" spans="1:10" ht="15" customHeight="1" x14ac:dyDescent="0.2"/>
    <row r="25" spans="1:10" ht="15" customHeight="1" x14ac:dyDescent="0.2"/>
    <row r="26" spans="1:10" ht="15" customHeight="1" x14ac:dyDescent="0.2"/>
    <row r="27" spans="1:10" ht="15" customHeight="1" x14ac:dyDescent="0.2"/>
    <row r="28" spans="1:10" ht="15" customHeight="1" x14ac:dyDescent="0.2"/>
    <row r="29" spans="1:10" ht="15" customHeight="1" x14ac:dyDescent="0.2"/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spans="1:9" ht="15" customHeight="1" x14ac:dyDescent="0.2">
      <c r="A65" s="21" t="s">
        <v>240</v>
      </c>
      <c r="B65" s="21"/>
    </row>
    <row r="66" spans="1:9" ht="15" customHeight="1" x14ac:dyDescent="0.2">
      <c r="A66" s="21"/>
      <c r="B66" s="21"/>
    </row>
    <row r="67" spans="1:9" ht="15" customHeight="1" x14ac:dyDescent="0.5">
      <c r="A67" s="21"/>
      <c r="B67" s="55" t="s">
        <v>241</v>
      </c>
    </row>
    <row r="68" spans="1:9" ht="15" customHeight="1" x14ac:dyDescent="0.2">
      <c r="A68" s="21"/>
      <c r="B68" s="21"/>
    </row>
    <row r="69" spans="1:9" ht="15" customHeight="1" x14ac:dyDescent="0.2">
      <c r="A69" s="21"/>
      <c r="B69" s="21"/>
    </row>
    <row r="70" spans="1:9" ht="15" customHeight="1" x14ac:dyDescent="0.2">
      <c r="A70" s="21"/>
      <c r="B70" s="21"/>
      <c r="D70" s="21">
        <f>C12/C13</f>
        <v>1</v>
      </c>
      <c r="E70" s="21" t="s">
        <v>61</v>
      </c>
    </row>
    <row r="71" spans="1:9" ht="15" customHeight="1" x14ac:dyDescent="0.2">
      <c r="A71" s="21"/>
      <c r="B71" s="21"/>
    </row>
    <row r="72" spans="1:9" ht="15" customHeight="1" x14ac:dyDescent="0.5">
      <c r="B72" s="55" t="s">
        <v>242</v>
      </c>
    </row>
    <row r="73" spans="1:9" ht="15" customHeight="1" x14ac:dyDescent="0.2">
      <c r="B73" s="9"/>
      <c r="E73" s="170">
        <f>C15-C16+D76+2.5</f>
        <v>40.713926831478148</v>
      </c>
      <c r="F73" s="21" t="s">
        <v>1</v>
      </c>
    </row>
    <row r="74" spans="1:9" ht="15" customHeight="1" x14ac:dyDescent="0.5">
      <c r="B74" s="169"/>
      <c r="C74" s="11"/>
      <c r="H74" s="171"/>
    </row>
    <row r="75" spans="1:9" ht="15" customHeight="1" x14ac:dyDescent="0.2"/>
    <row r="76" spans="1:9" ht="15" customHeight="1" x14ac:dyDescent="0.3">
      <c r="B76" s="10" t="s">
        <v>128</v>
      </c>
      <c r="C76" s="10" t="s">
        <v>243</v>
      </c>
      <c r="D76" s="8">
        <f>iohsrf2!B27-iohsrf2!B25</f>
        <v>2</v>
      </c>
      <c r="E76" s="6" t="s">
        <v>244</v>
      </c>
    </row>
    <row r="77" spans="1:9" ht="15" customHeight="1" x14ac:dyDescent="0.2"/>
    <row r="78" spans="1:9" ht="15" customHeight="1" x14ac:dyDescent="0.5">
      <c r="B78" s="55" t="s">
        <v>245</v>
      </c>
      <c r="C78" s="9"/>
      <c r="E78" s="58"/>
      <c r="F78" s="21"/>
      <c r="G78"/>
    </row>
    <row r="79" spans="1:9" ht="15" customHeight="1" x14ac:dyDescent="0.25">
      <c r="F79" s="81"/>
      <c r="G79" s="116"/>
      <c r="H79" s="68"/>
      <c r="I79" s="172"/>
    </row>
    <row r="80" spans="1:9" ht="15" customHeight="1" x14ac:dyDescent="0.2">
      <c r="E80" s="173">
        <f>1.2*C14+1.2</f>
        <v>25.391918438905094</v>
      </c>
      <c r="F80" s="174" t="s">
        <v>1</v>
      </c>
    </row>
    <row r="81" spans="1:9" ht="15" customHeight="1" x14ac:dyDescent="0.5">
      <c r="B81" s="55"/>
      <c r="G81" s="53"/>
    </row>
    <row r="82" spans="1:9" ht="15" customHeight="1" x14ac:dyDescent="0.5">
      <c r="B82" s="55" t="s">
        <v>246</v>
      </c>
      <c r="C82" s="11"/>
    </row>
    <row r="83" spans="1:9" ht="15" customHeight="1" x14ac:dyDescent="0.25">
      <c r="A83" s="175"/>
      <c r="B83" s="175"/>
      <c r="C83" s="175"/>
      <c r="D83" s="176"/>
      <c r="E83" s="173"/>
      <c r="F83" s="173"/>
      <c r="G83" s="177"/>
      <c r="H83" s="175"/>
    </row>
    <row r="84" spans="1:9" ht="15" customHeight="1" x14ac:dyDescent="0.2">
      <c r="A84" s="175"/>
      <c r="B84" s="175"/>
      <c r="D84" s="175"/>
      <c r="E84" s="48">
        <f>D70*E80+2*2</f>
        <v>29.391918438905094</v>
      </c>
      <c r="F84" s="57" t="s">
        <v>1</v>
      </c>
      <c r="G84" s="175"/>
      <c r="H84" s="171"/>
    </row>
    <row r="85" spans="1:9" ht="15" customHeight="1" x14ac:dyDescent="0.2">
      <c r="A85" s="175"/>
      <c r="B85" s="175"/>
      <c r="C85" s="178"/>
      <c r="D85" s="175"/>
      <c r="E85" s="175"/>
      <c r="F85" s="179"/>
      <c r="G85" s="175"/>
      <c r="H85" s="175"/>
    </row>
    <row r="86" spans="1:9" ht="15" customHeight="1" x14ac:dyDescent="0.5">
      <c r="A86" s="175"/>
      <c r="B86" s="55" t="s">
        <v>247</v>
      </c>
      <c r="C86" s="175"/>
      <c r="D86" s="180"/>
      <c r="E86"/>
      <c r="F86"/>
      <c r="G86" s="175"/>
      <c r="H86" s="175"/>
    </row>
    <row r="87" spans="1:9" ht="15" customHeight="1" x14ac:dyDescent="0.2">
      <c r="A87" s="175"/>
      <c r="B87" s="175"/>
      <c r="C87" s="175"/>
      <c r="D87" s="175"/>
      <c r="E87" s="175"/>
      <c r="F87" s="181"/>
      <c r="G87" s="175"/>
      <c r="H87" s="175"/>
    </row>
    <row r="88" spans="1:9" ht="15" customHeight="1" x14ac:dyDescent="0.2">
      <c r="A88" s="175"/>
      <c r="B88" s="175"/>
      <c r="D88" s="175"/>
      <c r="E88" s="350">
        <f>iohsrf2!B28+0.2*E73</f>
        <v>12.14278536629563</v>
      </c>
      <c r="F88" s="174" t="s">
        <v>1</v>
      </c>
      <c r="G88" s="175"/>
      <c r="H88" s="171"/>
    </row>
    <row r="89" spans="1:9" ht="15" customHeight="1" x14ac:dyDescent="0.2">
      <c r="F89" s="377" t="s">
        <v>916</v>
      </c>
    </row>
    <row r="90" spans="1:9" ht="15" customHeight="1" x14ac:dyDescent="0.2"/>
    <row r="91" spans="1:9" ht="15" customHeight="1" x14ac:dyDescent="0.25">
      <c r="A91" s="21" t="s">
        <v>248</v>
      </c>
      <c r="B91"/>
    </row>
    <row r="92" spans="1:9" ht="15" customHeight="1" x14ac:dyDescent="0.25">
      <c r="A92" s="21"/>
      <c r="B92"/>
    </row>
    <row r="93" spans="1:9" ht="15" customHeight="1" x14ac:dyDescent="0.2">
      <c r="A93" s="81" t="s">
        <v>249</v>
      </c>
      <c r="B93" s="6" t="s">
        <v>250</v>
      </c>
    </row>
    <row r="94" spans="1:9" ht="15" customHeight="1" x14ac:dyDescent="0.5">
      <c r="B94" s="169" t="s">
        <v>251</v>
      </c>
      <c r="C94"/>
    </row>
    <row r="95" spans="1:9" ht="15" customHeight="1" x14ac:dyDescent="0.5">
      <c r="B95" s="169"/>
    </row>
    <row r="96" spans="1:9" ht="15" customHeight="1" x14ac:dyDescent="0.5">
      <c r="B96" s="169"/>
      <c r="E96" s="82">
        <f>E84*E88*C20</f>
        <v>356.89975710729146</v>
      </c>
      <c r="F96" s="57" t="s">
        <v>102</v>
      </c>
      <c r="G96" s="182"/>
      <c r="H96" s="60"/>
      <c r="I96" s="61"/>
    </row>
    <row r="97" spans="2:10" ht="15" customHeight="1" x14ac:dyDescent="0.2"/>
    <row r="98" spans="2:10" ht="15" customHeight="1" x14ac:dyDescent="0.5">
      <c r="B98" s="169" t="s">
        <v>252</v>
      </c>
      <c r="C98"/>
    </row>
    <row r="99" spans="2:10" ht="15" customHeight="1" x14ac:dyDescent="0.2"/>
    <row r="100" spans="2:10" ht="15" customHeight="1" x14ac:dyDescent="0.2">
      <c r="F100" s="82">
        <f>E88*(C18-C20-(C16-2.5))*E84</f>
        <v>-539020.73267637054</v>
      </c>
      <c r="G100" s="57" t="s">
        <v>102</v>
      </c>
      <c r="H100" s="182"/>
      <c r="I100" s="60"/>
      <c r="J100" s="61"/>
    </row>
    <row r="101" spans="2:10" ht="15" customHeight="1" x14ac:dyDescent="0.2">
      <c r="F101" s="82"/>
      <c r="G101" s="57"/>
      <c r="H101" s="11"/>
    </row>
    <row r="102" spans="2:10" ht="15" customHeight="1" x14ac:dyDescent="0.5">
      <c r="B102" s="169" t="s">
        <v>253</v>
      </c>
    </row>
    <row r="103" spans="2:10" ht="15" customHeight="1" x14ac:dyDescent="0.5">
      <c r="B103" s="169"/>
      <c r="C103" s="6" t="s">
        <v>254</v>
      </c>
      <c r="G103" s="21"/>
    </row>
    <row r="104" spans="2:10" ht="15" customHeight="1" x14ac:dyDescent="0.5">
      <c r="B104" s="169"/>
      <c r="D104" s="82">
        <f>E84*E88</f>
        <v>356.89975710729146</v>
      </c>
      <c r="E104" s="93" t="s">
        <v>255</v>
      </c>
      <c r="F104" s="182"/>
      <c r="G104" s="60"/>
      <c r="H104" s="61"/>
    </row>
    <row r="105" spans="2:10" ht="15" customHeight="1" x14ac:dyDescent="0.5">
      <c r="B105" s="169"/>
      <c r="E105" s="82"/>
      <c r="F105" s="93"/>
      <c r="H105"/>
    </row>
    <row r="106" spans="2:10" ht="15" customHeight="1" x14ac:dyDescent="0.2">
      <c r="C106" s="6" t="s">
        <v>256</v>
      </c>
      <c r="E106" s="9"/>
      <c r="F106" s="9"/>
    </row>
    <row r="107" spans="2:10" ht="15" customHeight="1" x14ac:dyDescent="0.25">
      <c r="C107" s="14"/>
      <c r="D107" s="13"/>
      <c r="E107" s="13"/>
      <c r="F107" s="87"/>
      <c r="G107"/>
      <c r="H107"/>
    </row>
    <row r="108" spans="2:10" ht="15" customHeight="1" x14ac:dyDescent="0.2">
      <c r="C108" s="13"/>
      <c r="D108" s="13"/>
      <c r="E108" s="91">
        <f>E84/3*F111</f>
        <v>391.89224585206796</v>
      </c>
      <c r="F108" s="65" t="s">
        <v>1</v>
      </c>
      <c r="G108" s="182"/>
      <c r="H108" s="60"/>
      <c r="I108" s="61"/>
    </row>
    <row r="109" spans="2:10" ht="15" customHeight="1" x14ac:dyDescent="0.2">
      <c r="C109" s="13"/>
      <c r="D109" s="13"/>
      <c r="E109" s="13"/>
      <c r="F109" s="13"/>
      <c r="G109" s="13"/>
      <c r="H109" s="65"/>
    </row>
    <row r="110" spans="2:10" ht="15" customHeight="1" x14ac:dyDescent="0.2">
      <c r="C110" s="87" t="s">
        <v>128</v>
      </c>
      <c r="D110" s="13"/>
      <c r="E110" s="13"/>
      <c r="F110" s="13"/>
      <c r="G110" s="13"/>
      <c r="H110" s="65"/>
    </row>
    <row r="111" spans="2:10" ht="15" customHeight="1" x14ac:dyDescent="0.2">
      <c r="C111" s="13"/>
      <c r="D111" s="13"/>
      <c r="E111" s="13"/>
      <c r="F111" s="13">
        <f>IF(1.5*(C15-C16)&gt;40,40,1.5*(C15-C16))</f>
        <v>40</v>
      </c>
      <c r="G111" s="15" t="s">
        <v>257</v>
      </c>
      <c r="H111" s="65"/>
    </row>
    <row r="112" spans="2:10" ht="15" customHeight="1" x14ac:dyDescent="0.2">
      <c r="C112" s="13"/>
      <c r="D112" s="13"/>
      <c r="E112" s="13"/>
      <c r="F112" s="13"/>
      <c r="G112" s="13"/>
      <c r="H112" s="65"/>
    </row>
    <row r="113" spans="1:9" ht="15" customHeight="1" x14ac:dyDescent="0.25">
      <c r="C113" s="6" t="s">
        <v>258</v>
      </c>
      <c r="D113" s="58"/>
      <c r="E113"/>
      <c r="F113" s="91"/>
      <c r="G113" s="57"/>
      <c r="H113"/>
    </row>
    <row r="114" spans="1:9" ht="15" customHeight="1" x14ac:dyDescent="0.25">
      <c r="D114" s="58"/>
      <c r="E114"/>
      <c r="F114" s="91"/>
      <c r="G114" s="57"/>
      <c r="H114"/>
    </row>
    <row r="115" spans="1:9" ht="15" customHeight="1" x14ac:dyDescent="0.3">
      <c r="C115" s="10" t="s">
        <v>259</v>
      </c>
      <c r="D115" s="183">
        <v>39.700000000000003</v>
      </c>
      <c r="E115" s="9" t="s">
        <v>260</v>
      </c>
      <c r="F115" s="6" t="s">
        <v>167</v>
      </c>
      <c r="G115" s="57"/>
      <c r="H115"/>
    </row>
    <row r="116" spans="1:9" ht="15" customHeight="1" x14ac:dyDescent="0.3">
      <c r="C116" s="10" t="s">
        <v>261</v>
      </c>
      <c r="D116" s="184">
        <v>168</v>
      </c>
      <c r="E116" s="9" t="s">
        <v>169</v>
      </c>
      <c r="F116" t="s">
        <v>170</v>
      </c>
      <c r="G116"/>
      <c r="H116"/>
    </row>
    <row r="117" spans="1:9" ht="15" customHeight="1" x14ac:dyDescent="0.3">
      <c r="C117" s="10" t="s">
        <v>262</v>
      </c>
      <c r="D117" s="184">
        <v>72</v>
      </c>
      <c r="E117" s="9" t="s">
        <v>169</v>
      </c>
      <c r="F117" t="s">
        <v>172</v>
      </c>
      <c r="G117"/>
      <c r="H117"/>
    </row>
    <row r="118" spans="1:9" ht="15" customHeight="1" x14ac:dyDescent="0.2"/>
    <row r="119" spans="1:9" ht="15" customHeight="1" x14ac:dyDescent="0.25">
      <c r="E119"/>
      <c r="F119" s="91">
        <f>$D$115*$D$104+$D$116*$E$108+$D$117*$E$108</f>
        <v>108223.05936165577</v>
      </c>
      <c r="G119" s="21" t="s">
        <v>173</v>
      </c>
    </row>
    <row r="120" spans="1:9" ht="15" customHeight="1" x14ac:dyDescent="0.2"/>
    <row r="121" spans="1:9" ht="15" customHeight="1" x14ac:dyDescent="0.2"/>
    <row r="122" spans="1:9" ht="15" customHeight="1" x14ac:dyDescent="0.2">
      <c r="A122" s="81" t="s">
        <v>263</v>
      </c>
      <c r="B122" s="6" t="s">
        <v>264</v>
      </c>
    </row>
    <row r="123" spans="1:9" ht="15" customHeight="1" x14ac:dyDescent="0.5">
      <c r="B123" s="169" t="s">
        <v>265</v>
      </c>
      <c r="C123"/>
    </row>
    <row r="124" spans="1:9" ht="15" customHeight="1" x14ac:dyDescent="0.5">
      <c r="C124" s="169"/>
    </row>
    <row r="125" spans="1:9" ht="15" customHeight="1" x14ac:dyDescent="0.5">
      <c r="C125" s="169"/>
      <c r="F125" s="91">
        <f>F128+D70*F131+G136</f>
        <v>19583.655756838969</v>
      </c>
      <c r="G125" s="93" t="s">
        <v>266</v>
      </c>
      <c r="H125" s="21"/>
      <c r="I125" s="185"/>
    </row>
    <row r="126" spans="1:9" ht="15" customHeight="1" x14ac:dyDescent="0.5">
      <c r="C126" s="169"/>
      <c r="F126" s="91"/>
      <c r="G126" s="93"/>
    </row>
    <row r="127" spans="1:9" ht="15" customHeight="1" x14ac:dyDescent="0.5">
      <c r="C127" s="169"/>
      <c r="D127" s="11" t="s">
        <v>267</v>
      </c>
      <c r="F127" s="91"/>
      <c r="G127" s="93"/>
    </row>
    <row r="128" spans="1:9" ht="15" customHeight="1" x14ac:dyDescent="0.5">
      <c r="C128" s="169"/>
      <c r="F128" s="91">
        <f>2*(2*E88+10)*E73</f>
        <v>2791.8004363643786</v>
      </c>
      <c r="G128" s="93" t="s">
        <v>266</v>
      </c>
      <c r="H128" s="21"/>
      <c r="I128" s="185"/>
    </row>
    <row r="129" spans="2:16" ht="15" customHeight="1" x14ac:dyDescent="0.5">
      <c r="C129" s="169"/>
    </row>
    <row r="130" spans="2:16" ht="15" customHeight="1" x14ac:dyDescent="0.5">
      <c r="C130" s="169"/>
      <c r="D130" s="11" t="s">
        <v>268</v>
      </c>
      <c r="E130" s="10"/>
      <c r="F130" s="6"/>
    </row>
    <row r="131" spans="2:16" ht="15" customHeight="1" x14ac:dyDescent="0.5">
      <c r="C131" s="169"/>
      <c r="F131" s="91">
        <f>1.3*(2.71828^H133)</f>
        <v>15395.896453104315</v>
      </c>
      <c r="G131" s="93" t="s">
        <v>266</v>
      </c>
      <c r="H131" s="21"/>
      <c r="I131" s="185"/>
    </row>
    <row r="132" spans="2:16" ht="15" customHeight="1" x14ac:dyDescent="0.5">
      <c r="C132" s="169"/>
    </row>
    <row r="133" spans="2:16" ht="15" customHeight="1" x14ac:dyDescent="0.5">
      <c r="C133" s="169"/>
      <c r="H133" s="8">
        <f>(0.046-0.00167*C14)*(E73-104)+10.16</f>
        <v>9.3794983334872786</v>
      </c>
      <c r="I133" s="11"/>
    </row>
    <row r="134" spans="2:16" ht="15" customHeight="1" x14ac:dyDescent="0.5">
      <c r="C134" s="169"/>
    </row>
    <row r="135" spans="2:16" ht="15" customHeight="1" x14ac:dyDescent="0.5">
      <c r="C135" s="169"/>
      <c r="D135" s="11" t="s">
        <v>269</v>
      </c>
      <c r="E135" s="10"/>
      <c r="F135" s="6"/>
    </row>
    <row r="136" spans="2:16" ht="15" customHeight="1" x14ac:dyDescent="0.5">
      <c r="C136" s="169"/>
      <c r="F136" s="91"/>
      <c r="G136" s="82">
        <f>E84*0.375*(E73-C14-9.3)^2</f>
        <v>1395.9588673702751</v>
      </c>
      <c r="H136" s="93" t="s">
        <v>266</v>
      </c>
      <c r="I136" s="21"/>
      <c r="J136" s="185"/>
    </row>
    <row r="137" spans="2:16" ht="15" customHeight="1" x14ac:dyDescent="0.5">
      <c r="C137" s="169"/>
    </row>
    <row r="138" spans="2:16" ht="15" customHeight="1" x14ac:dyDescent="0.5">
      <c r="B138" s="9" t="s">
        <v>179</v>
      </c>
      <c r="C138" s="169"/>
      <c r="D138" s="100"/>
      <c r="E138" s="100"/>
    </row>
    <row r="139" spans="2:16" ht="15" customHeight="1" x14ac:dyDescent="0.25">
      <c r="D139" s="53" t="s">
        <v>180</v>
      </c>
      <c r="E139" s="53" t="s">
        <v>181</v>
      </c>
      <c r="F139"/>
    </row>
    <row r="140" spans="2:16" ht="15" customHeight="1" x14ac:dyDescent="0.25">
      <c r="C140" s="100"/>
      <c r="D140" s="186" t="s">
        <v>182</v>
      </c>
      <c r="E140" s="186" t="s">
        <v>182</v>
      </c>
      <c r="F140"/>
    </row>
    <row r="141" spans="2:16" ht="15" customHeight="1" x14ac:dyDescent="0.25">
      <c r="B141"/>
      <c r="C141" s="6" t="s">
        <v>270</v>
      </c>
      <c r="D141" s="187">
        <v>200</v>
      </c>
      <c r="E141" s="187">
        <v>40</v>
      </c>
      <c r="F141"/>
      <c r="H141" s="8"/>
    </row>
    <row r="142" spans="2:16" ht="15" customHeight="1" x14ac:dyDescent="0.25">
      <c r="B142"/>
      <c r="C142" s="6" t="s">
        <v>271</v>
      </c>
      <c r="D142" s="187">
        <v>300</v>
      </c>
      <c r="E142" s="187">
        <v>60</v>
      </c>
      <c r="F142"/>
      <c r="H142" s="8"/>
    </row>
    <row r="143" spans="2:16" ht="15" customHeight="1" x14ac:dyDescent="0.25">
      <c r="B143"/>
      <c r="C143" s="100" t="s">
        <v>272</v>
      </c>
      <c r="D143" s="188">
        <v>200</v>
      </c>
      <c r="E143" s="188">
        <v>20</v>
      </c>
      <c r="F143"/>
      <c r="H143" s="8"/>
      <c r="I143"/>
      <c r="J143"/>
      <c r="K143"/>
      <c r="N143" s="495"/>
      <c r="O143" s="495"/>
      <c r="P143" s="495"/>
    </row>
    <row r="144" spans="2:16" ht="15" customHeight="1" x14ac:dyDescent="0.25">
      <c r="B144"/>
      <c r="D144" s="62"/>
      <c r="E144" s="62"/>
      <c r="H144" s="8"/>
      <c r="I144"/>
      <c r="J144"/>
      <c r="K144"/>
      <c r="N144" s="495"/>
      <c r="O144" s="495"/>
      <c r="P144" s="495"/>
    </row>
    <row r="145" spans="1:16" ht="15" customHeight="1" x14ac:dyDescent="0.25">
      <c r="B145" s="2" t="s">
        <v>185</v>
      </c>
      <c r="C145"/>
      <c r="D145" s="101"/>
      <c r="E145" s="96"/>
      <c r="F145" s="100"/>
      <c r="I145"/>
      <c r="J145"/>
      <c r="K145"/>
      <c r="N145" s="495"/>
      <c r="O145" s="495"/>
      <c r="P145" s="495"/>
    </row>
    <row r="146" spans="1:16" ht="15" customHeight="1" x14ac:dyDescent="0.25">
      <c r="B146"/>
      <c r="D146" s="53" t="s">
        <v>180</v>
      </c>
      <c r="E146" s="53" t="s">
        <v>181</v>
      </c>
      <c r="F146" s="104" t="s">
        <v>186</v>
      </c>
      <c r="G146" s="104"/>
      <c r="H146" s="104"/>
      <c r="I146"/>
      <c r="J146"/>
      <c r="K146"/>
      <c r="N146" s="495"/>
      <c r="O146" s="495"/>
      <c r="P146" s="495"/>
    </row>
    <row r="147" spans="1:16" ht="15" customHeight="1" x14ac:dyDescent="0.25">
      <c r="B147"/>
      <c r="D147" s="62"/>
      <c r="E147" s="62"/>
      <c r="F147" s="105" t="s">
        <v>187</v>
      </c>
      <c r="G147" s="106" t="s">
        <v>188</v>
      </c>
      <c r="H147" s="106" t="s">
        <v>189</v>
      </c>
      <c r="I147"/>
      <c r="J147"/>
      <c r="K147"/>
      <c r="N147" s="495"/>
      <c r="O147" s="495"/>
      <c r="P147" s="495"/>
    </row>
    <row r="148" spans="1:16" ht="15" customHeight="1" x14ac:dyDescent="0.25">
      <c r="B148"/>
      <c r="C148" s="100"/>
      <c r="D148" s="186" t="s">
        <v>190</v>
      </c>
      <c r="E148" s="186" t="s">
        <v>190</v>
      </c>
      <c r="F148" s="107" t="s">
        <v>191</v>
      </c>
      <c r="G148" s="107" t="s">
        <v>192</v>
      </c>
      <c r="H148" s="107" t="s">
        <v>193</v>
      </c>
      <c r="I148"/>
      <c r="J148"/>
      <c r="K148"/>
      <c r="N148" s="495"/>
      <c r="O148" s="495"/>
      <c r="P148" s="495"/>
    </row>
    <row r="149" spans="1:16" ht="15" customHeight="1" x14ac:dyDescent="0.25">
      <c r="B149"/>
      <c r="C149" s="6" t="s">
        <v>270</v>
      </c>
      <c r="D149" s="189">
        <f>F149*D141/1000</f>
        <v>558.36008727287572</v>
      </c>
      <c r="E149" s="189">
        <f>F149*E141/1000</f>
        <v>111.67201745457514</v>
      </c>
      <c r="F149" s="190">
        <f>F128</f>
        <v>2791.8004363643786</v>
      </c>
      <c r="G149" s="191">
        <v>128</v>
      </c>
      <c r="H149" s="190">
        <f>F149*G149</f>
        <v>357350.45585464046</v>
      </c>
      <c r="I149"/>
      <c r="J149"/>
      <c r="K149"/>
      <c r="N149" s="495"/>
      <c r="O149" s="495"/>
      <c r="P149" s="495"/>
    </row>
    <row r="150" spans="1:16" ht="15" customHeight="1" x14ac:dyDescent="0.25">
      <c r="B150"/>
      <c r="C150" s="6" t="s">
        <v>271</v>
      </c>
      <c r="D150" s="189">
        <f>F150*D142/1000</f>
        <v>4618.7689359312944</v>
      </c>
      <c r="E150" s="189">
        <f>F150*E142/1000</f>
        <v>923.75378718625893</v>
      </c>
      <c r="F150" s="190">
        <f>F131*D70</f>
        <v>15395.896453104315</v>
      </c>
      <c r="G150" s="191">
        <v>174</v>
      </c>
      <c r="H150" s="190">
        <f>F150*G150</f>
        <v>2678885.9828401506</v>
      </c>
      <c r="I150"/>
      <c r="J150"/>
      <c r="K150"/>
      <c r="N150" s="495"/>
      <c r="O150" s="495"/>
      <c r="P150" s="495"/>
    </row>
    <row r="151" spans="1:16" ht="15" customHeight="1" x14ac:dyDescent="0.25">
      <c r="B151"/>
      <c r="C151" s="100" t="s">
        <v>272</v>
      </c>
      <c r="D151" s="192">
        <f>F151*D143/1000</f>
        <v>279.19177347405503</v>
      </c>
      <c r="E151" s="192">
        <f>F151*E143/1000</f>
        <v>27.919177347405501</v>
      </c>
      <c r="F151" s="193">
        <f>G136</f>
        <v>1395.9588673702751</v>
      </c>
      <c r="G151" s="191">
        <v>129</v>
      </c>
      <c r="H151" s="190">
        <f>F151*G151</f>
        <v>180078.69389076548</v>
      </c>
      <c r="I151"/>
      <c r="J151"/>
      <c r="K151"/>
      <c r="N151" s="495"/>
      <c r="O151" s="495"/>
      <c r="P151" s="495"/>
    </row>
    <row r="152" spans="1:16" ht="15" customHeight="1" x14ac:dyDescent="0.25">
      <c r="B152"/>
      <c r="C152" s="194" t="s">
        <v>194</v>
      </c>
      <c r="D152" s="115">
        <f>SUM(D149:D151)</f>
        <v>5456.3207966782247</v>
      </c>
      <c r="E152" s="115">
        <f>SUM(E149:E151)</f>
        <v>1063.3449819882396</v>
      </c>
      <c r="F152" s="115">
        <f>SUM(F149:F151)</f>
        <v>19583.655756838969</v>
      </c>
      <c r="G152" s="195" t="s">
        <v>195</v>
      </c>
      <c r="H152" s="115">
        <f>SUM(H149:H151)</f>
        <v>3216315.1325855562</v>
      </c>
      <c r="I152"/>
      <c r="J152"/>
      <c r="K152"/>
      <c r="N152" s="495"/>
      <c r="O152" s="495"/>
      <c r="P152" s="495"/>
    </row>
    <row r="153" spans="1:16" ht="15" customHeight="1" x14ac:dyDescent="0.25">
      <c r="B153"/>
      <c r="D153" s="189"/>
      <c r="E153" s="190"/>
      <c r="F153" s="189"/>
      <c r="H153" s="8"/>
      <c r="I153"/>
      <c r="J153"/>
      <c r="K153"/>
      <c r="N153" s="495"/>
      <c r="O153" s="495"/>
      <c r="P153" s="495"/>
    </row>
    <row r="154" spans="1:16" ht="15" customHeight="1" x14ac:dyDescent="0.25">
      <c r="B154"/>
      <c r="C154" s="116" t="s">
        <v>196</v>
      </c>
      <c r="D154" s="22">
        <f>H152/F152</f>
        <v>164.23466448353804</v>
      </c>
      <c r="E154" s="49" t="s">
        <v>158</v>
      </c>
      <c r="F154" s="49" t="s">
        <v>197</v>
      </c>
      <c r="H154" s="8"/>
      <c r="I154"/>
      <c r="J154"/>
      <c r="K154"/>
      <c r="N154" s="495"/>
      <c r="O154" s="495"/>
      <c r="P154" s="495"/>
    </row>
    <row r="155" spans="1:16" ht="15" customHeight="1" x14ac:dyDescent="0.25">
      <c r="I155"/>
      <c r="J155"/>
      <c r="K155"/>
      <c r="N155" s="495"/>
      <c r="O155" s="495"/>
      <c r="P155" s="495"/>
    </row>
    <row r="156" spans="1:16" ht="15" customHeight="1" x14ac:dyDescent="0.25">
      <c r="I156"/>
      <c r="J156"/>
      <c r="K156"/>
      <c r="N156" s="495"/>
      <c r="O156" s="495"/>
      <c r="P156" s="495"/>
    </row>
    <row r="157" spans="1:16" ht="15" customHeight="1" x14ac:dyDescent="0.2">
      <c r="A157" s="81" t="s">
        <v>273</v>
      </c>
      <c r="B157" s="6" t="s">
        <v>274</v>
      </c>
      <c r="N157" s="496" t="s">
        <v>1057</v>
      </c>
    </row>
    <row r="158" spans="1:16" ht="15" customHeight="1" x14ac:dyDescent="0.2">
      <c r="A158" s="21"/>
      <c r="B158" s="21"/>
    </row>
    <row r="159" spans="1:16" ht="15" customHeight="1" x14ac:dyDescent="0.5">
      <c r="A159" s="21"/>
      <c r="B159" s="169" t="s">
        <v>275</v>
      </c>
    </row>
    <row r="160" spans="1:16" ht="15" customHeight="1" x14ac:dyDescent="0.5">
      <c r="A160" s="21"/>
      <c r="B160" s="169"/>
    </row>
    <row r="161" spans="1:25" ht="15" customHeight="1" x14ac:dyDescent="0.5">
      <c r="A161" s="21"/>
      <c r="B161" s="72" t="s">
        <v>276</v>
      </c>
      <c r="N161" s="496" t="s">
        <v>1058</v>
      </c>
      <c r="O161" s="497"/>
      <c r="P161" s="498"/>
      <c r="S161" s="496" t="s">
        <v>1059</v>
      </c>
      <c r="W161" s="496" t="s">
        <v>1060</v>
      </c>
    </row>
    <row r="162" spans="1:25" ht="15" customHeight="1" x14ac:dyDescent="0.2">
      <c r="A162" s="21"/>
      <c r="B162" s="72" t="s">
        <v>277</v>
      </c>
      <c r="N162" s="491" t="s">
        <v>1061</v>
      </c>
      <c r="O162" s="497"/>
      <c r="P162" s="499">
        <f>C15</f>
        <v>1548</v>
      </c>
      <c r="Q162" s="491" t="s">
        <v>1</v>
      </c>
      <c r="S162" s="491" t="s">
        <v>1062</v>
      </c>
      <c r="U162" s="491" t="s">
        <v>1</v>
      </c>
      <c r="W162" s="491" t="s">
        <v>1062</v>
      </c>
      <c r="X162" s="500">
        <f>((100*((2*T171)+(T163)))+(((P162-P166)^2)*(T171^2)*T166*0.0125))/(1000)</f>
        <v>23.465749635308203</v>
      </c>
      <c r="Y162" s="491" t="s">
        <v>115</v>
      </c>
    </row>
    <row r="163" spans="1:25" ht="15" customHeight="1" x14ac:dyDescent="0.2">
      <c r="A163" s="21"/>
      <c r="B163" s="72"/>
      <c r="N163" s="491" t="s">
        <v>1063</v>
      </c>
      <c r="O163" s="497"/>
      <c r="Q163" s="491" t="s">
        <v>1</v>
      </c>
      <c r="S163" s="491" t="s">
        <v>1064</v>
      </c>
      <c r="T163" s="14">
        <f>((2*T166)+1)</f>
        <v>41.619864064841821</v>
      </c>
      <c r="U163" s="491" t="s">
        <v>1</v>
      </c>
      <c r="W163" s="491" t="s">
        <v>1065</v>
      </c>
      <c r="X163" s="500">
        <f>(((((P170)^2)*T166*(P162-P166))^0.7)*0.1019*0.706)</f>
        <v>105.17261694765618</v>
      </c>
      <c r="Y163" s="491" t="s">
        <v>115</v>
      </c>
    </row>
    <row r="164" spans="1:25" ht="15" customHeight="1" x14ac:dyDescent="0.2">
      <c r="A164" s="21"/>
      <c r="B164" s="72"/>
      <c r="N164" s="491" t="s">
        <v>1066</v>
      </c>
      <c r="O164" s="497"/>
      <c r="Q164" s="491" t="s">
        <v>1</v>
      </c>
      <c r="S164" s="501"/>
    </row>
    <row r="165" spans="1:25" ht="15" customHeight="1" x14ac:dyDescent="0.2">
      <c r="A165" s="21"/>
      <c r="B165" s="72"/>
      <c r="N165" s="491" t="s">
        <v>1067</v>
      </c>
      <c r="O165" s="497"/>
      <c r="Q165" s="491" t="s">
        <v>1</v>
      </c>
      <c r="S165" s="496" t="s">
        <v>1068</v>
      </c>
    </row>
    <row r="166" spans="1:25" ht="15" customHeight="1" x14ac:dyDescent="0.2">
      <c r="A166" s="21"/>
      <c r="B166" s="72"/>
      <c r="N166" s="491" t="s">
        <v>1069</v>
      </c>
      <c r="O166" s="497"/>
      <c r="P166" s="14">
        <f>C16</f>
        <v>1511.7860731685219</v>
      </c>
      <c r="Q166" s="491" t="s">
        <v>1</v>
      </c>
      <c r="S166" s="491" t="s">
        <v>1070</v>
      </c>
      <c r="T166" s="14">
        <f>(P171+0.15)</f>
        <v>20.30993203242091</v>
      </c>
      <c r="U166" s="491" t="s">
        <v>1</v>
      </c>
    </row>
    <row r="167" spans="1:25" ht="15" customHeight="1" x14ac:dyDescent="0.2">
      <c r="A167" s="21"/>
      <c r="B167" s="72"/>
      <c r="S167" s="491" t="s">
        <v>1071</v>
      </c>
      <c r="U167" s="491" t="s">
        <v>1</v>
      </c>
    </row>
    <row r="168" spans="1:25" ht="15" customHeight="1" x14ac:dyDescent="0.2">
      <c r="A168" s="21"/>
      <c r="B168" s="72"/>
      <c r="O168" s="502"/>
      <c r="S168" s="491" t="s">
        <v>1072</v>
      </c>
      <c r="T168" s="14">
        <f>P162-P166</f>
        <v>36.213926831478148</v>
      </c>
      <c r="U168" s="491" t="s">
        <v>1</v>
      </c>
    </row>
    <row r="169" spans="1:25" ht="15" customHeight="1" x14ac:dyDescent="0.2">
      <c r="A169" s="21"/>
      <c r="B169" s="72"/>
      <c r="N169" s="496" t="s">
        <v>1073</v>
      </c>
      <c r="O169" s="497"/>
    </row>
    <row r="170" spans="1:25" ht="15" customHeight="1" x14ac:dyDescent="0.2">
      <c r="A170" s="21"/>
      <c r="B170" s="72"/>
      <c r="N170" s="491" t="s">
        <v>1074</v>
      </c>
      <c r="O170" s="497"/>
      <c r="P170" s="14">
        <f>C14/K186</f>
        <v>6.7199773441403039</v>
      </c>
      <c r="Q170" s="491" t="s">
        <v>1</v>
      </c>
      <c r="S170" s="496" t="s">
        <v>1075</v>
      </c>
    </row>
    <row r="171" spans="1:25" ht="15" customHeight="1" x14ac:dyDescent="0.2">
      <c r="A171" s="21"/>
      <c r="B171" s="72"/>
      <c r="N171" s="491" t="s">
        <v>8</v>
      </c>
      <c r="O171" s="502"/>
      <c r="P171" s="14">
        <f>C14</f>
        <v>20.159932032420912</v>
      </c>
      <c r="Q171" s="491" t="s">
        <v>1</v>
      </c>
      <c r="S171" s="491" t="s">
        <v>1076</v>
      </c>
      <c r="T171" s="14">
        <f>(P170+0.6)</f>
        <v>7.3199773441403035</v>
      </c>
      <c r="U171" s="491" t="s">
        <v>1</v>
      </c>
    </row>
    <row r="172" spans="1:25" ht="15" customHeight="1" x14ac:dyDescent="0.2">
      <c r="A172" s="21"/>
      <c r="B172" s="72"/>
    </row>
    <row r="173" spans="1:25" ht="15" customHeight="1" x14ac:dyDescent="0.2">
      <c r="A173" s="21"/>
      <c r="B173" s="72"/>
    </row>
    <row r="174" spans="1:25" ht="15" customHeight="1" x14ac:dyDescent="0.2">
      <c r="A174" s="21"/>
      <c r="B174" s="72"/>
    </row>
    <row r="175" spans="1:25" ht="15" customHeight="1" x14ac:dyDescent="0.2">
      <c r="A175" s="21"/>
      <c r="B175" s="72"/>
    </row>
    <row r="176" spans="1:25" ht="15" customHeight="1" x14ac:dyDescent="0.2">
      <c r="A176" s="21"/>
      <c r="B176" s="72"/>
    </row>
    <row r="177" spans="1:14" ht="15" customHeight="1" x14ac:dyDescent="0.2">
      <c r="A177" s="21"/>
      <c r="B177" s="72"/>
    </row>
    <row r="178" spans="1:14" ht="15" customHeight="1" x14ac:dyDescent="0.2">
      <c r="A178" s="21"/>
      <c r="B178" s="72"/>
    </row>
    <row r="179" spans="1:14" ht="15" customHeight="1" x14ac:dyDescent="0.2">
      <c r="A179" s="21"/>
      <c r="B179" s="72"/>
    </row>
    <row r="180" spans="1:14" ht="15" customHeight="1" x14ac:dyDescent="0.2">
      <c r="A180" s="21"/>
      <c r="B180" s="21"/>
      <c r="C180" s="62"/>
      <c r="D180" s="196"/>
      <c r="E180" s="9"/>
    </row>
    <row r="181" spans="1:14" ht="15" customHeight="1" x14ac:dyDescent="0.25">
      <c r="A181" s="21"/>
      <c r="B181" s="21"/>
      <c r="C181" t="s">
        <v>278</v>
      </c>
      <c r="D181" s="196"/>
      <c r="E181" s="9"/>
      <c r="N181" s="503"/>
    </row>
    <row r="182" spans="1:14" ht="15" customHeight="1" x14ac:dyDescent="0.25">
      <c r="B182"/>
      <c r="C182"/>
      <c r="D182"/>
      <c r="E182"/>
      <c r="G182" s="91">
        <f>IF(AND(K187&gt;=0,K187&lt;=125.39),(IF(K187&lt;=9.17,(-4.3986*K187^2+124.79*K187+110.2)*1000,(-0.128*K187^2+57.311*K187+369.83)*1000) ),"O parametro z esta fora da validade da curva.")</f>
        <v>4786077.0845740745</v>
      </c>
      <c r="H182" s="21" t="s">
        <v>173</v>
      </c>
      <c r="I182" s="339" t="s">
        <v>724</v>
      </c>
    </row>
    <row r="183" spans="1:14" ht="21.75" customHeight="1" x14ac:dyDescent="0.25">
      <c r="B183"/>
      <c r="C183"/>
      <c r="D183"/>
      <c r="E183"/>
      <c r="G183" s="82"/>
      <c r="H183" s="21"/>
    </row>
    <row r="184" spans="1:14" ht="21" customHeight="1" x14ac:dyDescent="0.2">
      <c r="C184" s="81" t="s">
        <v>279</v>
      </c>
    </row>
    <row r="185" spans="1:14" ht="15" customHeight="1" x14ac:dyDescent="0.2">
      <c r="F185" s="197">
        <f>((F187^2)*F187*F189)/1000</f>
        <v>296.71726044252728</v>
      </c>
      <c r="G185" s="6" t="s">
        <v>280</v>
      </c>
    </row>
    <row r="186" spans="1:14" ht="15" customHeight="1" x14ac:dyDescent="0.2">
      <c r="F186" s="58"/>
      <c r="J186" s="454" t="s">
        <v>909</v>
      </c>
      <c r="K186" s="455">
        <f>ROUND(0.4999999+F185/125.39,0)</f>
        <v>3</v>
      </c>
    </row>
    <row r="187" spans="1:14" ht="15" customHeight="1" x14ac:dyDescent="0.2">
      <c r="F187" s="8">
        <f>C14</f>
        <v>20.159932032420912</v>
      </c>
      <c r="G187" s="6" t="s">
        <v>1</v>
      </c>
      <c r="J187" s="454" t="s">
        <v>910</v>
      </c>
      <c r="K187" s="456">
        <f>F185/K186</f>
        <v>98.905753480842421</v>
      </c>
      <c r="L187" s="455" t="s">
        <v>911</v>
      </c>
    </row>
    <row r="188" spans="1:14" ht="15" customHeight="1" x14ac:dyDescent="0.2">
      <c r="F188" s="58"/>
    </row>
    <row r="189" spans="1:14" ht="15" customHeight="1" x14ac:dyDescent="0.2">
      <c r="F189" s="58">
        <f>C15-C16</f>
        <v>36.213926831478148</v>
      </c>
    </row>
    <row r="190" spans="1:14" ht="15" customHeight="1" x14ac:dyDescent="0.2">
      <c r="F190" s="58"/>
    </row>
    <row r="191" spans="1:14" ht="30" customHeight="1" x14ac:dyDescent="0.2">
      <c r="A191" s="525"/>
      <c r="B191" s="740" t="s">
        <v>281</v>
      </c>
      <c r="C191" s="740"/>
      <c r="D191" s="740"/>
      <c r="E191" s="740"/>
      <c r="F191" s="8"/>
      <c r="G191" s="65" t="s">
        <v>282</v>
      </c>
    </row>
    <row r="192" spans="1:14" ht="19.5" customHeight="1" x14ac:dyDescent="0.2">
      <c r="B192" s="13" t="s">
        <v>283</v>
      </c>
      <c r="C192" s="13"/>
      <c r="D192" s="13"/>
      <c r="E192" s="13"/>
      <c r="F192" s="6">
        <f>G182+F191</f>
        <v>4786077.0845740745</v>
      </c>
      <c r="G192" s="65" t="s">
        <v>282</v>
      </c>
    </row>
    <row r="193" spans="2:25" ht="15" customHeight="1" x14ac:dyDescent="0.2"/>
    <row r="194" spans="2:25" ht="15" customHeight="1" x14ac:dyDescent="0.5">
      <c r="B194" s="169" t="s">
        <v>284</v>
      </c>
      <c r="C194" s="62"/>
      <c r="D194" s="196"/>
      <c r="G194"/>
      <c r="H194"/>
      <c r="I194"/>
      <c r="R194" s="504"/>
    </row>
    <row r="195" spans="2:25" ht="15" customHeight="1" x14ac:dyDescent="0.5">
      <c r="B195" s="169"/>
      <c r="C195"/>
      <c r="D195" s="196"/>
      <c r="G195" s="21"/>
      <c r="H195" s="21"/>
      <c r="I195"/>
      <c r="N195" s="497"/>
      <c r="R195" s="504"/>
    </row>
    <row r="196" spans="2:25" ht="15" customHeight="1" x14ac:dyDescent="0.5">
      <c r="B196" s="72" t="s">
        <v>285</v>
      </c>
      <c r="C196"/>
      <c r="D196" s="196"/>
      <c r="G196"/>
      <c r="H196"/>
      <c r="I196"/>
      <c r="N196" s="496" t="s">
        <v>1058</v>
      </c>
      <c r="O196" s="497"/>
      <c r="S196" s="496" t="s">
        <v>1059</v>
      </c>
      <c r="W196" s="496" t="s">
        <v>1060</v>
      </c>
    </row>
    <row r="197" spans="2:25" ht="15" customHeight="1" x14ac:dyDescent="0.25">
      <c r="B197" s="198" t="s">
        <v>286</v>
      </c>
      <c r="C197"/>
      <c r="D197" s="196"/>
      <c r="G197"/>
      <c r="H197"/>
      <c r="I197"/>
      <c r="N197" s="491" t="s">
        <v>1061</v>
      </c>
      <c r="O197" s="497"/>
      <c r="P197" s="499">
        <f>P162</f>
        <v>1548</v>
      </c>
      <c r="Q197" s="491" t="s">
        <v>1</v>
      </c>
      <c r="R197" s="491" t="s">
        <v>1077</v>
      </c>
      <c r="S197" s="491" t="s">
        <v>1062</v>
      </c>
      <c r="U197" s="491" t="s">
        <v>1</v>
      </c>
      <c r="W197" s="491" t="s">
        <v>1062</v>
      </c>
      <c r="X197" s="500">
        <f>((100*((2*T206)+(T198)))+(((P197-P201)^2)*(T206^2)*T201*0.005))/(1000)</f>
        <v>11.84668085613967</v>
      </c>
      <c r="Y197" s="491" t="s">
        <v>115</v>
      </c>
    </row>
    <row r="198" spans="2:25" ht="15" customHeight="1" x14ac:dyDescent="0.25">
      <c r="B198" s="198"/>
      <c r="C198"/>
      <c r="D198" s="196"/>
      <c r="G198"/>
      <c r="H198"/>
      <c r="I198"/>
      <c r="N198" s="491" t="s">
        <v>1063</v>
      </c>
      <c r="O198" s="497"/>
      <c r="Q198" s="491" t="s">
        <v>1</v>
      </c>
      <c r="S198" s="491" t="s">
        <v>1064</v>
      </c>
      <c r="T198" s="14">
        <f>(P199-P201-1.5)</f>
        <v>36.713926831478148</v>
      </c>
      <c r="U198" s="491" t="s">
        <v>1</v>
      </c>
      <c r="W198" s="491" t="s">
        <v>1065</v>
      </c>
      <c r="X198" s="500">
        <f>((T206*T201/1000)*(((T202^0.5)*30.074)+((19.989+(1.113*T202))*T206)))</f>
        <v>72.642671882765356</v>
      </c>
      <c r="Y198" s="491" t="s">
        <v>115</v>
      </c>
    </row>
    <row r="199" spans="2:25" ht="15" customHeight="1" x14ac:dyDescent="0.25">
      <c r="B199" s="198"/>
      <c r="C199"/>
      <c r="D199" s="196"/>
      <c r="G199"/>
      <c r="H199"/>
      <c r="I199"/>
      <c r="N199" s="491" t="s">
        <v>1066</v>
      </c>
      <c r="O199" s="497"/>
      <c r="P199" s="499">
        <f>iohsrf2!B27</f>
        <v>1550</v>
      </c>
      <c r="Q199" s="491" t="s">
        <v>1</v>
      </c>
      <c r="R199" s="491" t="s">
        <v>1078</v>
      </c>
      <c r="S199" s="501"/>
      <c r="W199" s="491" t="s">
        <v>1079</v>
      </c>
      <c r="X199" s="505">
        <f>X198/P208</f>
        <v>6.6038792620695776</v>
      </c>
      <c r="Y199" s="491" t="s">
        <v>115</v>
      </c>
    </row>
    <row r="200" spans="2:25" ht="15" customHeight="1" x14ac:dyDescent="0.25">
      <c r="B200" s="198"/>
      <c r="C200"/>
      <c r="D200" s="196"/>
      <c r="G200"/>
      <c r="H200"/>
      <c r="I200"/>
      <c r="N200" s="491" t="s">
        <v>1067</v>
      </c>
      <c r="O200" s="497"/>
      <c r="P200" s="14"/>
      <c r="Q200" s="491" t="s">
        <v>1</v>
      </c>
      <c r="S200" s="496" t="s">
        <v>1068</v>
      </c>
    </row>
    <row r="201" spans="2:25" ht="15" customHeight="1" x14ac:dyDescent="0.25">
      <c r="B201" s="198"/>
      <c r="C201"/>
      <c r="D201" s="196"/>
      <c r="G201"/>
      <c r="H201"/>
      <c r="I201"/>
      <c r="N201" s="491" t="s">
        <v>1069</v>
      </c>
      <c r="O201" s="497"/>
      <c r="P201" s="14">
        <f>P166</f>
        <v>1511.7860731685219</v>
      </c>
      <c r="Q201" s="491" t="s">
        <v>1</v>
      </c>
      <c r="S201" s="491" t="s">
        <v>1070</v>
      </c>
      <c r="T201" s="14">
        <f>(P206+0.15)</f>
        <v>20.30993203242091</v>
      </c>
      <c r="U201" s="491" t="s">
        <v>1</v>
      </c>
    </row>
    <row r="202" spans="2:25" ht="15" customHeight="1" x14ac:dyDescent="0.25">
      <c r="B202" s="198"/>
      <c r="C202"/>
      <c r="D202" s="196"/>
      <c r="G202"/>
      <c r="H202"/>
      <c r="I202"/>
      <c r="P202" s="14"/>
      <c r="S202" s="491" t="s">
        <v>1071</v>
      </c>
      <c r="T202" s="14">
        <f>((P197-P201)-(T201/2))</f>
        <v>26.058960815267692</v>
      </c>
      <c r="U202" s="491" t="s">
        <v>1</v>
      </c>
    </row>
    <row r="203" spans="2:25" ht="15" customHeight="1" x14ac:dyDescent="0.25">
      <c r="B203" s="198"/>
      <c r="C203"/>
      <c r="D203" s="196"/>
      <c r="G203"/>
      <c r="H203"/>
      <c r="I203"/>
      <c r="O203" s="502"/>
      <c r="P203" s="14"/>
      <c r="S203" s="491" t="s">
        <v>1072</v>
      </c>
      <c r="T203" s="14"/>
      <c r="U203" s="491" t="s">
        <v>1</v>
      </c>
    </row>
    <row r="204" spans="2:25" ht="15" customHeight="1" x14ac:dyDescent="0.25">
      <c r="B204" s="198"/>
      <c r="C204"/>
      <c r="D204" s="196"/>
      <c r="G204"/>
      <c r="H204"/>
      <c r="I204"/>
      <c r="N204" s="496" t="s">
        <v>1073</v>
      </c>
      <c r="O204" s="497"/>
      <c r="P204" s="14"/>
    </row>
    <row r="205" spans="2:25" ht="15" customHeight="1" x14ac:dyDescent="0.25">
      <c r="B205" s="198"/>
      <c r="C205"/>
      <c r="D205" s="196"/>
      <c r="G205"/>
      <c r="H205"/>
      <c r="I205"/>
      <c r="N205" s="491" t="s">
        <v>1074</v>
      </c>
      <c r="O205" s="497"/>
      <c r="P205" s="14">
        <f>P170</f>
        <v>6.7199773441403039</v>
      </c>
      <c r="Q205" s="491" t="s">
        <v>1</v>
      </c>
      <c r="S205" s="496" t="s">
        <v>1075</v>
      </c>
    </row>
    <row r="206" spans="2:25" ht="15" customHeight="1" x14ac:dyDescent="0.25">
      <c r="B206" s="198"/>
      <c r="C206"/>
      <c r="D206" s="196"/>
      <c r="G206"/>
      <c r="H206"/>
      <c r="I206"/>
      <c r="N206" s="491" t="s">
        <v>8</v>
      </c>
      <c r="O206" s="502"/>
      <c r="P206" s="14">
        <f>P171</f>
        <v>20.159932032420912</v>
      </c>
      <c r="Q206" s="491" t="s">
        <v>1</v>
      </c>
      <c r="S206" s="491" t="s">
        <v>1076</v>
      </c>
      <c r="T206" s="14">
        <f>(P205+0.4)</f>
        <v>7.1199773441403043</v>
      </c>
      <c r="U206" s="491" t="s">
        <v>1</v>
      </c>
    </row>
    <row r="207" spans="2:25" ht="15" customHeight="1" x14ac:dyDescent="0.25">
      <c r="B207" s="198"/>
      <c r="C207"/>
      <c r="D207" s="196"/>
      <c r="G207"/>
      <c r="H207"/>
      <c r="I207"/>
      <c r="N207" s="506" t="s">
        <v>1080</v>
      </c>
      <c r="P207" s="505">
        <v>2</v>
      </c>
      <c r="Q207" s="491" t="s">
        <v>1</v>
      </c>
    </row>
    <row r="208" spans="2:25" ht="15" customHeight="1" x14ac:dyDescent="0.25">
      <c r="B208" s="198"/>
      <c r="C208"/>
      <c r="D208" s="196"/>
      <c r="G208"/>
      <c r="H208"/>
      <c r="I208"/>
      <c r="N208" s="491" t="s">
        <v>1081</v>
      </c>
      <c r="P208" s="507">
        <f>TRUNC(P206/2)+1</f>
        <v>11</v>
      </c>
    </row>
    <row r="209" spans="1:17" ht="15" customHeight="1" x14ac:dyDescent="0.25">
      <c r="B209" s="198"/>
      <c r="C209"/>
      <c r="D209" s="196"/>
      <c r="G209"/>
      <c r="H209"/>
      <c r="I209"/>
    </row>
    <row r="210" spans="1:17" ht="15" customHeight="1" x14ac:dyDescent="0.25">
      <c r="B210" s="198"/>
      <c r="C210"/>
      <c r="D210" s="196"/>
      <c r="G210"/>
      <c r="H210"/>
      <c r="I210"/>
    </row>
    <row r="211" spans="1:17" ht="15" customHeight="1" x14ac:dyDescent="0.25">
      <c r="B211" s="198"/>
      <c r="C211"/>
      <c r="D211" s="196"/>
      <c r="G211"/>
      <c r="H211"/>
      <c r="I211"/>
    </row>
    <row r="212" spans="1:17" ht="15" customHeight="1" x14ac:dyDescent="0.25">
      <c r="B212" s="198"/>
      <c r="C212"/>
      <c r="D212" s="196"/>
      <c r="G212"/>
      <c r="H212"/>
      <c r="I212"/>
    </row>
    <row r="213" spans="1:17" ht="15" customHeight="1" x14ac:dyDescent="0.25">
      <c r="B213" s="198"/>
      <c r="C213"/>
      <c r="D213" s="196"/>
      <c r="G213"/>
      <c r="H213"/>
      <c r="I213"/>
    </row>
    <row r="214" spans="1:17" ht="15" customHeight="1" x14ac:dyDescent="0.25">
      <c r="B214" s="198"/>
      <c r="C214" s="62"/>
      <c r="D214" s="196"/>
      <c r="G214"/>
      <c r="H214"/>
      <c r="I214"/>
    </row>
    <row r="215" spans="1:17" ht="15" customHeight="1" x14ac:dyDescent="0.25">
      <c r="B215" s="198"/>
      <c r="C215" t="s">
        <v>287</v>
      </c>
      <c r="D215" s="196"/>
      <c r="G215"/>
      <c r="H215"/>
      <c r="I215"/>
      <c r="O215" s="508"/>
      <c r="P215" s="508"/>
      <c r="Q215" s="508"/>
    </row>
    <row r="216" spans="1:17" ht="15" customHeight="1" x14ac:dyDescent="0.25">
      <c r="B216" s="198"/>
      <c r="C216"/>
      <c r="D216" s="196"/>
      <c r="G216" s="91">
        <f>IF(AND(K187&gt;=0,K187&lt;=125.39),1000*72.896*K187^0.716,"O parametro z esta fora da validade da curva.")</f>
        <v>1955610.3722831646</v>
      </c>
      <c r="H216" s="21" t="s">
        <v>173</v>
      </c>
      <c r="I216" s="339" t="s">
        <v>725</v>
      </c>
      <c r="O216" s="508"/>
      <c r="P216" s="508"/>
      <c r="Q216" s="508"/>
    </row>
    <row r="217" spans="1:17" ht="15" customHeight="1" x14ac:dyDescent="0.25">
      <c r="B217" s="198"/>
      <c r="C217"/>
      <c r="D217" s="196"/>
      <c r="G217" s="91"/>
      <c r="H217" s="21"/>
      <c r="I217" s="339" t="s">
        <v>1056</v>
      </c>
      <c r="J217" s="339"/>
      <c r="K217" s="339"/>
      <c r="L217" s="339"/>
    </row>
    <row r="218" spans="1:17" ht="30.75" customHeight="1" x14ac:dyDescent="0.25">
      <c r="A218" s="525"/>
      <c r="B218" s="740" t="s">
        <v>281</v>
      </c>
      <c r="C218" s="740"/>
      <c r="D218" s="740"/>
      <c r="E218" s="740"/>
      <c r="F218" s="8"/>
      <c r="G218" s="65" t="s">
        <v>282</v>
      </c>
      <c r="H218" s="21"/>
      <c r="I218"/>
    </row>
    <row r="219" spans="1:17" ht="20.25" customHeight="1" x14ac:dyDescent="0.25">
      <c r="B219" s="13" t="s">
        <v>283</v>
      </c>
      <c r="C219" s="13"/>
      <c r="D219" s="13"/>
      <c r="E219" s="13"/>
      <c r="F219" s="6">
        <f>G216+F218</f>
        <v>1955610.3722831646</v>
      </c>
      <c r="G219" s="65" t="s">
        <v>282</v>
      </c>
      <c r="H219" s="21"/>
      <c r="I219"/>
    </row>
    <row r="220" spans="1:17" ht="15" customHeight="1" x14ac:dyDescent="0.25">
      <c r="B220" s="198"/>
      <c r="C220"/>
      <c r="D220" s="196"/>
      <c r="G220"/>
      <c r="H220"/>
      <c r="I220"/>
    </row>
    <row r="221" spans="1:17" ht="15" customHeight="1" x14ac:dyDescent="0.5">
      <c r="A221" s="168"/>
      <c r="B221" s="72" t="s">
        <v>288</v>
      </c>
      <c r="C221" s="62"/>
      <c r="D221" s="62"/>
    </row>
    <row r="222" spans="1:17" ht="15" customHeight="1" x14ac:dyDescent="0.2">
      <c r="A222" s="168"/>
      <c r="B222" s="6" t="s">
        <v>289</v>
      </c>
    </row>
    <row r="223" spans="1:17" ht="15" customHeight="1" x14ac:dyDescent="0.2">
      <c r="A223" s="168"/>
      <c r="G223" s="82">
        <f>2*D70*(E73-1)*2084.8</f>
        <v>165591.18931653129</v>
      </c>
      <c r="H223" s="21" t="s">
        <v>173</v>
      </c>
    </row>
    <row r="224" spans="1:17" ht="15" customHeight="1" x14ac:dyDescent="0.2">
      <c r="A224" s="168"/>
      <c r="G224" s="82"/>
      <c r="H224" s="21"/>
    </row>
    <row r="225" spans="1:31" ht="29.25" customHeight="1" x14ac:dyDescent="0.2">
      <c r="A225" s="525"/>
      <c r="B225" s="740" t="s">
        <v>281</v>
      </c>
      <c r="C225" s="740"/>
      <c r="D225" s="740"/>
      <c r="E225" s="740"/>
      <c r="F225" s="8"/>
      <c r="G225" s="65" t="s">
        <v>173</v>
      </c>
      <c r="H225" s="21"/>
    </row>
    <row r="226" spans="1:31" ht="20.25" customHeight="1" x14ac:dyDescent="0.2">
      <c r="A226" s="168"/>
      <c r="B226" s="13" t="s">
        <v>290</v>
      </c>
      <c r="C226" s="13"/>
      <c r="D226" s="13"/>
      <c r="E226" s="13"/>
      <c r="F226" s="6">
        <f>G223+F225</f>
        <v>165591.18931653129</v>
      </c>
      <c r="G226" s="65" t="s">
        <v>173</v>
      </c>
    </row>
    <row r="227" spans="1:31" ht="15" customHeight="1" x14ac:dyDescent="0.2">
      <c r="G227" s="11"/>
      <c r="H227" s="9"/>
    </row>
    <row r="228" spans="1:31" ht="15" customHeight="1" x14ac:dyDescent="0.5">
      <c r="B228" s="199" t="s">
        <v>291</v>
      </c>
    </row>
    <row r="229" spans="1:31" ht="15" customHeight="1" x14ac:dyDescent="0.2">
      <c r="A229" s="168"/>
      <c r="B229" s="72"/>
    </row>
    <row r="230" spans="1:31" ht="15" customHeight="1" x14ac:dyDescent="0.5">
      <c r="A230" s="168"/>
      <c r="B230" s="72" t="s">
        <v>292</v>
      </c>
      <c r="N230" s="496" t="s">
        <v>1082</v>
      </c>
      <c r="W230" s="496" t="s">
        <v>1060</v>
      </c>
      <c r="AA230" s="21" t="s">
        <v>1083</v>
      </c>
      <c r="AD230" s="21" t="s">
        <v>1084</v>
      </c>
    </row>
    <row r="231" spans="1:31" ht="15" customHeight="1" x14ac:dyDescent="0.2">
      <c r="A231" s="168"/>
      <c r="B231" s="6" t="s">
        <v>289</v>
      </c>
      <c r="N231" s="491" t="s">
        <v>1085</v>
      </c>
      <c r="P231" s="505">
        <f>1.1*MAX(X163,X199)</f>
        <v>115.6898786424218</v>
      </c>
      <c r="Q231" s="491" t="s">
        <v>115</v>
      </c>
      <c r="W231" s="491" t="s">
        <v>1083</v>
      </c>
      <c r="X231" s="500">
        <f>(VLOOKUP(P232+5,AA233:AB239,2)-VLOOKUP(P232,AA233:AB239,2))*(P232-(VLOOKUP(P232,AA233:AB239,1)))/5+VLOOKUP(P232,AA233:AB239,2)</f>
        <v>65.992541774368675</v>
      </c>
      <c r="Y231" s="491" t="s">
        <v>115</v>
      </c>
      <c r="AA231" s="21" t="s">
        <v>1086</v>
      </c>
      <c r="AB231" s="21" t="s">
        <v>1060</v>
      </c>
      <c r="AD231" s="21" t="s">
        <v>8</v>
      </c>
      <c r="AE231" s="21" t="s">
        <v>1060</v>
      </c>
    </row>
    <row r="232" spans="1:31" ht="15" customHeight="1" x14ac:dyDescent="0.2">
      <c r="A232" s="168"/>
      <c r="N232" s="491" t="s">
        <v>1087</v>
      </c>
      <c r="P232" s="499">
        <v>5</v>
      </c>
      <c r="Q232" s="491" t="s">
        <v>1</v>
      </c>
      <c r="R232" s="491" t="s">
        <v>1088</v>
      </c>
      <c r="W232" s="491" t="s">
        <v>1084</v>
      </c>
      <c r="X232" s="500">
        <f>IF(P231&lt;3,0.5,(VLOOKUP(P233+5,AD233:AE243,2)-VLOOKUP(P233,AD233:AE243,2))*(P233-(VLOOKUP(P233,AD233:AE243,1)))/5+VLOOKUP(P233,AD233:AE243,2))</f>
        <v>28.99779084107465</v>
      </c>
      <c r="Y232" s="491" t="s">
        <v>115</v>
      </c>
      <c r="AA232" s="53" t="s">
        <v>1089</v>
      </c>
      <c r="AB232" s="53" t="s">
        <v>190</v>
      </c>
      <c r="AD232" s="53" t="s">
        <v>1089</v>
      </c>
      <c r="AE232" s="53" t="s">
        <v>190</v>
      </c>
    </row>
    <row r="233" spans="1:31" ht="15" customHeight="1" x14ac:dyDescent="0.25">
      <c r="A233" s="168"/>
      <c r="N233" s="491" t="s">
        <v>8</v>
      </c>
      <c r="P233" s="499">
        <v>5</v>
      </c>
      <c r="Q233" s="491" t="s">
        <v>1</v>
      </c>
      <c r="R233" s="491" t="s">
        <v>1088</v>
      </c>
      <c r="AA233" s="489">
        <v>5</v>
      </c>
      <c r="AB233" s="490">
        <f>8.053996037+0.500809115*P231</f>
        <v>65.992541774368675</v>
      </c>
      <c r="AD233" s="489">
        <v>5</v>
      </c>
      <c r="AE233" s="490">
        <f>-0.018874907+0.250814212*P231</f>
        <v>28.99779084107465</v>
      </c>
    </row>
    <row r="234" spans="1:31" ht="15" customHeight="1" x14ac:dyDescent="0.25">
      <c r="A234" s="168"/>
      <c r="AA234" s="489">
        <v>10</v>
      </c>
      <c r="AB234" s="490">
        <f>5.60006605+0.569848085*P231</f>
        <v>71.525721848266457</v>
      </c>
      <c r="AD234" s="489">
        <v>6</v>
      </c>
      <c r="AE234" s="490">
        <f>-0.165278806+0.300675426*P231</f>
        <v>34.619824738698476</v>
      </c>
    </row>
    <row r="235" spans="1:31" ht="15" customHeight="1" x14ac:dyDescent="0.25">
      <c r="A235" s="168"/>
      <c r="AA235" s="489">
        <v>15</v>
      </c>
      <c r="AB235" s="490">
        <f>7.432298547+0.630713342*P231</f>
        <v>80.39944854113628</v>
      </c>
      <c r="AD235" s="489">
        <v>7</v>
      </c>
      <c r="AE235" s="490">
        <f>-0.143628177+0.35121065*P231</f>
        <v>40.487889299426087</v>
      </c>
    </row>
    <row r="236" spans="1:31" ht="15" customHeight="1" x14ac:dyDescent="0.25">
      <c r="A236" s="168"/>
      <c r="AA236" s="489">
        <v>20</v>
      </c>
      <c r="AB236" s="490">
        <f>8.307959049+0.691964188*P231</f>
        <v>88.361211983621956</v>
      </c>
      <c r="AD236" s="489">
        <v>8</v>
      </c>
      <c r="AE236" s="490">
        <f>-0.4215396+0.401517395*P231</f>
        <v>46.029959100371336</v>
      </c>
    </row>
    <row r="237" spans="1:31" ht="15" customHeight="1" x14ac:dyDescent="0.25">
      <c r="A237" s="168"/>
      <c r="AA237" s="489">
        <v>25</v>
      </c>
      <c r="AB237" s="490">
        <f>11.40042933+0.74151255*P231</f>
        <v>97.185926251332731</v>
      </c>
      <c r="AD237" s="489">
        <v>9</v>
      </c>
      <c r="AE237" s="490">
        <f>-0.302152726+0.451841229*P231</f>
        <v>51.971304222652719</v>
      </c>
    </row>
    <row r="238" spans="1:31" ht="15" customHeight="1" x14ac:dyDescent="0.25">
      <c r="A238" s="168"/>
      <c r="N238" s="503"/>
      <c r="AA238" s="489">
        <v>30</v>
      </c>
      <c r="AB238" s="490">
        <f>15.01585205+0.788540291*P231</f>
        <v>106.24198262044996</v>
      </c>
      <c r="AD238" s="489">
        <v>10</v>
      </c>
      <c r="AE238" s="490">
        <f>-0.4215396+0.501517395*P231</f>
        <v>57.598946964613518</v>
      </c>
    </row>
    <row r="239" spans="1:31" ht="15" customHeight="1" x14ac:dyDescent="0.25">
      <c r="A239" s="168"/>
      <c r="N239" s="503"/>
      <c r="AA239" s="489">
        <v>35</v>
      </c>
      <c r="AB239" s="490">
        <f>16.01304491+0.844996697*P231</f>
        <v>113.77061023917727</v>
      </c>
      <c r="AD239" s="489">
        <v>11</v>
      </c>
      <c r="AE239" s="490">
        <f>-0.544905009+0.552590674*P231</f>
        <v>63.384243004994069</v>
      </c>
    </row>
    <row r="240" spans="1:31" ht="15" customHeight="1" x14ac:dyDescent="0.25">
      <c r="A240" s="168"/>
      <c r="AD240" s="489">
        <v>12</v>
      </c>
      <c r="AE240" s="490">
        <f>-0.704817419+0.602544412*P231</f>
        <v>69.003472481949402</v>
      </c>
    </row>
    <row r="241" spans="1:31" ht="15" customHeight="1" x14ac:dyDescent="0.25">
      <c r="A241" s="168"/>
      <c r="AD241" s="489">
        <v>13</v>
      </c>
      <c r="AE241" s="490">
        <f>-0.828182828+0.653617691*P231</f>
        <v>74.78876852232996</v>
      </c>
    </row>
    <row r="242" spans="1:31" ht="15" customHeight="1" x14ac:dyDescent="0.25">
      <c r="A242" s="168"/>
      <c r="AD242" s="489">
        <v>14</v>
      </c>
      <c r="AE242" s="490">
        <f>-0.559801382+0.702007772*P231</f>
        <v>80.655392566716912</v>
      </c>
    </row>
    <row r="243" spans="1:31" ht="15" customHeight="1" x14ac:dyDescent="0.25">
      <c r="A243" s="168"/>
      <c r="AD243" s="489">
        <v>15</v>
      </c>
      <c r="AE243" s="490">
        <f>-0.68316679+0.753081051*P231</f>
        <v>86.44068860809746</v>
      </c>
    </row>
    <row r="244" spans="1:31" ht="15" customHeight="1" x14ac:dyDescent="0.2">
      <c r="A244" s="168"/>
    </row>
    <row r="245" spans="1:31" ht="15" customHeight="1" x14ac:dyDescent="0.2">
      <c r="A245" s="168"/>
    </row>
    <row r="246" spans="1:31" ht="15" customHeight="1" x14ac:dyDescent="0.2">
      <c r="A246" s="168"/>
    </row>
    <row r="247" spans="1:31" ht="15" customHeight="1" x14ac:dyDescent="0.2">
      <c r="A247" s="168"/>
    </row>
    <row r="248" spans="1:31" ht="15" customHeight="1" x14ac:dyDescent="0.2">
      <c r="A248" s="168"/>
    </row>
    <row r="249" spans="1:31" ht="15" customHeight="1" x14ac:dyDescent="0.2">
      <c r="A249" s="168"/>
      <c r="N249" s="503"/>
    </row>
    <row r="250" spans="1:31" ht="15" customHeight="1" x14ac:dyDescent="0.2">
      <c r="A250" s="168"/>
      <c r="N250" s="503"/>
      <c r="X250" s="14"/>
    </row>
    <row r="251" spans="1:31" ht="15" customHeight="1" x14ac:dyDescent="0.25">
      <c r="A251" s="168"/>
      <c r="C251" t="s">
        <v>293</v>
      </c>
    </row>
    <row r="252" spans="1:31" ht="15" customHeight="1" x14ac:dyDescent="0.25">
      <c r="A252" s="168"/>
      <c r="C252"/>
      <c r="G252" s="82">
        <f>IF(AND(K187&gt;=0,K187&lt;=125.39),(-0.71*(K187^2)+97.3*K187+57.78)*1000, "O parametro z esta fora da validade da curva.")</f>
        <v>2735842.682840615</v>
      </c>
      <c r="H252" s="21" t="s">
        <v>173</v>
      </c>
      <c r="K252" s="339" t="s">
        <v>725</v>
      </c>
    </row>
    <row r="253" spans="1:31" ht="15" customHeight="1" x14ac:dyDescent="0.25">
      <c r="A253" s="168"/>
      <c r="C253"/>
      <c r="G253" s="82"/>
      <c r="H253" s="21"/>
      <c r="K253" s="339" t="s">
        <v>1056</v>
      </c>
      <c r="L253" s="339"/>
      <c r="M253" s="339"/>
    </row>
    <row r="254" spans="1:31" ht="29.25" customHeight="1" x14ac:dyDescent="0.2">
      <c r="A254" s="525"/>
      <c r="C254" s="740" t="s">
        <v>281</v>
      </c>
      <c r="D254" s="740"/>
      <c r="E254" s="740"/>
      <c r="F254" s="740"/>
      <c r="G254" s="8"/>
      <c r="H254" s="65" t="s">
        <v>173</v>
      </c>
    </row>
    <row r="255" spans="1:31" ht="21" customHeight="1" x14ac:dyDescent="0.2">
      <c r="A255" s="168"/>
      <c r="C255" s="13" t="s">
        <v>294</v>
      </c>
      <c r="D255" s="13"/>
      <c r="E255" s="13"/>
      <c r="F255" s="13"/>
      <c r="G255" s="6">
        <f>G252+G254</f>
        <v>2735842.682840615</v>
      </c>
      <c r="H255" s="65" t="s">
        <v>173</v>
      </c>
    </row>
    <row r="256" spans="1:31" ht="15" customHeight="1" x14ac:dyDescent="0.2">
      <c r="A256" s="168"/>
    </row>
    <row r="257" spans="2:25" ht="15" customHeight="1" x14ac:dyDescent="0.5">
      <c r="B257" s="55" t="s">
        <v>295</v>
      </c>
    </row>
    <row r="258" spans="2:25" ht="15" customHeight="1" x14ac:dyDescent="0.5">
      <c r="B258" s="55"/>
    </row>
    <row r="259" spans="2:25" ht="15" customHeight="1" x14ac:dyDescent="0.5">
      <c r="B259" s="55"/>
      <c r="N259" s="496" t="s">
        <v>1058</v>
      </c>
      <c r="O259" s="497"/>
      <c r="S259" s="496" t="s">
        <v>1059</v>
      </c>
      <c r="W259" s="496" t="s">
        <v>1060</v>
      </c>
    </row>
    <row r="260" spans="2:25" ht="15" customHeight="1" x14ac:dyDescent="0.5">
      <c r="B260" s="55"/>
      <c r="N260" s="491" t="s">
        <v>1061</v>
      </c>
      <c r="O260" s="497"/>
      <c r="P260" s="499">
        <f>P197</f>
        <v>1548</v>
      </c>
      <c r="Q260" s="491" t="s">
        <v>1</v>
      </c>
      <c r="R260" s="491" t="s">
        <v>1077</v>
      </c>
      <c r="S260" s="491" t="s">
        <v>1062</v>
      </c>
      <c r="T260" s="14">
        <f>(((P262-P264)*2*R274)/R273)+(P269*R274)</f>
        <v>196.202710948613</v>
      </c>
      <c r="U260" s="491" t="s">
        <v>1</v>
      </c>
      <c r="W260" s="491" t="s">
        <v>1062</v>
      </c>
      <c r="X260" s="500">
        <f>(40*T260)/(1000)</f>
        <v>7.8481084379445205</v>
      </c>
      <c r="Y260" s="491" t="s">
        <v>115</v>
      </c>
    </row>
    <row r="261" spans="2:25" ht="15" customHeight="1" x14ac:dyDescent="0.5">
      <c r="B261" s="55"/>
      <c r="N261" s="491" t="s">
        <v>1063</v>
      </c>
      <c r="O261" s="497"/>
      <c r="P261" s="14"/>
      <c r="Q261" s="491" t="s">
        <v>1</v>
      </c>
      <c r="S261" s="491" t="s">
        <v>1064</v>
      </c>
      <c r="T261" s="14"/>
      <c r="U261" s="491" t="s">
        <v>1</v>
      </c>
      <c r="W261" s="491" t="s">
        <v>1090</v>
      </c>
      <c r="X261" s="500">
        <f>(180*P268*P269)/1000</f>
        <v>24.385371573109847</v>
      </c>
      <c r="Y261" s="491" t="s">
        <v>115</v>
      </c>
    </row>
    <row r="262" spans="2:25" ht="15" customHeight="1" x14ac:dyDescent="0.5">
      <c r="B262" s="55"/>
      <c r="N262" s="491" t="s">
        <v>1066</v>
      </c>
      <c r="O262" s="497"/>
      <c r="P262" s="499">
        <f>iohsrf2!B27</f>
        <v>1550</v>
      </c>
      <c r="Q262" s="491" t="s">
        <v>1</v>
      </c>
      <c r="R262" s="491" t="s">
        <v>1078</v>
      </c>
      <c r="S262" s="501"/>
    </row>
    <row r="263" spans="2:25" ht="15" customHeight="1" x14ac:dyDescent="0.5">
      <c r="B263" s="55"/>
      <c r="N263" s="491" t="s">
        <v>1067</v>
      </c>
      <c r="O263" s="497"/>
      <c r="P263" s="14"/>
      <c r="Q263" s="491" t="s">
        <v>1</v>
      </c>
      <c r="S263" s="496" t="s">
        <v>1068</v>
      </c>
    </row>
    <row r="264" spans="2:25" ht="15" customHeight="1" x14ac:dyDescent="0.5">
      <c r="B264" s="55"/>
      <c r="N264" s="491" t="s">
        <v>1069</v>
      </c>
      <c r="O264" s="497"/>
      <c r="P264" s="14">
        <f>P201</f>
        <v>1511.7860731685219</v>
      </c>
      <c r="Q264" s="491" t="s">
        <v>1</v>
      </c>
      <c r="S264" s="491" t="s">
        <v>1070</v>
      </c>
      <c r="T264" s="14"/>
      <c r="U264" s="491" t="s">
        <v>1</v>
      </c>
    </row>
    <row r="265" spans="2:25" ht="15" customHeight="1" x14ac:dyDescent="0.5">
      <c r="B265" s="55"/>
      <c r="P265" s="14"/>
      <c r="S265" s="491" t="s">
        <v>1071</v>
      </c>
      <c r="T265" s="14"/>
      <c r="U265" s="491" t="s">
        <v>1</v>
      </c>
    </row>
    <row r="266" spans="2:25" ht="15" customHeight="1" x14ac:dyDescent="0.5">
      <c r="B266" s="55"/>
      <c r="O266" s="502"/>
      <c r="P266" s="14"/>
      <c r="S266" s="491" t="s">
        <v>1072</v>
      </c>
      <c r="T266" s="14"/>
      <c r="U266" s="491" t="s">
        <v>1</v>
      </c>
    </row>
    <row r="267" spans="2:25" ht="15" customHeight="1" x14ac:dyDescent="0.5">
      <c r="B267" s="55"/>
      <c r="N267" s="496" t="s">
        <v>1073</v>
      </c>
      <c r="O267" s="497"/>
      <c r="P267" s="14"/>
    </row>
    <row r="268" spans="2:25" ht="15" customHeight="1" x14ac:dyDescent="0.5">
      <c r="B268" s="55"/>
      <c r="N268" s="491" t="s">
        <v>1074</v>
      </c>
      <c r="O268" s="497"/>
      <c r="P268" s="14">
        <f>P205</f>
        <v>6.7199773441403039</v>
      </c>
      <c r="Q268" s="491" t="s">
        <v>1</v>
      </c>
      <c r="S268" s="496" t="s">
        <v>1075</v>
      </c>
    </row>
    <row r="269" spans="2:25" ht="15" customHeight="1" x14ac:dyDescent="0.5">
      <c r="B269" s="55"/>
      <c r="N269" s="491" t="s">
        <v>8</v>
      </c>
      <c r="O269" s="502"/>
      <c r="P269" s="14">
        <f>P206</f>
        <v>20.159932032420912</v>
      </c>
      <c r="Q269" s="491" t="s">
        <v>1</v>
      </c>
      <c r="S269" s="491" t="s">
        <v>1076</v>
      </c>
      <c r="T269" s="14"/>
      <c r="U269" s="491" t="s">
        <v>1</v>
      </c>
    </row>
    <row r="270" spans="2:25" ht="15" customHeight="1" x14ac:dyDescent="0.5">
      <c r="B270" s="55"/>
    </row>
    <row r="271" spans="2:25" ht="15" customHeight="1" x14ac:dyDescent="0.5">
      <c r="B271" s="55"/>
    </row>
    <row r="272" spans="2:25" ht="15" customHeight="1" x14ac:dyDescent="0.5">
      <c r="B272" s="55"/>
      <c r="N272" s="496" t="s">
        <v>1091</v>
      </c>
      <c r="O272" s="504"/>
      <c r="P272" s="509"/>
      <c r="Q272" s="504"/>
      <c r="R272" s="510"/>
      <c r="S272" s="511" t="s">
        <v>1092</v>
      </c>
    </row>
    <row r="273" spans="1:25" ht="15" customHeight="1" x14ac:dyDescent="0.5">
      <c r="B273" s="55"/>
      <c r="N273" s="491" t="s">
        <v>1093</v>
      </c>
      <c r="O273" s="504"/>
      <c r="P273" s="509"/>
      <c r="Q273" s="504"/>
      <c r="R273" s="512">
        <f>1/(1^2+0.2^2)^0.5</f>
        <v>0.98058067569092011</v>
      </c>
    </row>
    <row r="274" spans="1:25" ht="15" customHeight="1" x14ac:dyDescent="0.25">
      <c r="C274" t="s">
        <v>296</v>
      </c>
      <c r="N274" s="491" t="s">
        <v>1094</v>
      </c>
      <c r="O274" s="504"/>
      <c r="P274" s="509"/>
      <c r="Q274" s="504"/>
      <c r="R274" s="513">
        <f>TRUNC(P268/T274)+1</f>
        <v>2</v>
      </c>
      <c r="S274" s="514" t="s">
        <v>1095</v>
      </c>
      <c r="T274" s="515">
        <v>5</v>
      </c>
      <c r="U274" s="491" t="s">
        <v>1</v>
      </c>
    </row>
    <row r="275" spans="1:25" ht="15" customHeight="1" x14ac:dyDescent="0.2">
      <c r="C275" s="11"/>
      <c r="N275" s="491" t="s">
        <v>1096</v>
      </c>
      <c r="O275" s="504"/>
      <c r="P275" s="509"/>
      <c r="Q275" s="504"/>
      <c r="R275" s="516">
        <f>R274*C12</f>
        <v>4</v>
      </c>
    </row>
    <row r="276" spans="1:25" ht="15" customHeight="1" x14ac:dyDescent="0.25">
      <c r="C276" s="11"/>
      <c r="E276" s="82">
        <f>IF(AND(C19/C12&gt;=2,C19/C12&lt;=750),5.35*1000*C19/C12,"Vazao fora da validade da curva.")</f>
        <v>1832354.2434203816</v>
      </c>
      <c r="F276" s="21" t="s">
        <v>173</v>
      </c>
      <c r="G276"/>
      <c r="I276" s="372" t="s">
        <v>726</v>
      </c>
    </row>
    <row r="277" spans="1:25" ht="15" customHeight="1" x14ac:dyDescent="0.25">
      <c r="C277" s="11"/>
      <c r="E277" s="82"/>
      <c r="F277" s="21"/>
      <c r="G277"/>
    </row>
    <row r="278" spans="1:25" ht="28.5" customHeight="1" x14ac:dyDescent="0.2">
      <c r="A278" s="525"/>
      <c r="C278" s="740" t="s">
        <v>281</v>
      </c>
      <c r="D278" s="740"/>
      <c r="E278" s="740"/>
      <c r="F278" s="740"/>
      <c r="G278" s="8"/>
      <c r="H278" s="65" t="s">
        <v>173</v>
      </c>
    </row>
    <row r="279" spans="1:25" ht="21" customHeight="1" x14ac:dyDescent="0.2">
      <c r="C279" s="13" t="s">
        <v>297</v>
      </c>
      <c r="D279" s="13"/>
      <c r="E279" s="13"/>
      <c r="F279" s="13"/>
      <c r="G279" s="6">
        <f>E276+G278</f>
        <v>1832354.2434203816</v>
      </c>
      <c r="H279" s="65" t="s">
        <v>173</v>
      </c>
    </row>
    <row r="280" spans="1:25" ht="15" customHeight="1" x14ac:dyDescent="0.25">
      <c r="F280"/>
    </row>
    <row r="281" spans="1:25" ht="15" customHeight="1" x14ac:dyDescent="0.2">
      <c r="A281" s="200" t="s">
        <v>298</v>
      </c>
      <c r="C281" s="8"/>
      <c r="D281" s="8"/>
      <c r="E281" s="8"/>
      <c r="F281" s="8"/>
      <c r="J281" s="201"/>
      <c r="K281" s="119"/>
    </row>
    <row r="282" spans="1:25" ht="15" customHeight="1" thickBot="1" x14ac:dyDescent="0.25">
      <c r="B282" s="8"/>
      <c r="D282" s="8"/>
      <c r="E282" s="8"/>
      <c r="F282" s="8"/>
      <c r="G282" s="8"/>
      <c r="J282" s="10" t="s">
        <v>299</v>
      </c>
    </row>
    <row r="283" spans="1:25" ht="25.5" customHeight="1" x14ac:dyDescent="0.2">
      <c r="B283" s="120"/>
      <c r="C283" s="121"/>
      <c r="D283" s="121"/>
      <c r="E283" s="121"/>
      <c r="F283" s="121"/>
      <c r="G283" s="122"/>
      <c r="H283" s="120"/>
      <c r="I283" s="123" t="s">
        <v>200</v>
      </c>
      <c r="J283" s="124" t="s">
        <v>201</v>
      </c>
    </row>
    <row r="284" spans="1:25" ht="15" customHeight="1" x14ac:dyDescent="0.2">
      <c r="B284" s="125" t="s">
        <v>202</v>
      </c>
      <c r="C284" s="126" t="s">
        <v>203</v>
      </c>
      <c r="D284" s="126"/>
      <c r="E284" s="126"/>
      <c r="F284" s="126"/>
      <c r="G284" s="127" t="s">
        <v>204</v>
      </c>
      <c r="H284" s="128" t="s">
        <v>205</v>
      </c>
      <c r="I284" s="129" t="s">
        <v>173</v>
      </c>
      <c r="J284" s="130" t="s">
        <v>206</v>
      </c>
    </row>
    <row r="285" spans="1:25" ht="15" customHeight="1" thickBot="1" x14ac:dyDescent="0.25">
      <c r="B285" s="131"/>
      <c r="C285" s="132"/>
      <c r="D285" s="132"/>
      <c r="E285" s="132"/>
      <c r="F285" s="132"/>
      <c r="G285" s="133"/>
      <c r="H285" s="134"/>
      <c r="I285" s="135"/>
      <c r="J285" s="136"/>
    </row>
    <row r="286" spans="1:25" s="47" customFormat="1" ht="15" customHeight="1" x14ac:dyDescent="0.2">
      <c r="B286" s="137" t="s">
        <v>300</v>
      </c>
      <c r="C286" s="202" t="s">
        <v>301</v>
      </c>
      <c r="D286" s="137"/>
      <c r="E286" s="137"/>
      <c r="F286" s="137"/>
      <c r="G286" s="137"/>
      <c r="H286" s="140"/>
      <c r="I286" s="139"/>
      <c r="J286" s="203">
        <f>J287+J290+J291+J295+J301</f>
        <v>23935.890286440906</v>
      </c>
      <c r="N286" s="494"/>
      <c r="O286" s="494"/>
      <c r="P286" s="494"/>
      <c r="Q286" s="494"/>
      <c r="R286" s="494"/>
      <c r="S286" s="494"/>
      <c r="T286" s="494"/>
      <c r="U286" s="494"/>
      <c r="V286" s="494"/>
      <c r="W286" s="494"/>
      <c r="X286" s="494"/>
      <c r="Y286" s="494"/>
    </row>
    <row r="287" spans="1:25" s="47" customFormat="1" ht="15" customHeight="1" x14ac:dyDescent="0.2">
      <c r="B287" s="137" t="s">
        <v>302</v>
      </c>
      <c r="C287" s="137" t="s">
        <v>303</v>
      </c>
      <c r="D287" s="137"/>
      <c r="E287" s="140"/>
      <c r="F287" s="137"/>
      <c r="G287" s="141" t="s">
        <v>211</v>
      </c>
      <c r="H287" s="140"/>
      <c r="I287" s="139"/>
      <c r="J287" s="203">
        <f>J288+J289</f>
        <v>-11316.722948049764</v>
      </c>
      <c r="N287" s="494"/>
      <c r="O287" s="494"/>
      <c r="P287" s="494"/>
      <c r="Q287" s="494"/>
      <c r="R287" s="494"/>
      <c r="S287" s="494"/>
      <c r="T287" s="494"/>
      <c r="U287" s="494"/>
      <c r="V287" s="494"/>
      <c r="W287" s="494"/>
      <c r="X287" s="494"/>
      <c r="Y287" s="494"/>
    </row>
    <row r="288" spans="1:25" s="47" customFormat="1" ht="15" customHeight="1" x14ac:dyDescent="0.2">
      <c r="B288" s="137" t="s">
        <v>304</v>
      </c>
      <c r="C288" s="137" t="s">
        <v>305</v>
      </c>
      <c r="D288" s="137"/>
      <c r="E288" s="137"/>
      <c r="F288" s="137"/>
      <c r="G288" s="141" t="s">
        <v>102</v>
      </c>
      <c r="H288" s="140">
        <f>E96</f>
        <v>356.89975710729146</v>
      </c>
      <c r="I288" s="139">
        <v>7.6</v>
      </c>
      <c r="J288" s="203">
        <f>H288*I288/1000</f>
        <v>2.7124381540154148</v>
      </c>
      <c r="N288" s="494"/>
      <c r="O288" s="494"/>
      <c r="P288" s="494"/>
      <c r="Q288" s="494"/>
      <c r="R288" s="494"/>
      <c r="S288" s="494"/>
      <c r="T288" s="494"/>
      <c r="U288" s="494"/>
      <c r="V288" s="494"/>
      <c r="W288" s="494"/>
      <c r="X288" s="494"/>
      <c r="Y288" s="494"/>
    </row>
    <row r="289" spans="2:25" s="47" customFormat="1" ht="15" customHeight="1" x14ac:dyDescent="0.2">
      <c r="B289" s="137" t="s">
        <v>306</v>
      </c>
      <c r="C289" s="137" t="s">
        <v>307</v>
      </c>
      <c r="D289" s="137"/>
      <c r="E289" s="137"/>
      <c r="F289" s="137"/>
      <c r="G289" s="141" t="s">
        <v>102</v>
      </c>
      <c r="H289" s="140">
        <f>F100</f>
        <v>-539020.73267637054</v>
      </c>
      <c r="I289" s="139">
        <v>21</v>
      </c>
      <c r="J289" s="203">
        <f>H289*I289/1000</f>
        <v>-11319.435386203781</v>
      </c>
      <c r="N289" s="494"/>
      <c r="O289" s="494"/>
      <c r="P289" s="494"/>
      <c r="Q289" s="494"/>
      <c r="R289" s="494"/>
      <c r="S289" s="494"/>
      <c r="T289" s="494"/>
      <c r="U289" s="494"/>
      <c r="V289" s="494"/>
      <c r="W289" s="494"/>
      <c r="X289" s="494"/>
      <c r="Y289" s="494"/>
    </row>
    <row r="290" spans="2:25" s="47" customFormat="1" ht="15" customHeight="1" x14ac:dyDescent="0.2">
      <c r="B290" s="137" t="s">
        <v>308</v>
      </c>
      <c r="C290" s="137" t="s">
        <v>309</v>
      </c>
      <c r="D290" s="137"/>
      <c r="E290" s="137"/>
      <c r="F290" s="137"/>
      <c r="G290" s="141" t="s">
        <v>211</v>
      </c>
      <c r="H290" s="140"/>
      <c r="I290" s="139"/>
      <c r="J290" s="203">
        <f>F119/1000</f>
        <v>108.22305936165577</v>
      </c>
      <c r="N290" s="494"/>
      <c r="O290" s="494"/>
      <c r="P290" s="494"/>
      <c r="Q290" s="494"/>
      <c r="R290" s="494"/>
      <c r="S290" s="494"/>
      <c r="T290" s="494"/>
      <c r="U290" s="494"/>
      <c r="V290" s="494"/>
      <c r="W290" s="494"/>
      <c r="X290" s="494"/>
      <c r="Y290" s="494"/>
    </row>
    <row r="291" spans="2:25" s="47" customFormat="1" ht="15" customHeight="1" x14ac:dyDescent="0.2">
      <c r="B291" s="137" t="s">
        <v>310</v>
      </c>
      <c r="C291" s="137" t="s">
        <v>311</v>
      </c>
      <c r="D291" s="137"/>
      <c r="E291" s="137"/>
      <c r="F291" s="137"/>
      <c r="G291" s="141" t="s">
        <v>211</v>
      </c>
      <c r="H291" s="140"/>
      <c r="I291" s="139"/>
      <c r="J291" s="203">
        <f>SUM(J292:J294)</f>
        <v>9716.2085068926899</v>
      </c>
      <c r="N291" s="494"/>
      <c r="O291" s="494"/>
      <c r="P291" s="494"/>
      <c r="Q291" s="494"/>
      <c r="R291" s="494"/>
      <c r="S291" s="494"/>
      <c r="T291" s="494"/>
      <c r="U291" s="494"/>
      <c r="V291" s="494"/>
      <c r="W291" s="494"/>
      <c r="X291" s="494"/>
      <c r="Y291" s="494"/>
    </row>
    <row r="292" spans="2:25" s="47" customFormat="1" ht="15" customHeight="1" x14ac:dyDescent="0.2">
      <c r="B292" s="137" t="s">
        <v>312</v>
      </c>
      <c r="C292" s="137" t="s">
        <v>313</v>
      </c>
      <c r="D292" s="137"/>
      <c r="E292" s="137"/>
      <c r="F292" s="137"/>
      <c r="G292" s="141" t="s">
        <v>115</v>
      </c>
      <c r="H292" s="140">
        <f>D152</f>
        <v>5456.3207966782247</v>
      </c>
      <c r="I292" s="139">
        <v>348</v>
      </c>
      <c r="J292" s="203">
        <f>H292*I292/1000</f>
        <v>1898.7996372440223</v>
      </c>
      <c r="N292" s="494"/>
      <c r="O292" s="494"/>
      <c r="P292" s="494"/>
      <c r="Q292" s="494"/>
      <c r="R292" s="494"/>
      <c r="S292" s="494"/>
      <c r="T292" s="494"/>
      <c r="U292" s="494"/>
      <c r="V292" s="494"/>
      <c r="W292" s="494"/>
      <c r="X292" s="494"/>
      <c r="Y292" s="494"/>
    </row>
    <row r="293" spans="2:25" s="47" customFormat="1" ht="15" customHeight="1" x14ac:dyDescent="0.2">
      <c r="B293" s="137" t="s">
        <v>314</v>
      </c>
      <c r="C293" s="137" t="s">
        <v>315</v>
      </c>
      <c r="D293" s="137"/>
      <c r="E293" s="137"/>
      <c r="F293" s="137"/>
      <c r="G293" s="141" t="s">
        <v>102</v>
      </c>
      <c r="H293" s="140">
        <f>F152</f>
        <v>19583.655756838969</v>
      </c>
      <c r="I293" s="139">
        <f>D154</f>
        <v>164.23466448353804</v>
      </c>
      <c r="J293" s="203">
        <f>H293*I293/1000</f>
        <v>3216.3151325855561</v>
      </c>
      <c r="N293" s="494"/>
      <c r="O293" s="494"/>
      <c r="P293" s="494"/>
      <c r="Q293" s="494"/>
      <c r="R293" s="494"/>
      <c r="S293" s="494"/>
      <c r="T293" s="494"/>
      <c r="U293" s="494"/>
      <c r="V293" s="494"/>
      <c r="W293" s="494"/>
      <c r="X293" s="494"/>
      <c r="Y293" s="494"/>
    </row>
    <row r="294" spans="2:25" s="47" customFormat="1" ht="15" customHeight="1" x14ac:dyDescent="0.2">
      <c r="B294" s="137" t="s">
        <v>316</v>
      </c>
      <c r="C294" s="137" t="s">
        <v>317</v>
      </c>
      <c r="D294" s="137"/>
      <c r="E294" s="137"/>
      <c r="F294" s="137"/>
      <c r="G294" s="141" t="s">
        <v>115</v>
      </c>
      <c r="H294" s="140">
        <f>E152</f>
        <v>1063.3449819882396</v>
      </c>
      <c r="I294" s="139">
        <v>4327</v>
      </c>
      <c r="J294" s="203">
        <f>H294*I294/1000</f>
        <v>4601.0937370631127</v>
      </c>
      <c r="N294" s="494"/>
      <c r="O294" s="494"/>
      <c r="P294" s="494"/>
      <c r="Q294" s="494"/>
      <c r="R294" s="494"/>
      <c r="S294" s="494"/>
      <c r="T294" s="494"/>
      <c r="U294" s="494"/>
      <c r="V294" s="494"/>
      <c r="W294" s="494"/>
      <c r="X294" s="494"/>
      <c r="Y294" s="494"/>
    </row>
    <row r="295" spans="2:25" s="47" customFormat="1" ht="15" customHeight="1" x14ac:dyDescent="0.2">
      <c r="B295" s="137" t="s">
        <v>318</v>
      </c>
      <c r="C295" s="137" t="s">
        <v>319</v>
      </c>
      <c r="D295" s="137"/>
      <c r="E295" s="137"/>
      <c r="F295" s="137"/>
      <c r="G295" s="141" t="s">
        <v>211</v>
      </c>
      <c r="H295" s="140"/>
      <c r="I295" s="139"/>
      <c r="J295" s="203">
        <f>SUM(J296:J300)</f>
        <v>24958.850486149247</v>
      </c>
      <c r="N295" s="494"/>
      <c r="O295" s="494"/>
      <c r="P295" s="494"/>
      <c r="Q295" s="494"/>
      <c r="R295" s="494"/>
      <c r="S295" s="494"/>
      <c r="T295" s="494"/>
      <c r="U295" s="494"/>
      <c r="V295" s="494"/>
      <c r="W295" s="494"/>
      <c r="X295" s="494"/>
      <c r="Y295" s="494"/>
    </row>
    <row r="296" spans="2:25" s="47" customFormat="1" ht="15" customHeight="1" x14ac:dyDescent="0.2">
      <c r="B296" s="137" t="s">
        <v>320</v>
      </c>
      <c r="C296" s="137" t="s">
        <v>321</v>
      </c>
      <c r="D296" s="137"/>
      <c r="E296" s="137"/>
      <c r="F296" s="137"/>
      <c r="G296" s="141" t="s">
        <v>322</v>
      </c>
      <c r="H296" s="204">
        <f>K186*D70</f>
        <v>3</v>
      </c>
      <c r="I296" s="205">
        <f>F192</f>
        <v>4786077.0845740745</v>
      </c>
      <c r="J296" s="203">
        <f>H296*I296/1000</f>
        <v>14358.231253722224</v>
      </c>
      <c r="N296" s="494"/>
      <c r="O296" s="494"/>
      <c r="P296" s="494"/>
      <c r="Q296" s="494"/>
      <c r="R296" s="494"/>
      <c r="S296" s="494"/>
      <c r="T296" s="494"/>
      <c r="U296" s="494"/>
      <c r="V296" s="494"/>
      <c r="W296" s="494"/>
      <c r="X296" s="494"/>
      <c r="Y296" s="494"/>
    </row>
    <row r="297" spans="2:25" s="47" customFormat="1" ht="15" customHeight="1" x14ac:dyDescent="0.2">
      <c r="B297" s="137" t="s">
        <v>323</v>
      </c>
      <c r="C297" s="137" t="s">
        <v>324</v>
      </c>
      <c r="D297" s="137"/>
      <c r="E297" s="137"/>
      <c r="F297" s="137"/>
      <c r="G297" s="141" t="s">
        <v>322</v>
      </c>
      <c r="H297" s="204">
        <f>IF(OR(D70=5,D70&lt;5),1,IF(AND(D70&gt;5,D70&lt;11),2,3))*K186</f>
        <v>3</v>
      </c>
      <c r="I297" s="205">
        <f>F219</f>
        <v>1955610.3722831646</v>
      </c>
      <c r="J297" s="203">
        <f>H297*I297/1000</f>
        <v>5866.8311168494938</v>
      </c>
      <c r="N297" s="494"/>
      <c r="O297" s="494"/>
      <c r="P297" s="494"/>
      <c r="Q297" s="494"/>
      <c r="R297" s="494"/>
      <c r="S297" s="494"/>
      <c r="T297" s="494"/>
      <c r="U297" s="494"/>
      <c r="V297" s="494"/>
      <c r="W297" s="494"/>
      <c r="X297" s="494"/>
      <c r="Y297" s="494"/>
    </row>
    <row r="298" spans="2:25" s="47" customFormat="1" ht="15" customHeight="1" x14ac:dyDescent="0.2">
      <c r="B298" s="137" t="s">
        <v>325</v>
      </c>
      <c r="C298" s="137" t="s">
        <v>326</v>
      </c>
      <c r="D298" s="137"/>
      <c r="E298" s="137"/>
      <c r="F298" s="137"/>
      <c r="G298" s="141" t="s">
        <v>211</v>
      </c>
      <c r="H298" s="204"/>
      <c r="I298" s="205"/>
      <c r="J298" s="203">
        <f>F226/1000</f>
        <v>165.59118931653128</v>
      </c>
      <c r="N298" s="494"/>
      <c r="O298" s="494"/>
      <c r="P298" s="494"/>
      <c r="Q298" s="494"/>
      <c r="R298" s="494"/>
      <c r="S298" s="494"/>
      <c r="T298" s="494"/>
      <c r="U298" s="494"/>
      <c r="V298" s="494"/>
      <c r="W298" s="494"/>
      <c r="X298" s="494"/>
      <c r="Y298" s="494"/>
    </row>
    <row r="299" spans="2:25" s="47" customFormat="1" ht="15" customHeight="1" x14ac:dyDescent="0.2">
      <c r="B299" s="137" t="s">
        <v>327</v>
      </c>
      <c r="C299" s="137" t="s">
        <v>328</v>
      </c>
      <c r="D299" s="137"/>
      <c r="E299" s="137"/>
      <c r="F299" s="137"/>
      <c r="G299" s="141" t="s">
        <v>322</v>
      </c>
      <c r="H299" s="204">
        <v>1</v>
      </c>
      <c r="I299" s="205">
        <f>G255</f>
        <v>2735842.682840615</v>
      </c>
      <c r="J299" s="203">
        <f>H299*I299/1000</f>
        <v>2735.842682840615</v>
      </c>
      <c r="N299" s="494"/>
      <c r="O299" s="494"/>
      <c r="P299" s="494"/>
      <c r="Q299" s="494"/>
      <c r="R299" s="494"/>
      <c r="S299" s="494"/>
      <c r="T299" s="494"/>
      <c r="U299" s="494"/>
      <c r="V299" s="494"/>
      <c r="W299" s="494"/>
      <c r="X299" s="494"/>
      <c r="Y299" s="494"/>
    </row>
    <row r="300" spans="2:25" s="47" customFormat="1" ht="15" customHeight="1" x14ac:dyDescent="0.2">
      <c r="B300" s="137" t="s">
        <v>329</v>
      </c>
      <c r="C300" s="137" t="s">
        <v>330</v>
      </c>
      <c r="D300" s="137"/>
      <c r="E300" s="137"/>
      <c r="F300" s="137"/>
      <c r="G300" s="141" t="s">
        <v>211</v>
      </c>
      <c r="H300" s="204"/>
      <c r="I300" s="205"/>
      <c r="J300" s="203">
        <f>G279/1000</f>
        <v>1832.3542434203816</v>
      </c>
      <c r="N300" s="494"/>
      <c r="O300" s="494"/>
      <c r="P300" s="494"/>
      <c r="Q300" s="494"/>
      <c r="R300" s="494"/>
      <c r="S300" s="494"/>
      <c r="T300" s="494"/>
      <c r="U300" s="494"/>
      <c r="V300" s="494"/>
      <c r="W300" s="494"/>
      <c r="X300" s="494"/>
      <c r="Y300" s="494"/>
    </row>
    <row r="301" spans="2:25" s="47" customFormat="1" ht="15" customHeight="1" x14ac:dyDescent="0.2">
      <c r="B301" s="137" t="s">
        <v>331</v>
      </c>
      <c r="C301" s="137" t="s">
        <v>332</v>
      </c>
      <c r="D301" s="137"/>
      <c r="E301" s="137"/>
      <c r="F301" s="137"/>
      <c r="G301" s="141" t="s">
        <v>86</v>
      </c>
      <c r="H301" s="206">
        <v>2</v>
      </c>
      <c r="I301" s="139">
        <f>(J287+J290+J291+J295)*1000</f>
        <v>23466559.10435383</v>
      </c>
      <c r="J301" s="203">
        <f>H301*I301/100000</f>
        <v>469.33118208707663</v>
      </c>
      <c r="N301" s="494"/>
      <c r="O301" s="494"/>
      <c r="P301" s="494"/>
      <c r="Q301" s="494"/>
      <c r="R301" s="494"/>
      <c r="S301" s="494"/>
      <c r="T301" s="494"/>
      <c r="U301" s="494"/>
      <c r="V301" s="494"/>
      <c r="W301" s="494"/>
      <c r="X301" s="494"/>
      <c r="Y301" s="494"/>
    </row>
    <row r="302" spans="2:25" s="47" customFormat="1" ht="15" customHeight="1" thickBot="1" x14ac:dyDescent="0.25">
      <c r="B302" s="147"/>
      <c r="C302" s="147"/>
      <c r="D302" s="147"/>
      <c r="E302" s="147"/>
      <c r="F302" s="147"/>
      <c r="G302" s="147"/>
      <c r="H302" s="147"/>
      <c r="I302" s="207"/>
      <c r="J302" s="147"/>
      <c r="N302" s="494"/>
      <c r="O302" s="494"/>
      <c r="P302" s="494"/>
      <c r="Q302" s="494"/>
      <c r="R302" s="494"/>
      <c r="S302" s="494"/>
      <c r="T302" s="494"/>
      <c r="U302" s="494"/>
      <c r="V302" s="494"/>
      <c r="W302" s="494"/>
      <c r="X302" s="494"/>
      <c r="Y302" s="494"/>
    </row>
    <row r="305" spans="1:10" x14ac:dyDescent="0.2">
      <c r="A305" s="149" t="s">
        <v>333</v>
      </c>
      <c r="B305" s="150"/>
      <c r="C305" s="150"/>
      <c r="D305" s="150"/>
      <c r="E305" s="150"/>
      <c r="F305" s="150"/>
      <c r="G305" s="150"/>
      <c r="H305" s="88"/>
    </row>
    <row r="306" spans="1:10" ht="13.5" thickBot="1" x14ac:dyDescent="0.25">
      <c r="A306" s="149"/>
      <c r="B306" s="150"/>
      <c r="C306" s="150"/>
      <c r="D306" s="150"/>
      <c r="E306" s="150"/>
      <c r="F306" s="150"/>
      <c r="G306" s="150"/>
      <c r="H306" s="88"/>
    </row>
    <row r="307" spans="1:10" x14ac:dyDescent="0.2">
      <c r="B307" s="741" t="s">
        <v>235</v>
      </c>
      <c r="C307" s="743" t="s">
        <v>236</v>
      </c>
      <c r="D307" s="744"/>
      <c r="E307" s="744"/>
      <c r="F307" s="744"/>
      <c r="G307" s="744"/>
      <c r="H307" s="744"/>
      <c r="I307" s="744"/>
      <c r="J307" s="745"/>
    </row>
    <row r="308" spans="1:10" ht="13.5" thickBot="1" x14ac:dyDescent="0.25">
      <c r="B308" s="742"/>
      <c r="C308" s="746"/>
      <c r="D308" s="747"/>
      <c r="E308" s="747"/>
      <c r="F308" s="747"/>
      <c r="G308" s="747"/>
      <c r="H308" s="747"/>
      <c r="I308" s="747"/>
      <c r="J308" s="748"/>
    </row>
    <row r="309" spans="1:10" x14ac:dyDescent="0.2">
      <c r="B309" s="208" t="str">
        <f>IF(C309="O comprimento de um furo de injeção de cimento está maior que 40m",ROW(F111),"")</f>
        <v/>
      </c>
      <c r="C309" s="209" t="str">
        <f>IF(F111&gt;40,"O comprimento de um furo de injeção de cimento está maior que 40m","")</f>
        <v/>
      </c>
      <c r="D309" s="210"/>
      <c r="E309" s="210"/>
      <c r="F309" s="210"/>
      <c r="G309" s="210"/>
      <c r="H309" s="210"/>
      <c r="I309" s="210"/>
      <c r="J309" s="210"/>
    </row>
    <row r="310" spans="1:10" ht="15" customHeight="1" x14ac:dyDescent="0.2">
      <c r="B310" s="211" t="str">
        <f>IF(C310="O parâmetro z está fora da validade da curva.",ROW(G182),"")</f>
        <v/>
      </c>
      <c r="C310" s="212" t="str">
        <f>IF(G182="O parâmetro z está fora da validade da curva.","O parâmetro z está fora da validade da curva.","")</f>
        <v/>
      </c>
      <c r="D310" s="213"/>
      <c r="E310" s="213"/>
      <c r="F310" s="213"/>
      <c r="G310" s="213"/>
      <c r="H310" s="213"/>
      <c r="I310" s="214"/>
      <c r="J310" s="215"/>
    </row>
    <row r="311" spans="1:10" ht="15" customHeight="1" x14ac:dyDescent="0.2">
      <c r="B311" s="151" t="str">
        <f>IF(C311="O parâmetro z está fora da validade da curva.",ROW(G216),"")</f>
        <v/>
      </c>
      <c r="C311" s="216" t="str">
        <f>IF(G216="O parâmetro z está fora da validade da curva.","O parâmetro z está fora da validade da curva.","")</f>
        <v/>
      </c>
      <c r="D311" s="153"/>
      <c r="E311" s="153"/>
      <c r="F311" s="153"/>
      <c r="G311" s="153"/>
      <c r="H311" s="153"/>
      <c r="I311" s="152"/>
      <c r="J311" s="154"/>
    </row>
    <row r="312" spans="1:10" ht="15" customHeight="1" x14ac:dyDescent="0.2">
      <c r="B312" s="151" t="str">
        <f>IF(C312="O parâmetro z está fora da validade da curva.",ROW(G252),"")</f>
        <v/>
      </c>
      <c r="C312" s="216" t="str">
        <f>IF(G252="O parâmetro z está fora da validade da curva.","O parâmetro z está fora da validade da curva.","")</f>
        <v/>
      </c>
      <c r="D312" s="153"/>
      <c r="E312" s="153"/>
      <c r="F312" s="153"/>
      <c r="G312" s="153"/>
      <c r="H312" s="153"/>
      <c r="I312" s="152"/>
      <c r="J312" s="154"/>
    </row>
    <row r="313" spans="1:10" ht="15" customHeight="1" thickBot="1" x14ac:dyDescent="0.25">
      <c r="B313" s="217" t="str">
        <f>IF(C313="Vazão fora da validade da curva.",ROW(E276),"")</f>
        <v/>
      </c>
      <c r="C313" s="218" t="str">
        <f>IF(E276="Vazão fora da validade da curva.","Vazão fora da validade da curva.","")</f>
        <v/>
      </c>
      <c r="D313" s="219"/>
      <c r="E313" s="219"/>
      <c r="F313" s="219"/>
      <c r="G313" s="219"/>
      <c r="H313" s="219"/>
      <c r="I313" s="158"/>
      <c r="J313" s="157"/>
    </row>
    <row r="314" spans="1:10" x14ac:dyDescent="0.2">
      <c r="B314" s="220"/>
      <c r="C314" s="220"/>
      <c r="D314" s="220"/>
      <c r="E314" s="220"/>
      <c r="F314" s="220"/>
      <c r="G314" s="221"/>
      <c r="H314" s="220"/>
    </row>
  </sheetData>
  <mergeCells count="10">
    <mergeCell ref="C254:F254"/>
    <mergeCell ref="C278:F278"/>
    <mergeCell ref="B307:B308"/>
    <mergeCell ref="C307:J308"/>
    <mergeCell ref="E1:H2"/>
    <mergeCell ref="A3:D3"/>
    <mergeCell ref="J3:K3"/>
    <mergeCell ref="B191:E191"/>
    <mergeCell ref="B218:E218"/>
    <mergeCell ref="B225:E2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10241" r:id="rId4">
          <objectPr defaultSize="0" autoLine="0" autoPict="0" r:id="rId5">
            <anchor moveWithCells="1">
              <from>
                <xdr:col>1</xdr:col>
                <xdr:colOff>714375</xdr:colOff>
                <xdr:row>72</xdr:row>
                <xdr:rowOff>9525</xdr:rowOff>
              </from>
              <to>
                <xdr:col>3</xdr:col>
                <xdr:colOff>819150</xdr:colOff>
                <xdr:row>73</xdr:row>
                <xdr:rowOff>19050</xdr:rowOff>
              </to>
            </anchor>
          </objectPr>
        </oleObject>
      </mc:Choice>
      <mc:Fallback>
        <oleObject progId="Equation.2" shapeId="10241" r:id="rId4"/>
      </mc:Fallback>
    </mc:AlternateContent>
    <mc:AlternateContent xmlns:mc="http://schemas.openxmlformats.org/markup-compatibility/2006">
      <mc:Choice Requires="x14">
        <oleObject progId="Equation.2" shapeId="10242" r:id="rId6">
          <objectPr defaultSize="0" autoLine="0" autoPict="0" r:id="rId7">
            <anchor moveWithCells="1">
              <from>
                <xdr:col>2</xdr:col>
                <xdr:colOff>0</xdr:colOff>
                <xdr:row>79</xdr:row>
                <xdr:rowOff>0</xdr:rowOff>
              </from>
              <to>
                <xdr:col>3</xdr:col>
                <xdr:colOff>409575</xdr:colOff>
                <xdr:row>80</xdr:row>
                <xdr:rowOff>9525</xdr:rowOff>
              </to>
            </anchor>
          </objectPr>
        </oleObject>
      </mc:Choice>
      <mc:Fallback>
        <oleObject progId="Equation.2" shapeId="10242" r:id="rId6"/>
      </mc:Fallback>
    </mc:AlternateContent>
    <mc:AlternateContent xmlns:mc="http://schemas.openxmlformats.org/markup-compatibility/2006">
      <mc:Choice Requires="x14">
        <oleObject progId="Equation.2" shapeId="10243" r:id="rId8">
          <objectPr defaultSize="0" autoLine="0" autoPict="0" r:id="rId9">
            <anchor moveWithCells="1">
              <from>
                <xdr:col>2</xdr:col>
                <xdr:colOff>0</xdr:colOff>
                <xdr:row>83</xdr:row>
                <xdr:rowOff>0</xdr:rowOff>
              </from>
              <to>
                <xdr:col>3</xdr:col>
                <xdr:colOff>762000</xdr:colOff>
                <xdr:row>84</xdr:row>
                <xdr:rowOff>0</xdr:rowOff>
              </to>
            </anchor>
          </objectPr>
        </oleObject>
      </mc:Choice>
      <mc:Fallback>
        <oleObject progId="Equation.2" shapeId="10243" r:id="rId8"/>
      </mc:Fallback>
    </mc:AlternateContent>
    <mc:AlternateContent xmlns:mc="http://schemas.openxmlformats.org/markup-compatibility/2006">
      <mc:Choice Requires="x14">
        <oleObject progId="Equation.2" shapeId="10244" r:id="rId10">
          <objectPr defaultSize="0" autoLine="0" autoPict="0" r:id="rId11">
            <anchor moveWithCells="1">
              <from>
                <xdr:col>2</xdr:col>
                <xdr:colOff>0</xdr:colOff>
                <xdr:row>87</xdr:row>
                <xdr:rowOff>0</xdr:rowOff>
              </from>
              <to>
                <xdr:col>3</xdr:col>
                <xdr:colOff>428625</xdr:colOff>
                <xdr:row>88</xdr:row>
                <xdr:rowOff>9525</xdr:rowOff>
              </to>
            </anchor>
          </objectPr>
        </oleObject>
      </mc:Choice>
      <mc:Fallback>
        <oleObject progId="Equation.2" shapeId="10244" r:id="rId10"/>
      </mc:Fallback>
    </mc:AlternateContent>
    <mc:AlternateContent xmlns:mc="http://schemas.openxmlformats.org/markup-compatibility/2006">
      <mc:Choice Requires="x14">
        <oleObject progId="Equation.2" shapeId="10245" r:id="rId12">
          <objectPr defaultSize="0" autoLine="0" autoPict="0" r:id="rId13">
            <anchor moveWithCells="1">
              <from>
                <xdr:col>2</xdr:col>
                <xdr:colOff>0</xdr:colOff>
                <xdr:row>68</xdr:row>
                <xdr:rowOff>66675</xdr:rowOff>
              </from>
              <to>
                <xdr:col>2</xdr:col>
                <xdr:colOff>600075</xdr:colOff>
                <xdr:row>70</xdr:row>
                <xdr:rowOff>66675</xdr:rowOff>
              </to>
            </anchor>
          </objectPr>
        </oleObject>
      </mc:Choice>
      <mc:Fallback>
        <oleObject progId="Equation.2" shapeId="10245" r:id="rId12"/>
      </mc:Fallback>
    </mc:AlternateContent>
    <mc:AlternateContent xmlns:mc="http://schemas.openxmlformats.org/markup-compatibility/2006">
      <mc:Choice Requires="x14">
        <oleObject progId="Equation.2" shapeId="10246" r:id="rId14">
          <objectPr defaultSize="0" autoLine="0" autoPict="0" r:id="rId15">
            <anchor moveWithCells="1">
              <from>
                <xdr:col>2</xdr:col>
                <xdr:colOff>0</xdr:colOff>
                <xdr:row>124</xdr:row>
                <xdr:rowOff>0</xdr:rowOff>
              </from>
              <to>
                <xdr:col>4</xdr:col>
                <xdr:colOff>171450</xdr:colOff>
                <xdr:row>125</xdr:row>
                <xdr:rowOff>28575</xdr:rowOff>
              </to>
            </anchor>
          </objectPr>
        </oleObject>
      </mc:Choice>
      <mc:Fallback>
        <oleObject progId="Equation.2" shapeId="10246" r:id="rId14"/>
      </mc:Fallback>
    </mc:AlternateContent>
    <mc:AlternateContent xmlns:mc="http://schemas.openxmlformats.org/markup-compatibility/2006">
      <mc:Choice Requires="x14">
        <oleObject progId="Equation.2" shapeId="10247" r:id="rId16">
          <objectPr defaultSize="0" autoLine="0" autoPict="0" r:id="rId17">
            <anchor moveWithCells="1">
              <from>
                <xdr:col>3</xdr:col>
                <xdr:colOff>38100</xdr:colOff>
                <xdr:row>130</xdr:row>
                <xdr:rowOff>0</xdr:rowOff>
              </from>
              <to>
                <xdr:col>4</xdr:col>
                <xdr:colOff>228600</xdr:colOff>
                <xdr:row>131</xdr:row>
                <xdr:rowOff>57150</xdr:rowOff>
              </to>
            </anchor>
          </objectPr>
        </oleObject>
      </mc:Choice>
      <mc:Fallback>
        <oleObject progId="Equation.2" shapeId="10247" r:id="rId16"/>
      </mc:Fallback>
    </mc:AlternateContent>
    <mc:AlternateContent xmlns:mc="http://schemas.openxmlformats.org/markup-compatibility/2006">
      <mc:Choice Requires="x14">
        <oleObject progId="Equation.2" shapeId="10248" r:id="rId18">
          <objectPr defaultSize="0" autoLine="0" autoPict="0" r:id="rId19">
            <anchor moveWithCells="1">
              <from>
                <xdr:col>3</xdr:col>
                <xdr:colOff>28575</xdr:colOff>
                <xdr:row>132</xdr:row>
                <xdr:rowOff>0</xdr:rowOff>
              </from>
              <to>
                <xdr:col>5</xdr:col>
                <xdr:colOff>1771650</xdr:colOff>
                <xdr:row>133</xdr:row>
                <xdr:rowOff>57150</xdr:rowOff>
              </to>
            </anchor>
          </objectPr>
        </oleObject>
      </mc:Choice>
      <mc:Fallback>
        <oleObject progId="Equation.2" shapeId="10248" r:id="rId18"/>
      </mc:Fallback>
    </mc:AlternateContent>
    <mc:AlternateContent xmlns:mc="http://schemas.openxmlformats.org/markup-compatibility/2006">
      <mc:Choice Requires="x14">
        <oleObject progId="Equation.2" shapeId="10249" r:id="rId20">
          <objectPr defaultSize="0" autoLine="0" autoPict="0" r:id="rId21">
            <anchor moveWithCells="1">
              <from>
                <xdr:col>3</xdr:col>
                <xdr:colOff>19050</xdr:colOff>
                <xdr:row>135</xdr:row>
                <xdr:rowOff>0</xdr:rowOff>
              </from>
              <to>
                <xdr:col>5</xdr:col>
                <xdr:colOff>885825</xdr:colOff>
                <xdr:row>136</xdr:row>
                <xdr:rowOff>95250</xdr:rowOff>
              </to>
            </anchor>
          </objectPr>
        </oleObject>
      </mc:Choice>
      <mc:Fallback>
        <oleObject progId="Equation.2" shapeId="10249" r:id="rId20"/>
      </mc:Fallback>
    </mc:AlternateContent>
    <mc:AlternateContent xmlns:mc="http://schemas.openxmlformats.org/markup-compatibility/2006">
      <mc:Choice Requires="x14">
        <oleObject progId="Equation.2" shapeId="10250" r:id="rId22">
          <objectPr defaultSize="0" autoLine="0" autoPict="0" r:id="rId23">
            <anchor moveWithCells="1">
              <from>
                <xdr:col>3</xdr:col>
                <xdr:colOff>28575</xdr:colOff>
                <xdr:row>183</xdr:row>
                <xdr:rowOff>28575</xdr:rowOff>
              </from>
              <to>
                <xdr:col>4</xdr:col>
                <xdr:colOff>447675</xdr:colOff>
                <xdr:row>184</xdr:row>
                <xdr:rowOff>171450</xdr:rowOff>
              </to>
            </anchor>
          </objectPr>
        </oleObject>
      </mc:Choice>
      <mc:Fallback>
        <oleObject progId="Equation.2" shapeId="10250" r:id="rId22"/>
      </mc:Fallback>
    </mc:AlternateContent>
    <mc:AlternateContent xmlns:mc="http://schemas.openxmlformats.org/markup-compatibility/2006">
      <mc:Choice Requires="x14">
        <oleObject progId="Equation.2" shapeId="10251" r:id="rId24">
          <objectPr defaultSize="0" autoLine="0" autoPict="0" r:id="rId25">
            <anchor moveWithCells="1">
              <from>
                <xdr:col>3</xdr:col>
                <xdr:colOff>28575</xdr:colOff>
                <xdr:row>188</xdr:row>
                <xdr:rowOff>0</xdr:rowOff>
              </from>
              <to>
                <xdr:col>4</xdr:col>
                <xdr:colOff>447675</xdr:colOff>
                <xdr:row>189</xdr:row>
                <xdr:rowOff>9525</xdr:rowOff>
              </to>
            </anchor>
          </objectPr>
        </oleObject>
      </mc:Choice>
      <mc:Fallback>
        <oleObject progId="Equation.2" shapeId="10251" r:id="rId24"/>
      </mc:Fallback>
    </mc:AlternateContent>
    <mc:AlternateContent xmlns:mc="http://schemas.openxmlformats.org/markup-compatibility/2006">
      <mc:Choice Requires="x14">
        <oleObject progId="Equation.2" shapeId="10252" r:id="rId26">
          <objectPr defaultSize="0" autoLine="0" autoPict="0" r:id="rId27">
            <anchor moveWithCells="1">
              <from>
                <xdr:col>7</xdr:col>
                <xdr:colOff>619125</xdr:colOff>
                <xdr:row>250</xdr:row>
                <xdr:rowOff>180975</xdr:rowOff>
              </from>
              <to>
                <xdr:col>9</xdr:col>
                <xdr:colOff>352425</xdr:colOff>
                <xdr:row>252</xdr:row>
                <xdr:rowOff>19050</xdr:rowOff>
              </to>
            </anchor>
          </objectPr>
        </oleObject>
      </mc:Choice>
      <mc:Fallback>
        <oleObject progId="Equation.2" shapeId="10252" r:id="rId26"/>
      </mc:Fallback>
    </mc:AlternateContent>
    <mc:AlternateContent xmlns:mc="http://schemas.openxmlformats.org/markup-compatibility/2006">
      <mc:Choice Requires="x14">
        <oleObject progId="Equation.2" shapeId="10253" r:id="rId28">
          <objectPr defaultSize="0" autoLine="0" autoPict="0" r:id="rId29">
            <anchor moveWithCells="1">
              <from>
                <xdr:col>3</xdr:col>
                <xdr:colOff>0</xdr:colOff>
                <xdr:row>251</xdr:row>
                <xdr:rowOff>0</xdr:rowOff>
              </from>
              <to>
                <xdr:col>5</xdr:col>
                <xdr:colOff>933450</xdr:colOff>
                <xdr:row>252</xdr:row>
                <xdr:rowOff>38100</xdr:rowOff>
              </to>
            </anchor>
          </objectPr>
        </oleObject>
      </mc:Choice>
      <mc:Fallback>
        <oleObject progId="Equation.2" shapeId="10253" r:id="rId28"/>
      </mc:Fallback>
    </mc:AlternateContent>
    <mc:AlternateContent xmlns:mc="http://schemas.openxmlformats.org/markup-compatibility/2006">
      <mc:Choice Requires="x14">
        <oleObject progId="Equation.2" shapeId="10254" r:id="rId30">
          <objectPr defaultSize="0" autoLine="0" autoPict="0" r:id="rId31">
            <anchor moveWithCells="1">
              <from>
                <xdr:col>2</xdr:col>
                <xdr:colOff>628650</xdr:colOff>
                <xdr:row>222</xdr:row>
                <xdr:rowOff>9525</xdr:rowOff>
              </from>
              <to>
                <xdr:col>5</xdr:col>
                <xdr:colOff>257175</xdr:colOff>
                <xdr:row>223</xdr:row>
                <xdr:rowOff>57150</xdr:rowOff>
              </to>
            </anchor>
          </objectPr>
        </oleObject>
      </mc:Choice>
      <mc:Fallback>
        <oleObject progId="Equation.2" shapeId="10254" r:id="rId30"/>
      </mc:Fallback>
    </mc:AlternateContent>
    <mc:AlternateContent xmlns:mc="http://schemas.openxmlformats.org/markup-compatibility/2006">
      <mc:Choice Requires="x14">
        <oleObject progId="Equation.2" shapeId="10255" r:id="rId32">
          <objectPr defaultSize="0" autoLine="0" autoPict="0" r:id="rId33">
            <anchor moveWithCells="1">
              <from>
                <xdr:col>2</xdr:col>
                <xdr:colOff>495300</xdr:colOff>
                <xdr:row>275</xdr:row>
                <xdr:rowOff>0</xdr:rowOff>
              </from>
              <to>
                <xdr:col>4</xdr:col>
                <xdr:colOff>47625</xdr:colOff>
                <xdr:row>276</xdr:row>
                <xdr:rowOff>19050</xdr:rowOff>
              </to>
            </anchor>
          </objectPr>
        </oleObject>
      </mc:Choice>
      <mc:Fallback>
        <oleObject progId="Equation.2" shapeId="10255" r:id="rId32"/>
      </mc:Fallback>
    </mc:AlternateContent>
    <mc:AlternateContent xmlns:mc="http://schemas.openxmlformats.org/markup-compatibility/2006">
      <mc:Choice Requires="x14">
        <oleObject progId="Equation.2" shapeId="10256" r:id="rId34">
          <objectPr defaultSize="0" autoLine="0" autoPict="0" r:id="rId35">
            <anchor moveWithCells="1">
              <from>
                <xdr:col>2</xdr:col>
                <xdr:colOff>0</xdr:colOff>
                <xdr:row>95</xdr:row>
                <xdr:rowOff>0</xdr:rowOff>
              </from>
              <to>
                <xdr:col>3</xdr:col>
                <xdr:colOff>342900</xdr:colOff>
                <xdr:row>96</xdr:row>
                <xdr:rowOff>9525</xdr:rowOff>
              </to>
            </anchor>
          </objectPr>
        </oleObject>
      </mc:Choice>
      <mc:Fallback>
        <oleObject progId="Equation.2" shapeId="10256" r:id="rId34"/>
      </mc:Fallback>
    </mc:AlternateContent>
    <mc:AlternateContent xmlns:mc="http://schemas.openxmlformats.org/markup-compatibility/2006">
      <mc:Choice Requires="x14">
        <oleObject progId="Equation.2" shapeId="10257" r:id="rId36">
          <objectPr defaultSize="0" autoLine="0" autoPict="0" r:id="rId37">
            <anchor moveWithCells="1">
              <from>
                <xdr:col>2</xdr:col>
                <xdr:colOff>0</xdr:colOff>
                <xdr:row>98</xdr:row>
                <xdr:rowOff>142875</xdr:rowOff>
              </from>
              <to>
                <xdr:col>5</xdr:col>
                <xdr:colOff>133350</xdr:colOff>
                <xdr:row>100</xdr:row>
                <xdr:rowOff>9525</xdr:rowOff>
              </to>
            </anchor>
          </objectPr>
        </oleObject>
      </mc:Choice>
      <mc:Fallback>
        <oleObject progId="Equation.2" shapeId="10257" r:id="rId36"/>
      </mc:Fallback>
    </mc:AlternateContent>
    <mc:AlternateContent xmlns:mc="http://schemas.openxmlformats.org/markup-compatibility/2006">
      <mc:Choice Requires="x14">
        <oleObject progId="Equation.2" shapeId="10258" r:id="rId38">
          <objectPr defaultSize="0" autoLine="0" autoPict="0" r:id="rId39">
            <anchor moveWithCells="1">
              <from>
                <xdr:col>3</xdr:col>
                <xdr:colOff>28575</xdr:colOff>
                <xdr:row>127</xdr:row>
                <xdr:rowOff>9525</xdr:rowOff>
              </from>
              <to>
                <xdr:col>5</xdr:col>
                <xdr:colOff>762000</xdr:colOff>
                <xdr:row>128</xdr:row>
                <xdr:rowOff>66675</xdr:rowOff>
              </to>
            </anchor>
          </objectPr>
        </oleObject>
      </mc:Choice>
      <mc:Fallback>
        <oleObject progId="Equation.2" shapeId="10258" r:id="rId38"/>
      </mc:Fallback>
    </mc:AlternateContent>
    <mc:AlternateContent xmlns:mc="http://schemas.openxmlformats.org/markup-compatibility/2006">
      <mc:Choice Requires="x14">
        <oleObject progId="Equation.2" shapeId="10259" r:id="rId40">
          <objectPr defaultSize="0" autoLine="0" autoPict="0" r:id="rId41">
            <anchor moveWithCells="1">
              <from>
                <xdr:col>2</xdr:col>
                <xdr:colOff>38100</xdr:colOff>
                <xdr:row>103</xdr:row>
                <xdr:rowOff>19050</xdr:rowOff>
              </from>
              <to>
                <xdr:col>3</xdr:col>
                <xdr:colOff>142875</xdr:colOff>
                <xdr:row>104</xdr:row>
                <xdr:rowOff>38100</xdr:rowOff>
              </to>
            </anchor>
          </objectPr>
        </oleObject>
      </mc:Choice>
      <mc:Fallback>
        <oleObject progId="Equation.2" shapeId="10259" r:id="rId40"/>
      </mc:Fallback>
    </mc:AlternateContent>
    <mc:AlternateContent xmlns:mc="http://schemas.openxmlformats.org/markup-compatibility/2006">
      <mc:Choice Requires="x14">
        <oleObject progId="Equation.2" shapeId="10260" r:id="rId42">
          <objectPr defaultSize="0" autoLine="0" autoPict="0" r:id="rId43">
            <anchor moveWithCells="1">
              <from>
                <xdr:col>3</xdr:col>
                <xdr:colOff>28575</xdr:colOff>
                <xdr:row>186</xdr:row>
                <xdr:rowOff>0</xdr:rowOff>
              </from>
              <to>
                <xdr:col>4</xdr:col>
                <xdr:colOff>276225</xdr:colOff>
                <xdr:row>187</xdr:row>
                <xdr:rowOff>19050</xdr:rowOff>
              </to>
            </anchor>
          </objectPr>
        </oleObject>
      </mc:Choice>
      <mc:Fallback>
        <oleObject progId="Equation.2" shapeId="10260" r:id="rId42"/>
      </mc:Fallback>
    </mc:AlternateContent>
    <mc:AlternateContent xmlns:mc="http://schemas.openxmlformats.org/markup-compatibility/2006">
      <mc:Choice Requires="x14">
        <oleObject progId="Equation.2" shapeId="10261" r:id="rId44">
          <objectPr defaultSize="0" autoLine="0" autoPict="0" r:id="rId45">
            <anchor moveWithCells="1">
              <from>
                <xdr:col>2</xdr:col>
                <xdr:colOff>504825</xdr:colOff>
                <xdr:row>118</xdr:row>
                <xdr:rowOff>9525</xdr:rowOff>
              </from>
              <to>
                <xdr:col>5</xdr:col>
                <xdr:colOff>257175</xdr:colOff>
                <xdr:row>119</xdr:row>
                <xdr:rowOff>9525</xdr:rowOff>
              </to>
            </anchor>
          </objectPr>
        </oleObject>
      </mc:Choice>
      <mc:Fallback>
        <oleObject progId="Equation.2" shapeId="10261" r:id="rId44"/>
      </mc:Fallback>
    </mc:AlternateContent>
    <mc:AlternateContent xmlns:mc="http://schemas.openxmlformats.org/markup-compatibility/2006">
      <mc:Choice Requires="x14">
        <oleObject progId="Documento" shapeId="10262" r:id="rId46">
          <objectPr defaultSize="0" autoLine="0" autoPict="0" r:id="rId47">
            <anchor moveWithCells="1">
              <from>
                <xdr:col>2</xdr:col>
                <xdr:colOff>0</xdr:colOff>
                <xdr:row>27</xdr:row>
                <xdr:rowOff>28575</xdr:rowOff>
              </from>
              <to>
                <xdr:col>10</xdr:col>
                <xdr:colOff>400050</xdr:colOff>
                <xdr:row>63</xdr:row>
                <xdr:rowOff>28575</xdr:rowOff>
              </to>
            </anchor>
          </objectPr>
        </oleObject>
      </mc:Choice>
      <mc:Fallback>
        <oleObject progId="Documento" shapeId="10262" r:id="rId46"/>
      </mc:Fallback>
    </mc:AlternateContent>
    <mc:AlternateContent xmlns:mc="http://schemas.openxmlformats.org/markup-compatibility/2006">
      <mc:Choice Requires="x14">
        <oleObject progId="Equation.2" shapeId="10263" r:id="rId48">
          <objectPr defaultSize="0" autoLine="0" autoPict="0" r:id="rId49">
            <anchor moveWithCells="1">
              <from>
                <xdr:col>2</xdr:col>
                <xdr:colOff>266700</xdr:colOff>
                <xdr:row>106</xdr:row>
                <xdr:rowOff>152400</xdr:rowOff>
              </from>
              <to>
                <xdr:col>3</xdr:col>
                <xdr:colOff>400050</xdr:colOff>
                <xdr:row>108</xdr:row>
                <xdr:rowOff>104775</xdr:rowOff>
              </to>
            </anchor>
          </objectPr>
        </oleObject>
      </mc:Choice>
      <mc:Fallback>
        <oleObject progId="Equation.2" shapeId="10263" r:id="rId48"/>
      </mc:Fallback>
    </mc:AlternateContent>
    <mc:AlternateContent xmlns:mc="http://schemas.openxmlformats.org/markup-compatibility/2006">
      <mc:Choice Requires="x14">
        <oleObject progId="Equation.2" shapeId="10264" r:id="rId50">
          <objectPr defaultSize="0" autoLine="0" autoPict="0" r:id="rId51">
            <anchor moveWithCells="1">
              <from>
                <xdr:col>3</xdr:col>
                <xdr:colOff>57150</xdr:colOff>
                <xdr:row>110</xdr:row>
                <xdr:rowOff>9525</xdr:rowOff>
              </from>
              <to>
                <xdr:col>5</xdr:col>
                <xdr:colOff>133350</xdr:colOff>
                <xdr:row>111</xdr:row>
                <xdr:rowOff>47625</xdr:rowOff>
              </to>
            </anchor>
          </objectPr>
        </oleObject>
      </mc:Choice>
      <mc:Fallback>
        <oleObject progId="Equation.2" shapeId="10264" r:id="rId50"/>
      </mc:Fallback>
    </mc:AlternateContent>
    <mc:AlternateContent xmlns:mc="http://schemas.openxmlformats.org/markup-compatibility/2006">
      <mc:Choice Requires="x14">
        <oleObject progId="Equation.2" shapeId="10265" r:id="rId52">
          <objectPr defaultSize="0" autoLine="0" autoPict="0" r:id="rId53">
            <anchor moveWithCells="1">
              <from>
                <xdr:col>1</xdr:col>
                <xdr:colOff>66675</xdr:colOff>
                <xdr:row>181</xdr:row>
                <xdr:rowOff>38100</xdr:rowOff>
              </from>
              <to>
                <xdr:col>5</xdr:col>
                <xdr:colOff>28575</xdr:colOff>
                <xdr:row>182</xdr:row>
                <xdr:rowOff>266700</xdr:rowOff>
              </to>
            </anchor>
          </objectPr>
        </oleObject>
      </mc:Choice>
      <mc:Fallback>
        <oleObject progId="Equation.2" shapeId="10265" r:id="rId52"/>
      </mc:Fallback>
    </mc:AlternateContent>
    <mc:AlternateContent xmlns:mc="http://schemas.openxmlformats.org/markup-compatibility/2006">
      <mc:Choice Requires="x14">
        <oleObject progId="Equation.2" shapeId="10266" r:id="rId54">
          <objectPr defaultSize="0" autoLine="0" autoPict="0" r:id="rId27">
            <anchor moveWithCells="1">
              <from>
                <xdr:col>7</xdr:col>
                <xdr:colOff>619125</xdr:colOff>
                <xdr:row>250</xdr:row>
                <xdr:rowOff>180975</xdr:rowOff>
              </from>
              <to>
                <xdr:col>9</xdr:col>
                <xdr:colOff>352425</xdr:colOff>
                <xdr:row>252</xdr:row>
                <xdr:rowOff>19050</xdr:rowOff>
              </to>
            </anchor>
          </objectPr>
        </oleObject>
      </mc:Choice>
      <mc:Fallback>
        <oleObject progId="Equation.2" shapeId="10266" r:id="rId5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03"/>
  <sheetViews>
    <sheetView topLeftCell="A115" workbookViewId="0">
      <selection activeCell="M38" sqref="M38"/>
    </sheetView>
  </sheetViews>
  <sheetFormatPr defaultColWidth="10.7109375" defaultRowHeight="12.75" x14ac:dyDescent="0.2"/>
  <cols>
    <col min="1" max="1" width="12.7109375" style="6" customWidth="1"/>
    <col min="2" max="2" width="13.42578125" style="6" customWidth="1"/>
    <col min="3" max="4" width="11.7109375" style="6" customWidth="1"/>
    <col min="5" max="5" width="25" style="6" customWidth="1"/>
    <col min="6" max="6" width="15.7109375" style="6" customWidth="1"/>
    <col min="7" max="7" width="11.7109375" style="6" customWidth="1"/>
    <col min="8" max="8" width="13.7109375" style="6" customWidth="1"/>
    <col min="9" max="9" width="11.7109375" style="6" customWidth="1"/>
    <col min="10" max="10" width="15.7109375" style="6" customWidth="1"/>
    <col min="11" max="11" width="11.7109375" style="6" customWidth="1"/>
    <col min="12" max="256" width="10.7109375" style="6"/>
    <col min="257" max="257" width="12.7109375" style="6" customWidth="1"/>
    <col min="258" max="258" width="13.42578125" style="6" customWidth="1"/>
    <col min="259" max="263" width="11.7109375" style="6" customWidth="1"/>
    <col min="264" max="264" width="13.7109375" style="6" customWidth="1"/>
    <col min="265" max="265" width="11.7109375" style="6" customWidth="1"/>
    <col min="266" max="266" width="15.7109375" style="6" customWidth="1"/>
    <col min="267" max="267" width="11.7109375" style="6" customWidth="1"/>
    <col min="268" max="512" width="10.7109375" style="6"/>
    <col min="513" max="513" width="12.7109375" style="6" customWidth="1"/>
    <col min="514" max="514" width="13.42578125" style="6" customWidth="1"/>
    <col min="515" max="519" width="11.7109375" style="6" customWidth="1"/>
    <col min="520" max="520" width="13.7109375" style="6" customWidth="1"/>
    <col min="521" max="521" width="11.7109375" style="6" customWidth="1"/>
    <col min="522" max="522" width="15.7109375" style="6" customWidth="1"/>
    <col min="523" max="523" width="11.7109375" style="6" customWidth="1"/>
    <col min="524" max="768" width="10.7109375" style="6"/>
    <col min="769" max="769" width="12.7109375" style="6" customWidth="1"/>
    <col min="770" max="770" width="13.42578125" style="6" customWidth="1"/>
    <col min="771" max="775" width="11.7109375" style="6" customWidth="1"/>
    <col min="776" max="776" width="13.7109375" style="6" customWidth="1"/>
    <col min="777" max="777" width="11.7109375" style="6" customWidth="1"/>
    <col min="778" max="778" width="15.7109375" style="6" customWidth="1"/>
    <col min="779" max="779" width="11.7109375" style="6" customWidth="1"/>
    <col min="780" max="1024" width="10.7109375" style="6"/>
    <col min="1025" max="1025" width="12.7109375" style="6" customWidth="1"/>
    <col min="1026" max="1026" width="13.42578125" style="6" customWidth="1"/>
    <col min="1027" max="1031" width="11.7109375" style="6" customWidth="1"/>
    <col min="1032" max="1032" width="13.7109375" style="6" customWidth="1"/>
    <col min="1033" max="1033" width="11.7109375" style="6" customWidth="1"/>
    <col min="1034" max="1034" width="15.7109375" style="6" customWidth="1"/>
    <col min="1035" max="1035" width="11.7109375" style="6" customWidth="1"/>
    <col min="1036" max="1280" width="10.7109375" style="6"/>
    <col min="1281" max="1281" width="12.7109375" style="6" customWidth="1"/>
    <col min="1282" max="1282" width="13.42578125" style="6" customWidth="1"/>
    <col min="1283" max="1287" width="11.7109375" style="6" customWidth="1"/>
    <col min="1288" max="1288" width="13.7109375" style="6" customWidth="1"/>
    <col min="1289" max="1289" width="11.7109375" style="6" customWidth="1"/>
    <col min="1290" max="1290" width="15.7109375" style="6" customWidth="1"/>
    <col min="1291" max="1291" width="11.7109375" style="6" customWidth="1"/>
    <col min="1292" max="1536" width="10.7109375" style="6"/>
    <col min="1537" max="1537" width="12.7109375" style="6" customWidth="1"/>
    <col min="1538" max="1538" width="13.42578125" style="6" customWidth="1"/>
    <col min="1539" max="1543" width="11.7109375" style="6" customWidth="1"/>
    <col min="1544" max="1544" width="13.7109375" style="6" customWidth="1"/>
    <col min="1545" max="1545" width="11.7109375" style="6" customWidth="1"/>
    <col min="1546" max="1546" width="15.7109375" style="6" customWidth="1"/>
    <col min="1547" max="1547" width="11.7109375" style="6" customWidth="1"/>
    <col min="1548" max="1792" width="10.7109375" style="6"/>
    <col min="1793" max="1793" width="12.7109375" style="6" customWidth="1"/>
    <col min="1794" max="1794" width="13.42578125" style="6" customWidth="1"/>
    <col min="1795" max="1799" width="11.7109375" style="6" customWidth="1"/>
    <col min="1800" max="1800" width="13.7109375" style="6" customWidth="1"/>
    <col min="1801" max="1801" width="11.7109375" style="6" customWidth="1"/>
    <col min="1802" max="1802" width="15.7109375" style="6" customWidth="1"/>
    <col min="1803" max="1803" width="11.7109375" style="6" customWidth="1"/>
    <col min="1804" max="2048" width="10.7109375" style="6"/>
    <col min="2049" max="2049" width="12.7109375" style="6" customWidth="1"/>
    <col min="2050" max="2050" width="13.42578125" style="6" customWidth="1"/>
    <col min="2051" max="2055" width="11.7109375" style="6" customWidth="1"/>
    <col min="2056" max="2056" width="13.7109375" style="6" customWidth="1"/>
    <col min="2057" max="2057" width="11.7109375" style="6" customWidth="1"/>
    <col min="2058" max="2058" width="15.7109375" style="6" customWidth="1"/>
    <col min="2059" max="2059" width="11.7109375" style="6" customWidth="1"/>
    <col min="2060" max="2304" width="10.7109375" style="6"/>
    <col min="2305" max="2305" width="12.7109375" style="6" customWidth="1"/>
    <col min="2306" max="2306" width="13.42578125" style="6" customWidth="1"/>
    <col min="2307" max="2311" width="11.7109375" style="6" customWidth="1"/>
    <col min="2312" max="2312" width="13.7109375" style="6" customWidth="1"/>
    <col min="2313" max="2313" width="11.7109375" style="6" customWidth="1"/>
    <col min="2314" max="2314" width="15.7109375" style="6" customWidth="1"/>
    <col min="2315" max="2315" width="11.7109375" style="6" customWidth="1"/>
    <col min="2316" max="2560" width="10.7109375" style="6"/>
    <col min="2561" max="2561" width="12.7109375" style="6" customWidth="1"/>
    <col min="2562" max="2562" width="13.42578125" style="6" customWidth="1"/>
    <col min="2563" max="2567" width="11.7109375" style="6" customWidth="1"/>
    <col min="2568" max="2568" width="13.7109375" style="6" customWidth="1"/>
    <col min="2569" max="2569" width="11.7109375" style="6" customWidth="1"/>
    <col min="2570" max="2570" width="15.7109375" style="6" customWidth="1"/>
    <col min="2571" max="2571" width="11.7109375" style="6" customWidth="1"/>
    <col min="2572" max="2816" width="10.7109375" style="6"/>
    <col min="2817" max="2817" width="12.7109375" style="6" customWidth="1"/>
    <col min="2818" max="2818" width="13.42578125" style="6" customWidth="1"/>
    <col min="2819" max="2823" width="11.7109375" style="6" customWidth="1"/>
    <col min="2824" max="2824" width="13.7109375" style="6" customWidth="1"/>
    <col min="2825" max="2825" width="11.7109375" style="6" customWidth="1"/>
    <col min="2826" max="2826" width="15.7109375" style="6" customWidth="1"/>
    <col min="2827" max="2827" width="11.7109375" style="6" customWidth="1"/>
    <col min="2828" max="3072" width="10.7109375" style="6"/>
    <col min="3073" max="3073" width="12.7109375" style="6" customWidth="1"/>
    <col min="3074" max="3074" width="13.42578125" style="6" customWidth="1"/>
    <col min="3075" max="3079" width="11.7109375" style="6" customWidth="1"/>
    <col min="3080" max="3080" width="13.7109375" style="6" customWidth="1"/>
    <col min="3081" max="3081" width="11.7109375" style="6" customWidth="1"/>
    <col min="3082" max="3082" width="15.7109375" style="6" customWidth="1"/>
    <col min="3083" max="3083" width="11.7109375" style="6" customWidth="1"/>
    <col min="3084" max="3328" width="10.7109375" style="6"/>
    <col min="3329" max="3329" width="12.7109375" style="6" customWidth="1"/>
    <col min="3330" max="3330" width="13.42578125" style="6" customWidth="1"/>
    <col min="3331" max="3335" width="11.7109375" style="6" customWidth="1"/>
    <col min="3336" max="3336" width="13.7109375" style="6" customWidth="1"/>
    <col min="3337" max="3337" width="11.7109375" style="6" customWidth="1"/>
    <col min="3338" max="3338" width="15.7109375" style="6" customWidth="1"/>
    <col min="3339" max="3339" width="11.7109375" style="6" customWidth="1"/>
    <col min="3340" max="3584" width="10.7109375" style="6"/>
    <col min="3585" max="3585" width="12.7109375" style="6" customWidth="1"/>
    <col min="3586" max="3586" width="13.42578125" style="6" customWidth="1"/>
    <col min="3587" max="3591" width="11.7109375" style="6" customWidth="1"/>
    <col min="3592" max="3592" width="13.7109375" style="6" customWidth="1"/>
    <col min="3593" max="3593" width="11.7109375" style="6" customWidth="1"/>
    <col min="3594" max="3594" width="15.7109375" style="6" customWidth="1"/>
    <col min="3595" max="3595" width="11.7109375" style="6" customWidth="1"/>
    <col min="3596" max="3840" width="10.7109375" style="6"/>
    <col min="3841" max="3841" width="12.7109375" style="6" customWidth="1"/>
    <col min="3842" max="3842" width="13.42578125" style="6" customWidth="1"/>
    <col min="3843" max="3847" width="11.7109375" style="6" customWidth="1"/>
    <col min="3848" max="3848" width="13.7109375" style="6" customWidth="1"/>
    <col min="3849" max="3849" width="11.7109375" style="6" customWidth="1"/>
    <col min="3850" max="3850" width="15.7109375" style="6" customWidth="1"/>
    <col min="3851" max="3851" width="11.7109375" style="6" customWidth="1"/>
    <col min="3852" max="4096" width="10.7109375" style="6"/>
    <col min="4097" max="4097" width="12.7109375" style="6" customWidth="1"/>
    <col min="4098" max="4098" width="13.42578125" style="6" customWidth="1"/>
    <col min="4099" max="4103" width="11.7109375" style="6" customWidth="1"/>
    <col min="4104" max="4104" width="13.7109375" style="6" customWidth="1"/>
    <col min="4105" max="4105" width="11.7109375" style="6" customWidth="1"/>
    <col min="4106" max="4106" width="15.7109375" style="6" customWidth="1"/>
    <col min="4107" max="4107" width="11.7109375" style="6" customWidth="1"/>
    <col min="4108" max="4352" width="10.7109375" style="6"/>
    <col min="4353" max="4353" width="12.7109375" style="6" customWidth="1"/>
    <col min="4354" max="4354" width="13.42578125" style="6" customWidth="1"/>
    <col min="4355" max="4359" width="11.7109375" style="6" customWidth="1"/>
    <col min="4360" max="4360" width="13.7109375" style="6" customWidth="1"/>
    <col min="4361" max="4361" width="11.7109375" style="6" customWidth="1"/>
    <col min="4362" max="4362" width="15.7109375" style="6" customWidth="1"/>
    <col min="4363" max="4363" width="11.7109375" style="6" customWidth="1"/>
    <col min="4364" max="4608" width="10.7109375" style="6"/>
    <col min="4609" max="4609" width="12.7109375" style="6" customWidth="1"/>
    <col min="4610" max="4610" width="13.42578125" style="6" customWidth="1"/>
    <col min="4611" max="4615" width="11.7109375" style="6" customWidth="1"/>
    <col min="4616" max="4616" width="13.7109375" style="6" customWidth="1"/>
    <col min="4617" max="4617" width="11.7109375" style="6" customWidth="1"/>
    <col min="4618" max="4618" width="15.7109375" style="6" customWidth="1"/>
    <col min="4619" max="4619" width="11.7109375" style="6" customWidth="1"/>
    <col min="4620" max="4864" width="10.7109375" style="6"/>
    <col min="4865" max="4865" width="12.7109375" style="6" customWidth="1"/>
    <col min="4866" max="4866" width="13.42578125" style="6" customWidth="1"/>
    <col min="4867" max="4871" width="11.7109375" style="6" customWidth="1"/>
    <col min="4872" max="4872" width="13.7109375" style="6" customWidth="1"/>
    <col min="4873" max="4873" width="11.7109375" style="6" customWidth="1"/>
    <col min="4874" max="4874" width="15.7109375" style="6" customWidth="1"/>
    <col min="4875" max="4875" width="11.7109375" style="6" customWidth="1"/>
    <col min="4876" max="5120" width="10.7109375" style="6"/>
    <col min="5121" max="5121" width="12.7109375" style="6" customWidth="1"/>
    <col min="5122" max="5122" width="13.42578125" style="6" customWidth="1"/>
    <col min="5123" max="5127" width="11.7109375" style="6" customWidth="1"/>
    <col min="5128" max="5128" width="13.7109375" style="6" customWidth="1"/>
    <col min="5129" max="5129" width="11.7109375" style="6" customWidth="1"/>
    <col min="5130" max="5130" width="15.7109375" style="6" customWidth="1"/>
    <col min="5131" max="5131" width="11.7109375" style="6" customWidth="1"/>
    <col min="5132" max="5376" width="10.7109375" style="6"/>
    <col min="5377" max="5377" width="12.7109375" style="6" customWidth="1"/>
    <col min="5378" max="5378" width="13.42578125" style="6" customWidth="1"/>
    <col min="5379" max="5383" width="11.7109375" style="6" customWidth="1"/>
    <col min="5384" max="5384" width="13.7109375" style="6" customWidth="1"/>
    <col min="5385" max="5385" width="11.7109375" style="6" customWidth="1"/>
    <col min="5386" max="5386" width="15.7109375" style="6" customWidth="1"/>
    <col min="5387" max="5387" width="11.7109375" style="6" customWidth="1"/>
    <col min="5388" max="5632" width="10.7109375" style="6"/>
    <col min="5633" max="5633" width="12.7109375" style="6" customWidth="1"/>
    <col min="5634" max="5634" width="13.42578125" style="6" customWidth="1"/>
    <col min="5635" max="5639" width="11.7109375" style="6" customWidth="1"/>
    <col min="5640" max="5640" width="13.7109375" style="6" customWidth="1"/>
    <col min="5641" max="5641" width="11.7109375" style="6" customWidth="1"/>
    <col min="5642" max="5642" width="15.7109375" style="6" customWidth="1"/>
    <col min="5643" max="5643" width="11.7109375" style="6" customWidth="1"/>
    <col min="5644" max="5888" width="10.7109375" style="6"/>
    <col min="5889" max="5889" width="12.7109375" style="6" customWidth="1"/>
    <col min="5890" max="5890" width="13.42578125" style="6" customWidth="1"/>
    <col min="5891" max="5895" width="11.7109375" style="6" customWidth="1"/>
    <col min="5896" max="5896" width="13.7109375" style="6" customWidth="1"/>
    <col min="5897" max="5897" width="11.7109375" style="6" customWidth="1"/>
    <col min="5898" max="5898" width="15.7109375" style="6" customWidth="1"/>
    <col min="5899" max="5899" width="11.7109375" style="6" customWidth="1"/>
    <col min="5900" max="6144" width="10.7109375" style="6"/>
    <col min="6145" max="6145" width="12.7109375" style="6" customWidth="1"/>
    <col min="6146" max="6146" width="13.42578125" style="6" customWidth="1"/>
    <col min="6147" max="6151" width="11.7109375" style="6" customWidth="1"/>
    <col min="6152" max="6152" width="13.7109375" style="6" customWidth="1"/>
    <col min="6153" max="6153" width="11.7109375" style="6" customWidth="1"/>
    <col min="6154" max="6154" width="15.7109375" style="6" customWidth="1"/>
    <col min="6155" max="6155" width="11.7109375" style="6" customWidth="1"/>
    <col min="6156" max="6400" width="10.7109375" style="6"/>
    <col min="6401" max="6401" width="12.7109375" style="6" customWidth="1"/>
    <col min="6402" max="6402" width="13.42578125" style="6" customWidth="1"/>
    <col min="6403" max="6407" width="11.7109375" style="6" customWidth="1"/>
    <col min="6408" max="6408" width="13.7109375" style="6" customWidth="1"/>
    <col min="6409" max="6409" width="11.7109375" style="6" customWidth="1"/>
    <col min="6410" max="6410" width="15.7109375" style="6" customWidth="1"/>
    <col min="6411" max="6411" width="11.7109375" style="6" customWidth="1"/>
    <col min="6412" max="6656" width="10.7109375" style="6"/>
    <col min="6657" max="6657" width="12.7109375" style="6" customWidth="1"/>
    <col min="6658" max="6658" width="13.42578125" style="6" customWidth="1"/>
    <col min="6659" max="6663" width="11.7109375" style="6" customWidth="1"/>
    <col min="6664" max="6664" width="13.7109375" style="6" customWidth="1"/>
    <col min="6665" max="6665" width="11.7109375" style="6" customWidth="1"/>
    <col min="6666" max="6666" width="15.7109375" style="6" customWidth="1"/>
    <col min="6667" max="6667" width="11.7109375" style="6" customWidth="1"/>
    <col min="6668" max="6912" width="10.7109375" style="6"/>
    <col min="6913" max="6913" width="12.7109375" style="6" customWidth="1"/>
    <col min="6914" max="6914" width="13.42578125" style="6" customWidth="1"/>
    <col min="6915" max="6919" width="11.7109375" style="6" customWidth="1"/>
    <col min="6920" max="6920" width="13.7109375" style="6" customWidth="1"/>
    <col min="6921" max="6921" width="11.7109375" style="6" customWidth="1"/>
    <col min="6922" max="6922" width="15.7109375" style="6" customWidth="1"/>
    <col min="6923" max="6923" width="11.7109375" style="6" customWidth="1"/>
    <col min="6924" max="7168" width="10.7109375" style="6"/>
    <col min="7169" max="7169" width="12.7109375" style="6" customWidth="1"/>
    <col min="7170" max="7170" width="13.42578125" style="6" customWidth="1"/>
    <col min="7171" max="7175" width="11.7109375" style="6" customWidth="1"/>
    <col min="7176" max="7176" width="13.7109375" style="6" customWidth="1"/>
    <col min="7177" max="7177" width="11.7109375" style="6" customWidth="1"/>
    <col min="7178" max="7178" width="15.7109375" style="6" customWidth="1"/>
    <col min="7179" max="7179" width="11.7109375" style="6" customWidth="1"/>
    <col min="7180" max="7424" width="10.7109375" style="6"/>
    <col min="7425" max="7425" width="12.7109375" style="6" customWidth="1"/>
    <col min="7426" max="7426" width="13.42578125" style="6" customWidth="1"/>
    <col min="7427" max="7431" width="11.7109375" style="6" customWidth="1"/>
    <col min="7432" max="7432" width="13.7109375" style="6" customWidth="1"/>
    <col min="7433" max="7433" width="11.7109375" style="6" customWidth="1"/>
    <col min="7434" max="7434" width="15.7109375" style="6" customWidth="1"/>
    <col min="7435" max="7435" width="11.7109375" style="6" customWidth="1"/>
    <col min="7436" max="7680" width="10.7109375" style="6"/>
    <col min="7681" max="7681" width="12.7109375" style="6" customWidth="1"/>
    <col min="7682" max="7682" width="13.42578125" style="6" customWidth="1"/>
    <col min="7683" max="7687" width="11.7109375" style="6" customWidth="1"/>
    <col min="7688" max="7688" width="13.7109375" style="6" customWidth="1"/>
    <col min="7689" max="7689" width="11.7109375" style="6" customWidth="1"/>
    <col min="7690" max="7690" width="15.7109375" style="6" customWidth="1"/>
    <col min="7691" max="7691" width="11.7109375" style="6" customWidth="1"/>
    <col min="7692" max="7936" width="10.7109375" style="6"/>
    <col min="7937" max="7937" width="12.7109375" style="6" customWidth="1"/>
    <col min="7938" max="7938" width="13.42578125" style="6" customWidth="1"/>
    <col min="7939" max="7943" width="11.7109375" style="6" customWidth="1"/>
    <col min="7944" max="7944" width="13.7109375" style="6" customWidth="1"/>
    <col min="7945" max="7945" width="11.7109375" style="6" customWidth="1"/>
    <col min="7946" max="7946" width="15.7109375" style="6" customWidth="1"/>
    <col min="7947" max="7947" width="11.7109375" style="6" customWidth="1"/>
    <col min="7948" max="8192" width="10.7109375" style="6"/>
    <col min="8193" max="8193" width="12.7109375" style="6" customWidth="1"/>
    <col min="8194" max="8194" width="13.42578125" style="6" customWidth="1"/>
    <col min="8195" max="8199" width="11.7109375" style="6" customWidth="1"/>
    <col min="8200" max="8200" width="13.7109375" style="6" customWidth="1"/>
    <col min="8201" max="8201" width="11.7109375" style="6" customWidth="1"/>
    <col min="8202" max="8202" width="15.7109375" style="6" customWidth="1"/>
    <col min="8203" max="8203" width="11.7109375" style="6" customWidth="1"/>
    <col min="8204" max="8448" width="10.7109375" style="6"/>
    <col min="8449" max="8449" width="12.7109375" style="6" customWidth="1"/>
    <col min="8450" max="8450" width="13.42578125" style="6" customWidth="1"/>
    <col min="8451" max="8455" width="11.7109375" style="6" customWidth="1"/>
    <col min="8456" max="8456" width="13.7109375" style="6" customWidth="1"/>
    <col min="8457" max="8457" width="11.7109375" style="6" customWidth="1"/>
    <col min="8458" max="8458" width="15.7109375" style="6" customWidth="1"/>
    <col min="8459" max="8459" width="11.7109375" style="6" customWidth="1"/>
    <col min="8460" max="8704" width="10.7109375" style="6"/>
    <col min="8705" max="8705" width="12.7109375" style="6" customWidth="1"/>
    <col min="8706" max="8706" width="13.42578125" style="6" customWidth="1"/>
    <col min="8707" max="8711" width="11.7109375" style="6" customWidth="1"/>
    <col min="8712" max="8712" width="13.7109375" style="6" customWidth="1"/>
    <col min="8713" max="8713" width="11.7109375" style="6" customWidth="1"/>
    <col min="8714" max="8714" width="15.7109375" style="6" customWidth="1"/>
    <col min="8715" max="8715" width="11.7109375" style="6" customWidth="1"/>
    <col min="8716" max="8960" width="10.7109375" style="6"/>
    <col min="8961" max="8961" width="12.7109375" style="6" customWidth="1"/>
    <col min="8962" max="8962" width="13.42578125" style="6" customWidth="1"/>
    <col min="8963" max="8967" width="11.7109375" style="6" customWidth="1"/>
    <col min="8968" max="8968" width="13.7109375" style="6" customWidth="1"/>
    <col min="8969" max="8969" width="11.7109375" style="6" customWidth="1"/>
    <col min="8970" max="8970" width="15.7109375" style="6" customWidth="1"/>
    <col min="8971" max="8971" width="11.7109375" style="6" customWidth="1"/>
    <col min="8972" max="9216" width="10.7109375" style="6"/>
    <col min="9217" max="9217" width="12.7109375" style="6" customWidth="1"/>
    <col min="9218" max="9218" width="13.42578125" style="6" customWidth="1"/>
    <col min="9219" max="9223" width="11.7109375" style="6" customWidth="1"/>
    <col min="9224" max="9224" width="13.7109375" style="6" customWidth="1"/>
    <col min="9225" max="9225" width="11.7109375" style="6" customWidth="1"/>
    <col min="9226" max="9226" width="15.7109375" style="6" customWidth="1"/>
    <col min="9227" max="9227" width="11.7109375" style="6" customWidth="1"/>
    <col min="9228" max="9472" width="10.7109375" style="6"/>
    <col min="9473" max="9473" width="12.7109375" style="6" customWidth="1"/>
    <col min="9474" max="9474" width="13.42578125" style="6" customWidth="1"/>
    <col min="9475" max="9479" width="11.7109375" style="6" customWidth="1"/>
    <col min="9480" max="9480" width="13.7109375" style="6" customWidth="1"/>
    <col min="9481" max="9481" width="11.7109375" style="6" customWidth="1"/>
    <col min="9482" max="9482" width="15.7109375" style="6" customWidth="1"/>
    <col min="9483" max="9483" width="11.7109375" style="6" customWidth="1"/>
    <col min="9484" max="9728" width="10.7109375" style="6"/>
    <col min="9729" max="9729" width="12.7109375" style="6" customWidth="1"/>
    <col min="9730" max="9730" width="13.42578125" style="6" customWidth="1"/>
    <col min="9731" max="9735" width="11.7109375" style="6" customWidth="1"/>
    <col min="9736" max="9736" width="13.7109375" style="6" customWidth="1"/>
    <col min="9737" max="9737" width="11.7109375" style="6" customWidth="1"/>
    <col min="9738" max="9738" width="15.7109375" style="6" customWidth="1"/>
    <col min="9739" max="9739" width="11.7109375" style="6" customWidth="1"/>
    <col min="9740" max="9984" width="10.7109375" style="6"/>
    <col min="9985" max="9985" width="12.7109375" style="6" customWidth="1"/>
    <col min="9986" max="9986" width="13.42578125" style="6" customWidth="1"/>
    <col min="9987" max="9991" width="11.7109375" style="6" customWidth="1"/>
    <col min="9992" max="9992" width="13.7109375" style="6" customWidth="1"/>
    <col min="9993" max="9993" width="11.7109375" style="6" customWidth="1"/>
    <col min="9994" max="9994" width="15.7109375" style="6" customWidth="1"/>
    <col min="9995" max="9995" width="11.7109375" style="6" customWidth="1"/>
    <col min="9996" max="10240" width="10.7109375" style="6"/>
    <col min="10241" max="10241" width="12.7109375" style="6" customWidth="1"/>
    <col min="10242" max="10242" width="13.42578125" style="6" customWidth="1"/>
    <col min="10243" max="10247" width="11.7109375" style="6" customWidth="1"/>
    <col min="10248" max="10248" width="13.7109375" style="6" customWidth="1"/>
    <col min="10249" max="10249" width="11.7109375" style="6" customWidth="1"/>
    <col min="10250" max="10250" width="15.7109375" style="6" customWidth="1"/>
    <col min="10251" max="10251" width="11.7109375" style="6" customWidth="1"/>
    <col min="10252" max="10496" width="10.7109375" style="6"/>
    <col min="10497" max="10497" width="12.7109375" style="6" customWidth="1"/>
    <col min="10498" max="10498" width="13.42578125" style="6" customWidth="1"/>
    <col min="10499" max="10503" width="11.7109375" style="6" customWidth="1"/>
    <col min="10504" max="10504" width="13.7109375" style="6" customWidth="1"/>
    <col min="10505" max="10505" width="11.7109375" style="6" customWidth="1"/>
    <col min="10506" max="10506" width="15.7109375" style="6" customWidth="1"/>
    <col min="10507" max="10507" width="11.7109375" style="6" customWidth="1"/>
    <col min="10508" max="10752" width="10.7109375" style="6"/>
    <col min="10753" max="10753" width="12.7109375" style="6" customWidth="1"/>
    <col min="10754" max="10754" width="13.42578125" style="6" customWidth="1"/>
    <col min="10755" max="10759" width="11.7109375" style="6" customWidth="1"/>
    <col min="10760" max="10760" width="13.7109375" style="6" customWidth="1"/>
    <col min="10761" max="10761" width="11.7109375" style="6" customWidth="1"/>
    <col min="10762" max="10762" width="15.7109375" style="6" customWidth="1"/>
    <col min="10763" max="10763" width="11.7109375" style="6" customWidth="1"/>
    <col min="10764" max="11008" width="10.7109375" style="6"/>
    <col min="11009" max="11009" width="12.7109375" style="6" customWidth="1"/>
    <col min="11010" max="11010" width="13.42578125" style="6" customWidth="1"/>
    <col min="11011" max="11015" width="11.7109375" style="6" customWidth="1"/>
    <col min="11016" max="11016" width="13.7109375" style="6" customWidth="1"/>
    <col min="11017" max="11017" width="11.7109375" style="6" customWidth="1"/>
    <col min="11018" max="11018" width="15.7109375" style="6" customWidth="1"/>
    <col min="11019" max="11019" width="11.7109375" style="6" customWidth="1"/>
    <col min="11020" max="11264" width="10.7109375" style="6"/>
    <col min="11265" max="11265" width="12.7109375" style="6" customWidth="1"/>
    <col min="11266" max="11266" width="13.42578125" style="6" customWidth="1"/>
    <col min="11267" max="11271" width="11.7109375" style="6" customWidth="1"/>
    <col min="11272" max="11272" width="13.7109375" style="6" customWidth="1"/>
    <col min="11273" max="11273" width="11.7109375" style="6" customWidth="1"/>
    <col min="11274" max="11274" width="15.7109375" style="6" customWidth="1"/>
    <col min="11275" max="11275" width="11.7109375" style="6" customWidth="1"/>
    <col min="11276" max="11520" width="10.7109375" style="6"/>
    <col min="11521" max="11521" width="12.7109375" style="6" customWidth="1"/>
    <col min="11522" max="11522" width="13.42578125" style="6" customWidth="1"/>
    <col min="11523" max="11527" width="11.7109375" style="6" customWidth="1"/>
    <col min="11528" max="11528" width="13.7109375" style="6" customWidth="1"/>
    <col min="11529" max="11529" width="11.7109375" style="6" customWidth="1"/>
    <col min="11530" max="11530" width="15.7109375" style="6" customWidth="1"/>
    <col min="11531" max="11531" width="11.7109375" style="6" customWidth="1"/>
    <col min="11532" max="11776" width="10.7109375" style="6"/>
    <col min="11777" max="11777" width="12.7109375" style="6" customWidth="1"/>
    <col min="11778" max="11778" width="13.42578125" style="6" customWidth="1"/>
    <col min="11779" max="11783" width="11.7109375" style="6" customWidth="1"/>
    <col min="11784" max="11784" width="13.7109375" style="6" customWidth="1"/>
    <col min="11785" max="11785" width="11.7109375" style="6" customWidth="1"/>
    <col min="11786" max="11786" width="15.7109375" style="6" customWidth="1"/>
    <col min="11787" max="11787" width="11.7109375" style="6" customWidth="1"/>
    <col min="11788" max="12032" width="10.7109375" style="6"/>
    <col min="12033" max="12033" width="12.7109375" style="6" customWidth="1"/>
    <col min="12034" max="12034" width="13.42578125" style="6" customWidth="1"/>
    <col min="12035" max="12039" width="11.7109375" style="6" customWidth="1"/>
    <col min="12040" max="12040" width="13.7109375" style="6" customWidth="1"/>
    <col min="12041" max="12041" width="11.7109375" style="6" customWidth="1"/>
    <col min="12042" max="12042" width="15.7109375" style="6" customWidth="1"/>
    <col min="12043" max="12043" width="11.7109375" style="6" customWidth="1"/>
    <col min="12044" max="12288" width="10.7109375" style="6"/>
    <col min="12289" max="12289" width="12.7109375" style="6" customWidth="1"/>
    <col min="12290" max="12290" width="13.42578125" style="6" customWidth="1"/>
    <col min="12291" max="12295" width="11.7109375" style="6" customWidth="1"/>
    <col min="12296" max="12296" width="13.7109375" style="6" customWidth="1"/>
    <col min="12297" max="12297" width="11.7109375" style="6" customWidth="1"/>
    <col min="12298" max="12298" width="15.7109375" style="6" customWidth="1"/>
    <col min="12299" max="12299" width="11.7109375" style="6" customWidth="1"/>
    <col min="12300" max="12544" width="10.7109375" style="6"/>
    <col min="12545" max="12545" width="12.7109375" style="6" customWidth="1"/>
    <col min="12546" max="12546" width="13.42578125" style="6" customWidth="1"/>
    <col min="12547" max="12551" width="11.7109375" style="6" customWidth="1"/>
    <col min="12552" max="12552" width="13.7109375" style="6" customWidth="1"/>
    <col min="12553" max="12553" width="11.7109375" style="6" customWidth="1"/>
    <col min="12554" max="12554" width="15.7109375" style="6" customWidth="1"/>
    <col min="12555" max="12555" width="11.7109375" style="6" customWidth="1"/>
    <col min="12556" max="12800" width="10.7109375" style="6"/>
    <col min="12801" max="12801" width="12.7109375" style="6" customWidth="1"/>
    <col min="12802" max="12802" width="13.42578125" style="6" customWidth="1"/>
    <col min="12803" max="12807" width="11.7109375" style="6" customWidth="1"/>
    <col min="12808" max="12808" width="13.7109375" style="6" customWidth="1"/>
    <col min="12809" max="12809" width="11.7109375" style="6" customWidth="1"/>
    <col min="12810" max="12810" width="15.7109375" style="6" customWidth="1"/>
    <col min="12811" max="12811" width="11.7109375" style="6" customWidth="1"/>
    <col min="12812" max="13056" width="10.7109375" style="6"/>
    <col min="13057" max="13057" width="12.7109375" style="6" customWidth="1"/>
    <col min="13058" max="13058" width="13.42578125" style="6" customWidth="1"/>
    <col min="13059" max="13063" width="11.7109375" style="6" customWidth="1"/>
    <col min="13064" max="13064" width="13.7109375" style="6" customWidth="1"/>
    <col min="13065" max="13065" width="11.7109375" style="6" customWidth="1"/>
    <col min="13066" max="13066" width="15.7109375" style="6" customWidth="1"/>
    <col min="13067" max="13067" width="11.7109375" style="6" customWidth="1"/>
    <col min="13068" max="13312" width="10.7109375" style="6"/>
    <col min="13313" max="13313" width="12.7109375" style="6" customWidth="1"/>
    <col min="13314" max="13314" width="13.42578125" style="6" customWidth="1"/>
    <col min="13315" max="13319" width="11.7109375" style="6" customWidth="1"/>
    <col min="13320" max="13320" width="13.7109375" style="6" customWidth="1"/>
    <col min="13321" max="13321" width="11.7109375" style="6" customWidth="1"/>
    <col min="13322" max="13322" width="15.7109375" style="6" customWidth="1"/>
    <col min="13323" max="13323" width="11.7109375" style="6" customWidth="1"/>
    <col min="13324" max="13568" width="10.7109375" style="6"/>
    <col min="13569" max="13569" width="12.7109375" style="6" customWidth="1"/>
    <col min="13570" max="13570" width="13.42578125" style="6" customWidth="1"/>
    <col min="13571" max="13575" width="11.7109375" style="6" customWidth="1"/>
    <col min="13576" max="13576" width="13.7109375" style="6" customWidth="1"/>
    <col min="13577" max="13577" width="11.7109375" style="6" customWidth="1"/>
    <col min="13578" max="13578" width="15.7109375" style="6" customWidth="1"/>
    <col min="13579" max="13579" width="11.7109375" style="6" customWidth="1"/>
    <col min="13580" max="13824" width="10.7109375" style="6"/>
    <col min="13825" max="13825" width="12.7109375" style="6" customWidth="1"/>
    <col min="13826" max="13826" width="13.42578125" style="6" customWidth="1"/>
    <col min="13827" max="13831" width="11.7109375" style="6" customWidth="1"/>
    <col min="13832" max="13832" width="13.7109375" style="6" customWidth="1"/>
    <col min="13833" max="13833" width="11.7109375" style="6" customWidth="1"/>
    <col min="13834" max="13834" width="15.7109375" style="6" customWidth="1"/>
    <col min="13835" max="13835" width="11.7109375" style="6" customWidth="1"/>
    <col min="13836" max="14080" width="10.7109375" style="6"/>
    <col min="14081" max="14081" width="12.7109375" style="6" customWidth="1"/>
    <col min="14082" max="14082" width="13.42578125" style="6" customWidth="1"/>
    <col min="14083" max="14087" width="11.7109375" style="6" customWidth="1"/>
    <col min="14088" max="14088" width="13.7109375" style="6" customWidth="1"/>
    <col min="14089" max="14089" width="11.7109375" style="6" customWidth="1"/>
    <col min="14090" max="14090" width="15.7109375" style="6" customWidth="1"/>
    <col min="14091" max="14091" width="11.7109375" style="6" customWidth="1"/>
    <col min="14092" max="14336" width="10.7109375" style="6"/>
    <col min="14337" max="14337" width="12.7109375" style="6" customWidth="1"/>
    <col min="14338" max="14338" width="13.42578125" style="6" customWidth="1"/>
    <col min="14339" max="14343" width="11.7109375" style="6" customWidth="1"/>
    <col min="14344" max="14344" width="13.7109375" style="6" customWidth="1"/>
    <col min="14345" max="14345" width="11.7109375" style="6" customWidth="1"/>
    <col min="14346" max="14346" width="15.7109375" style="6" customWidth="1"/>
    <col min="14347" max="14347" width="11.7109375" style="6" customWidth="1"/>
    <col min="14348" max="14592" width="10.7109375" style="6"/>
    <col min="14593" max="14593" width="12.7109375" style="6" customWidth="1"/>
    <col min="14594" max="14594" width="13.42578125" style="6" customWidth="1"/>
    <col min="14595" max="14599" width="11.7109375" style="6" customWidth="1"/>
    <col min="14600" max="14600" width="13.7109375" style="6" customWidth="1"/>
    <col min="14601" max="14601" width="11.7109375" style="6" customWidth="1"/>
    <col min="14602" max="14602" width="15.7109375" style="6" customWidth="1"/>
    <col min="14603" max="14603" width="11.7109375" style="6" customWidth="1"/>
    <col min="14604" max="14848" width="10.7109375" style="6"/>
    <col min="14849" max="14849" width="12.7109375" style="6" customWidth="1"/>
    <col min="14850" max="14850" width="13.42578125" style="6" customWidth="1"/>
    <col min="14851" max="14855" width="11.7109375" style="6" customWidth="1"/>
    <col min="14856" max="14856" width="13.7109375" style="6" customWidth="1"/>
    <col min="14857" max="14857" width="11.7109375" style="6" customWidth="1"/>
    <col min="14858" max="14858" width="15.7109375" style="6" customWidth="1"/>
    <col min="14859" max="14859" width="11.7109375" style="6" customWidth="1"/>
    <col min="14860" max="15104" width="10.7109375" style="6"/>
    <col min="15105" max="15105" width="12.7109375" style="6" customWidth="1"/>
    <col min="15106" max="15106" width="13.42578125" style="6" customWidth="1"/>
    <col min="15107" max="15111" width="11.7109375" style="6" customWidth="1"/>
    <col min="15112" max="15112" width="13.7109375" style="6" customWidth="1"/>
    <col min="15113" max="15113" width="11.7109375" style="6" customWidth="1"/>
    <col min="15114" max="15114" width="15.7109375" style="6" customWidth="1"/>
    <col min="15115" max="15115" width="11.7109375" style="6" customWidth="1"/>
    <col min="15116" max="15360" width="10.7109375" style="6"/>
    <col min="15361" max="15361" width="12.7109375" style="6" customWidth="1"/>
    <col min="15362" max="15362" width="13.42578125" style="6" customWidth="1"/>
    <col min="15363" max="15367" width="11.7109375" style="6" customWidth="1"/>
    <col min="15368" max="15368" width="13.7109375" style="6" customWidth="1"/>
    <col min="15369" max="15369" width="11.7109375" style="6" customWidth="1"/>
    <col min="15370" max="15370" width="15.7109375" style="6" customWidth="1"/>
    <col min="15371" max="15371" width="11.7109375" style="6" customWidth="1"/>
    <col min="15372" max="15616" width="10.7109375" style="6"/>
    <col min="15617" max="15617" width="12.7109375" style="6" customWidth="1"/>
    <col min="15618" max="15618" width="13.42578125" style="6" customWidth="1"/>
    <col min="15619" max="15623" width="11.7109375" style="6" customWidth="1"/>
    <col min="15624" max="15624" width="13.7109375" style="6" customWidth="1"/>
    <col min="15625" max="15625" width="11.7109375" style="6" customWidth="1"/>
    <col min="15626" max="15626" width="15.7109375" style="6" customWidth="1"/>
    <col min="15627" max="15627" width="11.7109375" style="6" customWidth="1"/>
    <col min="15628" max="15872" width="10.7109375" style="6"/>
    <col min="15873" max="15873" width="12.7109375" style="6" customWidth="1"/>
    <col min="15874" max="15874" width="13.42578125" style="6" customWidth="1"/>
    <col min="15875" max="15879" width="11.7109375" style="6" customWidth="1"/>
    <col min="15880" max="15880" width="13.7109375" style="6" customWidth="1"/>
    <col min="15881" max="15881" width="11.7109375" style="6" customWidth="1"/>
    <col min="15882" max="15882" width="15.7109375" style="6" customWidth="1"/>
    <col min="15883" max="15883" width="11.7109375" style="6" customWidth="1"/>
    <col min="15884" max="16128" width="10.7109375" style="6"/>
    <col min="16129" max="16129" width="12.7109375" style="6" customWidth="1"/>
    <col min="16130" max="16130" width="13.42578125" style="6" customWidth="1"/>
    <col min="16131" max="16135" width="11.7109375" style="6" customWidth="1"/>
    <col min="16136" max="16136" width="13.7109375" style="6" customWidth="1"/>
    <col min="16137" max="16137" width="11.7109375" style="6" customWidth="1"/>
    <col min="16138" max="16138" width="15.7109375" style="6" customWidth="1"/>
    <col min="16139" max="16139" width="11.7109375" style="6" customWidth="1"/>
    <col min="16140" max="16384" width="10.7109375" style="6"/>
  </cols>
  <sheetData>
    <row r="1" spans="1:11" ht="15" customHeight="1" x14ac:dyDescent="0.2">
      <c r="A1" s="25"/>
      <c r="B1" s="26"/>
      <c r="C1" s="27" t="s">
        <v>116</v>
      </c>
      <c r="D1" s="28"/>
      <c r="E1" s="749" t="s">
        <v>117</v>
      </c>
      <c r="F1" s="750"/>
      <c r="G1" s="750"/>
      <c r="H1" s="751"/>
      <c r="I1" s="29"/>
      <c r="J1" s="26"/>
      <c r="K1" s="30"/>
    </row>
    <row r="2" spans="1:11" ht="40.5" customHeight="1" x14ac:dyDescent="0.2">
      <c r="A2" s="31"/>
      <c r="B2" s="32"/>
      <c r="C2" s="33"/>
      <c r="D2" s="34"/>
      <c r="E2" s="752"/>
      <c r="F2" s="753"/>
      <c r="G2" s="753"/>
      <c r="H2" s="754"/>
      <c r="I2" s="35"/>
      <c r="J2" s="36"/>
      <c r="K2" s="37"/>
    </row>
    <row r="3" spans="1:11" ht="15" customHeight="1" x14ac:dyDescent="0.2">
      <c r="A3" s="755" t="s">
        <v>118</v>
      </c>
      <c r="B3" s="756"/>
      <c r="C3" s="756"/>
      <c r="D3" s="757"/>
      <c r="E3" s="38" t="s">
        <v>119</v>
      </c>
      <c r="F3" s="369" t="s">
        <v>120</v>
      </c>
      <c r="G3" s="39"/>
      <c r="H3" s="40"/>
      <c r="I3" s="41" t="s">
        <v>121</v>
      </c>
      <c r="J3" s="758">
        <v>2007</v>
      </c>
      <c r="K3" s="759"/>
    </row>
    <row r="4" spans="1:11" x14ac:dyDescent="0.2">
      <c r="A4" s="42"/>
      <c r="B4" s="42"/>
      <c r="C4" s="42"/>
      <c r="D4" s="42"/>
      <c r="E4" s="42"/>
      <c r="F4" s="42"/>
      <c r="G4" s="42"/>
      <c r="H4" s="42"/>
      <c r="I4" s="42"/>
      <c r="J4" s="43"/>
      <c r="K4" s="43"/>
    </row>
    <row r="5" spans="1:11" ht="25.5" x14ac:dyDescent="0.2">
      <c r="A5" s="363" t="str">
        <f>IF(C23=0,"Circuito de Adução sem Chaminé de Equilíbrio =&gt; Excluir Planilha","Circuito de Adução com Chaminé de Equilíbrio =&gt; Manter Planilha")</f>
        <v>Circuito de Adução com Chaminé de Equilíbrio =&gt; Manter Planilha</v>
      </c>
      <c r="B5" s="364"/>
      <c r="C5" s="364"/>
      <c r="D5" s="364"/>
      <c r="E5" s="364"/>
      <c r="F5" s="42"/>
      <c r="G5" s="42"/>
      <c r="H5" s="42"/>
      <c r="I5" s="44"/>
      <c r="J5" s="378" t="s">
        <v>871</v>
      </c>
      <c r="K5" s="378" t="s">
        <v>872</v>
      </c>
    </row>
    <row r="6" spans="1:11" x14ac:dyDescent="0.2">
      <c r="A6" s="42"/>
      <c r="B6" s="42"/>
      <c r="C6" s="42"/>
      <c r="D6" s="42"/>
      <c r="E6" s="42"/>
      <c r="F6" s="42"/>
      <c r="G6" s="42"/>
      <c r="H6" s="42"/>
      <c r="I6" s="44"/>
      <c r="J6" s="433">
        <v>1</v>
      </c>
      <c r="K6" s="567">
        <f>hsrf2tunl!F73+hsrf2tunl!F78+hsrf2tunl!F79+hsrf2tunl!F80</f>
        <v>9.9634934285396881E-2</v>
      </c>
    </row>
    <row r="7" spans="1:11" x14ac:dyDescent="0.2">
      <c r="A7" s="42"/>
      <c r="B7" s="42"/>
      <c r="C7" s="42"/>
      <c r="D7" s="42"/>
      <c r="E7" s="42"/>
      <c r="F7" s="42"/>
      <c r="G7" s="42"/>
      <c r="H7" s="42"/>
      <c r="I7" s="44"/>
      <c r="J7" s="433">
        <v>2</v>
      </c>
      <c r="K7" s="567">
        <f>hsrf2tunl!F73+hsrf2tunl!F84+hsrf2tunl!F85+hsrf2tunl!F86</f>
        <v>6.7299165363625083E-2</v>
      </c>
    </row>
    <row r="8" spans="1:11" x14ac:dyDescent="0.2">
      <c r="A8" s="42"/>
      <c r="B8" s="42"/>
      <c r="C8" s="42"/>
      <c r="D8" s="42"/>
      <c r="E8" s="42"/>
      <c r="F8" s="42"/>
      <c r="G8" s="42"/>
      <c r="H8" s="42"/>
      <c r="I8" s="44"/>
      <c r="J8" s="433">
        <v>3</v>
      </c>
      <c r="K8" s="567">
        <f>hsrf2tunl!F73+hsrf2tunl!F90+hsrf2tunl!F91+hsrf2tunl!F92</f>
        <v>5.398904256289578E-2</v>
      </c>
    </row>
    <row r="9" spans="1:11" x14ac:dyDescent="0.2">
      <c r="A9" s="42"/>
      <c r="B9" s="42"/>
      <c r="C9" s="42"/>
      <c r="D9" s="42"/>
      <c r="E9" s="42"/>
      <c r="F9" s="42"/>
      <c r="G9" s="42"/>
      <c r="H9" s="42"/>
      <c r="I9" s="44"/>
      <c r="J9" s="43"/>
      <c r="K9" s="43"/>
    </row>
    <row r="10" spans="1:11" x14ac:dyDescent="0.2">
      <c r="A10" s="42"/>
      <c r="B10" s="42"/>
      <c r="C10" s="42"/>
      <c r="D10" s="42"/>
      <c r="E10" s="42"/>
      <c r="F10" s="42"/>
      <c r="G10" s="42"/>
      <c r="H10" s="42"/>
      <c r="I10" s="44"/>
      <c r="J10" s="43"/>
      <c r="K10" s="43"/>
    </row>
    <row r="11" spans="1:11" s="47" customFormat="1" ht="12" x14ac:dyDescent="0.2">
      <c r="A11" s="45"/>
      <c r="B11" s="46"/>
      <c r="C11" s="354"/>
      <c r="D11" s="46"/>
      <c r="E11" s="46"/>
      <c r="F11" s="46"/>
      <c r="G11" s="46"/>
      <c r="H11" s="45"/>
      <c r="I11" s="45"/>
      <c r="J11" s="45"/>
      <c r="K11" s="45"/>
    </row>
    <row r="12" spans="1:11" x14ac:dyDescent="0.2">
      <c r="A12" s="8"/>
      <c r="B12" s="8"/>
    </row>
    <row r="13" spans="1:11" ht="15" customHeight="1" x14ac:dyDescent="0.2">
      <c r="A13" s="48" t="s">
        <v>122</v>
      </c>
      <c r="B13" s="8"/>
    </row>
    <row r="14" spans="1:11" ht="15" customHeight="1" x14ac:dyDescent="0.2">
      <c r="A14" s="49" t="s">
        <v>123</v>
      </c>
      <c r="B14" s="8"/>
      <c r="C14" s="8"/>
      <c r="D14" s="8"/>
      <c r="E14" s="8"/>
      <c r="F14" s="8"/>
      <c r="G14" s="8"/>
      <c r="H14" s="8"/>
      <c r="I14" s="8"/>
    </row>
    <row r="15" spans="1:11" ht="15" customHeight="1" x14ac:dyDescent="0.3">
      <c r="A15" s="49"/>
      <c r="B15" s="7" t="s">
        <v>39</v>
      </c>
      <c r="C15" s="50">
        <f>hsrf2tunl!F47</f>
        <v>2.1459403377126307</v>
      </c>
      <c r="D15" s="8" t="s">
        <v>3</v>
      </c>
      <c r="E15" s="8" t="s">
        <v>40</v>
      </c>
      <c r="F15" s="8"/>
      <c r="G15" s="8"/>
      <c r="H15" s="5" t="s">
        <v>898</v>
      </c>
      <c r="I15" s="8"/>
    </row>
    <row r="16" spans="1:11" ht="15" customHeight="1" x14ac:dyDescent="0.3">
      <c r="A16" s="8"/>
      <c r="B16" s="7" t="s">
        <v>41</v>
      </c>
      <c r="C16" s="51">
        <f>hsrf2tunl!$C$5</f>
        <v>100</v>
      </c>
      <c r="D16" s="8" t="s">
        <v>1</v>
      </c>
      <c r="E16" s="8" t="s">
        <v>42</v>
      </c>
      <c r="F16" s="8"/>
      <c r="G16" s="8"/>
      <c r="H16" s="5" t="s">
        <v>898</v>
      </c>
      <c r="I16" s="8"/>
    </row>
    <row r="17" spans="1:10" ht="15" customHeight="1" x14ac:dyDescent="0.3">
      <c r="A17" s="8"/>
      <c r="B17" s="6" t="s">
        <v>43</v>
      </c>
      <c r="C17" s="52">
        <f>hsrf2tunl!F37</f>
        <v>20.159932032420912</v>
      </c>
      <c r="D17" s="6" t="s">
        <v>1</v>
      </c>
      <c r="E17" s="9" t="s">
        <v>44</v>
      </c>
      <c r="F17" s="8"/>
      <c r="G17" s="8"/>
      <c r="H17" s="5" t="s">
        <v>898</v>
      </c>
      <c r="I17" s="8"/>
    </row>
    <row r="18" spans="1:10" ht="15" customHeight="1" x14ac:dyDescent="0.3">
      <c r="A18" s="8"/>
      <c r="B18" s="7" t="s">
        <v>45</v>
      </c>
      <c r="C18" s="52">
        <f>LOOKUP(hsrf2tunl!D26,J6:J8,K6:K8)</f>
        <v>9.9634934285396881E-2</v>
      </c>
      <c r="D18" s="8" t="s">
        <v>1</v>
      </c>
      <c r="E18" s="8" t="s">
        <v>46</v>
      </c>
      <c r="F18" s="8"/>
      <c r="G18" s="8"/>
      <c r="H18" s="5" t="s">
        <v>898</v>
      </c>
    </row>
    <row r="19" spans="1:10" ht="15" customHeight="1" x14ac:dyDescent="0.3">
      <c r="A19" s="8"/>
      <c r="B19" s="8" t="s">
        <v>47</v>
      </c>
      <c r="C19" s="52">
        <f>iohsrf2!B25</f>
        <v>1548</v>
      </c>
      <c r="D19" s="8"/>
      <c r="E19" s="8" t="s">
        <v>48</v>
      </c>
      <c r="F19" s="8"/>
      <c r="G19" s="8"/>
      <c r="H19" s="5" t="s">
        <v>713</v>
      </c>
      <c r="I19" s="8"/>
    </row>
    <row r="20" spans="1:10" ht="15" customHeight="1" x14ac:dyDescent="0.3">
      <c r="A20" s="8"/>
      <c r="B20" s="8" t="s">
        <v>49</v>
      </c>
      <c r="C20" s="52">
        <f>iohsrf2!B26</f>
        <v>1538</v>
      </c>
      <c r="D20" s="8"/>
      <c r="E20" s="8" t="s">
        <v>50</v>
      </c>
      <c r="F20" s="8"/>
      <c r="G20" s="8"/>
      <c r="H20" s="5" t="s">
        <v>713</v>
      </c>
      <c r="I20" s="8"/>
    </row>
    <row r="21" spans="1:10" ht="15" customHeight="1" x14ac:dyDescent="0.3">
      <c r="A21" s="8"/>
      <c r="B21" s="349" t="s">
        <v>51</v>
      </c>
      <c r="C21" s="52">
        <f>hsrf2pwh!B34</f>
        <v>1377.9375521149007</v>
      </c>
      <c r="D21" s="8"/>
      <c r="E21" s="8" t="s">
        <v>52</v>
      </c>
      <c r="F21" s="8"/>
      <c r="G21" s="8"/>
      <c r="H21" s="5" t="s">
        <v>899</v>
      </c>
      <c r="I21" s="8"/>
    </row>
    <row r="22" spans="1:10" ht="15" customHeight="1" x14ac:dyDescent="0.3">
      <c r="A22" s="8"/>
      <c r="B22" s="8" t="s">
        <v>53</v>
      </c>
      <c r="C22" s="52">
        <f>in_mi!C16</f>
        <v>1511.7860731685219</v>
      </c>
      <c r="D22" s="8"/>
      <c r="E22" s="8" t="s">
        <v>54</v>
      </c>
      <c r="H22" s="5" t="s">
        <v>897</v>
      </c>
    </row>
    <row r="23" spans="1:10" ht="15" customHeight="1" x14ac:dyDescent="0.3">
      <c r="A23" s="8"/>
      <c r="B23" s="8" t="s">
        <v>55</v>
      </c>
      <c r="C23" s="50">
        <f>hsrf2rout!D42</f>
        <v>1577</v>
      </c>
      <c r="D23" s="8"/>
      <c r="E23" s="8" t="s">
        <v>56</v>
      </c>
      <c r="H23" s="5"/>
      <c r="I23" s="8"/>
    </row>
    <row r="24" spans="1:10" ht="15" customHeight="1" x14ac:dyDescent="0.3">
      <c r="A24" s="8"/>
      <c r="B24" s="525" t="s">
        <v>57</v>
      </c>
      <c r="C24" s="52">
        <f>iohsrf2!B3</f>
        <v>0.5</v>
      </c>
      <c r="D24" s="6" t="s">
        <v>1</v>
      </c>
      <c r="E24" s="9" t="s">
        <v>58</v>
      </c>
      <c r="H24" s="5" t="s">
        <v>713</v>
      </c>
      <c r="I24" s="8"/>
    </row>
    <row r="25" spans="1:10" ht="15" customHeight="1" x14ac:dyDescent="0.2">
      <c r="A25" s="49"/>
      <c r="C25" s="9"/>
      <c r="E25" s="9"/>
      <c r="F25" s="49"/>
      <c r="G25" s="49"/>
      <c r="H25" s="49"/>
      <c r="I25" s="49"/>
      <c r="J25" s="49"/>
    </row>
    <row r="26" spans="1:10" ht="15" customHeight="1" x14ac:dyDescent="0.2">
      <c r="A26" s="49"/>
      <c r="C26" s="9"/>
      <c r="E26" s="9"/>
      <c r="F26" s="49"/>
      <c r="G26" s="49"/>
      <c r="H26" s="49"/>
      <c r="I26" s="49"/>
      <c r="J26" s="49"/>
    </row>
    <row r="27" spans="1:10" ht="15" customHeight="1" x14ac:dyDescent="0.2">
      <c r="A27" s="49"/>
      <c r="C27" s="9"/>
      <c r="E27" s="9"/>
      <c r="F27" s="49"/>
      <c r="G27" s="49"/>
      <c r="H27" s="49"/>
      <c r="I27" s="49"/>
      <c r="J27" s="49"/>
    </row>
    <row r="28" spans="1:10" ht="15" customHeight="1" x14ac:dyDescent="0.2">
      <c r="A28" s="49"/>
      <c r="C28" s="9"/>
      <c r="E28" s="9"/>
      <c r="F28" s="49"/>
      <c r="G28" s="49"/>
      <c r="H28" s="49"/>
      <c r="I28" s="49"/>
      <c r="J28" s="49"/>
    </row>
    <row r="29" spans="1:10" ht="15" customHeight="1" x14ac:dyDescent="0.2">
      <c r="A29" s="49"/>
      <c r="C29" s="9"/>
      <c r="E29" s="9"/>
      <c r="F29" s="49"/>
      <c r="G29" s="49"/>
      <c r="H29" s="49"/>
      <c r="I29" s="49"/>
      <c r="J29" s="49"/>
    </row>
    <row r="30" spans="1:10" ht="15" customHeight="1" x14ac:dyDescent="0.2">
      <c r="A30" s="49"/>
      <c r="C30" s="9"/>
      <c r="E30" s="9"/>
      <c r="F30" s="49"/>
      <c r="G30" s="49"/>
      <c r="H30" s="49"/>
      <c r="I30" s="49"/>
      <c r="J30" s="49"/>
    </row>
    <row r="31" spans="1:10" ht="15" customHeight="1" x14ac:dyDescent="0.2">
      <c r="A31" s="49"/>
      <c r="C31" s="9"/>
      <c r="E31" s="9"/>
      <c r="F31" s="49"/>
      <c r="G31" s="49"/>
      <c r="H31" s="49"/>
      <c r="I31" s="49"/>
      <c r="J31" s="49"/>
    </row>
    <row r="32" spans="1:10" ht="15" customHeight="1" x14ac:dyDescent="0.2">
      <c r="A32" s="49"/>
      <c r="C32" s="9"/>
      <c r="E32" s="9"/>
      <c r="F32" s="49"/>
      <c r="G32" s="49"/>
      <c r="H32" s="49"/>
      <c r="I32" s="49"/>
      <c r="J32" s="49"/>
    </row>
    <row r="33" spans="1:10" ht="15" customHeight="1" x14ac:dyDescent="0.2">
      <c r="A33" s="49"/>
      <c r="C33" s="9"/>
      <c r="E33" s="9"/>
      <c r="F33" s="49"/>
      <c r="G33" s="49"/>
      <c r="H33" s="49"/>
      <c r="I33" s="49"/>
      <c r="J33" s="49"/>
    </row>
    <row r="34" spans="1:10" ht="15" customHeight="1" x14ac:dyDescent="0.2">
      <c r="A34" s="49"/>
      <c r="C34" s="9"/>
      <c r="E34" s="9"/>
      <c r="F34" s="49"/>
      <c r="G34" s="49"/>
      <c r="H34" s="49"/>
      <c r="I34" s="49"/>
      <c r="J34" s="49"/>
    </row>
    <row r="35" spans="1:10" ht="15" customHeight="1" x14ac:dyDescent="0.2">
      <c r="A35" s="49"/>
      <c r="C35" s="9"/>
      <c r="E35" s="9"/>
      <c r="F35" s="49"/>
      <c r="G35" s="49"/>
      <c r="H35" s="49"/>
      <c r="I35" s="49"/>
      <c r="J35" s="49"/>
    </row>
    <row r="36" spans="1:10" ht="15" customHeight="1" x14ac:dyDescent="0.2">
      <c r="A36" s="49"/>
      <c r="C36" s="9"/>
      <c r="E36" s="9"/>
      <c r="F36" s="49"/>
      <c r="G36" s="49"/>
      <c r="H36" s="49"/>
      <c r="I36" s="49"/>
      <c r="J36" s="49"/>
    </row>
    <row r="37" spans="1:10" ht="15" customHeight="1" x14ac:dyDescent="0.2">
      <c r="A37" s="49"/>
      <c r="C37" s="9"/>
      <c r="E37" s="9"/>
      <c r="F37" s="49"/>
      <c r="G37" s="49"/>
      <c r="H37" s="49"/>
      <c r="I37" s="49"/>
      <c r="J37" s="49"/>
    </row>
    <row r="38" spans="1:10" ht="15" customHeight="1" x14ac:dyDescent="0.2">
      <c r="A38" s="49"/>
      <c r="C38" s="9"/>
      <c r="E38" s="9"/>
      <c r="F38" s="49"/>
      <c r="G38" s="49"/>
      <c r="H38" s="49"/>
      <c r="I38" s="49"/>
      <c r="J38" s="49"/>
    </row>
    <row r="39" spans="1:10" ht="15" customHeight="1" x14ac:dyDescent="0.2">
      <c r="A39" s="49"/>
      <c r="C39" s="9"/>
      <c r="E39" s="9"/>
      <c r="F39" s="49"/>
      <c r="G39" s="49"/>
      <c r="H39" s="49"/>
      <c r="I39" s="49"/>
      <c r="J39" s="49"/>
    </row>
    <row r="40" spans="1:10" ht="15" customHeight="1" x14ac:dyDescent="0.2">
      <c r="A40" s="49"/>
      <c r="C40" s="9"/>
      <c r="E40" s="9"/>
      <c r="F40" s="49"/>
      <c r="G40" s="49"/>
      <c r="H40" s="49"/>
      <c r="I40" s="49"/>
      <c r="J40" s="49"/>
    </row>
    <row r="41" spans="1:10" ht="15" customHeight="1" x14ac:dyDescent="0.2">
      <c r="A41" s="49"/>
      <c r="C41" s="9"/>
      <c r="E41" s="9"/>
      <c r="F41" s="49"/>
      <c r="G41" s="49"/>
      <c r="H41" s="49"/>
      <c r="I41" s="49"/>
      <c r="J41" s="49"/>
    </row>
    <row r="42" spans="1:10" ht="15" customHeight="1" x14ac:dyDescent="0.2">
      <c r="A42" s="49"/>
      <c r="C42" s="9"/>
      <c r="E42" s="9"/>
      <c r="F42" s="49"/>
      <c r="G42" s="49"/>
      <c r="H42" s="49"/>
      <c r="I42" s="49"/>
      <c r="J42" s="49"/>
    </row>
    <row r="43" spans="1:10" ht="15" customHeight="1" x14ac:dyDescent="0.2">
      <c r="A43" s="49"/>
      <c r="C43" s="9"/>
      <c r="E43" s="9"/>
      <c r="F43" s="49"/>
      <c r="G43" s="49"/>
      <c r="H43" s="49"/>
      <c r="I43" s="49"/>
      <c r="J43" s="49"/>
    </row>
    <row r="44" spans="1:10" ht="15" customHeight="1" x14ac:dyDescent="0.2">
      <c r="A44" s="49"/>
      <c r="C44" s="9"/>
      <c r="E44" s="9"/>
      <c r="F44" s="49"/>
      <c r="G44" s="49"/>
      <c r="H44" s="49"/>
      <c r="I44" s="49"/>
      <c r="J44" s="49"/>
    </row>
    <row r="45" spans="1:10" ht="15" customHeight="1" x14ac:dyDescent="0.2">
      <c r="A45" s="49"/>
      <c r="C45" s="9"/>
      <c r="E45" s="9"/>
      <c r="F45" s="49"/>
      <c r="G45" s="49"/>
      <c r="H45" s="49"/>
      <c r="I45" s="49"/>
      <c r="J45" s="49"/>
    </row>
    <row r="46" spans="1:10" ht="15" customHeight="1" x14ac:dyDescent="0.2">
      <c r="A46" s="49"/>
      <c r="C46" s="9"/>
      <c r="E46" s="9"/>
      <c r="F46" s="49"/>
      <c r="G46" s="49"/>
      <c r="H46" s="49"/>
      <c r="I46" s="49"/>
      <c r="J46" s="49"/>
    </row>
    <row r="47" spans="1:10" ht="15" customHeight="1" x14ac:dyDescent="0.2">
      <c r="A47" s="49"/>
      <c r="C47" s="9"/>
      <c r="E47" s="9"/>
      <c r="F47" s="49"/>
      <c r="G47" s="49"/>
      <c r="H47" s="49"/>
      <c r="I47" s="49"/>
      <c r="J47" s="49"/>
    </row>
    <row r="48" spans="1:10" ht="15" customHeight="1" x14ac:dyDescent="0.2">
      <c r="A48" s="49"/>
      <c r="C48" s="9"/>
      <c r="E48" s="9"/>
      <c r="F48" s="49"/>
      <c r="G48" s="49"/>
      <c r="H48" s="49"/>
      <c r="I48" s="49"/>
      <c r="J48" s="49"/>
    </row>
    <row r="49" spans="1:10" ht="15" customHeight="1" x14ac:dyDescent="0.2">
      <c r="A49" s="49"/>
      <c r="C49" s="9"/>
      <c r="E49" s="9"/>
      <c r="F49" s="49"/>
      <c r="G49" s="49"/>
      <c r="H49" s="49"/>
      <c r="I49" s="49"/>
      <c r="J49" s="49"/>
    </row>
    <row r="50" spans="1:10" ht="15" customHeight="1" x14ac:dyDescent="0.2">
      <c r="A50" s="49"/>
      <c r="C50" s="9"/>
      <c r="E50" s="9"/>
      <c r="F50" s="49"/>
      <c r="G50" s="49"/>
      <c r="H50" s="49"/>
      <c r="I50" s="49"/>
      <c r="J50" s="49"/>
    </row>
    <row r="51" spans="1:10" ht="15" customHeight="1" x14ac:dyDescent="0.2">
      <c r="A51" s="49"/>
      <c r="C51" s="9"/>
      <c r="E51" s="9"/>
      <c r="F51" s="49"/>
      <c r="G51" s="49"/>
      <c r="H51" s="49"/>
      <c r="I51" s="49"/>
      <c r="J51" s="49"/>
    </row>
    <row r="52" spans="1:10" ht="15" customHeight="1" x14ac:dyDescent="0.2">
      <c r="A52" s="49"/>
      <c r="C52" s="9"/>
      <c r="E52" s="9"/>
      <c r="F52" s="49"/>
      <c r="G52" s="49"/>
      <c r="H52" s="49"/>
      <c r="I52" s="49"/>
      <c r="J52" s="49"/>
    </row>
    <row r="53" spans="1:10" ht="15" customHeight="1" x14ac:dyDescent="0.2">
      <c r="A53" s="49"/>
      <c r="C53" s="9"/>
      <c r="E53" s="9"/>
      <c r="F53" s="49"/>
      <c r="G53" s="49"/>
      <c r="H53" s="49"/>
      <c r="I53" s="49"/>
      <c r="J53" s="49"/>
    </row>
    <row r="54" spans="1:10" ht="15" customHeight="1" x14ac:dyDescent="0.2">
      <c r="A54" s="49"/>
      <c r="C54" s="9"/>
      <c r="E54" s="9"/>
      <c r="F54" s="49"/>
      <c r="G54" s="49"/>
      <c r="H54" s="49"/>
      <c r="I54" s="49"/>
      <c r="J54" s="49"/>
    </row>
    <row r="55" spans="1:10" ht="15" customHeight="1" x14ac:dyDescent="0.2">
      <c r="A55" s="49"/>
      <c r="C55" s="9"/>
      <c r="E55" s="9"/>
      <c r="F55" s="49"/>
      <c r="G55" s="49"/>
      <c r="H55" s="49"/>
      <c r="I55" s="49"/>
      <c r="J55" s="49"/>
    </row>
    <row r="56" spans="1:10" ht="15" customHeight="1" x14ac:dyDescent="0.2">
      <c r="A56" s="49"/>
      <c r="C56" s="9"/>
      <c r="E56" s="9"/>
      <c r="F56" s="49"/>
      <c r="G56" s="49"/>
      <c r="H56" s="49"/>
      <c r="I56" s="49"/>
      <c r="J56" s="49"/>
    </row>
    <row r="57" spans="1:10" ht="15" customHeight="1" x14ac:dyDescent="0.2">
      <c r="A57" s="49"/>
      <c r="C57" s="9"/>
      <c r="E57" s="9"/>
      <c r="F57" s="49"/>
      <c r="G57" s="49"/>
      <c r="H57" s="49"/>
      <c r="I57" s="49"/>
      <c r="J57" s="49"/>
    </row>
    <row r="58" spans="1:10" ht="15" customHeight="1" x14ac:dyDescent="0.2">
      <c r="A58" s="49"/>
      <c r="C58" s="9"/>
      <c r="E58" s="9"/>
      <c r="F58" s="49"/>
      <c r="G58" s="49"/>
      <c r="H58" s="49"/>
      <c r="I58" s="49"/>
      <c r="J58" s="49"/>
    </row>
    <row r="59" spans="1:10" ht="15" customHeight="1" x14ac:dyDescent="0.2">
      <c r="A59" s="49"/>
      <c r="C59" s="9"/>
      <c r="E59" s="9"/>
      <c r="F59" s="49"/>
      <c r="G59" s="49"/>
      <c r="H59" s="49"/>
      <c r="I59" s="49"/>
      <c r="J59" s="49"/>
    </row>
    <row r="60" spans="1:10" ht="15" customHeight="1" x14ac:dyDescent="0.2">
      <c r="A60" s="49"/>
      <c r="C60" s="9"/>
      <c r="E60" s="9"/>
      <c r="F60" s="49"/>
      <c r="G60" s="49"/>
      <c r="H60" s="49"/>
      <c r="I60" s="49"/>
      <c r="J60" s="49"/>
    </row>
    <row r="61" spans="1:10" ht="15" customHeight="1" x14ac:dyDescent="0.2">
      <c r="A61" s="49"/>
      <c r="C61" s="9"/>
      <c r="E61" s="9"/>
      <c r="F61" s="49"/>
      <c r="G61" s="49"/>
      <c r="H61" s="49"/>
      <c r="I61" s="49"/>
      <c r="J61" s="49"/>
    </row>
    <row r="62" spans="1:10" ht="15" customHeight="1" x14ac:dyDescent="0.2">
      <c r="A62" s="49"/>
      <c r="C62" s="9"/>
      <c r="E62" s="9"/>
      <c r="F62" s="49"/>
      <c r="G62" s="49"/>
      <c r="H62" s="49"/>
      <c r="I62" s="49"/>
      <c r="J62" s="49"/>
    </row>
    <row r="63" spans="1:10" ht="15" customHeight="1" x14ac:dyDescent="0.2">
      <c r="A63" s="49"/>
      <c r="C63" s="9"/>
      <c r="E63" s="9"/>
      <c r="F63" s="49"/>
      <c r="G63" s="49"/>
      <c r="H63" s="49"/>
      <c r="I63" s="49"/>
      <c r="J63" s="49"/>
    </row>
    <row r="64" spans="1:10" ht="15" customHeight="1" x14ac:dyDescent="0.2">
      <c r="A64" s="49"/>
      <c r="C64" s="9"/>
      <c r="E64" s="9"/>
      <c r="F64" s="49"/>
      <c r="G64" s="49"/>
      <c r="H64" s="49"/>
      <c r="I64" s="49"/>
      <c r="J64" s="49"/>
    </row>
    <row r="65" spans="1:10" ht="15" customHeight="1" x14ac:dyDescent="0.2">
      <c r="A65" s="49"/>
      <c r="C65" s="9"/>
      <c r="E65" s="9"/>
      <c r="F65" s="49"/>
      <c r="G65" s="49"/>
      <c r="H65" s="49"/>
      <c r="I65" s="49"/>
      <c r="J65" s="49"/>
    </row>
    <row r="66" spans="1:10" ht="15" customHeight="1" x14ac:dyDescent="0.2">
      <c r="A66" s="49"/>
      <c r="C66" s="9"/>
      <c r="E66" s="9"/>
      <c r="F66" s="49"/>
      <c r="G66" s="49"/>
      <c r="H66" s="49"/>
      <c r="I66" s="49"/>
      <c r="J66" s="49"/>
    </row>
    <row r="67" spans="1:10" ht="15" customHeight="1" x14ac:dyDescent="0.2">
      <c r="A67" s="49"/>
      <c r="C67" s="9"/>
      <c r="E67" s="9"/>
      <c r="F67" s="49"/>
      <c r="G67" s="49"/>
      <c r="H67" s="49"/>
      <c r="I67" s="49"/>
      <c r="J67" s="49"/>
    </row>
    <row r="68" spans="1:10" ht="15" customHeight="1" x14ac:dyDescent="0.2">
      <c r="A68" s="49"/>
      <c r="C68" s="9"/>
      <c r="E68" s="9"/>
      <c r="F68" s="49"/>
      <c r="G68" s="49"/>
      <c r="H68" s="49"/>
      <c r="I68" s="49"/>
      <c r="J68" s="49"/>
    </row>
    <row r="69" spans="1:10" ht="15" customHeight="1" x14ac:dyDescent="0.2">
      <c r="A69" s="49"/>
      <c r="C69" s="9"/>
      <c r="E69" s="9"/>
      <c r="F69" s="49"/>
      <c r="G69" s="49"/>
      <c r="H69" s="49"/>
      <c r="I69" s="49"/>
      <c r="J69" s="49"/>
    </row>
    <row r="70" spans="1:10" ht="15" customHeight="1" x14ac:dyDescent="0.2">
      <c r="A70" s="49"/>
      <c r="C70" s="9"/>
      <c r="E70" s="9"/>
      <c r="F70" s="49"/>
      <c r="G70" s="49"/>
      <c r="H70" s="49"/>
      <c r="I70" s="49"/>
      <c r="J70" s="49"/>
    </row>
    <row r="71" spans="1:10" ht="15" customHeight="1" x14ac:dyDescent="0.2">
      <c r="A71" s="49"/>
      <c r="C71" s="9"/>
      <c r="E71" s="9"/>
      <c r="F71" s="49"/>
      <c r="G71" s="49"/>
      <c r="H71" s="49"/>
      <c r="I71" s="49"/>
      <c r="J71" s="49"/>
    </row>
    <row r="72" spans="1:10" ht="15" customHeight="1" x14ac:dyDescent="0.2">
      <c r="A72" s="49"/>
      <c r="C72" s="9"/>
      <c r="E72" s="9"/>
      <c r="F72" s="49"/>
      <c r="G72" s="49"/>
      <c r="H72" s="49"/>
      <c r="I72" s="49"/>
      <c r="J72" s="49"/>
    </row>
    <row r="73" spans="1:10" ht="15" customHeight="1" x14ac:dyDescent="0.2">
      <c r="A73" s="49"/>
      <c r="C73" s="9"/>
      <c r="E73" s="9"/>
      <c r="F73" s="49"/>
      <c r="G73" s="49"/>
      <c r="H73" s="49"/>
      <c r="I73" s="49"/>
      <c r="J73" s="49"/>
    </row>
    <row r="74" spans="1:10" ht="15" customHeight="1" x14ac:dyDescent="0.2">
      <c r="A74" s="49"/>
      <c r="C74" s="9"/>
      <c r="E74" s="9"/>
      <c r="F74" s="49"/>
      <c r="G74" s="49"/>
      <c r="H74" s="49"/>
      <c r="I74" s="49"/>
      <c r="J74" s="49"/>
    </row>
    <row r="75" spans="1:10" ht="15" customHeight="1" x14ac:dyDescent="0.2">
      <c r="A75" s="49"/>
      <c r="C75" s="9"/>
      <c r="E75" s="9"/>
      <c r="F75" s="49"/>
      <c r="G75" s="49"/>
      <c r="H75" s="49"/>
      <c r="I75" s="49"/>
      <c r="J75" s="49"/>
    </row>
    <row r="76" spans="1:10" ht="15" customHeight="1" x14ac:dyDescent="0.2">
      <c r="A76" s="49"/>
      <c r="C76" s="9"/>
      <c r="E76" s="9"/>
      <c r="F76" s="49"/>
      <c r="G76" s="49"/>
      <c r="H76" s="49"/>
      <c r="I76" s="49"/>
      <c r="J76" s="49"/>
    </row>
    <row r="77" spans="1:10" ht="15" customHeight="1" x14ac:dyDescent="0.2">
      <c r="A77" s="49"/>
      <c r="C77" s="9"/>
      <c r="E77" s="9"/>
      <c r="F77" s="49"/>
      <c r="G77" s="49"/>
      <c r="H77" s="49"/>
      <c r="I77" s="49"/>
      <c r="J77" s="49"/>
    </row>
    <row r="78" spans="1:10" ht="15" customHeight="1" x14ac:dyDescent="0.2">
      <c r="A78" s="49"/>
      <c r="C78" s="9"/>
      <c r="E78" s="9"/>
      <c r="F78" s="49"/>
      <c r="G78" s="49"/>
      <c r="H78" s="49"/>
      <c r="I78" s="49"/>
      <c r="J78" s="49"/>
    </row>
    <row r="79" spans="1:10" ht="15" customHeight="1" x14ac:dyDescent="0.2">
      <c r="A79" s="49"/>
      <c r="C79" s="9"/>
      <c r="E79" s="9"/>
      <c r="F79" s="49"/>
      <c r="G79" s="49"/>
      <c r="H79" s="49"/>
      <c r="I79" s="49"/>
      <c r="J79" s="49"/>
    </row>
    <row r="80" spans="1:10" ht="15" customHeight="1" x14ac:dyDescent="0.2">
      <c r="A80" s="49"/>
      <c r="C80" s="9"/>
      <c r="E80" s="9"/>
      <c r="F80" s="49"/>
      <c r="G80" s="49"/>
      <c r="H80" s="49"/>
      <c r="I80" s="49"/>
      <c r="J80" s="49"/>
    </row>
    <row r="81" spans="1:10" ht="15" customHeight="1" x14ac:dyDescent="0.2">
      <c r="A81" s="49"/>
      <c r="C81" s="9"/>
      <c r="E81" s="9"/>
      <c r="F81" s="49"/>
      <c r="G81" s="49"/>
      <c r="H81" s="49"/>
      <c r="I81" s="49"/>
      <c r="J81" s="49"/>
    </row>
    <row r="82" spans="1:10" ht="15" customHeight="1" x14ac:dyDescent="0.2">
      <c r="A82" s="49"/>
      <c r="C82" s="9"/>
      <c r="E82" s="9"/>
      <c r="F82" s="49"/>
      <c r="G82" s="49"/>
      <c r="H82" s="49"/>
      <c r="I82" s="49"/>
      <c r="J82" s="49"/>
    </row>
    <row r="83" spans="1:10" ht="15" customHeight="1" x14ac:dyDescent="0.2">
      <c r="A83" s="49"/>
      <c r="C83" s="9"/>
      <c r="E83" s="9"/>
      <c r="F83" s="49"/>
      <c r="G83" s="49"/>
      <c r="H83" s="49"/>
      <c r="I83" s="49"/>
      <c r="J83" s="49"/>
    </row>
    <row r="84" spans="1:10" ht="15" customHeight="1" x14ac:dyDescent="0.2">
      <c r="A84" s="49"/>
      <c r="C84" s="9"/>
      <c r="E84" s="9"/>
      <c r="F84" s="49"/>
      <c r="G84" s="49"/>
      <c r="H84" s="49"/>
      <c r="I84" s="49"/>
      <c r="J84" s="49"/>
    </row>
    <row r="85" spans="1:10" ht="15" customHeight="1" x14ac:dyDescent="0.2">
      <c r="A85" s="49"/>
      <c r="C85" s="9"/>
      <c r="E85" s="9"/>
      <c r="F85" s="49"/>
      <c r="G85" s="49"/>
      <c r="H85" s="49"/>
      <c r="I85" s="49"/>
      <c r="J85" s="49"/>
    </row>
    <row r="86" spans="1:10" ht="15" customHeight="1" x14ac:dyDescent="0.2">
      <c r="A86" s="49"/>
      <c r="C86" s="9"/>
      <c r="E86" s="9"/>
      <c r="F86" s="49"/>
      <c r="G86" s="49"/>
      <c r="H86" s="49"/>
      <c r="I86" s="49"/>
      <c r="J86" s="49"/>
    </row>
    <row r="87" spans="1:10" ht="15" customHeight="1" x14ac:dyDescent="0.2">
      <c r="A87" s="49"/>
      <c r="C87" s="9"/>
      <c r="E87" s="9"/>
      <c r="F87" s="49"/>
      <c r="G87" s="49"/>
      <c r="H87" s="49"/>
      <c r="I87" s="49"/>
      <c r="J87" s="49"/>
    </row>
    <row r="88" spans="1:10" ht="15" customHeight="1" x14ac:dyDescent="0.2">
      <c r="A88" s="49"/>
      <c r="C88" s="9"/>
      <c r="E88" s="9"/>
      <c r="F88" s="49"/>
      <c r="G88" s="49"/>
      <c r="H88" s="49"/>
      <c r="I88" s="49"/>
      <c r="J88" s="49"/>
    </row>
    <row r="89" spans="1:10" ht="15" customHeight="1" x14ac:dyDescent="0.2">
      <c r="A89" s="49"/>
      <c r="C89" s="9"/>
      <c r="E89" s="9"/>
      <c r="F89" s="49"/>
      <c r="G89" s="49"/>
      <c r="H89" s="49"/>
      <c r="I89" s="49"/>
      <c r="J89" s="49"/>
    </row>
    <row r="90" spans="1:10" ht="15" customHeight="1" x14ac:dyDescent="0.2">
      <c r="A90" s="49"/>
      <c r="C90" s="9"/>
      <c r="E90" s="9"/>
      <c r="F90" s="49"/>
      <c r="G90" s="49"/>
      <c r="H90" s="49"/>
      <c r="I90" s="49"/>
      <c r="J90" s="49"/>
    </row>
    <row r="91" spans="1:10" ht="15" customHeight="1" x14ac:dyDescent="0.2">
      <c r="A91" s="21" t="s">
        <v>124</v>
      </c>
      <c r="E91" s="53"/>
    </row>
    <row r="92" spans="1:10" ht="15" customHeight="1" x14ac:dyDescent="0.2">
      <c r="E92" s="53"/>
    </row>
    <row r="93" spans="1:10" ht="15" customHeight="1" x14ac:dyDescent="0.5">
      <c r="B93" s="54" t="s">
        <v>125</v>
      </c>
      <c r="E93" s="53"/>
    </row>
    <row r="94" spans="1:10" ht="15" customHeight="1" x14ac:dyDescent="0.2">
      <c r="B94" s="6" t="str">
        <f>IF((E120+1)&gt;(C23-C24),"      O nível de água ultrapassou o topo da rocha (ver fig. 5.8.6.07).","       O nível de água não ultrapassou o topo da rocha (ver fig. 5.8.6.06).")</f>
        <v xml:space="preserve">       O nível de água não ultrapassou o topo da rocha (ver fig. 5.8.6.06).</v>
      </c>
      <c r="E94" s="53"/>
    </row>
    <row r="95" spans="1:10" ht="15" customHeight="1" x14ac:dyDescent="0.2">
      <c r="E95" s="53"/>
    </row>
    <row r="96" spans="1:10" ht="15" customHeight="1" x14ac:dyDescent="0.2">
      <c r="E96" s="53"/>
    </row>
    <row r="97" spans="1:8" ht="15" customHeight="1" x14ac:dyDescent="0.2">
      <c r="A97" s="21" t="s">
        <v>126</v>
      </c>
    </row>
    <row r="98" spans="1:8" ht="15" customHeight="1" x14ac:dyDescent="0.2">
      <c r="A98" s="21"/>
      <c r="E98" s="53"/>
    </row>
    <row r="99" spans="1:8" ht="15" customHeight="1" x14ac:dyDescent="0.5">
      <c r="A99" s="21"/>
      <c r="B99" s="55" t="s">
        <v>127</v>
      </c>
      <c r="E99" s="53"/>
    </row>
    <row r="100" spans="1:8" ht="15" customHeight="1" x14ac:dyDescent="0.2">
      <c r="A100" s="21"/>
    </row>
    <row r="101" spans="1:8" ht="15" customHeight="1" x14ac:dyDescent="0.25">
      <c r="A101" s="21"/>
      <c r="B101" s="7"/>
      <c r="E101"/>
      <c r="F101" s="348">
        <f>1.25*($C$15^2/(2*9.81))*(C16*E104/((E108-E106-C18)*(E106+C18)))</f>
        <v>454.12065566478714</v>
      </c>
      <c r="G101" s="57" t="s">
        <v>112</v>
      </c>
    </row>
    <row r="102" spans="1:8" ht="15" customHeight="1" x14ac:dyDescent="0.2">
      <c r="A102" s="21"/>
      <c r="B102" s="9"/>
      <c r="D102" s="10"/>
      <c r="E102" s="53"/>
    </row>
    <row r="103" spans="1:8" ht="15" customHeight="1" x14ac:dyDescent="0.2">
      <c r="A103" s="21"/>
      <c r="B103" s="10" t="s">
        <v>128</v>
      </c>
      <c r="D103" s="10"/>
      <c r="E103" s="53"/>
    </row>
    <row r="104" spans="1:8" ht="15" customHeight="1" x14ac:dyDescent="0.2">
      <c r="A104" s="21"/>
      <c r="B104" s="9"/>
      <c r="D104" s="10"/>
      <c r="E104" s="58">
        <f>0.8927*(C17^2)</f>
        <v>362.81368672191934</v>
      </c>
      <c r="F104" s="6" t="s">
        <v>129</v>
      </c>
    </row>
    <row r="105" spans="1:8" ht="15" customHeight="1" x14ac:dyDescent="0.2">
      <c r="A105" s="21"/>
      <c r="B105" s="9"/>
      <c r="D105" s="10"/>
      <c r="E105" s="53"/>
    </row>
    <row r="106" spans="1:8" ht="15" customHeight="1" x14ac:dyDescent="0.2">
      <c r="A106" s="21"/>
      <c r="B106" s="9"/>
      <c r="D106" s="10"/>
      <c r="E106" s="346">
        <f>0.2*$C$15^2/(2*9.81)</f>
        <v>4.6942506962509678E-2</v>
      </c>
      <c r="F106" s="6" t="s">
        <v>1</v>
      </c>
    </row>
    <row r="107" spans="1:8" ht="15" customHeight="1" x14ac:dyDescent="0.2">
      <c r="A107" s="21"/>
      <c r="B107" s="9"/>
      <c r="D107" s="10"/>
      <c r="E107" s="53"/>
    </row>
    <row r="108" spans="1:8" ht="15" customHeight="1" x14ac:dyDescent="0.2">
      <c r="A108" s="21"/>
      <c r="B108" s="9"/>
      <c r="D108" s="10"/>
      <c r="E108" s="349">
        <f>C20-C21</f>
        <v>160.06244788509935</v>
      </c>
      <c r="F108" s="9" t="s">
        <v>1</v>
      </c>
    </row>
    <row r="109" spans="1:8" ht="15" customHeight="1" x14ac:dyDescent="0.2">
      <c r="A109" s="21"/>
      <c r="B109" s="9"/>
      <c r="D109" s="10"/>
      <c r="E109" s="53"/>
    </row>
    <row r="110" spans="1:8" ht="15" customHeight="1" x14ac:dyDescent="0.5">
      <c r="A110" s="21"/>
      <c r="B110" s="55" t="s">
        <v>130</v>
      </c>
      <c r="D110" s="10"/>
      <c r="E110" s="53"/>
    </row>
    <row r="111" spans="1:8" ht="15" customHeight="1" x14ac:dyDescent="0.2">
      <c r="A111" s="21"/>
      <c r="D111" s="10"/>
      <c r="E111" s="9"/>
    </row>
    <row r="112" spans="1:8" ht="15" customHeight="1" x14ac:dyDescent="0.2">
      <c r="A112" s="21"/>
      <c r="D112" s="48">
        <f>ROUND(SQRT(4*F101/PI()),2)</f>
        <v>24.05</v>
      </c>
      <c r="E112" s="57" t="s">
        <v>1</v>
      </c>
      <c r="F112" s="59"/>
      <c r="G112" s="60"/>
      <c r="H112" s="61"/>
    </row>
    <row r="113" spans="1:10" ht="15" customHeight="1" x14ac:dyDescent="0.2">
      <c r="A113" s="21"/>
      <c r="C113" s="58"/>
      <c r="D113" s="9"/>
      <c r="F113" s="62"/>
      <c r="G113" s="21"/>
    </row>
    <row r="114" spans="1:10" ht="15" customHeight="1" x14ac:dyDescent="0.5">
      <c r="A114" s="21"/>
      <c r="B114" s="55" t="s">
        <v>131</v>
      </c>
      <c r="E114" s="53"/>
    </row>
    <row r="115" spans="1:10" ht="15" customHeight="1" x14ac:dyDescent="0.2">
      <c r="A115" s="21"/>
      <c r="E115" s="53"/>
    </row>
    <row r="116" spans="1:10" ht="15" customHeight="1" x14ac:dyDescent="0.2">
      <c r="A116" s="21"/>
      <c r="C116" s="10"/>
      <c r="D116" s="343">
        <f>IF(F101&gt;0,C15*SQRT(C16*E104/(9.81*F101)),0)</f>
        <v>6.124058667856338</v>
      </c>
      <c r="E116" s="57" t="s">
        <v>1</v>
      </c>
      <c r="F116" s="10"/>
      <c r="G116" s="48"/>
      <c r="H116" s="21"/>
    </row>
    <row r="117" spans="1:10" ht="15" customHeight="1" x14ac:dyDescent="0.2">
      <c r="A117" s="21"/>
      <c r="E117" s="53"/>
    </row>
    <row r="118" spans="1:10" ht="15" customHeight="1" x14ac:dyDescent="0.5">
      <c r="A118" s="21"/>
      <c r="B118" s="55" t="s">
        <v>132</v>
      </c>
      <c r="E118" s="53"/>
    </row>
    <row r="119" spans="1:10" ht="15" customHeight="1" x14ac:dyDescent="0.2">
      <c r="A119" s="21"/>
      <c r="E119" s="53"/>
      <c r="F119" s="21"/>
      <c r="I119" s="8"/>
      <c r="J119" s="53"/>
    </row>
    <row r="120" spans="1:10" ht="15" customHeight="1" x14ac:dyDescent="0.2">
      <c r="A120" s="21"/>
      <c r="E120" s="159">
        <f>IF(F101&gt;0,C19-(2/3)*(E106+C18)+D116,0)</f>
        <v>1554.026340373691</v>
      </c>
      <c r="F120" s="21"/>
      <c r="H120" s="8"/>
      <c r="I120" s="9"/>
    </row>
    <row r="121" spans="1:10" ht="15" customHeight="1" x14ac:dyDescent="0.2">
      <c r="A121" s="21"/>
      <c r="D121" s="64"/>
      <c r="E121" s="53"/>
      <c r="F121" s="21"/>
      <c r="H121" s="8"/>
      <c r="I121" s="9"/>
    </row>
    <row r="122" spans="1:10" ht="15" customHeight="1" x14ac:dyDescent="0.5">
      <c r="A122" s="21"/>
      <c r="B122" s="55" t="s">
        <v>133</v>
      </c>
      <c r="E122" s="53"/>
      <c r="F122" s="21"/>
      <c r="H122" s="8"/>
      <c r="I122" s="9"/>
    </row>
    <row r="123" spans="1:10" ht="15" customHeight="1" x14ac:dyDescent="0.2">
      <c r="A123" s="21"/>
      <c r="E123" s="53"/>
      <c r="F123" s="21"/>
      <c r="H123" s="8"/>
      <c r="I123" s="9"/>
    </row>
    <row r="124" spans="1:10" ht="15" customHeight="1" x14ac:dyDescent="0.2">
      <c r="A124" s="21"/>
      <c r="E124" s="63">
        <f>IF(F101&gt;0,C20+2*(E106+C18)-D116,0)</f>
        <v>1532.1690962146395</v>
      </c>
      <c r="F124" s="21"/>
      <c r="H124" s="8"/>
      <c r="I124" s="9"/>
    </row>
    <row r="125" spans="1:10" ht="15" customHeight="1" x14ac:dyDescent="0.2">
      <c r="A125" s="21"/>
      <c r="D125" s="64"/>
      <c r="E125" s="53"/>
      <c r="F125" s="21"/>
      <c r="H125" s="8"/>
      <c r="I125" s="9"/>
    </row>
    <row r="126" spans="1:10" ht="15" customHeight="1" x14ac:dyDescent="0.5">
      <c r="A126" s="21"/>
      <c r="B126" s="55" t="s">
        <v>134</v>
      </c>
      <c r="D126" s="64"/>
      <c r="E126" s="53"/>
      <c r="F126" s="21"/>
      <c r="H126" s="8"/>
      <c r="I126" s="9"/>
    </row>
    <row r="127" spans="1:10" ht="15" customHeight="1" x14ac:dyDescent="0.2">
      <c r="A127" s="21"/>
      <c r="D127" s="8"/>
      <c r="E127" s="53"/>
      <c r="F127" s="21"/>
      <c r="J127" s="53"/>
    </row>
    <row r="128" spans="1:10" ht="15" customHeight="1" x14ac:dyDescent="0.25">
      <c r="E128"/>
      <c r="F128"/>
      <c r="G128" s="57"/>
    </row>
    <row r="129" spans="1:11" ht="15" customHeight="1" x14ac:dyDescent="0.25">
      <c r="E129"/>
      <c r="F129" s="65"/>
      <c r="G129" s="57"/>
    </row>
    <row r="130" spans="1:11" ht="15" customHeight="1" x14ac:dyDescent="0.3">
      <c r="B130" s="10" t="s">
        <v>135</v>
      </c>
      <c r="C130" s="10" t="s">
        <v>136</v>
      </c>
      <c r="D130" s="318">
        <f>IF((C22-(0.005*C16)+C17)&gt;(E124-1),(E124-1),(C22-(0.005*C16)+C17))</f>
        <v>1531.1690962146395</v>
      </c>
      <c r="E130"/>
      <c r="F130" s="65"/>
      <c r="G130" s="57"/>
    </row>
    <row r="131" spans="1:11" ht="15" customHeight="1" x14ac:dyDescent="0.2">
      <c r="F131" s="48"/>
      <c r="G131" s="21"/>
    </row>
    <row r="132" spans="1:11" ht="15" customHeight="1" x14ac:dyDescent="0.5">
      <c r="B132" s="55" t="s">
        <v>137</v>
      </c>
      <c r="F132" s="21"/>
      <c r="J132" s="53"/>
    </row>
    <row r="133" spans="1:11" ht="15" customHeight="1" x14ac:dyDescent="0.2">
      <c r="A133" s="21"/>
      <c r="E133" s="10"/>
      <c r="F133" s="10"/>
      <c r="K133" s="10"/>
    </row>
    <row r="134" spans="1:11" ht="15" customHeight="1" x14ac:dyDescent="0.2">
      <c r="A134" s="21"/>
      <c r="E134" s="66">
        <f>E120+1-D130</f>
        <v>23.857244159051561</v>
      </c>
      <c r="F134" s="21" t="s">
        <v>1</v>
      </c>
      <c r="G134" s="59"/>
      <c r="H134" s="60"/>
      <c r="I134" s="61"/>
      <c r="K134" s="10"/>
    </row>
    <row r="135" spans="1:11" ht="15" customHeight="1" x14ac:dyDescent="0.2">
      <c r="A135" s="21"/>
      <c r="E135" s="53"/>
      <c r="G135" s="59"/>
      <c r="H135" s="60"/>
      <c r="I135" s="61"/>
    </row>
    <row r="136" spans="1:11" ht="15" customHeight="1" x14ac:dyDescent="0.5">
      <c r="A136" s="21"/>
      <c r="B136" s="55" t="s">
        <v>138</v>
      </c>
      <c r="E136" s="58"/>
    </row>
    <row r="137" spans="1:11" ht="15" customHeight="1" x14ac:dyDescent="0.2">
      <c r="A137" s="21"/>
      <c r="E137" s="53"/>
    </row>
    <row r="138" spans="1:11" ht="15" customHeight="1" x14ac:dyDescent="0.2">
      <c r="A138" s="21"/>
      <c r="B138" s="67"/>
      <c r="E138" s="53"/>
    </row>
    <row r="139" spans="1:11" ht="15" customHeight="1" x14ac:dyDescent="0.2">
      <c r="A139" s="21"/>
      <c r="B139" s="67"/>
      <c r="E139" s="53"/>
    </row>
    <row r="140" spans="1:11" ht="15" customHeight="1" x14ac:dyDescent="0.2">
      <c r="A140" s="21"/>
      <c r="C140" s="10"/>
      <c r="D140" s="8"/>
      <c r="E140" s="68">
        <f>IF((E120+1)&gt;(C23-C24),ROUND(E120+1-(C23-C24),2),0)</f>
        <v>0</v>
      </c>
      <c r="F140" s="21" t="s">
        <v>1</v>
      </c>
      <c r="G140" s="8"/>
      <c r="I140" s="10"/>
      <c r="J140" s="8"/>
    </row>
    <row r="141" spans="1:11" ht="15" customHeight="1" x14ac:dyDescent="0.25">
      <c r="A141" s="21"/>
      <c r="G141"/>
    </row>
    <row r="142" spans="1:11" ht="15" customHeight="1" x14ac:dyDescent="0.5">
      <c r="A142" s="21"/>
      <c r="B142" s="55" t="s">
        <v>139</v>
      </c>
      <c r="E142" s="53"/>
    </row>
    <row r="143" spans="1:11" ht="15" customHeight="1" x14ac:dyDescent="0.2">
      <c r="A143" s="21"/>
      <c r="E143" s="53"/>
    </row>
    <row r="144" spans="1:11" ht="15" customHeight="1" x14ac:dyDescent="0.2">
      <c r="A144" s="21"/>
      <c r="B144" s="10"/>
      <c r="C144" s="69"/>
      <c r="E144" s="48">
        <f>ROUND((D112/2)*(SQRT((D147+F149)/(D147-F149))-1),2)</f>
        <v>0</v>
      </c>
      <c r="F144" s="21" t="s">
        <v>1</v>
      </c>
      <c r="G144" s="9"/>
    </row>
    <row r="145" spans="1:8" ht="15" customHeight="1" x14ac:dyDescent="0.2">
      <c r="A145" s="21"/>
      <c r="B145" s="10"/>
      <c r="C145" s="64"/>
      <c r="E145" s="10"/>
      <c r="F145" s="8"/>
      <c r="G145" s="9"/>
    </row>
    <row r="146" spans="1:8" ht="15" customHeight="1" x14ac:dyDescent="0.2">
      <c r="A146" s="21"/>
      <c r="B146" s="10"/>
      <c r="C146" s="70" t="s">
        <v>140</v>
      </c>
      <c r="E146" s="10"/>
      <c r="F146" s="8"/>
      <c r="G146" s="9"/>
    </row>
    <row r="147" spans="1:8" ht="15" customHeight="1" x14ac:dyDescent="0.3">
      <c r="A147" s="21"/>
      <c r="B147" s="10"/>
      <c r="C147" s="71" t="s">
        <v>141</v>
      </c>
      <c r="D147" s="10">
        <v>10</v>
      </c>
      <c r="E147" s="72" t="s">
        <v>142</v>
      </c>
      <c r="F147"/>
      <c r="G147" s="9"/>
    </row>
    <row r="148" spans="1:8" ht="15" customHeight="1" x14ac:dyDescent="0.25">
      <c r="A148" s="21"/>
      <c r="B148" s="10"/>
      <c r="C148"/>
      <c r="D148"/>
      <c r="E148"/>
      <c r="F148"/>
      <c r="G148"/>
    </row>
    <row r="149" spans="1:8" ht="15" customHeight="1" x14ac:dyDescent="0.25">
      <c r="A149" s="21"/>
      <c r="B149" s="10"/>
      <c r="E149" s="10"/>
      <c r="F149" s="73">
        <f>IF((E120-(C23-C24))/10&lt;0,0,(E120-(C23-C24))/10)</f>
        <v>0</v>
      </c>
      <c r="G149" s="6" t="s">
        <v>143</v>
      </c>
      <c r="H149"/>
    </row>
    <row r="150" spans="1:8" ht="15" customHeight="1" x14ac:dyDescent="0.2">
      <c r="A150" s="21"/>
      <c r="B150" s="10"/>
      <c r="C150" s="48"/>
      <c r="D150" s="57"/>
    </row>
    <row r="151" spans="1:8" ht="15" customHeight="1" x14ac:dyDescent="0.5">
      <c r="A151" s="21"/>
      <c r="B151" s="55" t="s">
        <v>144</v>
      </c>
    </row>
    <row r="152" spans="1:8" ht="15" customHeight="1" x14ac:dyDescent="0.2">
      <c r="A152" s="21"/>
      <c r="E152" s="53"/>
    </row>
    <row r="153" spans="1:8" ht="15" customHeight="1" x14ac:dyDescent="0.2">
      <c r="A153" s="21"/>
      <c r="B153" s="74"/>
      <c r="E153" s="53"/>
    </row>
    <row r="154" spans="1:8" ht="15" customHeight="1" x14ac:dyDescent="0.25">
      <c r="A154" s="21"/>
      <c r="E154"/>
      <c r="F154"/>
    </row>
    <row r="155" spans="1:8" ht="15" customHeight="1" x14ac:dyDescent="0.2">
      <c r="A155" s="21"/>
      <c r="E155" s="68">
        <f>IF((E120+1)&gt;(C23-C24),0,C23-C24-(E120+1))</f>
        <v>21.473659626308972</v>
      </c>
      <c r="F155" s="21" t="str">
        <f>IF((E120+1)&gt;(C23-C24),"m     O nível de água ultrapassou o topo da rocha.","m")</f>
        <v>m</v>
      </c>
    </row>
    <row r="156" spans="1:8" ht="15" customHeight="1" x14ac:dyDescent="0.2">
      <c r="A156" s="21"/>
      <c r="E156" s="53"/>
    </row>
    <row r="157" spans="1:8" ht="15" customHeight="1" x14ac:dyDescent="0.2">
      <c r="A157" s="21"/>
      <c r="E157" s="53"/>
    </row>
    <row r="158" spans="1:8" ht="15" customHeight="1" x14ac:dyDescent="0.5">
      <c r="A158" s="21"/>
      <c r="B158" s="55" t="s">
        <v>145</v>
      </c>
      <c r="E158" s="53"/>
      <c r="F158" s="75"/>
    </row>
    <row r="159" spans="1:8" ht="15" customHeight="1" x14ac:dyDescent="0.2">
      <c r="A159" s="21"/>
      <c r="D159" s="76"/>
    </row>
    <row r="160" spans="1:8" ht="15" customHeight="1" x14ac:dyDescent="0.2">
      <c r="A160" s="21"/>
      <c r="F160" s="77">
        <f>ROUND(0.00274*D112^2+0.018*D112+0.1,2)</f>
        <v>2.12</v>
      </c>
      <c r="G160" s="21" t="s">
        <v>1</v>
      </c>
    </row>
    <row r="161" spans="1:8" ht="15" customHeight="1" x14ac:dyDescent="0.2">
      <c r="A161" s="21"/>
      <c r="F161" s="77"/>
      <c r="G161" s="21"/>
    </row>
    <row r="162" spans="1:8" ht="15" customHeight="1" x14ac:dyDescent="0.2">
      <c r="A162" s="21"/>
      <c r="F162" s="77"/>
      <c r="G162" s="21"/>
    </row>
    <row r="163" spans="1:8" ht="15" customHeight="1" x14ac:dyDescent="0.2">
      <c r="A163" s="21" t="s">
        <v>146</v>
      </c>
      <c r="G163" s="78"/>
    </row>
    <row r="164" spans="1:8" ht="15" customHeight="1" x14ac:dyDescent="0.2"/>
    <row r="165" spans="1:8" ht="15" customHeight="1" x14ac:dyDescent="0.2">
      <c r="B165" s="6" t="s">
        <v>147</v>
      </c>
    </row>
    <row r="166" spans="1:8" ht="15" customHeight="1" x14ac:dyDescent="0.2"/>
    <row r="167" spans="1:8" ht="15" customHeight="1" x14ac:dyDescent="0.5">
      <c r="B167" s="55" t="s">
        <v>148</v>
      </c>
      <c r="F167" s="10"/>
    </row>
    <row r="168" spans="1:8" ht="15" customHeight="1" x14ac:dyDescent="0.2">
      <c r="C168" s="6" t="s">
        <v>149</v>
      </c>
      <c r="E168" s="79"/>
      <c r="F168" s="9"/>
    </row>
    <row r="169" spans="1:8" ht="15" customHeight="1" x14ac:dyDescent="0.2">
      <c r="B169" s="8"/>
      <c r="D169" s="80"/>
      <c r="E169" s="8"/>
      <c r="H169" s="8"/>
    </row>
    <row r="170" spans="1:8" ht="15" customHeight="1" x14ac:dyDescent="0.2">
      <c r="C170" s="8"/>
      <c r="D170" s="8"/>
      <c r="E170" s="8"/>
      <c r="F170" s="8"/>
      <c r="G170" s="8"/>
      <c r="H170" s="8"/>
    </row>
    <row r="171" spans="1:8" ht="15" customHeight="1" x14ac:dyDescent="0.2">
      <c r="C171" s="8"/>
      <c r="D171" s="79"/>
      <c r="G171" s="8"/>
      <c r="H171" s="8"/>
    </row>
    <row r="172" spans="1:8" ht="15" customHeight="1" x14ac:dyDescent="0.2">
      <c r="F172" s="10"/>
    </row>
    <row r="173" spans="1:8" ht="15" customHeight="1" x14ac:dyDescent="0.2">
      <c r="F173" s="10"/>
    </row>
    <row r="174" spans="1:8" ht="15" customHeight="1" x14ac:dyDescent="0.2">
      <c r="F174" s="10"/>
    </row>
    <row r="175" spans="1:8" ht="15" customHeight="1" x14ac:dyDescent="0.3">
      <c r="E175" s="81" t="s">
        <v>150</v>
      </c>
      <c r="F175" s="58">
        <f>E140</f>
        <v>0</v>
      </c>
      <c r="G175" s="6" t="s">
        <v>151</v>
      </c>
      <c r="H175"/>
    </row>
    <row r="176" spans="1:8" ht="15" customHeight="1" x14ac:dyDescent="0.2">
      <c r="F176" s="10"/>
    </row>
    <row r="177" spans="2:8" ht="15" customHeight="1" x14ac:dyDescent="0.3">
      <c r="C177" s="10" t="s">
        <v>152</v>
      </c>
      <c r="D177" s="82">
        <f>IF(F175&gt;0,ROUND((PI()/4)*(D112+2*(1+E144+C24))^2*C24,2),ROUND((PI()/4)*(D112+2*(F160+C24))^2*C24,2))</f>
        <v>336.9</v>
      </c>
      <c r="E177" s="21" t="s">
        <v>102</v>
      </c>
      <c r="F177" s="59"/>
      <c r="G177" s="60"/>
      <c r="H177" s="61"/>
    </row>
    <row r="178" spans="2:8" ht="15" customHeight="1" x14ac:dyDescent="0.2">
      <c r="F178" s="10"/>
    </row>
    <row r="179" spans="2:8" ht="15" customHeight="1" x14ac:dyDescent="0.5">
      <c r="B179" s="55" t="s">
        <v>153</v>
      </c>
      <c r="F179" s="10"/>
    </row>
    <row r="180" spans="2:8" ht="15" customHeight="1" x14ac:dyDescent="0.2">
      <c r="C180" s="11" t="s">
        <v>154</v>
      </c>
      <c r="E180" s="79"/>
      <c r="F180" s="9"/>
    </row>
    <row r="181" spans="2:8" ht="15" customHeight="1" x14ac:dyDescent="0.2">
      <c r="B181" s="8"/>
      <c r="D181" s="80"/>
      <c r="E181" s="8"/>
    </row>
    <row r="182" spans="2:8" ht="15" customHeight="1" x14ac:dyDescent="0.2">
      <c r="C182" s="8"/>
      <c r="D182" s="8"/>
      <c r="E182" s="8"/>
      <c r="F182" s="8"/>
      <c r="G182" s="8"/>
    </row>
    <row r="183" spans="2:8" ht="15" customHeight="1" x14ac:dyDescent="0.2">
      <c r="C183" s="8"/>
      <c r="D183" s="79"/>
      <c r="G183" s="8"/>
    </row>
    <row r="184" spans="2:8" ht="15" customHeight="1" x14ac:dyDescent="0.2">
      <c r="F184" s="10"/>
    </row>
    <row r="185" spans="2:8" ht="15" customHeight="1" x14ac:dyDescent="0.2">
      <c r="F185" s="10"/>
    </row>
    <row r="186" spans="2:8" ht="15" customHeight="1" x14ac:dyDescent="0.2">
      <c r="F186" s="10"/>
    </row>
    <row r="187" spans="2:8" ht="15" customHeight="1" x14ac:dyDescent="0.3">
      <c r="E187" s="81" t="s">
        <v>150</v>
      </c>
      <c r="F187" s="58">
        <f>E140</f>
        <v>0</v>
      </c>
      <c r="G187" s="6" t="s">
        <v>151</v>
      </c>
      <c r="H187"/>
    </row>
    <row r="188" spans="2:8" ht="15" customHeight="1" x14ac:dyDescent="0.2">
      <c r="F188" s="10"/>
    </row>
    <row r="189" spans="2:8" ht="15" customHeight="1" x14ac:dyDescent="0.3">
      <c r="C189" s="81" t="s">
        <v>155</v>
      </c>
      <c r="D189" s="82">
        <f>IF(F187&gt;0,ROUND((PI()/4)*(D112+2*F160)^2*(E134-E140)+PI()*(D112+F160+E144+1)*(E144+1-F160)*1.5,2),ROUND((PI()/4)*(D112+2*F160)^2*(E155+E134),2))</f>
        <v>28493.79</v>
      </c>
      <c r="E189" s="21" t="s">
        <v>102</v>
      </c>
      <c r="F189" s="59"/>
      <c r="G189" s="60"/>
      <c r="H189" s="61"/>
    </row>
    <row r="190" spans="2:8" ht="15" customHeight="1" x14ac:dyDescent="0.2">
      <c r="F190" s="10"/>
    </row>
    <row r="191" spans="2:8" ht="15" customHeight="1" x14ac:dyDescent="0.2">
      <c r="C191" s="6" t="s">
        <v>156</v>
      </c>
      <c r="F191" s="10"/>
    </row>
    <row r="192" spans="2:8" ht="15" customHeight="1" x14ac:dyDescent="0.2">
      <c r="F192" s="10"/>
    </row>
    <row r="193" spans="2:10" ht="19.5" customHeight="1" x14ac:dyDescent="0.35">
      <c r="C193" s="83" t="s">
        <v>157</v>
      </c>
      <c r="F193" s="48">
        <f>474.08*F195^(-0.3987)</f>
        <v>36.320112589760747</v>
      </c>
      <c r="G193" s="84" t="s">
        <v>158</v>
      </c>
      <c r="H193" s="6" t="str">
        <f>IF(OR(F195&lt;=4,F195&gt;=300),"Área de escavação fora da validade do gráfico B33.","")</f>
        <v>Área de escavação fora da validade do gráfico B33.</v>
      </c>
    </row>
    <row r="194" spans="2:10" ht="15" customHeight="1" x14ac:dyDescent="0.2">
      <c r="F194" s="58"/>
    </row>
    <row r="195" spans="2:10" ht="15" customHeight="1" x14ac:dyDescent="0.2">
      <c r="C195" s="10" t="s">
        <v>128</v>
      </c>
      <c r="F195" s="58">
        <f>PI()/4*($D$112+2*$F$160)^2</f>
        <v>628.57307826271563</v>
      </c>
      <c r="G195" s="6" t="s">
        <v>159</v>
      </c>
    </row>
    <row r="196" spans="2:10" ht="15" customHeight="1" x14ac:dyDescent="0.2">
      <c r="F196" s="10"/>
    </row>
    <row r="197" spans="2:10" ht="15" customHeight="1" x14ac:dyDescent="0.5">
      <c r="B197" s="85" t="s">
        <v>160</v>
      </c>
    </row>
    <row r="198" spans="2:10" ht="15" customHeight="1" x14ac:dyDescent="0.2">
      <c r="C198" s="9" t="s">
        <v>161</v>
      </c>
      <c r="E198" s="79"/>
      <c r="F198" s="9"/>
    </row>
    <row r="199" spans="2:10" ht="15" customHeight="1" x14ac:dyDescent="0.2">
      <c r="D199" s="80"/>
      <c r="E199" s="8"/>
    </row>
    <row r="200" spans="2:10" ht="15" customHeight="1" x14ac:dyDescent="0.2">
      <c r="C200" s="8"/>
      <c r="D200" s="8"/>
      <c r="E200" s="8"/>
      <c r="F200" s="8"/>
      <c r="G200" s="8"/>
    </row>
    <row r="201" spans="2:10" ht="15" customHeight="1" x14ac:dyDescent="0.2">
      <c r="C201" s="8"/>
      <c r="D201" s="79"/>
      <c r="G201" s="8"/>
    </row>
    <row r="202" spans="2:10" ht="15" customHeight="1" x14ac:dyDescent="0.2">
      <c r="F202" s="10"/>
    </row>
    <row r="203" spans="2:10" ht="15" customHeight="1" x14ac:dyDescent="0.2">
      <c r="F203" s="10"/>
    </row>
    <row r="204" spans="2:10" ht="15" customHeight="1" x14ac:dyDescent="0.2">
      <c r="F204" s="10"/>
    </row>
    <row r="205" spans="2:10" ht="15" customHeight="1" x14ac:dyDescent="0.3">
      <c r="E205" s="81" t="s">
        <v>150</v>
      </c>
      <c r="F205" s="58">
        <f>E140</f>
        <v>0</v>
      </c>
      <c r="G205" s="6" t="s">
        <v>151</v>
      </c>
      <c r="H205"/>
      <c r="I205"/>
      <c r="J205"/>
    </row>
    <row r="206" spans="2:10" ht="15" customHeight="1" x14ac:dyDescent="0.25">
      <c r="E206" s="81"/>
      <c r="F206" s="58"/>
      <c r="H206"/>
      <c r="I206"/>
      <c r="J206"/>
    </row>
    <row r="207" spans="2:10" ht="15" customHeight="1" x14ac:dyDescent="0.3">
      <c r="C207" s="10" t="s">
        <v>162</v>
      </c>
      <c r="D207" s="82">
        <f>IF(F205&gt;0,ROUND(PI()*(D112+2*F160)*(E134-E140)+PI()*(D112+F160+E144+1)*(E144+1-F160),1),ROUND(PI()*(D112+2*F160)*E134,1))</f>
        <v>2120.3000000000002</v>
      </c>
      <c r="E207" s="21" t="s">
        <v>112</v>
      </c>
      <c r="F207" s="59"/>
      <c r="G207" s="60"/>
      <c r="H207" s="61"/>
      <c r="I207" s="82"/>
      <c r="J207" s="21"/>
    </row>
    <row r="208" spans="2:10" ht="15" customHeight="1" x14ac:dyDescent="0.2">
      <c r="E208" s="81"/>
      <c r="F208" s="58"/>
      <c r="H208" s="10"/>
      <c r="I208" s="82"/>
      <c r="J208" s="21"/>
    </row>
    <row r="209" spans="1:11" ht="15" customHeight="1" x14ac:dyDescent="0.2">
      <c r="C209" s="9" t="s">
        <v>163</v>
      </c>
      <c r="E209" s="79"/>
      <c r="F209" s="9"/>
    </row>
    <row r="210" spans="1:11" ht="15" customHeight="1" x14ac:dyDescent="0.2">
      <c r="D210" s="80"/>
      <c r="E210" s="8"/>
    </row>
    <row r="211" spans="1:11" ht="15" customHeight="1" x14ac:dyDescent="0.2">
      <c r="C211" s="8"/>
      <c r="D211" s="8"/>
      <c r="E211" s="8"/>
      <c r="F211" s="8"/>
      <c r="G211" s="8"/>
    </row>
    <row r="212" spans="1:11" ht="15" customHeight="1" x14ac:dyDescent="0.2">
      <c r="C212" s="8"/>
      <c r="D212" s="79"/>
      <c r="G212" s="8"/>
    </row>
    <row r="213" spans="1:11" ht="15" customHeight="1" x14ac:dyDescent="0.2">
      <c r="F213" s="10"/>
    </row>
    <row r="214" spans="1:11" ht="15" customHeight="1" x14ac:dyDescent="0.2">
      <c r="F214" s="10"/>
    </row>
    <row r="215" spans="1:11" ht="15" customHeight="1" x14ac:dyDescent="0.2">
      <c r="F215" s="10"/>
    </row>
    <row r="216" spans="1:11" ht="15" customHeight="1" x14ac:dyDescent="0.3">
      <c r="E216" s="81" t="s">
        <v>150</v>
      </c>
      <c r="F216" s="58">
        <f>E140</f>
        <v>0</v>
      </c>
      <c r="G216" s="6" t="s">
        <v>151</v>
      </c>
      <c r="H216"/>
      <c r="I216"/>
      <c r="J216"/>
    </row>
    <row r="217" spans="1:11" ht="15" customHeight="1" x14ac:dyDescent="0.2">
      <c r="E217" s="81"/>
      <c r="F217" s="58"/>
      <c r="H217" s="10"/>
      <c r="I217" s="82"/>
      <c r="J217" s="21"/>
    </row>
    <row r="218" spans="1:11" ht="15" customHeight="1" x14ac:dyDescent="0.3">
      <c r="C218" s="10" t="s">
        <v>111</v>
      </c>
      <c r="D218" s="82">
        <f>IF(F216&gt;0,ROUND(2*PI()*(D112+2*F160)*(E134-E140),0),ROUND(2*PI()*(D112+2*F160)*E134,0))</f>
        <v>4241</v>
      </c>
      <c r="E218" s="21" t="s">
        <v>1</v>
      </c>
      <c r="F218" s="59"/>
      <c r="G218" s="60"/>
      <c r="H218" s="61"/>
      <c r="I218" s="82"/>
      <c r="J218" s="21"/>
    </row>
    <row r="219" spans="1:11" ht="14.25" customHeight="1" x14ac:dyDescent="0.2">
      <c r="F219" s="10"/>
    </row>
    <row r="220" spans="1:11" ht="14.25" customHeight="1" x14ac:dyDescent="0.2">
      <c r="F220" s="10"/>
    </row>
    <row r="221" spans="1:11" ht="15" customHeight="1" x14ac:dyDescent="0.2">
      <c r="C221" s="6" t="s">
        <v>164</v>
      </c>
      <c r="F221" s="10"/>
    </row>
    <row r="222" spans="1:11" s="88" customFormat="1" ht="15" customHeight="1" x14ac:dyDescent="0.2">
      <c r="A222" s="13"/>
      <c r="B222" s="13"/>
      <c r="C222" s="86"/>
      <c r="D222" s="13"/>
      <c r="E222" s="13"/>
      <c r="F222" s="87"/>
      <c r="G222" s="65"/>
      <c r="H222" s="65"/>
      <c r="I222" s="13"/>
      <c r="J222" s="13"/>
      <c r="K222" s="13"/>
    </row>
    <row r="223" spans="1:11" s="88" customFormat="1" ht="15" customHeight="1" x14ac:dyDescent="0.3">
      <c r="A223" s="13"/>
      <c r="B223" s="13"/>
      <c r="C223" s="89" t="s">
        <v>165</v>
      </c>
      <c r="D223" s="90">
        <v>39.700000000000003</v>
      </c>
      <c r="E223" s="15" t="s">
        <v>166</v>
      </c>
      <c r="F223" s="15" t="s">
        <v>167</v>
      </c>
      <c r="G223" s="65"/>
      <c r="H223" s="65"/>
      <c r="I223" s="13"/>
      <c r="J223" s="13"/>
      <c r="K223" s="13"/>
    </row>
    <row r="224" spans="1:11" s="88" customFormat="1" ht="15" customHeight="1" x14ac:dyDescent="0.3">
      <c r="A224" s="13"/>
      <c r="B224" s="13"/>
      <c r="C224" s="87" t="s">
        <v>168</v>
      </c>
      <c r="D224" s="90">
        <v>168</v>
      </c>
      <c r="E224" s="15" t="s">
        <v>169</v>
      </c>
      <c r="F224" s="15" t="s">
        <v>170</v>
      </c>
      <c r="G224" s="65"/>
      <c r="H224" s="65"/>
      <c r="I224" s="13"/>
      <c r="J224" s="13"/>
      <c r="K224" s="13"/>
    </row>
    <row r="225" spans="1:11" s="88" customFormat="1" ht="15" customHeight="1" x14ac:dyDescent="0.3">
      <c r="A225" s="13"/>
      <c r="B225" s="13"/>
      <c r="C225" s="87" t="s">
        <v>171</v>
      </c>
      <c r="D225" s="90">
        <v>72</v>
      </c>
      <c r="E225" s="15" t="s">
        <v>169</v>
      </c>
      <c r="F225" s="15" t="s">
        <v>172</v>
      </c>
      <c r="G225" s="65"/>
      <c r="H225" s="65"/>
      <c r="I225" s="13"/>
      <c r="J225" s="13"/>
      <c r="K225" s="13"/>
    </row>
    <row r="226" spans="1:11" s="88" customFormat="1" ht="15" customHeight="1" x14ac:dyDescent="0.2">
      <c r="A226" s="13"/>
      <c r="B226" s="13"/>
      <c r="I226" s="13"/>
      <c r="J226" s="13"/>
      <c r="K226" s="13"/>
    </row>
    <row r="227" spans="1:11" s="88" customFormat="1" ht="15" customHeight="1" x14ac:dyDescent="0.25">
      <c r="A227" s="13"/>
      <c r="B227" s="13"/>
      <c r="F227" s="91">
        <f>D223*D207+D224*D218+D225*D218</f>
        <v>1102015.9100000001</v>
      </c>
      <c r="G227" s="92" t="s">
        <v>173</v>
      </c>
      <c r="H227"/>
      <c r="I227" s="13"/>
      <c r="J227" s="13"/>
      <c r="K227" s="13"/>
    </row>
    <row r="228" spans="1:11" s="88" customFormat="1" ht="15" customHeight="1" x14ac:dyDescent="0.2">
      <c r="A228" s="13"/>
      <c r="B228" s="13"/>
      <c r="I228" s="13"/>
      <c r="J228" s="13"/>
      <c r="K228" s="13"/>
    </row>
    <row r="229" spans="1:11" ht="15" customHeight="1" x14ac:dyDescent="0.2">
      <c r="B229" s="11" t="s">
        <v>174</v>
      </c>
    </row>
    <row r="230" spans="1:11" ht="15" customHeight="1" x14ac:dyDescent="0.2">
      <c r="B230" s="11"/>
    </row>
    <row r="231" spans="1:11" ht="15" customHeight="1" x14ac:dyDescent="0.2">
      <c r="B231" s="9" t="s">
        <v>175</v>
      </c>
    </row>
    <row r="232" spans="1:11" ht="15" customHeight="1" x14ac:dyDescent="0.2">
      <c r="B232" s="11"/>
    </row>
    <row r="233" spans="1:11" ht="15" customHeight="1" x14ac:dyDescent="0.2">
      <c r="D233" s="80"/>
      <c r="E233" s="8"/>
    </row>
    <row r="234" spans="1:11" ht="15" customHeight="1" x14ac:dyDescent="0.2">
      <c r="C234" s="8"/>
      <c r="D234" s="8"/>
      <c r="E234" s="8"/>
      <c r="F234" s="8"/>
      <c r="G234" s="8"/>
    </row>
    <row r="235" spans="1:11" ht="15" customHeight="1" x14ac:dyDescent="0.2">
      <c r="C235" s="8"/>
      <c r="D235" s="79"/>
      <c r="G235" s="8"/>
    </row>
    <row r="236" spans="1:11" ht="15" customHeight="1" x14ac:dyDescent="0.2">
      <c r="C236" s="8"/>
      <c r="D236" s="79" t="s">
        <v>140</v>
      </c>
      <c r="G236" s="8"/>
    </row>
    <row r="237" spans="1:11" ht="15" customHeight="1" x14ac:dyDescent="0.2">
      <c r="C237" s="8"/>
      <c r="D237" s="79"/>
      <c r="G237" s="13">
        <f>PI()/4*(D112+2*F160)^2</f>
        <v>628.57307826271563</v>
      </c>
      <c r="H237" s="6" t="s">
        <v>112</v>
      </c>
    </row>
    <row r="238" spans="1:11" ht="15" customHeight="1" x14ac:dyDescent="0.2">
      <c r="C238" s="8"/>
      <c r="D238" s="79"/>
      <c r="G238" s="13"/>
    </row>
    <row r="239" spans="1:11" ht="15" customHeight="1" x14ac:dyDescent="0.2">
      <c r="C239" s="8"/>
      <c r="D239" s="79"/>
      <c r="G239" s="13">
        <f>PI()/4*(D112+2)^2</f>
        <v>532.97315717691697</v>
      </c>
      <c r="H239" s="6" t="s">
        <v>112</v>
      </c>
    </row>
    <row r="240" spans="1:11" ht="15" customHeight="1" x14ac:dyDescent="0.2">
      <c r="C240" s="8"/>
      <c r="D240" s="79"/>
      <c r="G240" s="13"/>
    </row>
    <row r="241" spans="2:8" ht="15" customHeight="1" x14ac:dyDescent="0.2">
      <c r="C241" s="8"/>
      <c r="D241" s="79"/>
      <c r="G241" s="13">
        <f>(PI()/4)*(D112+2+2*E144)^2</f>
        <v>532.97315717691697</v>
      </c>
      <c r="H241" s="6" t="s">
        <v>112</v>
      </c>
    </row>
    <row r="242" spans="2:8" ht="15" customHeight="1" x14ac:dyDescent="0.2">
      <c r="C242" s="8"/>
      <c r="D242" s="79"/>
      <c r="G242" s="8"/>
    </row>
    <row r="243" spans="2:8" ht="15" customHeight="1" x14ac:dyDescent="0.2">
      <c r="C243" s="8"/>
      <c r="D243" s="79"/>
      <c r="G243" s="8"/>
    </row>
    <row r="244" spans="2:8" ht="15" customHeight="1" x14ac:dyDescent="0.2">
      <c r="C244" s="8"/>
      <c r="D244" s="79"/>
      <c r="G244" s="8"/>
    </row>
    <row r="245" spans="2:8" ht="15" customHeight="1" x14ac:dyDescent="0.2">
      <c r="C245" s="8"/>
      <c r="D245" s="79"/>
      <c r="G245" s="8"/>
    </row>
    <row r="246" spans="2:8" ht="15" customHeight="1" x14ac:dyDescent="0.2">
      <c r="B246" s="9" t="s">
        <v>176</v>
      </c>
      <c r="C246" s="8"/>
      <c r="D246" s="79"/>
      <c r="G246" s="8"/>
    </row>
    <row r="247" spans="2:8" ht="15" customHeight="1" x14ac:dyDescent="0.2">
      <c r="C247" s="8"/>
      <c r="D247" s="79"/>
      <c r="G247" s="8"/>
    </row>
    <row r="248" spans="2:8" ht="15" customHeight="1" x14ac:dyDescent="0.2">
      <c r="C248" s="8"/>
      <c r="D248" s="79"/>
      <c r="G248" s="8"/>
    </row>
    <row r="249" spans="2:8" ht="15" customHeight="1" x14ac:dyDescent="0.2">
      <c r="C249" s="8"/>
      <c r="D249" s="79"/>
      <c r="G249" s="8"/>
    </row>
    <row r="250" spans="2:8" ht="15" customHeight="1" x14ac:dyDescent="0.2">
      <c r="C250" s="8"/>
      <c r="D250" s="79"/>
      <c r="G250" s="8"/>
    </row>
    <row r="251" spans="2:8" ht="15" customHeight="1" x14ac:dyDescent="0.2">
      <c r="C251" s="8"/>
      <c r="D251" s="79"/>
      <c r="G251" s="8"/>
    </row>
    <row r="252" spans="2:8" ht="15" customHeight="1" x14ac:dyDescent="0.2">
      <c r="C252" s="8"/>
      <c r="D252" s="79"/>
      <c r="G252" s="8"/>
    </row>
    <row r="253" spans="2:8" ht="15" customHeight="1" x14ac:dyDescent="0.2">
      <c r="C253" s="8"/>
      <c r="D253" s="79"/>
      <c r="G253" s="8"/>
    </row>
    <row r="254" spans="2:8" ht="15" customHeight="1" x14ac:dyDescent="0.3">
      <c r="C254" s="11"/>
      <c r="E254" s="81" t="s">
        <v>150</v>
      </c>
      <c r="F254" s="58">
        <f>E140</f>
        <v>0</v>
      </c>
      <c r="G254" s="6" t="s">
        <v>151</v>
      </c>
    </row>
    <row r="255" spans="2:8" ht="15" customHeight="1" x14ac:dyDescent="0.25">
      <c r="E255"/>
      <c r="G255"/>
      <c r="H255"/>
    </row>
    <row r="256" spans="2:8" ht="15" customHeight="1" x14ac:dyDescent="0.3">
      <c r="C256" s="81" t="s">
        <v>177</v>
      </c>
      <c r="D256" s="82">
        <f>IF(F254&gt;0,ROUND(((G239+G241)/2-F101)*E140+(G237-F101)*E134+(G241-G237)*1.5,2),ROUND(PI()*(D112+F160)*F160*E134,2))</f>
        <v>4158.24</v>
      </c>
      <c r="E256" s="93" t="s">
        <v>102</v>
      </c>
      <c r="F256" s="10"/>
      <c r="G256" s="94"/>
    </row>
    <row r="257" spans="2:10" ht="15" customHeight="1" x14ac:dyDescent="0.3">
      <c r="C257" s="81" t="s">
        <v>178</v>
      </c>
      <c r="D257" s="21">
        <f>IF(F254&gt;0,0,ROUND(PI()*(D112+F160)*F160*E155,2))</f>
        <v>3742.79</v>
      </c>
      <c r="E257" s="21" t="s">
        <v>102</v>
      </c>
      <c r="F257" s="10"/>
      <c r="G257" s="94"/>
    </row>
    <row r="258" spans="2:10" ht="15" customHeight="1" x14ac:dyDescent="0.2">
      <c r="C258" s="81"/>
      <c r="D258" s="21"/>
      <c r="E258" s="21"/>
      <c r="F258" s="10"/>
    </row>
    <row r="259" spans="2:10" ht="15" customHeight="1" x14ac:dyDescent="0.2">
      <c r="B259" s="6" t="s">
        <v>179</v>
      </c>
      <c r="C259" s="81"/>
      <c r="D259" s="21"/>
      <c r="E259" s="95"/>
      <c r="F259" s="96"/>
    </row>
    <row r="260" spans="2:10" ht="15" customHeight="1" x14ac:dyDescent="0.2">
      <c r="C260" s="81"/>
      <c r="D260" s="21"/>
      <c r="E260" s="53" t="s">
        <v>180</v>
      </c>
      <c r="F260" s="53" t="s">
        <v>181</v>
      </c>
    </row>
    <row r="261" spans="2:10" ht="15" customHeight="1" x14ac:dyDescent="0.2">
      <c r="C261" s="97"/>
      <c r="D261" s="95"/>
      <c r="E261" s="98" t="s">
        <v>182</v>
      </c>
      <c r="F261" s="98" t="s">
        <v>182</v>
      </c>
    </row>
    <row r="262" spans="2:10" ht="15" customHeight="1" x14ac:dyDescent="0.25">
      <c r="C262" s="6" t="s">
        <v>183</v>
      </c>
      <c r="D262"/>
      <c r="E262" s="99">
        <v>250</v>
      </c>
      <c r="F262" s="99">
        <v>50</v>
      </c>
    </row>
    <row r="263" spans="2:10" ht="15" customHeight="1" x14ac:dyDescent="0.25">
      <c r="C263" s="100" t="s">
        <v>184</v>
      </c>
      <c r="D263" s="101"/>
      <c r="E263" s="102">
        <v>300</v>
      </c>
      <c r="F263" s="102">
        <v>70</v>
      </c>
    </row>
    <row r="264" spans="2:10" ht="15" customHeight="1" x14ac:dyDescent="0.2">
      <c r="C264" s="81"/>
      <c r="E264" s="53"/>
      <c r="F264" s="53"/>
    </row>
    <row r="265" spans="2:10" ht="15" customHeight="1" x14ac:dyDescent="0.2">
      <c r="B265" s="9" t="s">
        <v>185</v>
      </c>
      <c r="C265" s="81"/>
      <c r="D265" s="21"/>
      <c r="E265" s="95"/>
      <c r="F265" s="96"/>
      <c r="G265" s="100"/>
    </row>
    <row r="266" spans="2:10" ht="15" customHeight="1" x14ac:dyDescent="0.2">
      <c r="B266" s="10"/>
      <c r="C266" s="81"/>
      <c r="D266" s="21"/>
      <c r="E266" s="53" t="s">
        <v>180</v>
      </c>
      <c r="F266" s="53" t="s">
        <v>181</v>
      </c>
      <c r="G266" s="103" t="s">
        <v>186</v>
      </c>
      <c r="H266" s="104"/>
      <c r="I266" s="104"/>
    </row>
    <row r="267" spans="2:10" ht="15" customHeight="1" x14ac:dyDescent="0.25">
      <c r="B267" s="10"/>
      <c r="C267" s="81"/>
      <c r="D267" s="21"/>
      <c r="E267" s="53"/>
      <c r="F267" s="53"/>
      <c r="G267" s="105" t="s">
        <v>187</v>
      </c>
      <c r="H267" s="106" t="s">
        <v>188</v>
      </c>
      <c r="I267" s="106" t="s">
        <v>189</v>
      </c>
    </row>
    <row r="268" spans="2:10" ht="15" customHeight="1" x14ac:dyDescent="0.2">
      <c r="B268" s="10"/>
      <c r="C268" s="97"/>
      <c r="D268" s="95"/>
      <c r="E268" s="98" t="s">
        <v>190</v>
      </c>
      <c r="F268" s="98" t="s">
        <v>190</v>
      </c>
      <c r="G268" s="107" t="s">
        <v>191</v>
      </c>
      <c r="H268" s="107" t="s">
        <v>192</v>
      </c>
      <c r="I268" s="107" t="s">
        <v>193</v>
      </c>
    </row>
    <row r="269" spans="2:10" ht="15" customHeight="1" x14ac:dyDescent="0.25">
      <c r="B269" s="10"/>
      <c r="C269" s="6" t="s">
        <v>183</v>
      </c>
      <c r="D269"/>
      <c r="E269" s="108">
        <f>(D256)*E262/1000</f>
        <v>1039.56</v>
      </c>
      <c r="F269" s="108">
        <f>D256*F262/1000</f>
        <v>207.91200000000001</v>
      </c>
      <c r="G269" s="108">
        <f>$D$256</f>
        <v>4158.24</v>
      </c>
      <c r="H269" s="109">
        <v>214</v>
      </c>
      <c r="I269" s="108">
        <f>G269*H269</f>
        <v>889863.36</v>
      </c>
    </row>
    <row r="270" spans="2:10" ht="15" customHeight="1" x14ac:dyDescent="0.25">
      <c r="B270" s="10"/>
      <c r="C270" s="100" t="s">
        <v>184</v>
      </c>
      <c r="D270"/>
      <c r="E270" s="110">
        <f>(D257)*E263/1000</f>
        <v>1122.837</v>
      </c>
      <c r="F270" s="110">
        <f>D257*F263/1000</f>
        <v>261.99529999999999</v>
      </c>
      <c r="G270" s="110">
        <f>$D$257</f>
        <v>3742.79</v>
      </c>
      <c r="H270" s="109">
        <v>378</v>
      </c>
      <c r="I270" s="108">
        <f>G270*H270</f>
        <v>1414774.6199999999</v>
      </c>
    </row>
    <row r="271" spans="2:10" ht="15" customHeight="1" x14ac:dyDescent="0.25">
      <c r="B271" s="10"/>
      <c r="C271" s="111" t="s">
        <v>194</v>
      </c>
      <c r="D271" s="112"/>
      <c r="E271" s="113">
        <f>SUM(E269:E270)</f>
        <v>2162.3969999999999</v>
      </c>
      <c r="F271" s="113">
        <f>SUM(F269:F270)</f>
        <v>469.90729999999996</v>
      </c>
      <c r="G271" s="113">
        <f>SUM(G269:G270)</f>
        <v>7901.03</v>
      </c>
      <c r="H271" s="114" t="s">
        <v>195</v>
      </c>
      <c r="I271" s="115">
        <f>SUM(I269:I270)</f>
        <v>2304637.98</v>
      </c>
      <c r="J271"/>
    </row>
    <row r="272" spans="2:10" ht="15" customHeight="1" x14ac:dyDescent="0.25">
      <c r="B272" s="10"/>
      <c r="C272" s="81"/>
      <c r="D272" s="49"/>
      <c r="E272"/>
      <c r="F272"/>
      <c r="G272"/>
      <c r="H272" s="49"/>
      <c r="I272" s="49"/>
      <c r="J272" s="49"/>
    </row>
    <row r="273" spans="1:11" ht="15" customHeight="1" x14ac:dyDescent="0.25">
      <c r="B273"/>
      <c r="C273" s="116" t="s">
        <v>196</v>
      </c>
      <c r="D273" s="22">
        <f>I271/G271</f>
        <v>291.68829633604736</v>
      </c>
      <c r="E273" s="49" t="s">
        <v>158</v>
      </c>
      <c r="F273" s="49" t="s">
        <v>197</v>
      </c>
      <c r="G273"/>
      <c r="H273"/>
      <c r="I273"/>
      <c r="J273" s="49"/>
    </row>
    <row r="274" spans="1:11" ht="15" customHeight="1" x14ac:dyDescent="0.2">
      <c r="B274" s="10"/>
      <c r="C274" s="81"/>
      <c r="D274" s="21"/>
      <c r="E274" s="21"/>
      <c r="F274" s="10"/>
    </row>
    <row r="275" spans="1:11" ht="15" customHeight="1" x14ac:dyDescent="0.2">
      <c r="B275" s="10"/>
      <c r="C275" s="81"/>
      <c r="D275" s="21"/>
      <c r="E275" s="21"/>
      <c r="F275" s="10"/>
    </row>
    <row r="276" spans="1:11" ht="15" customHeight="1" x14ac:dyDescent="0.2">
      <c r="A276" s="48" t="s">
        <v>198</v>
      </c>
      <c r="B276" s="8"/>
      <c r="C276" s="8"/>
      <c r="D276" s="117"/>
      <c r="E276" s="8"/>
      <c r="F276" s="8"/>
      <c r="J276" s="118"/>
      <c r="K276" s="119"/>
    </row>
    <row r="277" spans="1:11" ht="15" customHeight="1" thickBot="1" x14ac:dyDescent="0.25">
      <c r="B277" s="8"/>
      <c r="C277" s="8"/>
      <c r="D277" s="8"/>
      <c r="E277" s="8"/>
      <c r="F277" s="8"/>
      <c r="G277" s="8"/>
      <c r="J277" s="10" t="s">
        <v>199</v>
      </c>
    </row>
    <row r="278" spans="1:11" ht="30.75" customHeight="1" x14ac:dyDescent="0.2">
      <c r="B278" s="120"/>
      <c r="C278" s="121"/>
      <c r="D278" s="121"/>
      <c r="E278" s="121"/>
      <c r="F278" s="121"/>
      <c r="G278" s="122"/>
      <c r="H278" s="120"/>
      <c r="I278" s="123" t="s">
        <v>200</v>
      </c>
      <c r="J278" s="124" t="s">
        <v>201</v>
      </c>
    </row>
    <row r="279" spans="1:11" ht="15" customHeight="1" x14ac:dyDescent="0.2">
      <c r="B279" s="125" t="s">
        <v>202</v>
      </c>
      <c r="C279" s="126" t="s">
        <v>203</v>
      </c>
      <c r="D279" s="126"/>
      <c r="E279" s="126"/>
      <c r="F279" s="126"/>
      <c r="G279" s="127" t="s">
        <v>204</v>
      </c>
      <c r="H279" s="128" t="s">
        <v>205</v>
      </c>
      <c r="I279" s="129" t="s">
        <v>173</v>
      </c>
      <c r="J279" s="130" t="s">
        <v>206</v>
      </c>
    </row>
    <row r="280" spans="1:11" ht="15" customHeight="1" thickBot="1" x14ac:dyDescent="0.25">
      <c r="B280" s="131"/>
      <c r="C280" s="132"/>
      <c r="D280" s="132"/>
      <c r="E280" s="132"/>
      <c r="F280" s="132"/>
      <c r="G280" s="133"/>
      <c r="H280" s="134"/>
      <c r="I280" s="135"/>
      <c r="J280" s="136"/>
    </row>
    <row r="281" spans="1:11" s="47" customFormat="1" ht="15" customHeight="1" x14ac:dyDescent="0.2">
      <c r="B281" s="137" t="s">
        <v>207</v>
      </c>
      <c r="C281" s="137" t="s">
        <v>208</v>
      </c>
      <c r="D281" s="137"/>
      <c r="E281" s="137"/>
      <c r="F281" s="137"/>
      <c r="G281" s="138"/>
      <c r="H281" s="137"/>
      <c r="I281" s="139"/>
      <c r="J281" s="140">
        <f>J282+J286+J287+J291+J293</f>
        <v>7229.9150340089991</v>
      </c>
    </row>
    <row r="282" spans="1:11" s="47" customFormat="1" ht="15" customHeight="1" x14ac:dyDescent="0.2">
      <c r="B282" s="137" t="s">
        <v>209</v>
      </c>
      <c r="C282" s="137" t="s">
        <v>210</v>
      </c>
      <c r="D282" s="137"/>
      <c r="E282" s="137"/>
      <c r="F282" s="137"/>
      <c r="G282" s="141" t="s">
        <v>211</v>
      </c>
      <c r="H282" s="140"/>
      <c r="I282" s="142"/>
      <c r="J282" s="140">
        <f>SUM(J283:J285)</f>
        <v>1037.4581009089989</v>
      </c>
    </row>
    <row r="283" spans="1:11" s="47" customFormat="1" ht="15" customHeight="1" x14ac:dyDescent="0.2">
      <c r="B283" s="137" t="s">
        <v>212</v>
      </c>
      <c r="C283" s="137" t="s">
        <v>213</v>
      </c>
      <c r="D283" s="137"/>
      <c r="E283" s="137"/>
      <c r="F283" s="137"/>
      <c r="G283" s="141" t="s">
        <v>102</v>
      </c>
      <c r="H283" s="140">
        <f>D177</f>
        <v>336.9</v>
      </c>
      <c r="I283" s="142">
        <v>7.6</v>
      </c>
      <c r="J283" s="140">
        <f>H283*I283/1000</f>
        <v>2.5604399999999994</v>
      </c>
      <c r="K283" s="61"/>
    </row>
    <row r="284" spans="1:11" s="47" customFormat="1" ht="15" customHeight="1" x14ac:dyDescent="0.2">
      <c r="B284" s="137" t="s">
        <v>214</v>
      </c>
      <c r="C284" s="137" t="s">
        <v>215</v>
      </c>
      <c r="D284" s="137"/>
      <c r="E284" s="137"/>
      <c r="F284" s="137"/>
      <c r="G284" s="141" t="s">
        <v>102</v>
      </c>
      <c r="H284" s="140"/>
      <c r="I284" s="142">
        <v>21</v>
      </c>
      <c r="J284" s="140">
        <f>H284*I284/1000</f>
        <v>0</v>
      </c>
    </row>
    <row r="285" spans="1:11" s="47" customFormat="1" ht="15" customHeight="1" x14ac:dyDescent="0.2">
      <c r="B285" s="137" t="s">
        <v>216</v>
      </c>
      <c r="C285" s="137" t="s">
        <v>217</v>
      </c>
      <c r="D285" s="137"/>
      <c r="E285" s="137"/>
      <c r="F285" s="137"/>
      <c r="G285" s="141" t="s">
        <v>102</v>
      </c>
      <c r="H285" s="140">
        <f>D189</f>
        <v>28493.79</v>
      </c>
      <c r="I285" s="142">
        <f>F193</f>
        <v>36.320112589760747</v>
      </c>
      <c r="J285" s="140">
        <f>H285*I285/1000</f>
        <v>1034.8976609089989</v>
      </c>
      <c r="K285" s="61"/>
    </row>
    <row r="286" spans="1:11" s="47" customFormat="1" ht="15" customHeight="1" x14ac:dyDescent="0.2">
      <c r="B286" s="137" t="s">
        <v>218</v>
      </c>
      <c r="C286" s="137" t="s">
        <v>219</v>
      </c>
      <c r="D286" s="137"/>
      <c r="E286" s="137"/>
      <c r="F286" s="137"/>
      <c r="G286" s="141" t="s">
        <v>211</v>
      </c>
      <c r="H286" s="140"/>
      <c r="I286" s="142"/>
      <c r="J286" s="140">
        <f>F227/1000</f>
        <v>1102.0159100000001</v>
      </c>
    </row>
    <row r="287" spans="1:11" s="47" customFormat="1" ht="15" customHeight="1" x14ac:dyDescent="0.2">
      <c r="B287" s="137" t="s">
        <v>220</v>
      </c>
      <c r="C287" s="137" t="s">
        <v>221</v>
      </c>
      <c r="D287" s="137"/>
      <c r="E287" s="137"/>
      <c r="F287" s="137"/>
      <c r="G287" s="141" t="s">
        <v>211</v>
      </c>
      <c r="H287" s="140"/>
      <c r="I287" s="142"/>
      <c r="J287" s="140">
        <f>SUM(J288:J290)</f>
        <v>5090.4410231000002</v>
      </c>
    </row>
    <row r="288" spans="1:11" s="47" customFormat="1" ht="15" customHeight="1" x14ac:dyDescent="0.2">
      <c r="B288" s="137" t="s">
        <v>222</v>
      </c>
      <c r="C288" s="137" t="s">
        <v>223</v>
      </c>
      <c r="D288" s="137"/>
      <c r="E288" s="137"/>
      <c r="F288" s="137"/>
      <c r="G288" s="141" t="s">
        <v>115</v>
      </c>
      <c r="H288" s="140">
        <f>E271</f>
        <v>2162.3969999999999</v>
      </c>
      <c r="I288" s="142">
        <v>348</v>
      </c>
      <c r="J288" s="143">
        <f>H288*I288/1000</f>
        <v>752.51415599999996</v>
      </c>
    </row>
    <row r="289" spans="1:11" s="47" customFormat="1" ht="15" customHeight="1" x14ac:dyDescent="0.2">
      <c r="B289" s="137" t="s">
        <v>224</v>
      </c>
      <c r="C289" s="137" t="s">
        <v>225</v>
      </c>
      <c r="D289" s="137"/>
      <c r="E289" s="137"/>
      <c r="F289" s="137"/>
      <c r="G289" s="141" t="s">
        <v>102</v>
      </c>
      <c r="H289" s="140">
        <f>G271</f>
        <v>7901.03</v>
      </c>
      <c r="I289" s="142">
        <f>D273</f>
        <v>291.68829633604736</v>
      </c>
      <c r="J289" s="140">
        <f>H289*I289/1000</f>
        <v>2304.63798</v>
      </c>
    </row>
    <row r="290" spans="1:11" s="47" customFormat="1" ht="15" customHeight="1" x14ac:dyDescent="0.2">
      <c r="B290" s="137" t="s">
        <v>226</v>
      </c>
      <c r="C290" s="137" t="s">
        <v>227</v>
      </c>
      <c r="D290" s="137"/>
      <c r="E290" s="137"/>
      <c r="F290" s="137"/>
      <c r="G290" s="141" t="s">
        <v>115</v>
      </c>
      <c r="H290" s="140">
        <f>F271</f>
        <v>469.90729999999996</v>
      </c>
      <c r="I290" s="142">
        <v>4327</v>
      </c>
      <c r="J290" s="143">
        <f>H290*I290/1000</f>
        <v>2033.2888871</v>
      </c>
    </row>
    <row r="291" spans="1:11" s="47" customFormat="1" ht="15" customHeight="1" x14ac:dyDescent="0.2">
      <c r="B291" s="137" t="s">
        <v>228</v>
      </c>
      <c r="C291" s="137" t="s">
        <v>229</v>
      </c>
      <c r="D291" s="137"/>
      <c r="E291" s="137"/>
      <c r="F291" s="137"/>
      <c r="G291" s="141" t="s">
        <v>211</v>
      </c>
      <c r="H291" s="140"/>
      <c r="I291" s="142"/>
      <c r="J291" s="143">
        <f>SUM(J292)</f>
        <v>0</v>
      </c>
    </row>
    <row r="292" spans="1:11" s="47" customFormat="1" ht="15" customHeight="1" x14ac:dyDescent="0.2">
      <c r="B292" s="137" t="s">
        <v>230</v>
      </c>
      <c r="C292" s="137" t="s">
        <v>231</v>
      </c>
      <c r="D292" s="137"/>
      <c r="E292" s="137"/>
      <c r="F292" s="137"/>
      <c r="G292" s="141" t="s">
        <v>115</v>
      </c>
      <c r="H292" s="140"/>
      <c r="I292" s="144">
        <v>4235</v>
      </c>
      <c r="J292" s="143">
        <f>H292*I292/1000</f>
        <v>0</v>
      </c>
    </row>
    <row r="293" spans="1:11" s="47" customFormat="1" ht="15" customHeight="1" x14ac:dyDescent="0.2">
      <c r="B293" s="137" t="s">
        <v>232</v>
      </c>
      <c r="C293" s="137" t="s">
        <v>233</v>
      </c>
      <c r="D293" s="137"/>
      <c r="E293" s="137"/>
      <c r="F293" s="137"/>
      <c r="G293" s="141" t="s">
        <v>211</v>
      </c>
      <c r="H293" s="145"/>
      <c r="I293" s="146"/>
      <c r="J293" s="143"/>
    </row>
    <row r="294" spans="1:11" s="47" customFormat="1" ht="15" customHeight="1" thickBot="1" x14ac:dyDescent="0.25">
      <c r="B294" s="147"/>
      <c r="C294" s="147"/>
      <c r="D294" s="147"/>
      <c r="E294" s="147"/>
      <c r="F294" s="147"/>
      <c r="G294" s="148"/>
      <c r="H294" s="147"/>
      <c r="I294" s="147"/>
      <c r="J294" s="147"/>
    </row>
    <row r="295" spans="1:11" x14ac:dyDescent="0.2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</row>
    <row r="297" spans="1:11" x14ac:dyDescent="0.2">
      <c r="A297" s="149" t="s">
        <v>234</v>
      </c>
      <c r="B297" s="150"/>
      <c r="C297" s="150"/>
      <c r="D297" s="150"/>
      <c r="E297" s="150"/>
      <c r="F297" s="150"/>
      <c r="G297" s="150"/>
      <c r="H297" s="88"/>
    </row>
    <row r="298" spans="1:11" ht="13.5" thickBot="1" x14ac:dyDescent="0.25">
      <c r="A298" s="149"/>
      <c r="B298" s="150"/>
      <c r="C298" s="150"/>
      <c r="D298" s="150"/>
      <c r="E298" s="150"/>
      <c r="F298" s="150"/>
      <c r="G298" s="150"/>
      <c r="H298" s="88"/>
    </row>
    <row r="299" spans="1:11" x14ac:dyDescent="0.2">
      <c r="B299" s="760" t="s">
        <v>235</v>
      </c>
      <c r="C299" s="743" t="s">
        <v>236</v>
      </c>
      <c r="D299" s="744"/>
      <c r="E299" s="744"/>
      <c r="F299" s="744"/>
      <c r="G299" s="744"/>
      <c r="H299" s="744"/>
      <c r="I299" s="744"/>
      <c r="J299" s="745"/>
    </row>
    <row r="300" spans="1:11" ht="13.5" thickBot="1" x14ac:dyDescent="0.25">
      <c r="B300" s="761"/>
      <c r="C300" s="746"/>
      <c r="D300" s="747"/>
      <c r="E300" s="747"/>
      <c r="F300" s="747"/>
      <c r="G300" s="747"/>
      <c r="H300" s="747"/>
      <c r="I300" s="747"/>
      <c r="J300" s="748"/>
    </row>
    <row r="301" spans="1:11" ht="15" customHeight="1" x14ac:dyDescent="0.2">
      <c r="B301" s="151">
        <f>IF(H193="","",191)</f>
        <v>191</v>
      </c>
      <c r="C301" s="152" t="str">
        <f>H193</f>
        <v>Área de escavação fora da validade do gráfico B33.</v>
      </c>
      <c r="D301" s="153"/>
      <c r="E301" s="153"/>
      <c r="F301" s="153"/>
      <c r="G301" s="153"/>
      <c r="H301" s="153"/>
      <c r="I301" s="152"/>
      <c r="J301" s="154"/>
    </row>
    <row r="302" spans="1:11" ht="15" customHeight="1" thickBot="1" x14ac:dyDescent="0.25">
      <c r="B302" s="155"/>
      <c r="C302" s="156"/>
      <c r="D302" s="157"/>
      <c r="E302" s="157"/>
      <c r="F302" s="157"/>
      <c r="G302" s="157"/>
      <c r="H302" s="157"/>
      <c r="I302" s="158"/>
      <c r="J302" s="157"/>
    </row>
    <row r="303" spans="1:11" x14ac:dyDescent="0.2">
      <c r="B303" s="88"/>
      <c r="C303" s="88"/>
      <c r="D303" s="88"/>
      <c r="E303" s="88"/>
      <c r="F303" s="88"/>
      <c r="G303" s="88"/>
      <c r="H303" s="88"/>
      <c r="I303" s="88"/>
    </row>
  </sheetData>
  <mergeCells count="5">
    <mergeCell ref="E1:H2"/>
    <mergeCell ref="A3:D3"/>
    <mergeCell ref="J3:K3"/>
    <mergeCell ref="B299:B300"/>
    <mergeCell ref="C299:J30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9217" r:id="rId4">
          <objectPr defaultSize="0" autoLine="0" autoPict="0" r:id="rId5">
            <anchor moveWithCells="1">
              <from>
                <xdr:col>1</xdr:col>
                <xdr:colOff>447675</xdr:colOff>
                <xdr:row>99</xdr:row>
                <xdr:rowOff>123825</xdr:rowOff>
              </from>
              <to>
                <xdr:col>4</xdr:col>
                <xdr:colOff>828675</xdr:colOff>
                <xdr:row>101</xdr:row>
                <xdr:rowOff>152400</xdr:rowOff>
              </to>
            </anchor>
          </objectPr>
        </oleObject>
      </mc:Choice>
      <mc:Fallback>
        <oleObject progId="Equation.2" shapeId="9217" r:id="rId4"/>
      </mc:Fallback>
    </mc:AlternateContent>
    <mc:AlternateContent xmlns:mc="http://schemas.openxmlformats.org/markup-compatibility/2006">
      <mc:Choice Requires="x14">
        <oleObject progId="Equation.2" shapeId="9218" r:id="rId6">
          <objectPr defaultSize="0" autoLine="0" autoPict="0" r:id="rId7">
            <anchor moveWithCells="1">
              <from>
                <xdr:col>2</xdr:col>
                <xdr:colOff>0</xdr:colOff>
                <xdr:row>107</xdr:row>
                <xdr:rowOff>0</xdr:rowOff>
              </from>
              <to>
                <xdr:col>3</xdr:col>
                <xdr:colOff>304800</xdr:colOff>
                <xdr:row>108</xdr:row>
                <xdr:rowOff>0</xdr:rowOff>
              </to>
            </anchor>
          </objectPr>
        </oleObject>
      </mc:Choice>
      <mc:Fallback>
        <oleObject progId="Equation.2" shapeId="9218" r:id="rId6"/>
      </mc:Fallback>
    </mc:AlternateContent>
    <mc:AlternateContent xmlns:mc="http://schemas.openxmlformats.org/markup-compatibility/2006">
      <mc:Choice Requires="x14">
        <oleObject progId="Equation.2" shapeId="9219" r:id="rId8">
          <objectPr defaultSize="0" autoLine="0" autoPict="0" r:id="rId9">
            <anchor moveWithCells="1">
              <from>
                <xdr:col>1</xdr:col>
                <xdr:colOff>447675</xdr:colOff>
                <xdr:row>110</xdr:row>
                <xdr:rowOff>123825</xdr:rowOff>
              </from>
              <to>
                <xdr:col>2</xdr:col>
                <xdr:colOff>676275</xdr:colOff>
                <xdr:row>112</xdr:row>
                <xdr:rowOff>123825</xdr:rowOff>
              </to>
            </anchor>
          </objectPr>
        </oleObject>
      </mc:Choice>
      <mc:Fallback>
        <oleObject progId="Equation.2" shapeId="9219" r:id="rId8"/>
      </mc:Fallback>
    </mc:AlternateContent>
    <mc:AlternateContent xmlns:mc="http://schemas.openxmlformats.org/markup-compatibility/2006">
      <mc:Choice Requires="x14">
        <oleObject progId="Equation.2" shapeId="9220" r:id="rId10">
          <objectPr defaultSize="0" autoLine="0" autoPict="0" r:id="rId11">
            <anchor moveWithCells="1">
              <from>
                <xdr:col>1</xdr:col>
                <xdr:colOff>419100</xdr:colOff>
                <xdr:row>114</xdr:row>
                <xdr:rowOff>85725</xdr:rowOff>
              </from>
              <to>
                <xdr:col>3</xdr:col>
                <xdr:colOff>342900</xdr:colOff>
                <xdr:row>116</xdr:row>
                <xdr:rowOff>104775</xdr:rowOff>
              </to>
            </anchor>
          </objectPr>
        </oleObject>
      </mc:Choice>
      <mc:Fallback>
        <oleObject progId="Equation.2" shapeId="9220" r:id="rId10"/>
      </mc:Fallback>
    </mc:AlternateContent>
    <mc:AlternateContent xmlns:mc="http://schemas.openxmlformats.org/markup-compatibility/2006">
      <mc:Choice Requires="x14">
        <oleObject progId="Equation.2" shapeId="9221" r:id="rId12">
          <objectPr defaultSize="0" autoLine="0" autoPict="0" r:id="rId13">
            <anchor moveWithCells="1">
              <from>
                <xdr:col>1</xdr:col>
                <xdr:colOff>419100</xdr:colOff>
                <xdr:row>118</xdr:row>
                <xdr:rowOff>142875</xdr:rowOff>
              </from>
              <to>
                <xdr:col>4</xdr:col>
                <xdr:colOff>428625</xdr:colOff>
                <xdr:row>120</xdr:row>
                <xdr:rowOff>95250</xdr:rowOff>
              </to>
            </anchor>
          </objectPr>
        </oleObject>
      </mc:Choice>
      <mc:Fallback>
        <oleObject progId="Equation.2" shapeId="9221" r:id="rId12"/>
      </mc:Fallback>
    </mc:AlternateContent>
    <mc:AlternateContent xmlns:mc="http://schemas.openxmlformats.org/markup-compatibility/2006">
      <mc:Choice Requires="x14">
        <oleObject progId="Equation.2" shapeId="9222" r:id="rId14">
          <objectPr defaultSize="0" autoLine="0" autoPict="0" r:id="rId15">
            <anchor moveWithCells="1">
              <from>
                <xdr:col>1</xdr:col>
                <xdr:colOff>409575</xdr:colOff>
                <xdr:row>123</xdr:row>
                <xdr:rowOff>0</xdr:rowOff>
              </from>
              <to>
                <xdr:col>4</xdr:col>
                <xdr:colOff>257175</xdr:colOff>
                <xdr:row>124</xdr:row>
                <xdr:rowOff>38100</xdr:rowOff>
              </to>
            </anchor>
          </objectPr>
        </oleObject>
      </mc:Choice>
      <mc:Fallback>
        <oleObject progId="Equation.2" shapeId="9222" r:id="rId14"/>
      </mc:Fallback>
    </mc:AlternateContent>
    <mc:AlternateContent xmlns:mc="http://schemas.openxmlformats.org/markup-compatibility/2006">
      <mc:Choice Requires="x14">
        <oleObject progId="Equation.2" shapeId="9223" r:id="rId16">
          <objectPr defaultSize="0" autoLine="0" autoPict="0" r:id="rId17">
            <anchor moveWithCells="1">
              <from>
                <xdr:col>1</xdr:col>
                <xdr:colOff>419100</xdr:colOff>
                <xdr:row>127</xdr:row>
                <xdr:rowOff>38100</xdr:rowOff>
              </from>
              <to>
                <xdr:col>4</xdr:col>
                <xdr:colOff>704850</xdr:colOff>
                <xdr:row>128</xdr:row>
                <xdr:rowOff>38100</xdr:rowOff>
              </to>
            </anchor>
          </objectPr>
        </oleObject>
      </mc:Choice>
      <mc:Fallback>
        <oleObject progId="Equation.2" shapeId="9223" r:id="rId16"/>
      </mc:Fallback>
    </mc:AlternateContent>
    <mc:AlternateContent xmlns:mc="http://schemas.openxmlformats.org/markup-compatibility/2006">
      <mc:Choice Requires="x14">
        <oleObject progId="Equation.2" shapeId="9224" r:id="rId18">
          <objectPr defaultSize="0" autoLine="0" autoPict="0" r:id="rId19">
            <anchor moveWithCells="1">
              <from>
                <xdr:col>1</xdr:col>
                <xdr:colOff>466725</xdr:colOff>
                <xdr:row>133</xdr:row>
                <xdr:rowOff>28575</xdr:rowOff>
              </from>
              <to>
                <xdr:col>3</xdr:col>
                <xdr:colOff>323850</xdr:colOff>
                <xdr:row>134</xdr:row>
                <xdr:rowOff>28575</xdr:rowOff>
              </to>
            </anchor>
          </objectPr>
        </oleObject>
      </mc:Choice>
      <mc:Fallback>
        <oleObject progId="Equation.2" shapeId="9224" r:id="rId18"/>
      </mc:Fallback>
    </mc:AlternateContent>
    <mc:AlternateContent xmlns:mc="http://schemas.openxmlformats.org/markup-compatibility/2006">
      <mc:Choice Requires="x14">
        <oleObject progId="Equation.2" shapeId="9225" r:id="rId20">
          <objectPr defaultSize="0" autoLine="0" autoPict="0" r:id="rId21">
            <anchor moveWithCells="1">
              <from>
                <xdr:col>1</xdr:col>
                <xdr:colOff>38100</xdr:colOff>
                <xdr:row>136</xdr:row>
                <xdr:rowOff>171450</xdr:rowOff>
              </from>
              <to>
                <xdr:col>3</xdr:col>
                <xdr:colOff>152400</xdr:colOff>
                <xdr:row>138</xdr:row>
                <xdr:rowOff>0</xdr:rowOff>
              </to>
            </anchor>
          </objectPr>
        </oleObject>
      </mc:Choice>
      <mc:Fallback>
        <oleObject progId="Equation.2" shapeId="9225" r:id="rId20"/>
      </mc:Fallback>
    </mc:AlternateContent>
    <mc:AlternateContent xmlns:mc="http://schemas.openxmlformats.org/markup-compatibility/2006">
      <mc:Choice Requires="x14">
        <oleObject progId="Equation.2" shapeId="9226" r:id="rId22">
          <objectPr defaultSize="0" autoLine="0" autoPict="0" r:id="rId23">
            <anchor moveWithCells="1">
              <from>
                <xdr:col>1</xdr:col>
                <xdr:colOff>495300</xdr:colOff>
                <xdr:row>139</xdr:row>
                <xdr:rowOff>28575</xdr:rowOff>
              </from>
              <to>
                <xdr:col>4</xdr:col>
                <xdr:colOff>57150</xdr:colOff>
                <xdr:row>140</xdr:row>
                <xdr:rowOff>57150</xdr:rowOff>
              </to>
            </anchor>
          </objectPr>
        </oleObject>
      </mc:Choice>
      <mc:Fallback>
        <oleObject progId="Equation.2" shapeId="9226" r:id="rId22"/>
      </mc:Fallback>
    </mc:AlternateContent>
    <mc:AlternateContent xmlns:mc="http://schemas.openxmlformats.org/markup-compatibility/2006">
      <mc:Choice Requires="x14">
        <oleObject progId="Equation.2" shapeId="9227" r:id="rId24">
          <objectPr defaultSize="0" autoLine="0" autoPict="0" r:id="rId25">
            <anchor moveWithCells="1">
              <from>
                <xdr:col>1</xdr:col>
                <xdr:colOff>523875</xdr:colOff>
                <xdr:row>142</xdr:row>
                <xdr:rowOff>95250</xdr:rowOff>
              </from>
              <to>
                <xdr:col>3</xdr:col>
                <xdr:colOff>666750</xdr:colOff>
                <xdr:row>144</xdr:row>
                <xdr:rowOff>152400</xdr:rowOff>
              </to>
            </anchor>
          </objectPr>
        </oleObject>
      </mc:Choice>
      <mc:Fallback>
        <oleObject progId="Equation.2" shapeId="9227" r:id="rId24"/>
      </mc:Fallback>
    </mc:AlternateContent>
    <mc:AlternateContent xmlns:mc="http://schemas.openxmlformats.org/markup-compatibility/2006">
      <mc:Choice Requires="x14">
        <oleObject progId="Equation.2" shapeId="9228" r:id="rId26">
          <objectPr defaultSize="0" autoLine="0" autoPict="0" r:id="rId27">
            <anchor moveWithCells="1">
              <from>
                <xdr:col>2</xdr:col>
                <xdr:colOff>523875</xdr:colOff>
                <xdr:row>147</xdr:row>
                <xdr:rowOff>114300</xdr:rowOff>
              </from>
              <to>
                <xdr:col>4</xdr:col>
                <xdr:colOff>638175</xdr:colOff>
                <xdr:row>149</xdr:row>
                <xdr:rowOff>95250</xdr:rowOff>
              </to>
            </anchor>
          </objectPr>
        </oleObject>
      </mc:Choice>
      <mc:Fallback>
        <oleObject progId="Equation.2" shapeId="9228" r:id="rId26"/>
      </mc:Fallback>
    </mc:AlternateContent>
    <mc:AlternateContent xmlns:mc="http://schemas.openxmlformats.org/markup-compatibility/2006">
      <mc:Choice Requires="x14">
        <oleObject progId="Equation.2" shapeId="9229" r:id="rId28">
          <objectPr defaultSize="0" autoLine="0" autoPict="0" r:id="rId29">
            <anchor moveWithCells="1">
              <from>
                <xdr:col>1</xdr:col>
                <xdr:colOff>200025</xdr:colOff>
                <xdr:row>151</xdr:row>
                <xdr:rowOff>180975</xdr:rowOff>
              </from>
              <to>
                <xdr:col>3</xdr:col>
                <xdr:colOff>314325</xdr:colOff>
                <xdr:row>153</xdr:row>
                <xdr:rowOff>19050</xdr:rowOff>
              </to>
            </anchor>
          </objectPr>
        </oleObject>
      </mc:Choice>
      <mc:Fallback>
        <oleObject progId="Equation.2" shapeId="9229" r:id="rId28"/>
      </mc:Fallback>
    </mc:AlternateContent>
    <mc:AlternateContent xmlns:mc="http://schemas.openxmlformats.org/markup-compatibility/2006">
      <mc:Choice Requires="x14">
        <oleObject progId="Equation.2" shapeId="9230" r:id="rId30">
          <objectPr defaultSize="0" autoLine="0" autoPict="0" r:id="rId31">
            <anchor moveWithCells="1">
              <from>
                <xdr:col>2</xdr:col>
                <xdr:colOff>0</xdr:colOff>
                <xdr:row>154</xdr:row>
                <xdr:rowOff>0</xdr:rowOff>
              </from>
              <to>
                <xdr:col>4</xdr:col>
                <xdr:colOff>228600</xdr:colOff>
                <xdr:row>155</xdr:row>
                <xdr:rowOff>28575</xdr:rowOff>
              </to>
            </anchor>
          </objectPr>
        </oleObject>
      </mc:Choice>
      <mc:Fallback>
        <oleObject progId="Equation.2" shapeId="9230" r:id="rId30"/>
      </mc:Fallback>
    </mc:AlternateContent>
    <mc:AlternateContent xmlns:mc="http://schemas.openxmlformats.org/markup-compatibility/2006">
      <mc:Choice Requires="x14">
        <oleObject progId="Equation.2" shapeId="9231" r:id="rId32">
          <objectPr defaultSize="0" autoLine="0" autoPict="0" r:id="rId33">
            <anchor moveWithCells="1">
              <from>
                <xdr:col>1</xdr:col>
                <xdr:colOff>571500</xdr:colOff>
                <xdr:row>159</xdr:row>
                <xdr:rowOff>0</xdr:rowOff>
              </from>
              <to>
                <xdr:col>4</xdr:col>
                <xdr:colOff>695325</xdr:colOff>
                <xdr:row>160</xdr:row>
                <xdr:rowOff>28575</xdr:rowOff>
              </to>
            </anchor>
          </objectPr>
        </oleObject>
      </mc:Choice>
      <mc:Fallback>
        <oleObject progId="Equation.2" shapeId="9231" r:id="rId32"/>
      </mc:Fallback>
    </mc:AlternateContent>
    <mc:AlternateContent xmlns:mc="http://schemas.openxmlformats.org/markup-compatibility/2006">
      <mc:Choice Requires="x14">
        <oleObject progId="Equation.2" shapeId="9232" r:id="rId34">
          <objectPr defaultSize="0" autoLine="0" autoPict="0" r:id="rId35">
            <anchor moveWithCells="1">
              <from>
                <xdr:col>2</xdr:col>
                <xdr:colOff>104775</xdr:colOff>
                <xdr:row>168</xdr:row>
                <xdr:rowOff>9525</xdr:rowOff>
              </from>
              <to>
                <xdr:col>3</xdr:col>
                <xdr:colOff>200025</xdr:colOff>
                <xdr:row>169</xdr:row>
                <xdr:rowOff>9525</xdr:rowOff>
              </to>
            </anchor>
          </objectPr>
        </oleObject>
      </mc:Choice>
      <mc:Fallback>
        <oleObject progId="Equation.2" shapeId="9232" r:id="rId34"/>
      </mc:Fallback>
    </mc:AlternateContent>
    <mc:AlternateContent xmlns:mc="http://schemas.openxmlformats.org/markup-compatibility/2006">
      <mc:Choice Requires="x14">
        <oleObject progId="Equation.2" shapeId="9233" r:id="rId36">
          <objectPr defaultSize="0" autoLine="0" autoPict="0" r:id="rId37">
            <anchor moveWithCells="1">
              <from>
                <xdr:col>3</xdr:col>
                <xdr:colOff>0</xdr:colOff>
                <xdr:row>169</xdr:row>
                <xdr:rowOff>0</xdr:rowOff>
              </from>
              <to>
                <xdr:col>4</xdr:col>
                <xdr:colOff>1657350</xdr:colOff>
                <xdr:row>170</xdr:row>
                <xdr:rowOff>142875</xdr:rowOff>
              </to>
            </anchor>
          </objectPr>
        </oleObject>
      </mc:Choice>
      <mc:Fallback>
        <oleObject progId="Equation.2" shapeId="9233" r:id="rId36"/>
      </mc:Fallback>
    </mc:AlternateContent>
    <mc:AlternateContent xmlns:mc="http://schemas.openxmlformats.org/markup-compatibility/2006">
      <mc:Choice Requires="x14">
        <oleObject progId="Equation.2" shapeId="9234" r:id="rId38">
          <objectPr defaultSize="0" autoLine="0" autoPict="0" r:id="rId39">
            <anchor moveWithCells="1">
              <from>
                <xdr:col>2</xdr:col>
                <xdr:colOff>104775</xdr:colOff>
                <xdr:row>171</xdr:row>
                <xdr:rowOff>9525</xdr:rowOff>
              </from>
              <to>
                <xdr:col>3</xdr:col>
                <xdr:colOff>200025</xdr:colOff>
                <xdr:row>172</xdr:row>
                <xdr:rowOff>9525</xdr:rowOff>
              </to>
            </anchor>
          </objectPr>
        </oleObject>
      </mc:Choice>
      <mc:Fallback>
        <oleObject progId="Equation.2" shapeId="9234" r:id="rId38"/>
      </mc:Fallback>
    </mc:AlternateContent>
    <mc:AlternateContent xmlns:mc="http://schemas.openxmlformats.org/markup-compatibility/2006">
      <mc:Choice Requires="x14">
        <oleObject progId="Equation.2" shapeId="9235" r:id="rId40">
          <objectPr defaultSize="0" autoLine="0" autoPict="0" r:id="rId41">
            <anchor moveWithCells="1">
              <from>
                <xdr:col>3</xdr:col>
                <xdr:colOff>0</xdr:colOff>
                <xdr:row>172</xdr:row>
                <xdr:rowOff>19050</xdr:rowOff>
              </from>
              <to>
                <xdr:col>4</xdr:col>
                <xdr:colOff>1457325</xdr:colOff>
                <xdr:row>173</xdr:row>
                <xdr:rowOff>161925</xdr:rowOff>
              </to>
            </anchor>
          </objectPr>
        </oleObject>
      </mc:Choice>
      <mc:Fallback>
        <oleObject progId="Equation.2" shapeId="9235" r:id="rId40"/>
      </mc:Fallback>
    </mc:AlternateContent>
    <mc:AlternateContent xmlns:mc="http://schemas.openxmlformats.org/markup-compatibility/2006">
      <mc:Choice Requires="x14">
        <oleObject progId="Equation.2" shapeId="9236" r:id="rId42">
          <objectPr defaultSize="0" autoLine="0" autoPict="0" r:id="rId43">
            <anchor moveWithCells="1">
              <from>
                <xdr:col>2</xdr:col>
                <xdr:colOff>104775</xdr:colOff>
                <xdr:row>180</xdr:row>
                <xdr:rowOff>9525</xdr:rowOff>
              </from>
              <to>
                <xdr:col>3</xdr:col>
                <xdr:colOff>200025</xdr:colOff>
                <xdr:row>181</xdr:row>
                <xdr:rowOff>9525</xdr:rowOff>
              </to>
            </anchor>
          </objectPr>
        </oleObject>
      </mc:Choice>
      <mc:Fallback>
        <oleObject progId="Equation.2" shapeId="9236" r:id="rId42"/>
      </mc:Fallback>
    </mc:AlternateContent>
    <mc:AlternateContent xmlns:mc="http://schemas.openxmlformats.org/markup-compatibility/2006">
      <mc:Choice Requires="x14">
        <oleObject progId="Equation.2" shapeId="9237" r:id="rId44">
          <objectPr defaultSize="0" autoLine="0" autoPict="0" r:id="rId45">
            <anchor moveWithCells="1">
              <from>
                <xdr:col>3</xdr:col>
                <xdr:colOff>0</xdr:colOff>
                <xdr:row>181</xdr:row>
                <xdr:rowOff>9525</xdr:rowOff>
              </from>
              <to>
                <xdr:col>7</xdr:col>
                <xdr:colOff>762000</xdr:colOff>
                <xdr:row>182</xdr:row>
                <xdr:rowOff>142875</xdr:rowOff>
              </to>
            </anchor>
          </objectPr>
        </oleObject>
      </mc:Choice>
      <mc:Fallback>
        <oleObject progId="Equation.2" shapeId="9237" r:id="rId44"/>
      </mc:Fallback>
    </mc:AlternateContent>
    <mc:AlternateContent xmlns:mc="http://schemas.openxmlformats.org/markup-compatibility/2006">
      <mc:Choice Requires="x14">
        <oleObject progId="Equation.2" shapeId="9238" r:id="rId46">
          <objectPr defaultSize="0" autoLine="0" autoPict="0" r:id="rId47">
            <anchor moveWithCells="1">
              <from>
                <xdr:col>2</xdr:col>
                <xdr:colOff>104775</xdr:colOff>
                <xdr:row>183</xdr:row>
                <xdr:rowOff>9525</xdr:rowOff>
              </from>
              <to>
                <xdr:col>3</xdr:col>
                <xdr:colOff>200025</xdr:colOff>
                <xdr:row>184</xdr:row>
                <xdr:rowOff>9525</xdr:rowOff>
              </to>
            </anchor>
          </objectPr>
        </oleObject>
      </mc:Choice>
      <mc:Fallback>
        <oleObject progId="Equation.2" shapeId="9238" r:id="rId46"/>
      </mc:Fallback>
    </mc:AlternateContent>
    <mc:AlternateContent xmlns:mc="http://schemas.openxmlformats.org/markup-compatibility/2006">
      <mc:Choice Requires="x14">
        <oleObject progId="Equation.2" shapeId="9239" r:id="rId48">
          <objectPr defaultSize="0" autoLine="0" autoPict="0" r:id="rId49">
            <anchor moveWithCells="1">
              <from>
                <xdr:col>3</xdr:col>
                <xdr:colOff>0</xdr:colOff>
                <xdr:row>183</xdr:row>
                <xdr:rowOff>180975</xdr:rowOff>
              </from>
              <to>
                <xdr:col>4</xdr:col>
                <xdr:colOff>1619250</xdr:colOff>
                <xdr:row>185</xdr:row>
                <xdr:rowOff>114300</xdr:rowOff>
              </to>
            </anchor>
          </objectPr>
        </oleObject>
      </mc:Choice>
      <mc:Fallback>
        <oleObject progId="Equation.2" shapeId="9239" r:id="rId48"/>
      </mc:Fallback>
    </mc:AlternateContent>
    <mc:AlternateContent xmlns:mc="http://schemas.openxmlformats.org/markup-compatibility/2006">
      <mc:Choice Requires="x14">
        <oleObject progId="Equation.2" shapeId="9240" r:id="rId50">
          <objectPr defaultSize="0" autoLine="0" autoPict="0" r:id="rId51">
            <anchor moveWithCells="1">
              <from>
                <xdr:col>2</xdr:col>
                <xdr:colOff>0</xdr:colOff>
                <xdr:row>198</xdr:row>
                <xdr:rowOff>9525</xdr:rowOff>
              </from>
              <to>
                <xdr:col>3</xdr:col>
                <xdr:colOff>95250</xdr:colOff>
                <xdr:row>199</xdr:row>
                <xdr:rowOff>9525</xdr:rowOff>
              </to>
            </anchor>
          </objectPr>
        </oleObject>
      </mc:Choice>
      <mc:Fallback>
        <oleObject progId="Equation.2" shapeId="9240" r:id="rId50"/>
      </mc:Fallback>
    </mc:AlternateContent>
    <mc:AlternateContent xmlns:mc="http://schemas.openxmlformats.org/markup-compatibility/2006">
      <mc:Choice Requires="x14">
        <oleObject progId="Equation.2" shapeId="9241" r:id="rId52">
          <objectPr defaultSize="0" autoLine="0" autoPict="0" r:id="rId53">
            <anchor moveWithCells="1">
              <from>
                <xdr:col>3</xdr:col>
                <xdr:colOff>0</xdr:colOff>
                <xdr:row>199</xdr:row>
                <xdr:rowOff>85725</xdr:rowOff>
              </from>
              <to>
                <xdr:col>7</xdr:col>
                <xdr:colOff>238125</xdr:colOff>
                <xdr:row>200</xdr:row>
                <xdr:rowOff>123825</xdr:rowOff>
              </to>
            </anchor>
          </objectPr>
        </oleObject>
      </mc:Choice>
      <mc:Fallback>
        <oleObject progId="Equation.2" shapeId="9241" r:id="rId52"/>
      </mc:Fallback>
    </mc:AlternateContent>
    <mc:AlternateContent xmlns:mc="http://schemas.openxmlformats.org/markup-compatibility/2006">
      <mc:Choice Requires="x14">
        <oleObject progId="Equation.2" shapeId="9242" r:id="rId54">
          <objectPr defaultSize="0" autoLine="0" autoPict="0" r:id="rId55">
            <anchor moveWithCells="1">
              <from>
                <xdr:col>2</xdr:col>
                <xdr:colOff>0</xdr:colOff>
                <xdr:row>201</xdr:row>
                <xdr:rowOff>9525</xdr:rowOff>
              </from>
              <to>
                <xdr:col>3</xdr:col>
                <xdr:colOff>95250</xdr:colOff>
                <xdr:row>202</xdr:row>
                <xdr:rowOff>9525</xdr:rowOff>
              </to>
            </anchor>
          </objectPr>
        </oleObject>
      </mc:Choice>
      <mc:Fallback>
        <oleObject progId="Equation.2" shapeId="9242" r:id="rId54"/>
      </mc:Fallback>
    </mc:AlternateContent>
    <mc:AlternateContent xmlns:mc="http://schemas.openxmlformats.org/markup-compatibility/2006">
      <mc:Choice Requires="x14">
        <oleObject progId="Equation.2" shapeId="9243" r:id="rId56">
          <objectPr defaultSize="0" autoLine="0" autoPict="0" r:id="rId57">
            <anchor moveWithCells="1">
              <from>
                <xdr:col>3</xdr:col>
                <xdr:colOff>0</xdr:colOff>
                <xdr:row>210</xdr:row>
                <xdr:rowOff>85725</xdr:rowOff>
              </from>
              <to>
                <xdr:col>4</xdr:col>
                <xdr:colOff>1600200</xdr:colOff>
                <xdr:row>211</xdr:row>
                <xdr:rowOff>104775</xdr:rowOff>
              </to>
            </anchor>
          </objectPr>
        </oleObject>
      </mc:Choice>
      <mc:Fallback>
        <oleObject progId="Equation.2" shapeId="9243" r:id="rId56"/>
      </mc:Fallback>
    </mc:AlternateContent>
    <mc:AlternateContent xmlns:mc="http://schemas.openxmlformats.org/markup-compatibility/2006">
      <mc:Choice Requires="x14">
        <oleObject progId="Equation.2" shapeId="9244" r:id="rId58">
          <objectPr defaultSize="0" autoLine="0" autoPict="0" r:id="rId59">
            <anchor moveWithCells="1">
              <from>
                <xdr:col>2</xdr:col>
                <xdr:colOff>0</xdr:colOff>
                <xdr:row>212</xdr:row>
                <xdr:rowOff>9525</xdr:rowOff>
              </from>
              <to>
                <xdr:col>3</xdr:col>
                <xdr:colOff>95250</xdr:colOff>
                <xdr:row>213</xdr:row>
                <xdr:rowOff>9525</xdr:rowOff>
              </to>
            </anchor>
          </objectPr>
        </oleObject>
      </mc:Choice>
      <mc:Fallback>
        <oleObject progId="Equation.2" shapeId="9244" r:id="rId58"/>
      </mc:Fallback>
    </mc:AlternateContent>
    <mc:AlternateContent xmlns:mc="http://schemas.openxmlformats.org/markup-compatibility/2006">
      <mc:Choice Requires="x14">
        <oleObject progId="Equation.2" shapeId="9245" r:id="rId60">
          <objectPr defaultSize="0" autoLine="0" autoPict="0" r:id="rId61">
            <anchor moveWithCells="1">
              <from>
                <xdr:col>3</xdr:col>
                <xdr:colOff>0</xdr:colOff>
                <xdr:row>213</xdr:row>
                <xdr:rowOff>85725</xdr:rowOff>
              </from>
              <to>
                <xdr:col>4</xdr:col>
                <xdr:colOff>1447800</xdr:colOff>
                <xdr:row>214</xdr:row>
                <xdr:rowOff>114300</xdr:rowOff>
              </to>
            </anchor>
          </objectPr>
        </oleObject>
      </mc:Choice>
      <mc:Fallback>
        <oleObject progId="Equation.2" shapeId="9245" r:id="rId60"/>
      </mc:Fallback>
    </mc:AlternateContent>
    <mc:AlternateContent xmlns:mc="http://schemas.openxmlformats.org/markup-compatibility/2006">
      <mc:Choice Requires="x14">
        <oleObject progId="Equation.2" shapeId="9246" r:id="rId62">
          <objectPr defaultSize="0" autoLine="0" autoPict="0" r:id="rId63">
            <anchor moveWithCells="1">
              <from>
                <xdr:col>1</xdr:col>
                <xdr:colOff>885825</xdr:colOff>
                <xdr:row>246</xdr:row>
                <xdr:rowOff>142875</xdr:rowOff>
              </from>
              <to>
                <xdr:col>3</xdr:col>
                <xdr:colOff>266700</xdr:colOff>
                <xdr:row>247</xdr:row>
                <xdr:rowOff>152400</xdr:rowOff>
              </to>
            </anchor>
          </objectPr>
        </oleObject>
      </mc:Choice>
      <mc:Fallback>
        <oleObject progId="Equation.2" shapeId="9246" r:id="rId62"/>
      </mc:Fallback>
    </mc:AlternateContent>
    <mc:AlternateContent xmlns:mc="http://schemas.openxmlformats.org/markup-compatibility/2006">
      <mc:Choice Requires="x14">
        <oleObject progId="Equation.2" shapeId="9247" r:id="rId64">
          <objectPr defaultSize="0" autoLine="0" autoPict="0" r:id="rId65">
            <anchor moveWithCells="1">
              <from>
                <xdr:col>3</xdr:col>
                <xdr:colOff>0</xdr:colOff>
                <xdr:row>233</xdr:row>
                <xdr:rowOff>0</xdr:rowOff>
              </from>
              <to>
                <xdr:col>6</xdr:col>
                <xdr:colOff>485775</xdr:colOff>
                <xdr:row>235</xdr:row>
                <xdr:rowOff>9525</xdr:rowOff>
              </to>
            </anchor>
          </objectPr>
        </oleObject>
      </mc:Choice>
      <mc:Fallback>
        <oleObject progId="Equation.2" shapeId="9247" r:id="rId64"/>
      </mc:Fallback>
    </mc:AlternateContent>
    <mc:AlternateContent xmlns:mc="http://schemas.openxmlformats.org/markup-compatibility/2006">
      <mc:Choice Requires="x14">
        <oleObject progId="Equation.2" shapeId="9248" r:id="rId66">
          <objectPr defaultSize="0" autoLine="0" autoPict="0" r:id="rId67">
            <anchor moveWithCells="1">
              <from>
                <xdr:col>3</xdr:col>
                <xdr:colOff>323850</xdr:colOff>
                <xdr:row>235</xdr:row>
                <xdr:rowOff>133350</xdr:rowOff>
              </from>
              <to>
                <xdr:col>4</xdr:col>
                <xdr:colOff>1123950</xdr:colOff>
                <xdr:row>237</xdr:row>
                <xdr:rowOff>95250</xdr:rowOff>
              </to>
            </anchor>
          </objectPr>
        </oleObject>
      </mc:Choice>
      <mc:Fallback>
        <oleObject progId="Equation.2" shapeId="9248" r:id="rId66"/>
      </mc:Fallback>
    </mc:AlternateContent>
    <mc:AlternateContent xmlns:mc="http://schemas.openxmlformats.org/markup-compatibility/2006">
      <mc:Choice Requires="x14">
        <oleObject progId="Equation.2" shapeId="9249" r:id="rId68">
          <objectPr defaultSize="0" autoLine="0" autoPict="0" r:id="rId69">
            <anchor moveWithCells="1">
              <from>
                <xdr:col>3</xdr:col>
                <xdr:colOff>333375</xdr:colOff>
                <xdr:row>237</xdr:row>
                <xdr:rowOff>142875</xdr:rowOff>
              </from>
              <to>
                <xdr:col>4</xdr:col>
                <xdr:colOff>990600</xdr:colOff>
                <xdr:row>239</xdr:row>
                <xdr:rowOff>95250</xdr:rowOff>
              </to>
            </anchor>
          </objectPr>
        </oleObject>
      </mc:Choice>
      <mc:Fallback>
        <oleObject progId="Equation.2" shapeId="9249" r:id="rId68"/>
      </mc:Fallback>
    </mc:AlternateContent>
    <mc:AlternateContent xmlns:mc="http://schemas.openxmlformats.org/markup-compatibility/2006">
      <mc:Choice Requires="x14">
        <oleObject progId="Equation.2" shapeId="9250" r:id="rId70">
          <objectPr defaultSize="0" autoLine="0" autoPict="0" r:id="rId71">
            <anchor moveWithCells="1">
              <from>
                <xdr:col>3</xdr:col>
                <xdr:colOff>333375</xdr:colOff>
                <xdr:row>239</xdr:row>
                <xdr:rowOff>142875</xdr:rowOff>
              </from>
              <to>
                <xdr:col>4</xdr:col>
                <xdr:colOff>1543050</xdr:colOff>
                <xdr:row>241</xdr:row>
                <xdr:rowOff>95250</xdr:rowOff>
              </to>
            </anchor>
          </objectPr>
        </oleObject>
      </mc:Choice>
      <mc:Fallback>
        <oleObject progId="Equation.2" shapeId="9250" r:id="rId70"/>
      </mc:Fallback>
    </mc:AlternateContent>
    <mc:AlternateContent xmlns:mc="http://schemas.openxmlformats.org/markup-compatibility/2006">
      <mc:Choice Requires="x14">
        <oleObject progId="Equation.2" shapeId="9251" r:id="rId72">
          <objectPr defaultSize="0" autoLine="0" autoPict="0" r:id="rId73">
            <anchor moveWithCells="1">
              <from>
                <xdr:col>3</xdr:col>
                <xdr:colOff>0</xdr:colOff>
                <xdr:row>248</xdr:row>
                <xdr:rowOff>0</xdr:rowOff>
              </from>
              <to>
                <xdr:col>3</xdr:col>
                <xdr:colOff>438150</xdr:colOff>
                <xdr:row>249</xdr:row>
                <xdr:rowOff>19050</xdr:rowOff>
              </to>
            </anchor>
          </objectPr>
        </oleObject>
      </mc:Choice>
      <mc:Fallback>
        <oleObject progId="Equation.2" shapeId="9251" r:id="rId72"/>
      </mc:Fallback>
    </mc:AlternateContent>
    <mc:AlternateContent xmlns:mc="http://schemas.openxmlformats.org/markup-compatibility/2006">
      <mc:Choice Requires="x14">
        <oleObject progId="Equation.2" shapeId="9252" r:id="rId74">
          <objectPr defaultSize="0" autoLine="0" autoPict="0" r:id="rId75">
            <anchor moveWithCells="1">
              <from>
                <xdr:col>2</xdr:col>
                <xdr:colOff>0</xdr:colOff>
                <xdr:row>242</xdr:row>
                <xdr:rowOff>9525</xdr:rowOff>
              </from>
              <to>
                <xdr:col>3</xdr:col>
                <xdr:colOff>95250</xdr:colOff>
                <xdr:row>243</xdr:row>
                <xdr:rowOff>9525</xdr:rowOff>
              </to>
            </anchor>
          </objectPr>
        </oleObject>
      </mc:Choice>
      <mc:Fallback>
        <oleObject progId="Equation.2" shapeId="9252" r:id="rId74"/>
      </mc:Fallback>
    </mc:AlternateContent>
    <mc:AlternateContent xmlns:mc="http://schemas.openxmlformats.org/markup-compatibility/2006">
      <mc:Choice Requires="x14">
        <oleObject progId="Equation.2" shapeId="9253" r:id="rId76">
          <objectPr defaultSize="0" autoLine="0" autoPict="0" r:id="rId77">
            <anchor moveWithCells="1">
              <from>
                <xdr:col>2</xdr:col>
                <xdr:colOff>752475</xdr:colOff>
                <xdr:row>243</xdr:row>
                <xdr:rowOff>47625</xdr:rowOff>
              </from>
              <to>
                <xdr:col>4</xdr:col>
                <xdr:colOff>1104900</xdr:colOff>
                <xdr:row>244</xdr:row>
                <xdr:rowOff>57150</xdr:rowOff>
              </to>
            </anchor>
          </objectPr>
        </oleObject>
      </mc:Choice>
      <mc:Fallback>
        <oleObject progId="Equation.2" shapeId="9253" r:id="rId76"/>
      </mc:Fallback>
    </mc:AlternateContent>
    <mc:AlternateContent xmlns:mc="http://schemas.openxmlformats.org/markup-compatibility/2006">
      <mc:Choice Requires="x14">
        <oleObject progId="Equation.2" shapeId="9254" r:id="rId78">
          <objectPr defaultSize="0" autoLine="0" autoPict="0" r:id="rId79">
            <anchor moveWithCells="1">
              <from>
                <xdr:col>2</xdr:col>
                <xdr:colOff>0</xdr:colOff>
                <xdr:row>209</xdr:row>
                <xdr:rowOff>9525</xdr:rowOff>
              </from>
              <to>
                <xdr:col>3</xdr:col>
                <xdr:colOff>95250</xdr:colOff>
                <xdr:row>210</xdr:row>
                <xdr:rowOff>9525</xdr:rowOff>
              </to>
            </anchor>
          </objectPr>
        </oleObject>
      </mc:Choice>
      <mc:Fallback>
        <oleObject progId="Equation.2" shapeId="9254" r:id="rId78"/>
      </mc:Fallback>
    </mc:AlternateContent>
    <mc:AlternateContent xmlns:mc="http://schemas.openxmlformats.org/markup-compatibility/2006">
      <mc:Choice Requires="x14">
        <oleObject progId="Equation.2" shapeId="9255" r:id="rId80">
          <objectPr defaultSize="0" autoLine="0" autoPict="0" r:id="rId81">
            <anchor moveWithCells="1">
              <from>
                <xdr:col>2</xdr:col>
                <xdr:colOff>0</xdr:colOff>
                <xdr:row>102</xdr:row>
                <xdr:rowOff>180975</xdr:rowOff>
              </from>
              <to>
                <xdr:col>3</xdr:col>
                <xdr:colOff>438150</xdr:colOff>
                <xdr:row>104</xdr:row>
                <xdr:rowOff>19050</xdr:rowOff>
              </to>
            </anchor>
          </objectPr>
        </oleObject>
      </mc:Choice>
      <mc:Fallback>
        <oleObject progId="Equation.2" shapeId="9255" r:id="rId80"/>
      </mc:Fallback>
    </mc:AlternateContent>
    <mc:AlternateContent xmlns:mc="http://schemas.openxmlformats.org/markup-compatibility/2006">
      <mc:Choice Requires="x14">
        <oleObject progId="Equation.2" shapeId="9256" r:id="rId82">
          <objectPr defaultSize="0" autoLine="0" autoPict="0" r:id="rId83">
            <anchor moveWithCells="1">
              <from>
                <xdr:col>2</xdr:col>
                <xdr:colOff>0</xdr:colOff>
                <xdr:row>104</xdr:row>
                <xdr:rowOff>104775</xdr:rowOff>
              </from>
              <to>
                <xdr:col>3</xdr:col>
                <xdr:colOff>314325</xdr:colOff>
                <xdr:row>106</xdr:row>
                <xdr:rowOff>104775</xdr:rowOff>
              </to>
            </anchor>
          </objectPr>
        </oleObject>
      </mc:Choice>
      <mc:Fallback>
        <oleObject progId="Equation.2" shapeId="9256" r:id="rId82"/>
      </mc:Fallback>
    </mc:AlternateContent>
    <mc:AlternateContent xmlns:mc="http://schemas.openxmlformats.org/markup-compatibility/2006">
      <mc:Choice Requires="x14">
        <oleObject progId="Equation.2" shapeId="9257" r:id="rId84">
          <objectPr defaultSize="0" autoLine="0" autoPict="0" r:id="rId85">
            <anchor moveWithCells="1">
              <from>
                <xdr:col>2</xdr:col>
                <xdr:colOff>0</xdr:colOff>
                <xdr:row>232</xdr:row>
                <xdr:rowOff>9525</xdr:rowOff>
              </from>
              <to>
                <xdr:col>3</xdr:col>
                <xdr:colOff>95250</xdr:colOff>
                <xdr:row>233</xdr:row>
                <xdr:rowOff>9525</xdr:rowOff>
              </to>
            </anchor>
          </objectPr>
        </oleObject>
      </mc:Choice>
      <mc:Fallback>
        <oleObject progId="Equation.2" shapeId="9257" r:id="rId84"/>
      </mc:Fallback>
    </mc:AlternateContent>
    <mc:AlternateContent xmlns:mc="http://schemas.openxmlformats.org/markup-compatibility/2006">
      <mc:Choice Requires="x14">
        <oleObject progId="Equation.2" shapeId="9258" r:id="rId86">
          <objectPr defaultSize="0" autoLine="0" autoPict="0" r:id="rId87">
            <anchor moveWithCells="1">
              <from>
                <xdr:col>2</xdr:col>
                <xdr:colOff>0</xdr:colOff>
                <xdr:row>250</xdr:row>
                <xdr:rowOff>9525</xdr:rowOff>
              </from>
              <to>
                <xdr:col>3</xdr:col>
                <xdr:colOff>95250</xdr:colOff>
                <xdr:row>251</xdr:row>
                <xdr:rowOff>9525</xdr:rowOff>
              </to>
            </anchor>
          </objectPr>
        </oleObject>
      </mc:Choice>
      <mc:Fallback>
        <oleObject progId="Equation.2" shapeId="9258" r:id="rId86"/>
      </mc:Fallback>
    </mc:AlternateContent>
    <mc:AlternateContent xmlns:mc="http://schemas.openxmlformats.org/markup-compatibility/2006">
      <mc:Choice Requires="x14">
        <oleObject progId="Equation.2" shapeId="9259" r:id="rId88">
          <objectPr defaultSize="0" autoLine="0" autoPict="0" r:id="rId89">
            <anchor moveWithCells="1">
              <from>
                <xdr:col>2</xdr:col>
                <xdr:colOff>381000</xdr:colOff>
                <xdr:row>226</xdr:row>
                <xdr:rowOff>28575</xdr:rowOff>
              </from>
              <to>
                <xdr:col>4</xdr:col>
                <xdr:colOff>1076325</xdr:colOff>
                <xdr:row>227</xdr:row>
                <xdr:rowOff>28575</xdr:rowOff>
              </to>
            </anchor>
          </objectPr>
        </oleObject>
      </mc:Choice>
      <mc:Fallback>
        <oleObject progId="Equation.2" shapeId="9259" r:id="rId88"/>
      </mc:Fallback>
    </mc:AlternateContent>
    <mc:AlternateContent xmlns:mc="http://schemas.openxmlformats.org/markup-compatibility/2006">
      <mc:Choice Requires="x14">
        <oleObject progId="Documento" shapeId="9260" r:id="rId90">
          <objectPr defaultSize="0" autoLine="0" autoPict="0" r:id="rId91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10</xdr:col>
                <xdr:colOff>190500</xdr:colOff>
                <xdr:row>56</xdr:row>
                <xdr:rowOff>161925</xdr:rowOff>
              </to>
            </anchor>
          </objectPr>
        </oleObject>
      </mc:Choice>
      <mc:Fallback>
        <oleObject progId="Documento" shapeId="9260" r:id="rId90"/>
      </mc:Fallback>
    </mc:AlternateContent>
    <mc:AlternateContent xmlns:mc="http://schemas.openxmlformats.org/markup-compatibility/2006">
      <mc:Choice Requires="x14">
        <oleObject progId="Documento" shapeId="9261" r:id="rId92">
          <objectPr defaultSize="0" autoLine="0" autoPict="0" r:id="rId93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9</xdr:col>
                <xdr:colOff>990600</xdr:colOff>
                <xdr:row>89</xdr:row>
                <xdr:rowOff>9525</xdr:rowOff>
              </to>
            </anchor>
          </objectPr>
        </oleObject>
      </mc:Choice>
      <mc:Fallback>
        <oleObject progId="Documento" shapeId="9261" r:id="rId92"/>
      </mc:Fallback>
    </mc:AlternateContent>
    <mc:AlternateContent xmlns:mc="http://schemas.openxmlformats.org/markup-compatibility/2006">
      <mc:Choice Requires="x14">
        <oleObject progId="Equation.2" shapeId="9262" r:id="rId94">
          <objectPr defaultSize="0" autoLine="0" autoPict="0" r:id="rId95">
            <anchor moveWithCells="1">
              <from>
                <xdr:col>3</xdr:col>
                <xdr:colOff>190500</xdr:colOff>
                <xdr:row>193</xdr:row>
                <xdr:rowOff>152400</xdr:rowOff>
              </from>
              <to>
                <xdr:col>4</xdr:col>
                <xdr:colOff>1047750</xdr:colOff>
                <xdr:row>195</xdr:row>
                <xdr:rowOff>104775</xdr:rowOff>
              </to>
            </anchor>
          </objectPr>
        </oleObject>
      </mc:Choice>
      <mc:Fallback>
        <oleObject progId="Equation.2" shapeId="9262" r:id="rId94"/>
      </mc:Fallback>
    </mc:AlternateContent>
    <mc:AlternateContent xmlns:mc="http://schemas.openxmlformats.org/markup-compatibility/2006">
      <mc:Choice Requires="x14">
        <oleObject progId="Equation.2" shapeId="9263" r:id="rId96">
          <objectPr defaultSize="0" autoLine="0" autoPict="0" r:id="rId97">
            <anchor moveWithCells="1">
              <from>
                <xdr:col>3</xdr:col>
                <xdr:colOff>0</xdr:colOff>
                <xdr:row>202</xdr:row>
                <xdr:rowOff>66675</xdr:rowOff>
              </from>
              <to>
                <xdr:col>4</xdr:col>
                <xdr:colOff>904875</xdr:colOff>
                <xdr:row>203</xdr:row>
                <xdr:rowOff>104775</xdr:rowOff>
              </to>
            </anchor>
          </objectPr>
        </oleObject>
      </mc:Choice>
      <mc:Fallback>
        <oleObject progId="Equation.2" shapeId="9263" r:id="rId96"/>
      </mc:Fallback>
    </mc:AlternateContent>
    <mc:AlternateContent xmlns:mc="http://schemas.openxmlformats.org/markup-compatibility/2006">
      <mc:Choice Requires="x14">
        <oleObject progId="Equation.2" shapeId="9264" r:id="rId98">
          <objectPr defaultSize="0" autoLine="0" autoPict="0" r:id="rId99">
            <anchor moveWithCells="1">
              <from>
                <xdr:col>3</xdr:col>
                <xdr:colOff>0</xdr:colOff>
                <xdr:row>251</xdr:row>
                <xdr:rowOff>95250</xdr:rowOff>
              </from>
              <to>
                <xdr:col>4</xdr:col>
                <xdr:colOff>1152525</xdr:colOff>
                <xdr:row>252</xdr:row>
                <xdr:rowOff>123825</xdr:rowOff>
              </to>
            </anchor>
          </objectPr>
        </oleObject>
      </mc:Choice>
      <mc:Fallback>
        <oleObject progId="Equation.2" shapeId="9264" r:id="rId9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iohsrf2</vt:lpstr>
      <vt:lpstr>hsrf2rout</vt:lpstr>
      <vt:lpstr>hsrf2intk</vt:lpstr>
      <vt:lpstr>hsrf2tunl</vt:lpstr>
      <vt:lpstr>hsrf2stnk</vt:lpstr>
      <vt:lpstr>hsrf2pwh</vt:lpstr>
      <vt:lpstr>hsrf2new</vt:lpstr>
      <vt:lpstr>in_mi</vt:lpstr>
      <vt:lpstr>st_mi</vt:lpstr>
      <vt:lpstr>ph_mi</vt:lpstr>
      <vt:lpstr>tr_mi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Rodolpho Sauret Cavalcanti de Albuquerque</dc:creator>
  <cp:lastModifiedBy>Luiz Rodolpho Sauret Cavalcanti de Albuquerque</cp:lastModifiedBy>
  <dcterms:created xsi:type="dcterms:W3CDTF">2017-02-02T09:51:35Z</dcterms:created>
  <dcterms:modified xsi:type="dcterms:W3CDTF">2021-05-27T19:14:56Z</dcterms:modified>
</cp:coreProperties>
</file>