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1_tentativo\"/>
    </mc:Choice>
  </mc:AlternateContent>
  <xr:revisionPtr revIDLastSave="0" documentId="13_ncr:1_{C576C73B-DA4B-4A8B-B811-8FC96E93B3B7}" xr6:coauthVersionLast="47" xr6:coauthVersionMax="47" xr10:uidLastSave="{00000000-0000-0000-0000-000000000000}"/>
  <bookViews>
    <workbookView xWindow="-108" yWindow="-108" windowWidth="23256" windowHeight="12456" tabRatio="592" xr2:uid="{00000000-000D-0000-FFFF-FFFF00000000}"/>
  </bookViews>
  <sheets>
    <sheet name="iodam1" sheetId="1" r:id="rId1"/>
    <sheet name="dam1conc" sheetId="21" r:id="rId2"/>
    <sheet name="iodam2" sheetId="4" r:id="rId3"/>
    <sheet name="dam2eart" sheetId="23" r:id="rId4"/>
    <sheet name="iodam3" sheetId="6" r:id="rId5"/>
    <sheet name="dam3rock" sheetId="24" r:id="rId6"/>
    <sheet name="iodyk2" sheetId="17" r:id="rId7"/>
    <sheet name="dyk2eart" sheetId="22" r:id="rId8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4" l="1"/>
  <c r="B9" i="22"/>
  <c r="B10" i="24"/>
  <c r="B24" i="24"/>
  <c r="B25" i="23"/>
  <c r="B22" i="24"/>
  <c r="B23" i="23"/>
  <c r="I13" i="6" l="1"/>
  <c r="I8" i="6"/>
  <c r="I7" i="6"/>
  <c r="I6" i="6" l="1"/>
  <c r="I5" i="6"/>
  <c r="L7" i="23"/>
  <c r="L8" i="23"/>
  <c r="L9" i="23"/>
  <c r="L6" i="23"/>
  <c r="H7" i="24"/>
  <c r="K7" i="24" s="1"/>
  <c r="H8" i="24"/>
  <c r="J8" i="24" s="1"/>
  <c r="L8" i="24" s="1"/>
  <c r="I19" i="6" s="1"/>
  <c r="H9" i="24"/>
  <c r="K9" i="24" s="1"/>
  <c r="H6" i="24"/>
  <c r="J6" i="24" s="1"/>
  <c r="L6" i="24" s="1"/>
  <c r="I17" i="6" s="1"/>
  <c r="B11" i="23"/>
  <c r="B7" i="24"/>
  <c r="B6" i="24"/>
  <c r="B5" i="24"/>
  <c r="B9" i="24" s="1"/>
  <c r="F6" i="24" l="1"/>
  <c r="I14" i="6" s="1"/>
  <c r="B8" i="24"/>
  <c r="B17" i="24" s="1"/>
  <c r="B18" i="24" s="1"/>
  <c r="K6" i="24"/>
  <c r="K8" i="24"/>
  <c r="J7" i="24"/>
  <c r="L7" i="24" s="1"/>
  <c r="I18" i="6" s="1"/>
  <c r="J9" i="24"/>
  <c r="B16" i="24"/>
  <c r="I3" i="6" s="1"/>
  <c r="L9" i="24" l="1"/>
  <c r="F8" i="24"/>
  <c r="F7" i="24"/>
  <c r="I15" i="6" s="1"/>
  <c r="F9" i="24" l="1"/>
  <c r="I16" i="6" s="1"/>
  <c r="I20" i="6"/>
  <c r="F10" i="24"/>
  <c r="I24" i="4" l="1"/>
  <c r="I16" i="4"/>
  <c r="I15" i="4"/>
  <c r="I7" i="4"/>
  <c r="I8" i="4"/>
  <c r="H7" i="23" l="1"/>
  <c r="K7" i="23" s="1"/>
  <c r="H8" i="23"/>
  <c r="H9" i="23"/>
  <c r="J9" i="23" s="1"/>
  <c r="H6" i="23"/>
  <c r="K6" i="23" s="1"/>
  <c r="K8" i="23"/>
  <c r="B5" i="23"/>
  <c r="B6" i="23"/>
  <c r="B7" i="23"/>
  <c r="B8" i="23"/>
  <c r="I3" i="17"/>
  <c r="I11" i="1"/>
  <c r="I5" i="1"/>
  <c r="I6" i="1"/>
  <c r="B10" i="22"/>
  <c r="B5" i="22"/>
  <c r="B18" i="22" s="1"/>
  <c r="B17" i="23" l="1"/>
  <c r="I3" i="4" s="1"/>
  <c r="J6" i="23"/>
  <c r="I20" i="4" s="1"/>
  <c r="F6" i="23"/>
  <c r="B9" i="23"/>
  <c r="K9" i="23"/>
  <c r="J7" i="23"/>
  <c r="J8" i="23"/>
  <c r="I22" i="4" s="1"/>
  <c r="B10" i="23"/>
  <c r="B19" i="23"/>
  <c r="B21" i="23" s="1"/>
  <c r="I2" i="4" s="1"/>
  <c r="B20" i="23" l="1"/>
  <c r="I12" i="4" s="1"/>
  <c r="F9" i="23"/>
  <c r="I19" i="4" s="1"/>
  <c r="I23" i="4"/>
  <c r="F7" i="23"/>
  <c r="I18" i="4" s="1"/>
  <c r="F8" i="23"/>
  <c r="I21" i="4"/>
  <c r="I17" i="4"/>
  <c r="B28" i="23"/>
  <c r="I13" i="4" s="1"/>
  <c r="B22" i="23"/>
  <c r="B18" i="23"/>
  <c r="B8" i="22"/>
  <c r="B7" i="22"/>
  <c r="B6" i="22"/>
  <c r="B19" i="22" s="1"/>
  <c r="F10" i="23" l="1"/>
  <c r="B29" i="23"/>
  <c r="I14" i="4" s="1"/>
  <c r="I4" i="4"/>
  <c r="B15" i="23"/>
  <c r="I11" i="4" s="1"/>
  <c r="B16" i="23"/>
  <c r="I6" i="4" s="1"/>
  <c r="I4" i="17"/>
  <c r="I2" i="17"/>
  <c r="B25" i="22"/>
  <c r="I10" i="17" s="1"/>
  <c r="B10" i="21"/>
  <c r="B6" i="21"/>
  <c r="B17" i="22" l="1"/>
  <c r="B24" i="23" l="1"/>
  <c r="I10" i="4" s="1"/>
  <c r="I9" i="4"/>
  <c r="B20" i="22"/>
  <c r="B15" i="22" s="1"/>
  <c r="B5" i="21"/>
  <c r="B7" i="21"/>
  <c r="B26" i="22" l="1"/>
  <c r="I11" i="17" s="1"/>
  <c r="B14" i="22"/>
  <c r="I5" i="17" s="1"/>
  <c r="I6" i="17"/>
  <c r="B8" i="21"/>
  <c r="B16" i="21"/>
  <c r="I3" i="1" s="1"/>
  <c r="B9" i="21"/>
  <c r="B23" i="22" l="1"/>
  <c r="I9" i="17" s="1"/>
  <c r="B17" i="21"/>
  <c r="B18" i="21" s="1"/>
  <c r="B21" i="22"/>
  <c r="B20" i="21" l="1"/>
  <c r="I2" i="1" s="1"/>
  <c r="B19" i="21"/>
  <c r="I10" i="1" s="1"/>
  <c r="B22" i="22"/>
  <c r="I8" i="17" s="1"/>
  <c r="I7" i="17"/>
  <c r="M17" i="17"/>
  <c r="M25" i="6"/>
  <c r="M29" i="4"/>
  <c r="M16" i="1"/>
  <c r="L16" i="17" l="1" a="1"/>
  <c r="L16" i="17" s="1"/>
  <c r="I13" i="17" s="1"/>
  <c r="L28" i="4" l="1" a="1"/>
  <c r="L28" i="4" s="1"/>
  <c r="I25" i="4" s="1"/>
  <c r="B21" i="21" l="1"/>
  <c r="I4" i="1" s="1"/>
  <c r="B22" i="21" l="1"/>
  <c r="I7" i="1" s="1"/>
  <c r="B23" i="21"/>
  <c r="I8" i="1" s="1"/>
  <c r="B24" i="21" l="1"/>
  <c r="I9" i="1" s="1"/>
  <c r="L15" i="1" s="1" a="1"/>
  <c r="L15" i="1" s="1"/>
  <c r="I12" i="1" s="1"/>
  <c r="B20" i="24"/>
  <c r="B19" i="24"/>
  <c r="I12" i="6" s="1"/>
  <c r="B21" i="24" l="1"/>
  <c r="I2" i="6"/>
  <c r="I4" i="6" l="1"/>
  <c r="I11" i="6" l="1"/>
  <c r="B23" i="24"/>
  <c r="I10" i="6" s="1"/>
  <c r="L24" i="6" s="1" a="1"/>
  <c r="L24" i="6" s="1"/>
  <c r="I21" i="6" s="1"/>
  <c r="I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<sst xmlns="http://schemas.openxmlformats.org/spreadsheetml/2006/main" count="568" uniqueCount="181">
  <si>
    <t>~IN</t>
  </si>
  <si>
    <t>~OUT</t>
  </si>
  <si>
    <t>m</t>
  </si>
  <si>
    <t>dam_crst_0000_el</t>
  </si>
  <si>
    <t>dam_botm_max0_l</t>
  </si>
  <si>
    <t>dam_botm_upst_l</t>
  </si>
  <si>
    <t>dam_botm_dwst_l</t>
  </si>
  <si>
    <t>dam_crst_0000_l</t>
  </si>
  <si>
    <t>geo_rock_excv_th</t>
  </si>
  <si>
    <t>res_max0_0000_wl</t>
  </si>
  <si>
    <t>geo_qual_rock_x</t>
  </si>
  <si>
    <t>geo_soil_lbnk_th</t>
  </si>
  <si>
    <t>geo_soil_rbed_th</t>
  </si>
  <si>
    <t>geo_soil_rbnk_th</t>
  </si>
  <si>
    <t>rtc_dam0_zero_wl</t>
  </si>
  <si>
    <t>dam_eart_ripr_el</t>
  </si>
  <si>
    <t>dam_eart_filt_el</t>
  </si>
  <si>
    <t>res_min0_0000_wl</t>
  </si>
  <si>
    <r>
      <t>NA</t>
    </r>
    <r>
      <rPr>
        <vertAlign val="subscript"/>
        <sz val="11"/>
        <color theme="1"/>
        <rFont val="Calibri"/>
        <family val="2"/>
        <scheme val="minor"/>
      </rPr>
      <t>max</t>
    </r>
  </si>
  <si>
    <r>
      <t>e</t>
    </r>
    <r>
      <rPr>
        <vertAlign val="subscript"/>
        <sz val="11"/>
        <color theme="1"/>
        <rFont val="Calibri"/>
        <family val="2"/>
        <scheme val="minor"/>
      </rPr>
      <t>te</t>
    </r>
  </si>
  <si>
    <t>dam_trwl_0001_h</t>
  </si>
  <si>
    <t>dam_trwl_0002_h</t>
  </si>
  <si>
    <t>dam_trwl_0003_h</t>
  </si>
  <si>
    <t>dam_trwl_0004_h</t>
  </si>
  <si>
    <t>lay_wl02_wl03_dt</t>
  </si>
  <si>
    <t>lay_abut_wl01_dt</t>
  </si>
  <si>
    <t>lay_abut_wl04_dt</t>
  </si>
  <si>
    <t>dam_trwl_0001_l</t>
  </si>
  <si>
    <t>dam_trwl_0002_l</t>
  </si>
  <si>
    <t>dam_trwl_0003_l</t>
  </si>
  <si>
    <t>dam_trwl_0004_l</t>
  </si>
  <si>
    <r>
      <t>NA</t>
    </r>
    <r>
      <rPr>
        <vertAlign val="subscript"/>
        <sz val="11"/>
        <color theme="1"/>
        <rFont val="Calibri"/>
        <family val="2"/>
        <scheme val="minor"/>
      </rPr>
      <t>min</t>
    </r>
  </si>
  <si>
    <t>res_mmax_rise_h</t>
  </si>
  <si>
    <t>lay_abut_wl01_x</t>
  </si>
  <si>
    <t>lay_wl02_wl03_x</t>
  </si>
  <si>
    <t>lay_abut_wl04_x</t>
  </si>
  <si>
    <t>dam_e0r0_tran_l</t>
  </si>
  <si>
    <t>spw_type_0000_x</t>
  </si>
  <si>
    <t>dam_crst_max0_h</t>
  </si>
  <si>
    <t>dam_rock_dwst_i</t>
  </si>
  <si>
    <t>dam_rock_upst_i</t>
  </si>
  <si>
    <t>dam_eart_dwst_i</t>
  </si>
  <si>
    <t>dam_eart_upst_i</t>
  </si>
  <si>
    <t>dam_conc_dwst_i</t>
  </si>
  <si>
    <t>dam_conc_upst_i</t>
  </si>
  <si>
    <t>geo_soil_excv_th</t>
  </si>
  <si>
    <t>dam downstream transversal length</t>
  </si>
  <si>
    <t>dam transversal length</t>
  </si>
  <si>
    <t>dam upstream transversal length</t>
  </si>
  <si>
    <t>downstream slope of the concrete dam</t>
  </si>
  <si>
    <t>upstream slope of the concrete dam</t>
  </si>
  <si>
    <t>dam crest elevation</t>
  </si>
  <si>
    <t>dam crest width</t>
  </si>
  <si>
    <t>maximum dam height</t>
  </si>
  <si>
    <t>transition lenght from the earthfill to the rockfill dam section in case of transition walls</t>
  </si>
  <si>
    <t>downstream slope of the earthfill dam</t>
  </si>
  <si>
    <t xml:space="preserve">vertical filter top elevation of the earthfill dam </t>
  </si>
  <si>
    <t xml:space="preserve">rip-rap bottom elevation of the earthfill dam </t>
  </si>
  <si>
    <t>upstream slope of the earthfill dam</t>
  </si>
  <si>
    <t>downstream slope of the rockfill dam</t>
  </si>
  <si>
    <t>upstream slope of the rockfill dam</t>
  </si>
  <si>
    <t>transition wall 1 height (numbering from left to right)</t>
  </si>
  <si>
    <t>transition wall 1 length (if zero, it´s a retaining wall)</t>
  </si>
  <si>
    <t>transition wall 2 height (numbering from left to right)</t>
  </si>
  <si>
    <t>transition wall 2 length (if zero, it´s a retaining wall)</t>
  </si>
  <si>
    <t>transition wall 3 height (numbering from left to right)</t>
  </si>
  <si>
    <t>transition wall 3 length (if zero, it´s a retaining wall)</t>
  </si>
  <si>
    <t>transition wall 4 height (numbering from left to right)</t>
  </si>
  <si>
    <t>transition wall 4 extension (if zero, it´s a retaining wall)</t>
  </si>
  <si>
    <t>rock quality (1 - good; 2 - medium; 3 - poor)</t>
  </si>
  <si>
    <t xml:space="preserve">rock excavation thickness for concrete structures </t>
  </si>
  <si>
    <t>soil excavation thickness for earthfill dams</t>
  </si>
  <si>
    <t>soil thickness on the left riverbank</t>
  </si>
  <si>
    <t>soil thickness on the riverbed</t>
  </si>
  <si>
    <t>distance between the transition wall 1 and the left abutment (numbering from left to right)</t>
  </si>
  <si>
    <t>layout definition: if zero, there is no wall 1, dam closure in concrete</t>
  </si>
  <si>
    <t>distance between the transition wall 4 and the right abutment (numbering from left to right)</t>
  </si>
  <si>
    <t>layout definition: if zero, there is no wall 4, dam closure in concrete</t>
  </si>
  <si>
    <t>distance between the transition walls 2 and 3 (numbering from left to right)</t>
  </si>
  <si>
    <t>layout definition: if zero, there is no walls, dam closure in concrete</t>
  </si>
  <si>
    <t>maximum water level of the reservoir</t>
  </si>
  <si>
    <t>minimum water level of the reservoir</t>
  </si>
  <si>
    <t>maximum maximorum water level rising</t>
  </si>
  <si>
    <t>dam rating curve zero</t>
  </si>
  <si>
    <t xml:space="preserve">identification for the spillway type </t>
  </si>
  <si>
    <t>IN: project basic information</t>
  </si>
  <si>
    <t>OUT: first results for HERA calculation</t>
  </si>
  <si>
    <t>IN: information obtained by HERA after the first workflow calculation</t>
  </si>
  <si>
    <t>OUT: final results obtained after the end of the workflow</t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</si>
  <si>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</si>
  <si>
    <r>
      <t>m</t>
    </r>
    <r>
      <rPr>
        <vertAlign val="subscript"/>
        <sz val="11"/>
        <color theme="1"/>
        <rFont val="Calibri"/>
        <family val="2"/>
        <scheme val="minor"/>
      </rPr>
      <t>m</t>
    </r>
  </si>
  <si>
    <t>soil thickness on the right riverbank</t>
  </si>
  <si>
    <t xml:space="preserve">to access the definition of the variables in other languages, refer to Engineering dictionary.xls at HERA documentation 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</si>
  <si>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</si>
  <si>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</si>
  <si>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</si>
  <si>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</si>
  <si>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res_type_watc_x</t>
  </si>
  <si>
    <t>identification for the reservoir type according to its location (in a watercourse = 0 or not =1)</t>
  </si>
  <si>
    <t>dyk_crst_0000_el</t>
  </si>
  <si>
    <t>dyk_crst_0000_l</t>
  </si>
  <si>
    <t>dyk_crst_max0_h</t>
  </si>
  <si>
    <t>dyk_eart_dwst_i</t>
  </si>
  <si>
    <t>dyk_eart_upst_i</t>
  </si>
  <si>
    <t>dyk_botm_max0_l</t>
  </si>
  <si>
    <t>dyk_botm_upst_l</t>
  </si>
  <si>
    <t>dyk_botm_dwst_l</t>
  </si>
  <si>
    <t>dyk_eart_ripr_el</t>
  </si>
  <si>
    <t>dyk_eart_filt_el</t>
  </si>
  <si>
    <t>dyke crest elevation</t>
  </si>
  <si>
    <t>dyke crest width</t>
  </si>
  <si>
    <t>maximum dyke height</t>
  </si>
  <si>
    <t>downstream slope of the earthfill dyke</t>
  </si>
  <si>
    <t>upstream slope of the earthfill dyke</t>
  </si>
  <si>
    <t>dyke transversal length</t>
  </si>
  <si>
    <t>dyke upstream transversal length</t>
  </si>
  <si>
    <t>dyke downstream transversal length</t>
  </si>
  <si>
    <t xml:space="preserve">rip-rap bottom elevation of the earthfill dyke </t>
  </si>
  <si>
    <t xml:space="preserve">vertical filter top elevation of the earthfill dyke </t>
  </si>
  <si>
    <t>terrain minimum elevation along the dyke axis</t>
  </si>
  <si>
    <t>soil thickness on the site of a reservoir</t>
  </si>
  <si>
    <t>geo_soil_xres_th</t>
  </si>
  <si>
    <t>?</t>
  </si>
  <si>
    <t>dyk_min0_0000_el</t>
  </si>
  <si>
    <t>dam_min0_0000_el</t>
  </si>
  <si>
    <t>terrain minimum elevation along the dam axis</t>
  </si>
  <si>
    <t>div</t>
  </si>
  <si>
    <t>spw</t>
  </si>
  <si>
    <t>quant</t>
  </si>
  <si>
    <t>q h</t>
  </si>
  <si>
    <t>s h</t>
  </si>
  <si>
    <t>DADOS DE ENTRADA</t>
  </si>
  <si>
    <t>BARRAGEM DE CONCRETO</t>
  </si>
  <si>
    <t>Reservatório em curso d'água</t>
  </si>
  <si>
    <t xml:space="preserve">Elevação mínima do terreno ao longo do eixo </t>
  </si>
  <si>
    <t>Altura máxima da barragem (m)</t>
  </si>
  <si>
    <r>
      <t>Nível de água máximo normal do reservatório (m) - NA</t>
    </r>
    <r>
      <rPr>
        <vertAlign val="subscript"/>
        <sz val="10"/>
        <color theme="1"/>
        <rFont val="Arial"/>
        <family val="2"/>
      </rPr>
      <t>max</t>
    </r>
  </si>
  <si>
    <r>
      <t>Talude do paramento de montante (m) - m</t>
    </r>
    <r>
      <rPr>
        <vertAlign val="subscript"/>
        <sz val="10"/>
        <color theme="1"/>
        <rFont val="Arial"/>
        <family val="2"/>
      </rPr>
      <t>m</t>
    </r>
  </si>
  <si>
    <r>
      <t>Talude do paramento de jusante (m) - m</t>
    </r>
    <r>
      <rPr>
        <vertAlign val="subscript"/>
        <sz val="10"/>
        <color theme="1"/>
        <rFont val="Arial"/>
        <family val="2"/>
      </rPr>
      <t>j</t>
    </r>
  </si>
  <si>
    <r>
      <t>Borda livre (m) - H</t>
    </r>
    <r>
      <rPr>
        <vertAlign val="subscript"/>
        <sz val="10"/>
        <color theme="1"/>
        <rFont val="Arial"/>
        <family val="2"/>
      </rPr>
      <t>bl</t>
    </r>
  </si>
  <si>
    <t>Largura da crista da barragem (m)</t>
  </si>
  <si>
    <t>Elevação da crista da barragem (m)</t>
  </si>
  <si>
    <t>ver critérios</t>
  </si>
  <si>
    <t>Extensão transversal máxima da barragem (m)</t>
  </si>
  <si>
    <t>Extensão transversal máxima para jusante (m)</t>
  </si>
  <si>
    <t>Extensão transversal máxima para montante (m)</t>
  </si>
  <si>
    <t>Altura máxima do nível d'água até a fundação (m)</t>
  </si>
  <si>
    <r>
      <t>Espessura média da camada de solo no trecho de maior altura (m) - e</t>
    </r>
    <r>
      <rPr>
        <vertAlign val="subscript"/>
        <sz val="10"/>
        <color theme="1"/>
        <rFont val="Arial"/>
        <family val="2"/>
      </rPr>
      <t>te</t>
    </r>
  </si>
  <si>
    <r>
      <t>El</t>
    </r>
    <r>
      <rPr>
        <vertAlign val="subscript"/>
        <sz val="11"/>
        <color theme="1"/>
        <rFont val="Calibri"/>
        <family val="2"/>
        <scheme val="minor"/>
      </rPr>
      <t>cr</t>
    </r>
  </si>
  <si>
    <t>Sobrelevação máxima para vertedouros livres (m)</t>
  </si>
  <si>
    <t>Tipo de vertedouro (1 a 3 = controlado, 4 = livre)</t>
  </si>
  <si>
    <t>Qualidade da rocha de fundação (1 = boa; 2 = média; 3 = ruim)</t>
  </si>
  <si>
    <t>Espessura de sobrescavação em rocha (m)</t>
  </si>
  <si>
    <t>f(geologia - fase 2)</t>
  </si>
  <si>
    <t>padrão = f (geologia - fase 2)</t>
  </si>
  <si>
    <t>DIQUE DE TERRA</t>
  </si>
  <si>
    <t>Nível de água mínimo do reservatório (m) - Namin</t>
  </si>
  <si>
    <t>Elevação inferior do rip-rap (m)</t>
  </si>
  <si>
    <t>Elevação superior do filtro vertical (m)</t>
  </si>
  <si>
    <t>BARRAGEM DE TERRA</t>
  </si>
  <si>
    <t>Extensão transversal máxima do dique (m)</t>
  </si>
  <si>
    <t>Largura da crista do dique (m)</t>
  </si>
  <si>
    <t>Elevação da crista do dique (m)</t>
  </si>
  <si>
    <t>Altura máxima do dique (m)</t>
  </si>
  <si>
    <t>Quantidade</t>
  </si>
  <si>
    <t>Altura</t>
  </si>
  <si>
    <t>Tipo</t>
  </si>
  <si>
    <t>muro de transição 1</t>
  </si>
  <si>
    <t>muro de transição 2</t>
  </si>
  <si>
    <t>muro de transição 3</t>
  </si>
  <si>
    <t>muro de transição 4</t>
  </si>
  <si>
    <t>Extensão</t>
  </si>
  <si>
    <t>MUROS</t>
  </si>
  <si>
    <t>Espessura de sobrescavação em solo (m)</t>
  </si>
  <si>
    <t>Extensão da transição da barragem de terra para enrocamento (m)</t>
  </si>
  <si>
    <t>muros de transição</t>
  </si>
  <si>
    <t>CARACTERÍSTICAS DA BARRAGEM</t>
  </si>
  <si>
    <t>novas variáveis na planilha</t>
  </si>
  <si>
    <t>variáveis não utilizadas, mas que podem vir a ser se passarmos a considerar trechos de barragens</t>
  </si>
  <si>
    <t>variáveis cuja utilidade deve ser verificada</t>
  </si>
  <si>
    <t xml:space="preserve">planilhas em que as variáveis são utilizadas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</si>
</sst>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vertAlign val="subscript"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3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" fontId="0" fillId="0" borderId="0" xfId="0" applyNumberFormat="1" applyAlignment="1">
      <alignment horizontal="right"/>
    </xf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3" borderId="0" xfId="0" applyFont="1" applyFill="1"/>
    <xf numFmtId="2" fontId="9" fillId="3" borderId="0" xfId="0" applyNumberFormat="1" applyFont="1" applyFill="1"/>
    <xf numFmtId="2" fontId="10" fillId="0" borderId="0" xfId="1" quotePrefix="1" applyNumberFormat="1" applyFont="1" applyAlignment="1">
      <alignment horizontal="left"/>
    </xf>
    <xf numFmtId="0" fontId="11" fillId="4" borderId="0" xfId="0" applyFont="1" applyFill="1"/>
    <xf numFmtId="2" fontId="10" fillId="0" borderId="0" xfId="1" applyNumberFormat="1" applyFont="1"/>
    <xf numFmtId="0" fontId="11" fillId="0" borderId="0" xfId="0" applyFont="1"/>
    <xf numFmtId="0" fontId="9" fillId="3" borderId="0" xfId="0" applyFont="1" applyFill="1"/>
    <xf numFmtId="4" fontId="9" fillId="3" borderId="0" xfId="0" applyNumberFormat="1" applyFont="1" applyFill="1"/>
    <xf numFmtId="0" fontId="12" fillId="0" borderId="0" xfId="0" applyFont="1"/>
    <xf numFmtId="0" fontId="13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3" borderId="0" xfId="0" applyFont="1" applyFill="1"/>
    <xf numFmtId="2" fontId="15" fillId="3" borderId="0" xfId="0" applyNumberFormat="1" applyFont="1" applyFill="1"/>
    <xf numFmtId="1" fontId="16" fillId="3" borderId="0" xfId="1" applyNumberFormat="1" applyFont="1" applyFill="1" applyAlignment="1">
      <alignment horizontal="center"/>
    </xf>
    <xf numFmtId="2" fontId="16" fillId="0" borderId="0" xfId="1" quotePrefix="1" applyNumberFormat="1" applyFont="1" applyAlignment="1">
      <alignment horizontal="left"/>
    </xf>
    <xf numFmtId="2" fontId="16" fillId="0" borderId="0" xfId="1" applyNumberFormat="1" applyFont="1"/>
    <xf numFmtId="0" fontId="15" fillId="3" borderId="0" xfId="0" applyFont="1" applyFill="1"/>
    <xf numFmtId="0" fontId="17" fillId="0" borderId="0" xfId="0" applyFont="1"/>
    <xf numFmtId="4" fontId="15" fillId="3" borderId="0" xfId="0" applyNumberFormat="1" applyFont="1" applyFill="1"/>
    <xf numFmtId="0" fontId="18" fillId="0" borderId="0" xfId="0" applyFont="1"/>
    <xf numFmtId="164" fontId="15" fillId="3" borderId="0" xfId="0" applyNumberFormat="1" applyFont="1" applyFill="1"/>
    <xf numFmtId="0" fontId="19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3" borderId="0" xfId="0" applyFont="1" applyFill="1"/>
    <xf numFmtId="2" fontId="21" fillId="3" borderId="0" xfId="0" applyNumberFormat="1" applyFont="1" applyFill="1"/>
    <xf numFmtId="1" fontId="22" fillId="3" borderId="0" xfId="1" applyNumberFormat="1" applyFont="1" applyFill="1" applyAlignment="1">
      <alignment horizontal="center"/>
    </xf>
    <xf numFmtId="2" fontId="22" fillId="0" borderId="0" xfId="1" quotePrefix="1" applyNumberFormat="1" applyFont="1" applyAlignment="1">
      <alignment horizontal="left"/>
    </xf>
    <xf numFmtId="2" fontId="22" fillId="0" borderId="0" xfId="1" applyNumberFormat="1" applyFont="1"/>
    <xf numFmtId="4" fontId="21" fillId="3" borderId="0" xfId="0" applyNumberFormat="1" applyFont="1" applyFill="1"/>
    <xf numFmtId="0" fontId="24" fillId="0" borderId="0" xfId="0" applyFont="1"/>
    <xf numFmtId="0" fontId="21" fillId="3" borderId="0" xfId="0" applyFont="1" applyFill="1"/>
    <xf numFmtId="0" fontId="23" fillId="0" borderId="0" xfId="0" applyFont="1"/>
    <xf numFmtId="164" fontId="21" fillId="3" borderId="0" xfId="0" applyNumberFormat="1" applyFont="1" applyFill="1"/>
    <xf numFmtId="1" fontId="21" fillId="3" borderId="0" xfId="0" applyNumberFormat="1" applyFont="1" applyFill="1"/>
    <xf numFmtId="1" fontId="15" fillId="3" borderId="0" xfId="0" applyNumberFormat="1" applyFont="1" applyFill="1"/>
    <xf numFmtId="1" fontId="1" fillId="3" borderId="0" xfId="0" applyNumberFormat="1" applyFont="1" applyFill="1"/>
    <xf numFmtId="1" fontId="3" fillId="3" borderId="0" xfId="1" applyNumberFormat="1" applyFont="1" applyFill="1" applyAlignment="1">
      <alignment horizontal="center"/>
    </xf>
    <xf numFmtId="0" fontId="1" fillId="0" borderId="0" xfId="0" applyFont="1"/>
    <xf numFmtId="0" fontId="11" fillId="3" borderId="0" xfId="0" applyFont="1" applyFill="1"/>
    <xf numFmtId="0" fontId="0" fillId="0" borderId="0" xfId="0" applyAlignment="1">
      <alignment horizontal="left"/>
    </xf>
    <xf numFmtId="0" fontId="25" fillId="5" borderId="0" xfId="0" applyFont="1" applyFill="1"/>
    <xf numFmtId="1" fontId="0" fillId="3" borderId="0" xfId="0" applyNumberFormat="1" applyFill="1"/>
    <xf numFmtId="1" fontId="3" fillId="3" borderId="0" xfId="2" applyNumberFormat="1" applyFont="1" applyFill="1" applyAlignment="1">
      <alignment horizontal="center"/>
    </xf>
    <xf numFmtId="0" fontId="0" fillId="7" borderId="0" xfId="0" applyFill="1"/>
    <xf numFmtId="0" fontId="0" fillId="0" borderId="0" xfId="0" quotePrefix="1"/>
    <xf numFmtId="0" fontId="0" fillId="7" borderId="0" xfId="0" applyFill="1" applyAlignment="1">
      <alignment horizontal="center"/>
    </xf>
    <xf numFmtId="0" fontId="21" fillId="6" borderId="0" xfId="0" applyFont="1" applyFill="1"/>
    <xf numFmtId="0" fontId="24" fillId="6" borderId="0" xfId="0" applyFont="1" applyFill="1"/>
    <xf numFmtId="2" fontId="22" fillId="6" borderId="0" xfId="1" quotePrefix="1" applyNumberFormat="1" applyFont="1" applyFill="1" applyAlignment="1">
      <alignment horizontal="left"/>
    </xf>
    <xf numFmtId="0" fontId="21" fillId="8" borderId="0" xfId="0" applyFont="1" applyFill="1"/>
    <xf numFmtId="0" fontId="2" fillId="6" borderId="0" xfId="0" applyFont="1" applyFill="1"/>
    <xf numFmtId="0" fontId="0" fillId="0" borderId="0" xfId="0" applyFont="1"/>
    <xf numFmtId="0" fontId="4" fillId="3" borderId="1" xfId="3" applyFont="1" applyFill="1" applyBorder="1"/>
    <xf numFmtId="0" fontId="4" fillId="0" borderId="1" xfId="3" applyFont="1" applyBorder="1"/>
    <xf numFmtId="4" fontId="0" fillId="0" borderId="1" xfId="0" applyNumberFormat="1" applyBorder="1" applyAlignment="1">
      <alignment horizontal="right"/>
    </xf>
    <xf numFmtId="0" fontId="4" fillId="0" borderId="0" xfId="3" applyFont="1" applyBorder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0" fontId="3" fillId="0" borderId="1" xfId="3" applyFont="1" applyBorder="1"/>
    <xf numFmtId="4" fontId="0" fillId="0" borderId="1" xfId="0" applyNumberFormat="1" applyFont="1" applyBorder="1" applyAlignment="1">
      <alignment horizontal="right"/>
    </xf>
    <xf numFmtId="0" fontId="26" fillId="0" borderId="0" xfId="0" applyFont="1"/>
    <xf numFmtId="0" fontId="26" fillId="0" borderId="1" xfId="0" applyFont="1" applyBorder="1"/>
    <xf numFmtId="0" fontId="26" fillId="0" borderId="1" xfId="0" applyFont="1" applyFill="1" applyBorder="1"/>
    <xf numFmtId="0" fontId="26" fillId="0" borderId="0" xfId="0" applyFont="1" applyBorder="1"/>
    <xf numFmtId="0" fontId="11" fillId="0" borderId="0" xfId="0" applyFont="1" applyFill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4" fontId="0" fillId="0" borderId="1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2" fontId="3" fillId="0" borderId="1" xfId="1" applyNumberFormat="1" applyFont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" fontId="3" fillId="0" borderId="1" xfId="1" applyNumberFormat="1" applyFont="1" applyBorder="1"/>
    <xf numFmtId="164" fontId="3" fillId="0" borderId="1" xfId="1" applyNumberFormat="1" applyFont="1" applyBorder="1"/>
    <xf numFmtId="2" fontId="3" fillId="0" borderId="1" xfId="1" applyNumberFormat="1" applyFont="1" applyFill="1" applyBorder="1"/>
    <xf numFmtId="4" fontId="0" fillId="0" borderId="1" xfId="0" applyNumberFormat="1" applyFill="1" applyBorder="1" applyAlignment="1">
      <alignment horizontal="right"/>
    </xf>
    <xf numFmtId="0" fontId="12" fillId="6" borderId="0" xfId="0" applyFont="1" applyFill="1"/>
    <xf numFmtId="0" fontId="12" fillId="2" borderId="0" xfId="0" applyFont="1" applyFill="1"/>
    <xf numFmtId="2" fontId="10" fillId="2" borderId="0" xfId="1" quotePrefix="1" applyNumberFormat="1" applyFont="1" applyFill="1" applyAlignment="1">
      <alignment horizontal="left"/>
    </xf>
    <xf numFmtId="2" fontId="22" fillId="2" borderId="0" xfId="1" quotePrefix="1" applyNumberFormat="1" applyFont="1" applyFill="1" applyAlignment="1">
      <alignment horizontal="left"/>
    </xf>
    <xf numFmtId="2" fontId="16" fillId="2" borderId="0" xfId="1" quotePrefix="1" applyNumberFormat="1" applyFont="1" applyFill="1" applyAlignment="1">
      <alignment horizontal="left"/>
    </xf>
    <xf numFmtId="0" fontId="12" fillId="8" borderId="0" xfId="0" applyFont="1" applyFill="1"/>
    <xf numFmtId="0" fontId="0" fillId="9" borderId="0" xfId="0" applyFont="1" applyFill="1"/>
    <xf numFmtId="0" fontId="12" fillId="9" borderId="0" xfId="0" applyFont="1" applyFill="1"/>
    <xf numFmtId="1" fontId="4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</cellXfs>
  <cellStyles count="4">
    <cellStyle name="Normal" xfId="0" builtinId="0"/>
    <cellStyle name="Normal 5" xfId="3" xr:uid="{6DADCBD4-3743-4C1A-AAEF-7EE6DC3D3CE2}"/>
    <cellStyle name="Normal_VERTEDOR" xfId="1" xr:uid="{00000000-0005-0000-0000-000001000000}"/>
    <cellStyle name="Normal_VERTEDOR 2" xfId="2" xr:uid="{2BD6DC89-EF4B-481E-BABA-481EF35B98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13</xdr:row>
      <xdr:rowOff>28575</xdr:rowOff>
    </xdr:from>
    <xdr:to>
      <xdr:col>9</xdr:col>
      <xdr:colOff>495300</xdr:colOff>
      <xdr:row>27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44" t="38286" r="63172" b="23949"/>
        <a:stretch/>
      </xdr:blipFill>
      <xdr:spPr>
        <a:xfrm>
          <a:off x="7153275" y="2543175"/>
          <a:ext cx="2886075" cy="2762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13</xdr:row>
      <xdr:rowOff>180975</xdr:rowOff>
    </xdr:from>
    <xdr:to>
      <xdr:col>16</xdr:col>
      <xdr:colOff>120281</xdr:colOff>
      <xdr:row>24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8" t="57298" r="65222" b="25903"/>
        <a:stretch/>
      </xdr:blipFill>
      <xdr:spPr>
        <a:xfrm>
          <a:off x="6972300" y="2695575"/>
          <a:ext cx="5406656" cy="2057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</xdr:row>
      <xdr:rowOff>9524</xdr:rowOff>
    </xdr:from>
    <xdr:to>
      <xdr:col>15</xdr:col>
      <xdr:colOff>15871</xdr:colOff>
      <xdr:row>21</xdr:row>
      <xdr:rowOff>9524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20" t="53523" r="68517" b="28897"/>
        <a:stretch/>
      </xdr:blipFill>
      <xdr:spPr>
        <a:xfrm>
          <a:off x="7153275" y="2124074"/>
          <a:ext cx="4511671" cy="1933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47625</xdr:rowOff>
    </xdr:from>
    <xdr:to>
      <xdr:col>12</xdr:col>
      <xdr:colOff>301256</xdr:colOff>
      <xdr:row>23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8" t="57298" r="65222" b="25903"/>
        <a:stretch/>
      </xdr:blipFill>
      <xdr:spPr>
        <a:xfrm>
          <a:off x="7096125" y="2562225"/>
          <a:ext cx="5406656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H18" sqref="H18"/>
    </sheetView>
  </sheetViews>
  <sheetFormatPr defaultColWidth="9.109375" defaultRowHeight="14.4" x14ac:dyDescent="0.3"/>
  <cols>
    <col min="1" max="1" width="22.33203125" style="7" bestFit="1" customWidth="1"/>
    <col min="2" max="2" width="6.5546875" style="7" bestFit="1" customWidth="1"/>
    <col min="3" max="3" width="2.6640625" style="7" bestFit="1" customWidth="1"/>
    <col min="4" max="4" width="2.6640625" style="7" customWidth="1"/>
    <col min="5" max="5" width="6.109375" style="16" bestFit="1" customWidth="1"/>
    <col min="6" max="6" width="84.44140625" style="7" customWidth="1"/>
    <col min="7" max="7" width="6.109375" style="7" bestFit="1" customWidth="1"/>
    <col min="8" max="8" width="22.33203125" style="7" bestFit="1" customWidth="1"/>
    <col min="9" max="9" width="6.5546875" style="7" bestFit="1" customWidth="1"/>
    <col min="10" max="10" width="2.5546875" style="7" bestFit="1" customWidth="1"/>
    <col min="11" max="11" width="2.5546875" style="7" customWidth="1"/>
    <col min="12" max="12" width="3.88671875" style="7" bestFit="1" customWidth="1"/>
    <col min="13" max="13" width="45.44140625" style="7" bestFit="1" customWidth="1"/>
    <col min="14" max="16384" width="9.109375" style="7"/>
  </cols>
  <sheetData>
    <row r="1" spans="1:13" x14ac:dyDescent="0.3">
      <c r="A1" s="4" t="s">
        <v>0</v>
      </c>
      <c r="B1" s="5"/>
      <c r="C1" s="5"/>
      <c r="D1" s="5"/>
      <c r="E1" s="6"/>
      <c r="F1" s="52" t="s">
        <v>92</v>
      </c>
      <c r="G1" s="5"/>
      <c r="H1" s="4" t="s">
        <v>1</v>
      </c>
    </row>
    <row r="2" spans="1:13" ht="15.6" x14ac:dyDescent="0.35">
      <c r="A2" s="8" t="s">
        <v>9</v>
      </c>
      <c r="B2" s="9">
        <v>315</v>
      </c>
      <c r="C2" s="7" t="s">
        <v>2</v>
      </c>
      <c r="D2" s="48">
        <v>1</v>
      </c>
      <c r="E2" s="10" t="s">
        <v>18</v>
      </c>
      <c r="F2" s="11" t="s">
        <v>80</v>
      </c>
      <c r="G2" s="94" t="s">
        <v>130</v>
      </c>
      <c r="H2" s="8" t="s">
        <v>3</v>
      </c>
      <c r="I2" s="9">
        <f>dam1conc!B20</f>
        <v>318</v>
      </c>
      <c r="J2" s="12" t="s">
        <v>2</v>
      </c>
      <c r="K2" s="48">
        <v>1</v>
      </c>
      <c r="L2" s="63" t="s">
        <v>148</v>
      </c>
      <c r="M2" s="11" t="s">
        <v>51</v>
      </c>
    </row>
    <row r="3" spans="1:13" x14ac:dyDescent="0.3">
      <c r="A3" s="8" t="s">
        <v>10</v>
      </c>
      <c r="B3" s="14">
        <v>1</v>
      </c>
      <c r="D3" s="48">
        <v>1</v>
      </c>
      <c r="E3" s="13"/>
      <c r="F3" s="11" t="s">
        <v>69</v>
      </c>
      <c r="G3" s="94" t="s">
        <v>129</v>
      </c>
      <c r="H3" s="8" t="s">
        <v>7</v>
      </c>
      <c r="I3" s="9">
        <f>dam1conc!B16</f>
        <v>4</v>
      </c>
      <c r="J3" s="7" t="s">
        <v>2</v>
      </c>
      <c r="K3" s="48">
        <v>2</v>
      </c>
      <c r="L3" s="13"/>
      <c r="M3" s="11" t="s">
        <v>52</v>
      </c>
    </row>
    <row r="4" spans="1:13" ht="15.6" x14ac:dyDescent="0.35">
      <c r="A4" s="8" t="s">
        <v>12</v>
      </c>
      <c r="B4" s="9">
        <v>1</v>
      </c>
      <c r="C4" s="7" t="s">
        <v>2</v>
      </c>
      <c r="D4" s="48">
        <v>1</v>
      </c>
      <c r="E4" s="10" t="s">
        <v>19</v>
      </c>
      <c r="F4" s="11" t="s">
        <v>73</v>
      </c>
      <c r="H4" s="8" t="s">
        <v>38</v>
      </c>
      <c r="I4" s="36">
        <f>dam1conc!B21</f>
        <v>19</v>
      </c>
      <c r="J4" t="s">
        <v>2</v>
      </c>
      <c r="K4" s="48">
        <v>1</v>
      </c>
      <c r="L4" s="34"/>
      <c r="M4" s="11" t="s">
        <v>53</v>
      </c>
    </row>
    <row r="5" spans="1:13" ht="15.6" x14ac:dyDescent="0.35">
      <c r="A5" s="8" t="s">
        <v>121</v>
      </c>
      <c r="B5" s="36">
        <v>3</v>
      </c>
      <c r="C5" s="34" t="s">
        <v>2</v>
      </c>
      <c r="D5" s="48">
        <v>1</v>
      </c>
      <c r="E5" s="60" t="s">
        <v>19</v>
      </c>
      <c r="F5" s="11" t="s">
        <v>120</v>
      </c>
      <c r="G5" s="94" t="s">
        <v>128</v>
      </c>
      <c r="H5" s="8" t="s">
        <v>44</v>
      </c>
      <c r="I5" s="36">
        <f>dam1conc!B14</f>
        <v>0</v>
      </c>
      <c r="J5"/>
      <c r="K5" s="48">
        <v>1</v>
      </c>
      <c r="L5" s="51" t="s">
        <v>90</v>
      </c>
      <c r="M5" s="11" t="s">
        <v>50</v>
      </c>
    </row>
    <row r="6" spans="1:13" ht="15.6" x14ac:dyDescent="0.35">
      <c r="A6" s="8" t="s">
        <v>14</v>
      </c>
      <c r="B6" s="9">
        <v>300</v>
      </c>
      <c r="C6" s="7" t="s">
        <v>2</v>
      </c>
      <c r="D6" s="48">
        <v>1</v>
      </c>
      <c r="E6" s="76"/>
      <c r="F6" s="11" t="s">
        <v>83</v>
      </c>
      <c r="G6" s="94" t="s">
        <v>128</v>
      </c>
      <c r="H6" s="8" t="s">
        <v>43</v>
      </c>
      <c r="I6" s="36">
        <f>dam1conc!B15</f>
        <v>0.75</v>
      </c>
      <c r="J6"/>
      <c r="K6" s="48">
        <v>1</v>
      </c>
      <c r="L6" s="51" t="s">
        <v>89</v>
      </c>
      <c r="M6" s="11" t="s">
        <v>49</v>
      </c>
    </row>
    <row r="7" spans="1:13" x14ac:dyDescent="0.3">
      <c r="A7" s="8" t="s">
        <v>124</v>
      </c>
      <c r="B7" s="36">
        <v>305</v>
      </c>
      <c r="C7" s="34" t="s">
        <v>2</v>
      </c>
      <c r="D7" s="48">
        <v>1</v>
      </c>
      <c r="E7" s="62" t="s">
        <v>122</v>
      </c>
      <c r="F7" s="11" t="s">
        <v>125</v>
      </c>
      <c r="G7" s="94" t="s">
        <v>126</v>
      </c>
      <c r="H7" s="8" t="s">
        <v>4</v>
      </c>
      <c r="I7" s="9">
        <f>dam1conc!B22</f>
        <v>18.25</v>
      </c>
      <c r="J7" s="12" t="s">
        <v>2</v>
      </c>
      <c r="K7" s="48">
        <v>2</v>
      </c>
      <c r="L7" s="13"/>
      <c r="M7" s="11" t="s">
        <v>47</v>
      </c>
    </row>
    <row r="8" spans="1:13" x14ac:dyDescent="0.3">
      <c r="A8" s="8" t="s">
        <v>37</v>
      </c>
      <c r="B8" s="47">
        <v>4</v>
      </c>
      <c r="C8"/>
      <c r="D8" s="48">
        <v>2</v>
      </c>
      <c r="E8"/>
      <c r="F8" s="11" t="s">
        <v>84</v>
      </c>
      <c r="G8" s="94" t="s">
        <v>126</v>
      </c>
      <c r="H8" s="8" t="s">
        <v>5</v>
      </c>
      <c r="I8" s="9">
        <f>dam1conc!B23</f>
        <v>2</v>
      </c>
      <c r="J8" s="7" t="s">
        <v>2</v>
      </c>
      <c r="K8" s="48">
        <v>2</v>
      </c>
      <c r="L8" s="13"/>
      <c r="M8" s="11" t="s">
        <v>48</v>
      </c>
    </row>
    <row r="9" spans="1:13" x14ac:dyDescent="0.3">
      <c r="A9" s="8" t="s">
        <v>97</v>
      </c>
      <c r="B9" s="47">
        <v>0</v>
      </c>
      <c r="C9"/>
      <c r="D9" s="48"/>
      <c r="E9" s="59"/>
      <c r="F9" s="11" t="s">
        <v>98</v>
      </c>
      <c r="G9" s="94" t="s">
        <v>126</v>
      </c>
      <c r="H9" s="8" t="s">
        <v>6</v>
      </c>
      <c r="I9" s="9">
        <f>dam1conc!B24</f>
        <v>16.25</v>
      </c>
      <c r="J9" s="7" t="s">
        <v>2</v>
      </c>
      <c r="K9" s="48">
        <v>2</v>
      </c>
      <c r="L9" s="13"/>
      <c r="M9" s="11" t="s">
        <v>46</v>
      </c>
    </row>
    <row r="10" spans="1:13" x14ac:dyDescent="0.3">
      <c r="G10" s="94" t="s">
        <v>127</v>
      </c>
      <c r="H10" s="8" t="s">
        <v>32</v>
      </c>
      <c r="I10" s="15">
        <f>dam1conc!B19</f>
        <v>2</v>
      </c>
      <c r="J10" s="12" t="s">
        <v>2</v>
      </c>
      <c r="K10" s="48">
        <v>1</v>
      </c>
      <c r="L10" s="13"/>
      <c r="M10" s="11" t="s">
        <v>82</v>
      </c>
    </row>
    <row r="11" spans="1:13" x14ac:dyDescent="0.3">
      <c r="D11" s="48">
        <v>1</v>
      </c>
      <c r="E11" s="2"/>
      <c r="F11" s="50" t="s">
        <v>85</v>
      </c>
      <c r="H11" s="8" t="s">
        <v>8</v>
      </c>
      <c r="I11" s="9">
        <f>dam1conc!B25</f>
        <v>1</v>
      </c>
      <c r="J11" s="7" t="s">
        <v>2</v>
      </c>
      <c r="K11" s="48">
        <v>1</v>
      </c>
      <c r="L11" s="13"/>
      <c r="M11" s="11" t="s">
        <v>70</v>
      </c>
    </row>
    <row r="12" spans="1:13" x14ac:dyDescent="0.3">
      <c r="D12" s="49"/>
      <c r="E12" s="2"/>
      <c r="F12" s="50" t="s">
        <v>86</v>
      </c>
      <c r="H12" s="8" t="s">
        <v>93</v>
      </c>
      <c r="I12" s="53" t="str">
        <f>VLOOKUP(1,L15:M16,2,FALSE)</f>
        <v/>
      </c>
      <c r="J12" s="49"/>
      <c r="K12" s="54">
        <v>2</v>
      </c>
      <c r="L12" s="49"/>
      <c r="M12" s="11" t="s">
        <v>94</v>
      </c>
    </row>
    <row r="13" spans="1:13" x14ac:dyDescent="0.3">
      <c r="D13" s="48">
        <v>2</v>
      </c>
      <c r="E13" s="2"/>
      <c r="F13" s="50" t="s">
        <v>87</v>
      </c>
      <c r="G13"/>
      <c r="H13"/>
      <c r="I13"/>
      <c r="J13"/>
      <c r="K13"/>
      <c r="L13"/>
      <c r="M13"/>
    </row>
    <row r="14" spans="1:13" x14ac:dyDescent="0.3">
      <c r="D14" s="49"/>
      <c r="E14" s="2"/>
      <c r="F14" s="50" t="s">
        <v>88</v>
      </c>
      <c r="H14"/>
      <c r="I14"/>
      <c r="J14"/>
      <c r="K14"/>
      <c r="L14" s="55" t="s">
        <v>95</v>
      </c>
      <c r="M14" s="55"/>
    </row>
    <row r="15" spans="1:13" x14ac:dyDescent="0.3">
      <c r="H15"/>
      <c r="I15"/>
      <c r="J15"/>
      <c r="K15"/>
      <c r="L15" s="1" cm="1">
        <f t="array" ref="L15">IFERROR(MIN(ABS(I2:I11),0),1)</f>
        <v>0</v>
      </c>
      <c r="M15" s="56" t="s">
        <v>96</v>
      </c>
    </row>
    <row r="16" spans="1:13" ht="15.6" x14ac:dyDescent="0.35">
      <c r="A16" s="8" t="s">
        <v>11</v>
      </c>
      <c r="B16" s="9">
        <v>3</v>
      </c>
      <c r="C16" s="7" t="s">
        <v>2</v>
      </c>
      <c r="D16" s="48">
        <v>1</v>
      </c>
      <c r="E16" s="90" t="s">
        <v>19</v>
      </c>
      <c r="F16" s="11" t="s">
        <v>72</v>
      </c>
      <c r="H16"/>
      <c r="I16"/>
      <c r="J16"/>
      <c r="K16"/>
      <c r="L16" s="57">
        <v>1</v>
      </c>
      <c r="M16" t="str">
        <f>""</f>
        <v/>
      </c>
    </row>
    <row r="17" spans="1:11" ht="15.6" x14ac:dyDescent="0.35">
      <c r="A17" s="8" t="s">
        <v>13</v>
      </c>
      <c r="B17" s="9">
        <v>2</v>
      </c>
      <c r="C17" s="7" t="s">
        <v>2</v>
      </c>
      <c r="D17" s="48">
        <v>1</v>
      </c>
      <c r="E17" s="90" t="s">
        <v>19</v>
      </c>
      <c r="F17" s="11" t="s">
        <v>91</v>
      </c>
      <c r="H17"/>
      <c r="I17"/>
      <c r="J17"/>
      <c r="K17"/>
    </row>
    <row r="20" spans="1:11" x14ac:dyDescent="0.3">
      <c r="E20" s="88"/>
      <c r="F20" s="63" t="s">
        <v>177</v>
      </c>
    </row>
    <row r="21" spans="1:11" x14ac:dyDescent="0.3">
      <c r="E21" s="89"/>
      <c r="F21" s="63" t="s">
        <v>178</v>
      </c>
    </row>
    <row r="22" spans="1:11" x14ac:dyDescent="0.3">
      <c r="E22" s="95"/>
      <c r="F22" s="63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393E-DFE9-419C-8988-A728A7B54C26}">
  <dimension ref="A1:D25"/>
  <sheetViews>
    <sheetView workbookViewId="0">
      <selection activeCell="B21" sqref="B21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</cols>
  <sheetData>
    <row r="1" spans="1:4" x14ac:dyDescent="0.3">
      <c r="A1" s="64" t="s">
        <v>132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IF(iodam1!B9=0,"yes","no")</f>
        <v>yes</v>
      </c>
    </row>
    <row r="6" spans="1:4" x14ac:dyDescent="0.3">
      <c r="A6" s="73" t="s">
        <v>150</v>
      </c>
      <c r="B6" s="77">
        <f>iodam1!B8</f>
        <v>4</v>
      </c>
    </row>
    <row r="7" spans="1:4" ht="15.6" x14ac:dyDescent="0.35">
      <c r="A7" s="73" t="s">
        <v>136</v>
      </c>
      <c r="B7" s="66">
        <f>iodam1!B2</f>
        <v>315</v>
      </c>
    </row>
    <row r="8" spans="1:4" x14ac:dyDescent="0.3">
      <c r="A8" s="73" t="s">
        <v>134</v>
      </c>
      <c r="B8" s="66">
        <f>IF(B5="no",iodam1!B7,iodam1!B6)</f>
        <v>300</v>
      </c>
    </row>
    <row r="9" spans="1:4" ht="15.6" x14ac:dyDescent="0.35">
      <c r="A9" s="74" t="s">
        <v>147</v>
      </c>
      <c r="B9" s="66">
        <f>IF(B5="yes",iodam1!B4,iodam1!B5)</f>
        <v>1</v>
      </c>
      <c r="D9" s="2"/>
    </row>
    <row r="10" spans="1:4" x14ac:dyDescent="0.3">
      <c r="A10" s="74" t="s">
        <v>151</v>
      </c>
      <c r="B10" s="77">
        <f>iodam1!B3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v>0</v>
      </c>
      <c r="D14" s="2" t="s">
        <v>154</v>
      </c>
    </row>
    <row r="15" spans="1:4" ht="15.6" x14ac:dyDescent="0.35">
      <c r="A15" s="73" t="s">
        <v>138</v>
      </c>
      <c r="B15" s="66">
        <v>0.75</v>
      </c>
      <c r="D15" s="2" t="s">
        <v>154</v>
      </c>
    </row>
    <row r="16" spans="1:4" x14ac:dyDescent="0.3">
      <c r="A16" s="70" t="s">
        <v>140</v>
      </c>
      <c r="B16" s="66">
        <f>IF(OR(B5="no",iodam1!B8=4),4,10)</f>
        <v>4</v>
      </c>
      <c r="D16" s="2" t="s">
        <v>142</v>
      </c>
    </row>
    <row r="17" spans="1:4" x14ac:dyDescent="0.3">
      <c r="A17" s="70" t="s">
        <v>146</v>
      </c>
      <c r="B17" s="71">
        <f>B7-B8+B9</f>
        <v>16</v>
      </c>
      <c r="D17" s="2"/>
    </row>
    <row r="18" spans="1:4" ht="15.6" x14ac:dyDescent="0.35">
      <c r="A18" s="73" t="s">
        <v>139</v>
      </c>
      <c r="B18" s="66">
        <f>IF(B5="yes",IF(B17&lt;20,2,3),1)</f>
        <v>2</v>
      </c>
      <c r="D18" s="2" t="s">
        <v>142</v>
      </c>
    </row>
    <row r="19" spans="1:4" x14ac:dyDescent="0.3">
      <c r="A19" s="73" t="s">
        <v>149</v>
      </c>
      <c r="B19" s="66">
        <f>IF(B5="yes",B18,0)</f>
        <v>2</v>
      </c>
      <c r="D19" s="2" t="s">
        <v>142</v>
      </c>
    </row>
    <row r="20" spans="1:4" x14ac:dyDescent="0.3">
      <c r="A20" s="73" t="s">
        <v>141</v>
      </c>
      <c r="B20" s="66">
        <f>IF(AND(B6=4,B5="yes"),B7+B18+1,B7+B18)</f>
        <v>318</v>
      </c>
      <c r="D20" s="2" t="s">
        <v>142</v>
      </c>
    </row>
    <row r="21" spans="1:4" x14ac:dyDescent="0.3">
      <c r="A21" s="70" t="s">
        <v>135</v>
      </c>
      <c r="B21" s="71">
        <f>B20-B8+B9</f>
        <v>19</v>
      </c>
    </row>
    <row r="22" spans="1:4" x14ac:dyDescent="0.3">
      <c r="A22" s="73" t="s">
        <v>143</v>
      </c>
      <c r="B22" s="71">
        <f>B16+B21*(B15+B14)</f>
        <v>18.25</v>
      </c>
      <c r="D22" s="2"/>
    </row>
    <row r="23" spans="1:4" x14ac:dyDescent="0.3">
      <c r="A23" s="73" t="s">
        <v>145</v>
      </c>
      <c r="B23" s="66">
        <f>B16/2+B21*B14</f>
        <v>2</v>
      </c>
    </row>
    <row r="24" spans="1:4" x14ac:dyDescent="0.3">
      <c r="A24" s="73" t="s">
        <v>144</v>
      </c>
      <c r="B24" s="66">
        <f>B22-B23</f>
        <v>16.25</v>
      </c>
    </row>
    <row r="25" spans="1:4" x14ac:dyDescent="0.3">
      <c r="A25" s="73" t="s">
        <v>152</v>
      </c>
      <c r="B25" s="66">
        <v>1</v>
      </c>
      <c r="D25" s="2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workbookViewId="0">
      <selection activeCell="I6" sqref="I6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.5546875" style="34" customWidth="1"/>
    <col min="13" max="13" width="80" style="34" bestFit="1" customWidth="1"/>
    <col min="14" max="16384" width="9.109375" style="34"/>
  </cols>
  <sheetData>
    <row r="1" spans="1:13" x14ac:dyDescent="0.3">
      <c r="A1" s="31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H2" s="35" t="s">
        <v>3</v>
      </c>
      <c r="I2" s="36">
        <f>dam2eart!B21</f>
        <v>319</v>
      </c>
      <c r="J2" s="39" t="s">
        <v>2</v>
      </c>
      <c r="K2" s="48">
        <v>1</v>
      </c>
      <c r="L2" s="63" t="s">
        <v>148</v>
      </c>
      <c r="M2" s="11" t="s">
        <v>51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H3" s="35" t="s">
        <v>7</v>
      </c>
      <c r="I3" s="36">
        <f>dam2eart!B17</f>
        <v>4</v>
      </c>
      <c r="J3" s="34" t="s">
        <v>2</v>
      </c>
      <c r="K3" s="48">
        <v>2</v>
      </c>
      <c r="M3" s="11" t="s">
        <v>52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H4" s="8" t="s">
        <v>38</v>
      </c>
      <c r="I4" s="36">
        <f>dam2eart!B22</f>
        <v>13</v>
      </c>
      <c r="J4" t="s">
        <v>2</v>
      </c>
      <c r="K4" s="48">
        <v>1</v>
      </c>
      <c r="M4" s="11" t="s">
        <v>53</v>
      </c>
    </row>
    <row r="5" spans="1:13" ht="15.6" x14ac:dyDescent="0.35">
      <c r="A5" s="35" t="s">
        <v>12</v>
      </c>
      <c r="B5" s="36">
        <v>1</v>
      </c>
      <c r="C5" s="34" t="s">
        <v>2</v>
      </c>
      <c r="D5" s="48">
        <v>1</v>
      </c>
      <c r="E5" s="38" t="s">
        <v>19</v>
      </c>
      <c r="F5" s="11" t="s">
        <v>73</v>
      </c>
      <c r="H5" s="8" t="s">
        <v>42</v>
      </c>
      <c r="I5" s="36">
        <f>dam2eart!B15</f>
        <v>2.5</v>
      </c>
      <c r="J5"/>
      <c r="K5" s="48">
        <v>1</v>
      </c>
      <c r="L5" s="51" t="s">
        <v>90</v>
      </c>
      <c r="M5" s="11" t="s">
        <v>58</v>
      </c>
    </row>
    <row r="6" spans="1:13" ht="15.6" x14ac:dyDescent="0.35">
      <c r="A6" s="8" t="s">
        <v>121</v>
      </c>
      <c r="B6" s="36">
        <v>2</v>
      </c>
      <c r="C6" s="34" t="s">
        <v>2</v>
      </c>
      <c r="D6" s="48">
        <v>1</v>
      </c>
      <c r="E6" s="60" t="s">
        <v>19</v>
      </c>
      <c r="F6" s="11" t="s">
        <v>120</v>
      </c>
      <c r="H6" s="8" t="s">
        <v>41</v>
      </c>
      <c r="I6" s="36">
        <f>dam2eart!B16</f>
        <v>2.2000000000000002</v>
      </c>
      <c r="J6"/>
      <c r="K6" s="48">
        <v>1</v>
      </c>
      <c r="L6" s="51" t="s">
        <v>89</v>
      </c>
      <c r="M6" s="11" t="s">
        <v>55</v>
      </c>
    </row>
    <row r="7" spans="1:13" ht="15.6" x14ac:dyDescent="0.35">
      <c r="A7" s="35" t="s">
        <v>14</v>
      </c>
      <c r="B7" s="36">
        <v>307</v>
      </c>
      <c r="C7" s="34" t="s">
        <v>2</v>
      </c>
      <c r="D7" s="48">
        <v>1</v>
      </c>
      <c r="E7" s="43"/>
      <c r="F7" s="11" t="s">
        <v>83</v>
      </c>
      <c r="H7" s="8" t="s">
        <v>44</v>
      </c>
      <c r="I7" s="36">
        <f>dam1conc!B14</f>
        <v>0</v>
      </c>
      <c r="J7"/>
      <c r="K7" s="48">
        <v>1</v>
      </c>
      <c r="L7" s="51" t="s">
        <v>90</v>
      </c>
      <c r="M7" s="11" t="s">
        <v>50</v>
      </c>
    </row>
    <row r="8" spans="1:13" ht="15.6" x14ac:dyDescent="0.35">
      <c r="A8" s="8" t="s">
        <v>124</v>
      </c>
      <c r="B8" s="36">
        <v>305</v>
      </c>
      <c r="C8" s="34" t="s">
        <v>2</v>
      </c>
      <c r="D8" s="48">
        <v>1</v>
      </c>
      <c r="E8" s="62" t="s">
        <v>122</v>
      </c>
      <c r="F8" s="11" t="s">
        <v>125</v>
      </c>
      <c r="H8" s="8" t="s">
        <v>43</v>
      </c>
      <c r="I8" s="36">
        <f>dam1conc!B15</f>
        <v>0.75</v>
      </c>
      <c r="J8"/>
      <c r="K8" s="48">
        <v>1</v>
      </c>
      <c r="L8" s="51" t="s">
        <v>89</v>
      </c>
      <c r="M8" s="11" t="s">
        <v>49</v>
      </c>
    </row>
    <row r="9" spans="1:13" x14ac:dyDescent="0.3">
      <c r="A9" s="35" t="s">
        <v>20</v>
      </c>
      <c r="B9" s="36">
        <v>10</v>
      </c>
      <c r="C9" s="34" t="s">
        <v>2</v>
      </c>
      <c r="D9" s="48">
        <v>2</v>
      </c>
      <c r="E9" s="43"/>
      <c r="F9" s="11" t="s">
        <v>61</v>
      </c>
      <c r="H9" s="35" t="s">
        <v>4</v>
      </c>
      <c r="I9" s="36">
        <f>dam2eart!B23</f>
        <v>69.099999999999994</v>
      </c>
      <c r="J9" s="39" t="s">
        <v>2</v>
      </c>
      <c r="K9" s="48">
        <v>2</v>
      </c>
      <c r="L9" s="39"/>
      <c r="M9" s="11" t="s">
        <v>47</v>
      </c>
    </row>
    <row r="10" spans="1:13" x14ac:dyDescent="0.3">
      <c r="A10" s="35" t="s">
        <v>21</v>
      </c>
      <c r="B10" s="36">
        <v>15</v>
      </c>
      <c r="C10" s="34" t="s">
        <v>2</v>
      </c>
      <c r="D10" s="48">
        <v>2</v>
      </c>
      <c r="E10" s="43"/>
      <c r="F10" s="11" t="s">
        <v>63</v>
      </c>
      <c r="H10" s="35" t="s">
        <v>5</v>
      </c>
      <c r="I10" s="36">
        <f>dam2eart!B24</f>
        <v>36.499999999999993</v>
      </c>
      <c r="J10" s="34" t="s">
        <v>2</v>
      </c>
      <c r="K10" s="48">
        <v>2</v>
      </c>
      <c r="M10" s="11" t="s">
        <v>48</v>
      </c>
    </row>
    <row r="11" spans="1:13" x14ac:dyDescent="0.3">
      <c r="A11" s="35" t="s">
        <v>22</v>
      </c>
      <c r="B11" s="36">
        <v>35</v>
      </c>
      <c r="C11" s="34" t="s">
        <v>2</v>
      </c>
      <c r="D11" s="48">
        <v>2</v>
      </c>
      <c r="E11" s="43"/>
      <c r="F11" s="11" t="s">
        <v>65</v>
      </c>
      <c r="H11" s="35" t="s">
        <v>6</v>
      </c>
      <c r="I11" s="36">
        <f>dam2eart!B25</f>
        <v>32.6</v>
      </c>
      <c r="J11" s="34" t="s">
        <v>2</v>
      </c>
      <c r="K11" s="48">
        <v>2</v>
      </c>
      <c r="M11" s="11" t="s">
        <v>46</v>
      </c>
    </row>
    <row r="12" spans="1:13" x14ac:dyDescent="0.3">
      <c r="A12" s="35" t="s">
        <v>23</v>
      </c>
      <c r="B12" s="36">
        <v>25</v>
      </c>
      <c r="C12" s="34" t="s">
        <v>2</v>
      </c>
      <c r="D12" s="48">
        <v>2</v>
      </c>
      <c r="E12" s="43"/>
      <c r="F12" s="11" t="s">
        <v>67</v>
      </c>
      <c r="H12" s="8" t="s">
        <v>32</v>
      </c>
      <c r="I12" s="40">
        <f>dam2eart!B20</f>
        <v>3</v>
      </c>
      <c r="J12" s="39" t="s">
        <v>2</v>
      </c>
      <c r="K12" s="48">
        <v>1</v>
      </c>
      <c r="M12" s="11" t="s">
        <v>82</v>
      </c>
    </row>
    <row r="13" spans="1:13" x14ac:dyDescent="0.3">
      <c r="A13" s="35" t="s">
        <v>25</v>
      </c>
      <c r="B13" s="36">
        <v>200</v>
      </c>
      <c r="C13" s="34" t="s">
        <v>2</v>
      </c>
      <c r="D13" s="48">
        <v>2</v>
      </c>
      <c r="F13" s="11" t="s">
        <v>74</v>
      </c>
      <c r="H13" s="35" t="s">
        <v>15</v>
      </c>
      <c r="I13" s="36">
        <f>dam2eart!B28</f>
        <v>309</v>
      </c>
      <c r="J13" s="34" t="s">
        <v>2</v>
      </c>
      <c r="K13" s="48">
        <v>1</v>
      </c>
      <c r="M13" s="11" t="s">
        <v>57</v>
      </c>
    </row>
    <row r="14" spans="1:13" x14ac:dyDescent="0.3">
      <c r="A14" s="35" t="s">
        <v>24</v>
      </c>
      <c r="B14" s="36">
        <v>1000</v>
      </c>
      <c r="C14" s="34" t="s">
        <v>2</v>
      </c>
      <c r="D14" s="48">
        <v>2</v>
      </c>
      <c r="F14" s="11" t="s">
        <v>78</v>
      </c>
      <c r="H14" s="35" t="s">
        <v>16</v>
      </c>
      <c r="I14" s="36">
        <f>dam2eart!B29</f>
        <v>310</v>
      </c>
      <c r="J14" s="34" t="s">
        <v>2</v>
      </c>
      <c r="K14" s="48">
        <v>1</v>
      </c>
      <c r="M14" s="11" t="s">
        <v>56</v>
      </c>
    </row>
    <row r="15" spans="1:13" x14ac:dyDescent="0.3">
      <c r="A15" s="35" t="s">
        <v>26</v>
      </c>
      <c r="B15" s="36">
        <v>400</v>
      </c>
      <c r="C15" s="34" t="s">
        <v>2</v>
      </c>
      <c r="D15" s="48">
        <v>2</v>
      </c>
      <c r="F15" s="11" t="s">
        <v>76</v>
      </c>
      <c r="H15" s="8" t="s">
        <v>45</v>
      </c>
      <c r="I15" s="36">
        <f>dam2eart!B26</f>
        <v>1</v>
      </c>
      <c r="J15" s="34" t="s">
        <v>2</v>
      </c>
      <c r="K15" s="48">
        <v>1</v>
      </c>
      <c r="M15" s="11" t="s">
        <v>71</v>
      </c>
    </row>
    <row r="16" spans="1:13" x14ac:dyDescent="0.3">
      <c r="A16" s="8" t="s">
        <v>37</v>
      </c>
      <c r="B16" s="47">
        <v>4</v>
      </c>
      <c r="C16"/>
      <c r="D16" s="48">
        <v>2</v>
      </c>
      <c r="E16"/>
      <c r="F16" s="11" t="s">
        <v>84</v>
      </c>
      <c r="H16" s="8" t="s">
        <v>8</v>
      </c>
      <c r="I16" s="36">
        <f>dam2eart!B27</f>
        <v>1</v>
      </c>
      <c r="J16" s="34" t="s">
        <v>2</v>
      </c>
      <c r="K16" s="48">
        <v>1</v>
      </c>
      <c r="M16" s="11" t="s">
        <v>70</v>
      </c>
    </row>
    <row r="17" spans="1:13" x14ac:dyDescent="0.3">
      <c r="A17" s="8" t="s">
        <v>97</v>
      </c>
      <c r="B17" s="47">
        <v>0</v>
      </c>
      <c r="C17"/>
      <c r="D17" s="48"/>
      <c r="E17" s="59"/>
      <c r="F17" s="11" t="s">
        <v>98</v>
      </c>
      <c r="H17" s="21" t="s">
        <v>33</v>
      </c>
      <c r="I17" s="45">
        <f>dam2eart!F6</f>
        <v>1</v>
      </c>
      <c r="J17" s="34" t="s">
        <v>2</v>
      </c>
      <c r="K17" s="48">
        <v>2</v>
      </c>
      <c r="L17" s="43"/>
      <c r="M17" s="11" t="s">
        <v>75</v>
      </c>
    </row>
    <row r="18" spans="1:13" x14ac:dyDescent="0.3">
      <c r="H18" s="21" t="s">
        <v>34</v>
      </c>
      <c r="I18" s="45">
        <f>dam2eart!F7</f>
        <v>1</v>
      </c>
      <c r="J18" s="34" t="s">
        <v>2</v>
      </c>
      <c r="K18" s="48">
        <v>2</v>
      </c>
      <c r="L18" s="43"/>
      <c r="M18" s="11" t="s">
        <v>79</v>
      </c>
    </row>
    <row r="19" spans="1:13" x14ac:dyDescent="0.3">
      <c r="D19" s="48">
        <v>1</v>
      </c>
      <c r="E19" s="2"/>
      <c r="F19" s="50" t="s">
        <v>85</v>
      </c>
      <c r="H19" s="21" t="s">
        <v>35</v>
      </c>
      <c r="I19" s="45">
        <f>dam2eart!F9</f>
        <v>1</v>
      </c>
      <c r="J19" s="34" t="s">
        <v>2</v>
      </c>
      <c r="K19" s="48">
        <v>2</v>
      </c>
      <c r="L19" s="43"/>
      <c r="M19" s="11" t="s">
        <v>77</v>
      </c>
    </row>
    <row r="20" spans="1:13" x14ac:dyDescent="0.3">
      <c r="D20" s="49"/>
      <c r="E20" s="2"/>
      <c r="F20" s="50" t="s">
        <v>86</v>
      </c>
      <c r="H20" s="35" t="s">
        <v>27</v>
      </c>
      <c r="I20" s="44">
        <f>dam2eart!L6</f>
        <v>0</v>
      </c>
      <c r="J20" s="34" t="s">
        <v>2</v>
      </c>
      <c r="K20" s="48">
        <v>2</v>
      </c>
      <c r="M20" s="11" t="s">
        <v>62</v>
      </c>
    </row>
    <row r="21" spans="1:13" x14ac:dyDescent="0.3">
      <c r="D21" s="48">
        <v>2</v>
      </c>
      <c r="E21" s="2"/>
      <c r="F21" s="50" t="s">
        <v>87</v>
      </c>
      <c r="H21" s="35" t="s">
        <v>28</v>
      </c>
      <c r="I21" s="44">
        <f>dam2eart!L7</f>
        <v>0</v>
      </c>
      <c r="J21" s="34" t="s">
        <v>2</v>
      </c>
      <c r="K21" s="48">
        <v>2</v>
      </c>
      <c r="M21" s="11" t="s">
        <v>64</v>
      </c>
    </row>
    <row r="22" spans="1:13" x14ac:dyDescent="0.3">
      <c r="D22" s="49"/>
      <c r="E22" s="2"/>
      <c r="F22" s="50" t="s">
        <v>88</v>
      </c>
      <c r="H22" s="35" t="s">
        <v>29</v>
      </c>
      <c r="I22" s="44">
        <f>dam2eart!L8</f>
        <v>57.5</v>
      </c>
      <c r="J22" s="34" t="s">
        <v>2</v>
      </c>
      <c r="K22" s="48">
        <v>2</v>
      </c>
      <c r="M22" s="11" t="s">
        <v>66</v>
      </c>
    </row>
    <row r="23" spans="1:13" x14ac:dyDescent="0.3">
      <c r="E23" s="34"/>
      <c r="H23" s="35" t="s">
        <v>30</v>
      </c>
      <c r="I23" s="44">
        <f>dam2eart!L9</f>
        <v>0</v>
      </c>
      <c r="J23" s="34" t="s">
        <v>2</v>
      </c>
      <c r="K23" s="48">
        <v>2</v>
      </c>
      <c r="M23" s="11" t="s">
        <v>68</v>
      </c>
    </row>
    <row r="24" spans="1:13" ht="15.6" x14ac:dyDescent="0.35">
      <c r="A24" s="35" t="s">
        <v>11</v>
      </c>
      <c r="B24" s="36">
        <v>3</v>
      </c>
      <c r="C24" s="34" t="s">
        <v>2</v>
      </c>
      <c r="D24" s="48">
        <v>1</v>
      </c>
      <c r="E24" s="91" t="s">
        <v>19</v>
      </c>
      <c r="F24" s="11" t="s">
        <v>72</v>
      </c>
      <c r="H24" s="35" t="s">
        <v>36</v>
      </c>
      <c r="I24" s="44">
        <f>dam2eart!B30</f>
        <v>30</v>
      </c>
      <c r="J24" s="34" t="s">
        <v>2</v>
      </c>
      <c r="K24" s="48">
        <v>1</v>
      </c>
      <c r="M24" s="11" t="s">
        <v>54</v>
      </c>
    </row>
    <row r="25" spans="1:13" ht="15.6" x14ac:dyDescent="0.35">
      <c r="A25" s="35" t="s">
        <v>13</v>
      </c>
      <c r="B25" s="36">
        <v>2</v>
      </c>
      <c r="C25" s="34" t="s">
        <v>2</v>
      </c>
      <c r="D25" s="48">
        <v>1</v>
      </c>
      <c r="E25" s="91" t="s">
        <v>19</v>
      </c>
      <c r="F25" s="11" t="s">
        <v>91</v>
      </c>
      <c r="H25" s="8" t="s">
        <v>93</v>
      </c>
      <c r="I25" s="53" t="str">
        <f>VLOOKUP(1,L28:M29,2,FALSE)</f>
        <v/>
      </c>
      <c r="J25" s="49"/>
      <c r="K25" s="54">
        <v>2</v>
      </c>
      <c r="L25" s="49"/>
      <c r="M25" s="11" t="s">
        <v>94</v>
      </c>
    </row>
    <row r="26" spans="1:13" x14ac:dyDescent="0.3">
      <c r="E26" s="34"/>
      <c r="H26"/>
      <c r="I26"/>
      <c r="J26"/>
      <c r="K26"/>
      <c r="L26"/>
      <c r="M26"/>
    </row>
    <row r="27" spans="1:13" x14ac:dyDescent="0.3">
      <c r="E27" s="34"/>
      <c r="H27"/>
      <c r="I27"/>
      <c r="J27"/>
      <c r="K27"/>
      <c r="L27" s="55" t="s">
        <v>95</v>
      </c>
      <c r="M27" s="55"/>
    </row>
    <row r="28" spans="1:13" x14ac:dyDescent="0.3">
      <c r="E28" s="88"/>
      <c r="F28" s="63" t="s">
        <v>177</v>
      </c>
      <c r="H28"/>
      <c r="I28"/>
      <c r="J28"/>
      <c r="K28"/>
      <c r="L28" s="1" cm="1">
        <f t="array" ref="L28">IFERROR(MIN(ABS(I2:I24),0),1)</f>
        <v>0</v>
      </c>
      <c r="M28" s="56" t="s">
        <v>96</v>
      </c>
    </row>
    <row r="29" spans="1:13" x14ac:dyDescent="0.3">
      <c r="E29" s="89"/>
      <c r="F29" s="63" t="s">
        <v>178</v>
      </c>
      <c r="H29"/>
      <c r="I29"/>
      <c r="J29"/>
      <c r="K29"/>
      <c r="L29" s="57">
        <v>1</v>
      </c>
      <c r="M29" t="str">
        <f>""</f>
        <v/>
      </c>
    </row>
    <row r="30" spans="1:13" x14ac:dyDescent="0.3">
      <c r="E30" s="34"/>
    </row>
    <row r="31" spans="1:13" x14ac:dyDescent="0.3">
      <c r="E31" s="34"/>
    </row>
    <row r="32" spans="1:13" x14ac:dyDescent="0.3">
      <c r="E32" s="34"/>
    </row>
    <row r="33" spans="5:5" x14ac:dyDescent="0.3">
      <c r="E33" s="34"/>
    </row>
    <row r="34" spans="5:5" x14ac:dyDescent="0.3">
      <c r="E34" s="34"/>
    </row>
    <row r="35" spans="5:5" x14ac:dyDescent="0.3">
      <c r="E35" s="34"/>
    </row>
    <row r="36" spans="5:5" x14ac:dyDescent="0.3">
      <c r="E36" s="34"/>
    </row>
    <row r="37" spans="5:5" x14ac:dyDescent="0.3">
      <c r="E37" s="34"/>
    </row>
    <row r="38" spans="5:5" x14ac:dyDescent="0.3">
      <c r="E38" s="3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EBA4-5AA8-4FE6-905A-7873F8DB7D34}">
  <dimension ref="A1:M30"/>
  <sheetViews>
    <sheetView workbookViewId="0">
      <selection activeCell="B15" sqref="B15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2" bestFit="1" customWidth="1"/>
    <col min="7" max="7" width="18.6640625" bestFit="1" customWidth="1"/>
    <col min="8" max="8" width="6.33203125" bestFit="1" customWidth="1"/>
    <col min="9" max="9" width="2.5546875" bestFit="1" customWidth="1"/>
    <col min="10" max="10" width="2" bestFit="1" customWidth="1"/>
    <col min="11" max="11" width="15" bestFit="1" customWidth="1"/>
    <col min="12" max="12" width="7.33203125" customWidth="1"/>
    <col min="13" max="14" width="2.5546875" bestFit="1" customWidth="1"/>
  </cols>
  <sheetData>
    <row r="1" spans="1:13" x14ac:dyDescent="0.3">
      <c r="A1" s="64" t="s">
        <v>159</v>
      </c>
      <c r="B1" s="3"/>
    </row>
    <row r="2" spans="1:13" x14ac:dyDescent="0.3">
      <c r="B2" s="3"/>
    </row>
    <row r="3" spans="1:13" x14ac:dyDescent="0.3">
      <c r="A3" s="65" t="s">
        <v>131</v>
      </c>
      <c r="G3" s="64" t="s">
        <v>172</v>
      </c>
    </row>
    <row r="4" spans="1:13" x14ac:dyDescent="0.3">
      <c r="A4" s="67"/>
      <c r="B4" s="68"/>
    </row>
    <row r="5" spans="1:13" x14ac:dyDescent="0.3">
      <c r="A5" s="73" t="s">
        <v>133</v>
      </c>
      <c r="B5" s="66" t="str">
        <f>IF(iodam2!B17=0,"yes","no")</f>
        <v>yes</v>
      </c>
      <c r="F5" s="96" t="s">
        <v>164</v>
      </c>
      <c r="G5" s="96"/>
      <c r="H5" s="97" t="s">
        <v>165</v>
      </c>
      <c r="I5" s="97"/>
      <c r="J5" s="97" t="s">
        <v>166</v>
      </c>
      <c r="K5" s="97"/>
      <c r="L5" s="97" t="s">
        <v>171</v>
      </c>
      <c r="M5" s="97"/>
    </row>
    <row r="6" spans="1:13" x14ac:dyDescent="0.3">
      <c r="A6" s="73" t="s">
        <v>150</v>
      </c>
      <c r="B6" s="77">
        <f>iodam2!B16</f>
        <v>4</v>
      </c>
      <c r="F6" s="80">
        <f>IF(iodam2!B13&lt;MAX(2*L6,2*0.6*H6),0,1)</f>
        <v>1</v>
      </c>
      <c r="G6" s="81" t="s">
        <v>167</v>
      </c>
      <c r="H6" s="82">
        <f>iodam2!B9</f>
        <v>10</v>
      </c>
      <c r="I6" s="83" t="s">
        <v>2</v>
      </c>
      <c r="J6" s="84">
        <f>IF(H6&lt;30,1,2)</f>
        <v>1</v>
      </c>
      <c r="K6" s="81" t="str">
        <f>IF(H6&lt;30,"muro de encosto","muro de abraço")</f>
        <v>muro de encosto</v>
      </c>
      <c r="L6" s="85">
        <f>IF(AND(J6=2,H6&lt;&gt;0),H6*dam3rock!$B$14+5,0)</f>
        <v>0</v>
      </c>
      <c r="M6" s="81" t="s">
        <v>2</v>
      </c>
    </row>
    <row r="7" spans="1:13" ht="15.6" x14ac:dyDescent="0.35">
      <c r="A7" s="73" t="s">
        <v>136</v>
      </c>
      <c r="B7" s="66">
        <f>iodam2!B2</f>
        <v>315</v>
      </c>
      <c r="F7" s="80">
        <f>IF(iodam2!B14&lt;MAX(2*(L7+L8),2*0.6*(H7+H8)),0,1)</f>
        <v>1</v>
      </c>
      <c r="G7" s="81" t="s">
        <v>168</v>
      </c>
      <c r="H7" s="82">
        <f>iodam2!B10</f>
        <v>15</v>
      </c>
      <c r="I7" s="83" t="s">
        <v>2</v>
      </c>
      <c r="J7" s="84">
        <f t="shared" ref="J7:J9" si="0">IF(H7&lt;30,1,2)</f>
        <v>1</v>
      </c>
      <c r="K7" s="81" t="str">
        <f t="shared" ref="K7:K9" si="1">IF(H7&lt;30,"muro de encosto","muro de abraço")</f>
        <v>muro de encosto</v>
      </c>
      <c r="L7" s="85">
        <f>IF(AND(J7=2,H7&lt;&gt;0),H7*dam3rock!$B$14+5,0)</f>
        <v>0</v>
      </c>
      <c r="M7" s="81" t="s">
        <v>2</v>
      </c>
    </row>
    <row r="8" spans="1:13" x14ac:dyDescent="0.3">
      <c r="A8" s="73" t="s">
        <v>156</v>
      </c>
      <c r="B8" s="66">
        <f>iodam2!B3</f>
        <v>310</v>
      </c>
      <c r="F8" s="80">
        <f>IF(iodam2!B14&lt;MAX(2*(L7+L8),2*0.6*(H7+H8)),0,1)</f>
        <v>1</v>
      </c>
      <c r="G8" s="81" t="s">
        <v>169</v>
      </c>
      <c r="H8" s="82">
        <f>iodam2!B11</f>
        <v>35</v>
      </c>
      <c r="I8" s="83" t="s">
        <v>2</v>
      </c>
      <c r="J8" s="84">
        <f t="shared" si="0"/>
        <v>2</v>
      </c>
      <c r="K8" s="81" t="str">
        <f t="shared" si="1"/>
        <v>muro de abraço</v>
      </c>
      <c r="L8" s="85">
        <f>IF(AND(J8=2,H8&lt;&gt;0),H8*dam3rock!$B$14+5,0)</f>
        <v>57.5</v>
      </c>
      <c r="M8" s="81" t="s">
        <v>2</v>
      </c>
    </row>
    <row r="9" spans="1:13" x14ac:dyDescent="0.3">
      <c r="A9" s="73" t="s">
        <v>134</v>
      </c>
      <c r="B9" s="66">
        <f>IF(B5="no",iodam2!B8,iodam2!B7)</f>
        <v>307</v>
      </c>
      <c r="F9" s="80">
        <f>IF(iodam2!B15&lt;MAX(2*L9,2*0.6*H9),0,1)</f>
        <v>1</v>
      </c>
      <c r="G9" s="81" t="s">
        <v>170</v>
      </c>
      <c r="H9" s="82">
        <f>iodam2!B12</f>
        <v>25</v>
      </c>
      <c r="I9" s="83" t="s">
        <v>2</v>
      </c>
      <c r="J9" s="84">
        <f t="shared" si="0"/>
        <v>1</v>
      </c>
      <c r="K9" s="81" t="str">
        <f t="shared" si="1"/>
        <v>muro de encosto</v>
      </c>
      <c r="L9" s="85">
        <f>IF(AND(J9=2,H9&lt;&gt;0),H9*dam3rock!$B$14+5,0)</f>
        <v>0</v>
      </c>
      <c r="M9" s="81" t="s">
        <v>2</v>
      </c>
    </row>
    <row r="10" spans="1:13" ht="15.6" x14ac:dyDescent="0.35">
      <c r="A10" s="74" t="s">
        <v>147</v>
      </c>
      <c r="B10" s="66">
        <f>IF(B5="yes",iodam2!B5,iodam2!B6)</f>
        <v>1</v>
      </c>
      <c r="D10" s="2"/>
      <c r="F10" s="80">
        <f>SUM(F6:F9)</f>
        <v>4</v>
      </c>
      <c r="G10" s="86" t="s">
        <v>175</v>
      </c>
    </row>
    <row r="11" spans="1:13" x14ac:dyDescent="0.3">
      <c r="A11" s="74" t="s">
        <v>151</v>
      </c>
      <c r="B11" s="77">
        <f>iodam2!B4</f>
        <v>1</v>
      </c>
      <c r="D11" s="2"/>
    </row>
    <row r="12" spans="1:13" x14ac:dyDescent="0.3">
      <c r="A12" s="75"/>
      <c r="B12" s="69"/>
      <c r="D12" s="2"/>
    </row>
    <row r="13" spans="1:13" x14ac:dyDescent="0.3">
      <c r="A13" s="65" t="s">
        <v>176</v>
      </c>
      <c r="D13" s="2"/>
    </row>
    <row r="14" spans="1:13" x14ac:dyDescent="0.3">
      <c r="A14" s="67"/>
      <c r="B14" s="68"/>
      <c r="D14" s="2"/>
    </row>
    <row r="15" spans="1:13" ht="15.6" x14ac:dyDescent="0.35">
      <c r="A15" s="73" t="s">
        <v>137</v>
      </c>
      <c r="B15" s="66">
        <f>IF(B22&gt;30,3,2.5)</f>
        <v>2.5</v>
      </c>
      <c r="D15" s="2" t="s">
        <v>154</v>
      </c>
    </row>
    <row r="16" spans="1:13" ht="15.6" x14ac:dyDescent="0.35">
      <c r="A16" s="73" t="s">
        <v>138</v>
      </c>
      <c r="B16" s="66">
        <f>IF(B22&gt;30,2.5,2.2)</f>
        <v>2.2000000000000002</v>
      </c>
      <c r="D16" s="2" t="s">
        <v>154</v>
      </c>
    </row>
    <row r="17" spans="1:4" x14ac:dyDescent="0.3">
      <c r="A17" s="70" t="s">
        <v>140</v>
      </c>
      <c r="B17" s="66">
        <f>IF(OR(B5="no",iodam2!B16=4),4,10)</f>
        <v>4</v>
      </c>
      <c r="D17" s="2" t="s">
        <v>142</v>
      </c>
    </row>
    <row r="18" spans="1:4" x14ac:dyDescent="0.3">
      <c r="A18" s="70" t="s">
        <v>146</v>
      </c>
      <c r="B18" s="79">
        <f>B7-B9+B10</f>
        <v>9</v>
      </c>
      <c r="D18" s="2"/>
    </row>
    <row r="19" spans="1:4" ht="15.6" x14ac:dyDescent="0.35">
      <c r="A19" s="73" t="s">
        <v>139</v>
      </c>
      <c r="B19" s="66">
        <f>IF(B5="yes",4,2)</f>
        <v>4</v>
      </c>
      <c r="D19" s="2" t="s">
        <v>142</v>
      </c>
    </row>
    <row r="20" spans="1:4" x14ac:dyDescent="0.3">
      <c r="A20" s="73" t="s">
        <v>149</v>
      </c>
      <c r="B20" s="66">
        <f>IF(B5="yes",B19-1,0)</f>
        <v>3</v>
      </c>
      <c r="D20" s="2" t="s">
        <v>142</v>
      </c>
    </row>
    <row r="21" spans="1:4" x14ac:dyDescent="0.3">
      <c r="A21" s="73" t="s">
        <v>141</v>
      </c>
      <c r="B21" s="66">
        <f>B7+B19</f>
        <v>319</v>
      </c>
      <c r="D21" s="2" t="s">
        <v>142</v>
      </c>
    </row>
    <row r="22" spans="1:4" x14ac:dyDescent="0.3">
      <c r="A22" s="70" t="s">
        <v>135</v>
      </c>
      <c r="B22" s="71">
        <f>B21-B9+B10</f>
        <v>13</v>
      </c>
    </row>
    <row r="23" spans="1:4" x14ac:dyDescent="0.3">
      <c r="A23" s="73" t="s">
        <v>143</v>
      </c>
      <c r="B23" s="71">
        <f>B17+B22*(B16+B15)+INT((B22-1)/10)*2*2</f>
        <v>69.099999999999994</v>
      </c>
      <c r="D23" s="2"/>
    </row>
    <row r="24" spans="1:4" x14ac:dyDescent="0.3">
      <c r="A24" s="73" t="s">
        <v>145</v>
      </c>
      <c r="B24" s="66">
        <f>B23-B25</f>
        <v>36.499999999999993</v>
      </c>
    </row>
    <row r="25" spans="1:4" x14ac:dyDescent="0.3">
      <c r="A25" s="73" t="s">
        <v>144</v>
      </c>
      <c r="B25" s="66">
        <f>B17/2+B22*B16+INT((B22-1)/10)*2</f>
        <v>32.6</v>
      </c>
    </row>
    <row r="26" spans="1:4" x14ac:dyDescent="0.3">
      <c r="A26" s="73" t="s">
        <v>173</v>
      </c>
      <c r="B26" s="66">
        <v>1</v>
      </c>
    </row>
    <row r="27" spans="1:4" x14ac:dyDescent="0.3">
      <c r="A27" s="73" t="s">
        <v>152</v>
      </c>
      <c r="B27" s="66">
        <v>1</v>
      </c>
      <c r="D27" s="2" t="s">
        <v>153</v>
      </c>
    </row>
    <row r="28" spans="1:4" x14ac:dyDescent="0.3">
      <c r="A28" s="73" t="s">
        <v>157</v>
      </c>
      <c r="B28" s="78">
        <f>IF(B8-1&gt;B9-B10,B8-1,B9-B10)</f>
        <v>309</v>
      </c>
    </row>
    <row r="29" spans="1:4" x14ac:dyDescent="0.3">
      <c r="A29" s="73" t="s">
        <v>158</v>
      </c>
      <c r="B29" s="78">
        <f>IF(B22&gt;7,B7-5,B9-B10+2)</f>
        <v>310</v>
      </c>
    </row>
    <row r="30" spans="1:4" x14ac:dyDescent="0.3">
      <c r="A30" s="73" t="s">
        <v>174</v>
      </c>
      <c r="B30" s="78">
        <v>30</v>
      </c>
    </row>
  </sheetData>
  <mergeCells count="4">
    <mergeCell ref="F5:G5"/>
    <mergeCell ref="H5:I5"/>
    <mergeCell ref="J5:K5"/>
    <mergeCell ref="L5:M5"/>
  </mergeCells>
  <phoneticPr fontId="28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selection activeCell="F16" sqref="F16"/>
    </sheetView>
  </sheetViews>
  <sheetFormatPr defaultColWidth="9.109375" defaultRowHeight="14.4" x14ac:dyDescent="0.3"/>
  <cols>
    <col min="1" max="1" width="22.33203125" style="20" bestFit="1" customWidth="1"/>
    <col min="2" max="2" width="6.5546875" style="20" bestFit="1" customWidth="1"/>
    <col min="3" max="4" width="2.6640625" style="20" customWidth="1"/>
    <col min="5" max="5" width="6.109375" style="20" customWidth="1"/>
    <col min="6" max="6" width="85" style="20" bestFit="1" customWidth="1"/>
    <col min="7" max="7" width="4.6640625" style="20" customWidth="1"/>
    <col min="8" max="8" width="22.33203125" style="20" bestFit="1" customWidth="1"/>
    <col min="9" max="9" width="6.5546875" style="20" customWidth="1"/>
    <col min="10" max="11" width="2.5546875" style="20" customWidth="1"/>
    <col min="12" max="12" width="3.88671875" style="20" bestFit="1" customWidth="1"/>
    <col min="13" max="13" width="80" style="20" bestFit="1" customWidth="1"/>
    <col min="14" max="16384" width="9.109375" style="20"/>
  </cols>
  <sheetData>
    <row r="1" spans="1:13" x14ac:dyDescent="0.3">
      <c r="A1" s="17" t="s">
        <v>0</v>
      </c>
      <c r="B1" s="18"/>
      <c r="C1" s="18"/>
      <c r="D1" s="18"/>
      <c r="E1" s="19"/>
      <c r="F1" s="52" t="s">
        <v>92</v>
      </c>
      <c r="G1" s="18"/>
      <c r="H1" s="17" t="s">
        <v>1</v>
      </c>
    </row>
    <row r="2" spans="1:13" ht="15.6" x14ac:dyDescent="0.35">
      <c r="A2" s="21" t="s">
        <v>9</v>
      </c>
      <c r="B2" s="22">
        <v>236</v>
      </c>
      <c r="C2" s="20" t="s">
        <v>2</v>
      </c>
      <c r="D2" s="23">
        <v>1</v>
      </c>
      <c r="E2" s="24" t="s">
        <v>18</v>
      </c>
      <c r="F2" s="11" t="s">
        <v>80</v>
      </c>
      <c r="H2" s="21" t="s">
        <v>3</v>
      </c>
      <c r="I2" s="22">
        <f>dam3rock!B20</f>
        <v>239</v>
      </c>
      <c r="J2" s="25" t="s">
        <v>2</v>
      </c>
      <c r="K2" s="23">
        <v>1</v>
      </c>
      <c r="L2" s="63" t="s">
        <v>148</v>
      </c>
      <c r="M2" s="11" t="s">
        <v>51</v>
      </c>
    </row>
    <row r="3" spans="1:13" x14ac:dyDescent="0.3">
      <c r="A3" s="21" t="s">
        <v>10</v>
      </c>
      <c r="B3" s="26">
        <v>1</v>
      </c>
      <c r="D3" s="23">
        <v>1</v>
      </c>
      <c r="E3" s="27"/>
      <c r="F3" s="11" t="s">
        <v>69</v>
      </c>
      <c r="H3" s="21" t="s">
        <v>7</v>
      </c>
      <c r="I3" s="22">
        <f>dam3rock!B16</f>
        <v>4</v>
      </c>
      <c r="J3" s="20" t="s">
        <v>2</v>
      </c>
      <c r="K3" s="23">
        <v>2</v>
      </c>
      <c r="M3" s="11" t="s">
        <v>52</v>
      </c>
    </row>
    <row r="4" spans="1:13" ht="15.6" x14ac:dyDescent="0.35">
      <c r="A4" s="21" t="s">
        <v>12</v>
      </c>
      <c r="B4" s="22">
        <v>1</v>
      </c>
      <c r="C4" s="20" t="s">
        <v>2</v>
      </c>
      <c r="D4" s="23">
        <v>1</v>
      </c>
      <c r="E4" s="24" t="s">
        <v>19</v>
      </c>
      <c r="F4" s="11" t="s">
        <v>73</v>
      </c>
      <c r="H4" s="8" t="s">
        <v>38</v>
      </c>
      <c r="I4" s="36">
        <f>dam3rock!B21</f>
        <v>20</v>
      </c>
      <c r="J4" t="s">
        <v>2</v>
      </c>
      <c r="K4" s="37">
        <v>1</v>
      </c>
      <c r="M4" s="11" t="s">
        <v>53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H5" s="8" t="s">
        <v>40</v>
      </c>
      <c r="I5" s="36">
        <f>dam3rock!B14</f>
        <v>1.5</v>
      </c>
      <c r="J5"/>
      <c r="K5" s="37">
        <v>1</v>
      </c>
      <c r="L5" s="51" t="s">
        <v>90</v>
      </c>
      <c r="M5" s="11" t="s">
        <v>60</v>
      </c>
    </row>
    <row r="6" spans="1:13" ht="15.6" x14ac:dyDescent="0.35">
      <c r="A6" s="21" t="s">
        <v>14</v>
      </c>
      <c r="B6" s="22">
        <v>220</v>
      </c>
      <c r="C6" s="20" t="s">
        <v>2</v>
      </c>
      <c r="D6" s="23">
        <v>1</v>
      </c>
      <c r="E6" s="27"/>
      <c r="F6" s="11" t="s">
        <v>83</v>
      </c>
      <c r="H6" s="8" t="s">
        <v>39</v>
      </c>
      <c r="I6" s="36">
        <f>dam3rock!B15</f>
        <v>1.5</v>
      </c>
      <c r="J6"/>
      <c r="K6" s="37">
        <v>1</v>
      </c>
      <c r="L6" s="51" t="s">
        <v>89</v>
      </c>
      <c r="M6" s="11" t="s">
        <v>59</v>
      </c>
    </row>
    <row r="7" spans="1:13" ht="15.6" x14ac:dyDescent="0.35">
      <c r="A7" s="8" t="s">
        <v>124</v>
      </c>
      <c r="B7" s="36">
        <v>220</v>
      </c>
      <c r="C7" s="34" t="s">
        <v>2</v>
      </c>
      <c r="D7" s="48">
        <v>1</v>
      </c>
      <c r="E7" s="62" t="s">
        <v>122</v>
      </c>
      <c r="F7" s="11" t="s">
        <v>125</v>
      </c>
      <c r="H7" s="8" t="s">
        <v>44</v>
      </c>
      <c r="I7" s="36">
        <f>iodam1!I5</f>
        <v>0</v>
      </c>
      <c r="J7"/>
      <c r="K7" s="37">
        <v>1</v>
      </c>
      <c r="L7" s="51" t="s">
        <v>90</v>
      </c>
      <c r="M7" s="11" t="s">
        <v>50</v>
      </c>
    </row>
    <row r="8" spans="1:13" ht="15.6" x14ac:dyDescent="0.35">
      <c r="A8" s="21" t="s">
        <v>20</v>
      </c>
      <c r="B8" s="22">
        <v>10</v>
      </c>
      <c r="C8" s="20" t="s">
        <v>2</v>
      </c>
      <c r="D8" s="23">
        <v>2</v>
      </c>
      <c r="E8" s="27"/>
      <c r="F8" s="11" t="s">
        <v>61</v>
      </c>
      <c r="H8" s="8" t="s">
        <v>43</v>
      </c>
      <c r="I8" s="36">
        <f>iodam1!I6</f>
        <v>0.75</v>
      </c>
      <c r="J8"/>
      <c r="K8" s="37">
        <v>1</v>
      </c>
      <c r="L8" s="51" t="s">
        <v>89</v>
      </c>
      <c r="M8" s="11" t="s">
        <v>49</v>
      </c>
    </row>
    <row r="9" spans="1:13" x14ac:dyDescent="0.3">
      <c r="A9" s="21" t="s">
        <v>21</v>
      </c>
      <c r="B9" s="22">
        <v>15</v>
      </c>
      <c r="C9" s="20" t="s">
        <v>2</v>
      </c>
      <c r="D9" s="23">
        <v>2</v>
      </c>
      <c r="E9" s="27"/>
      <c r="F9" s="11" t="s">
        <v>63</v>
      </c>
      <c r="H9" s="21" t="s">
        <v>4</v>
      </c>
      <c r="I9" s="22">
        <f>dam3rock!B22</f>
        <v>68</v>
      </c>
      <c r="J9" s="25" t="s">
        <v>2</v>
      </c>
      <c r="K9" s="23">
        <v>2</v>
      </c>
      <c r="L9" s="25"/>
      <c r="M9" s="11" t="s">
        <v>47</v>
      </c>
    </row>
    <row r="10" spans="1:13" x14ac:dyDescent="0.3">
      <c r="A10" s="21" t="s">
        <v>22</v>
      </c>
      <c r="B10" s="22">
        <v>20</v>
      </c>
      <c r="C10" s="20" t="s">
        <v>2</v>
      </c>
      <c r="D10" s="23">
        <v>2</v>
      </c>
      <c r="E10" s="27"/>
      <c r="F10" s="11" t="s">
        <v>65</v>
      </c>
      <c r="H10" s="21" t="s">
        <v>5</v>
      </c>
      <c r="I10" s="22">
        <f>dam3rock!B23</f>
        <v>34</v>
      </c>
      <c r="J10" s="20" t="s">
        <v>2</v>
      </c>
      <c r="K10" s="23">
        <v>2</v>
      </c>
      <c r="M10" s="11" t="s">
        <v>48</v>
      </c>
    </row>
    <row r="11" spans="1:13" x14ac:dyDescent="0.3">
      <c r="A11" s="21" t="s">
        <v>23</v>
      </c>
      <c r="B11" s="22">
        <v>10</v>
      </c>
      <c r="C11" s="20" t="s">
        <v>2</v>
      </c>
      <c r="D11" s="23">
        <v>2</v>
      </c>
      <c r="E11" s="27"/>
      <c r="F11" s="11" t="s">
        <v>67</v>
      </c>
      <c r="H11" s="21" t="s">
        <v>6</v>
      </c>
      <c r="I11" s="22">
        <f>dam3rock!B24</f>
        <v>34</v>
      </c>
      <c r="J11" s="20" t="s">
        <v>2</v>
      </c>
      <c r="K11" s="23">
        <v>2</v>
      </c>
      <c r="M11" s="11" t="s">
        <v>46</v>
      </c>
    </row>
    <row r="12" spans="1:13" x14ac:dyDescent="0.3">
      <c r="A12" s="21" t="s">
        <v>25</v>
      </c>
      <c r="B12" s="22">
        <v>20</v>
      </c>
      <c r="C12" s="20" t="s">
        <v>2</v>
      </c>
      <c r="D12" s="23">
        <v>2</v>
      </c>
      <c r="E12" s="29"/>
      <c r="F12" s="11" t="s">
        <v>74</v>
      </c>
      <c r="H12" s="8" t="s">
        <v>32</v>
      </c>
      <c r="I12" s="28">
        <f>dam3rock!B19</f>
        <v>2</v>
      </c>
      <c r="J12" s="25" t="s">
        <v>2</v>
      </c>
      <c r="K12" s="23">
        <v>1</v>
      </c>
      <c r="M12" s="11" t="s">
        <v>82</v>
      </c>
    </row>
    <row r="13" spans="1:13" x14ac:dyDescent="0.3">
      <c r="A13" s="21" t="s">
        <v>24</v>
      </c>
      <c r="B13" s="22">
        <v>150</v>
      </c>
      <c r="C13" s="20" t="s">
        <v>2</v>
      </c>
      <c r="D13" s="23">
        <v>2</v>
      </c>
      <c r="E13" s="29"/>
      <c r="F13" s="11" t="s">
        <v>78</v>
      </c>
      <c r="H13" s="21" t="s">
        <v>8</v>
      </c>
      <c r="I13" s="22">
        <f>dam3rock!B25</f>
        <v>1</v>
      </c>
      <c r="J13" s="20" t="s">
        <v>2</v>
      </c>
      <c r="K13" s="23">
        <v>1</v>
      </c>
      <c r="M13" s="11" t="s">
        <v>70</v>
      </c>
    </row>
    <row r="14" spans="1:13" x14ac:dyDescent="0.3">
      <c r="A14" s="21" t="s">
        <v>26</v>
      </c>
      <c r="B14" s="22">
        <v>40</v>
      </c>
      <c r="C14" s="20" t="s">
        <v>2</v>
      </c>
      <c r="D14" s="23">
        <v>2</v>
      </c>
      <c r="E14" s="29"/>
      <c r="F14" s="11" t="s">
        <v>76</v>
      </c>
      <c r="H14" s="21" t="s">
        <v>33</v>
      </c>
      <c r="I14" s="46">
        <f>dam3rock!F6</f>
        <v>1</v>
      </c>
      <c r="J14" s="20" t="s">
        <v>2</v>
      </c>
      <c r="K14" s="23">
        <v>2</v>
      </c>
      <c r="L14" s="27"/>
      <c r="M14" s="11" t="s">
        <v>75</v>
      </c>
    </row>
    <row r="15" spans="1:13" x14ac:dyDescent="0.3">
      <c r="A15" s="8" t="s">
        <v>37</v>
      </c>
      <c r="B15" s="47">
        <v>1</v>
      </c>
      <c r="C15"/>
      <c r="D15" s="48">
        <v>1</v>
      </c>
      <c r="E15"/>
      <c r="F15" s="11" t="s">
        <v>84</v>
      </c>
      <c r="H15" s="21" t="s">
        <v>34</v>
      </c>
      <c r="I15" s="46">
        <f>dam3rock!F7</f>
        <v>1</v>
      </c>
      <c r="J15" s="20" t="s">
        <v>2</v>
      </c>
      <c r="K15" s="23">
        <v>2</v>
      </c>
      <c r="L15" s="27"/>
      <c r="M15" s="11" t="s">
        <v>79</v>
      </c>
    </row>
    <row r="16" spans="1:13" x14ac:dyDescent="0.3">
      <c r="A16" s="8" t="s">
        <v>97</v>
      </c>
      <c r="B16" s="47">
        <v>0</v>
      </c>
      <c r="C16"/>
      <c r="D16" s="48"/>
      <c r="E16" s="59"/>
      <c r="F16" s="11" t="s">
        <v>98</v>
      </c>
      <c r="H16" s="21" t="s">
        <v>35</v>
      </c>
      <c r="I16" s="46">
        <f>dam3rock!F9</f>
        <v>1</v>
      </c>
      <c r="J16" s="20" t="s">
        <v>2</v>
      </c>
      <c r="K16" s="23">
        <v>2</v>
      </c>
      <c r="L16" s="27"/>
      <c r="M16" s="11" t="s">
        <v>77</v>
      </c>
    </row>
    <row r="17" spans="1:13" x14ac:dyDescent="0.3">
      <c r="H17" s="21" t="s">
        <v>27</v>
      </c>
      <c r="I17" s="30">
        <f>dam3rock!L6</f>
        <v>0</v>
      </c>
      <c r="J17" s="20" t="s">
        <v>2</v>
      </c>
      <c r="K17" s="23">
        <v>2</v>
      </c>
      <c r="M17" s="11" t="s">
        <v>62</v>
      </c>
    </row>
    <row r="18" spans="1:13" x14ac:dyDescent="0.3">
      <c r="D18" s="48">
        <v>1</v>
      </c>
      <c r="E18" s="2"/>
      <c r="F18" s="50" t="s">
        <v>85</v>
      </c>
      <c r="H18" s="21" t="s">
        <v>28</v>
      </c>
      <c r="I18" s="30">
        <f>dam3rock!L7</f>
        <v>0</v>
      </c>
      <c r="J18" s="20" t="s">
        <v>2</v>
      </c>
      <c r="K18" s="23">
        <v>2</v>
      </c>
      <c r="M18" s="11" t="s">
        <v>64</v>
      </c>
    </row>
    <row r="19" spans="1:13" x14ac:dyDescent="0.3">
      <c r="D19" s="49"/>
      <c r="E19" s="2"/>
      <c r="F19" s="50" t="s">
        <v>86</v>
      </c>
      <c r="H19" s="21" t="s">
        <v>29</v>
      </c>
      <c r="I19" s="30">
        <f>dam3rock!L8</f>
        <v>0</v>
      </c>
      <c r="J19" s="20" t="s">
        <v>2</v>
      </c>
      <c r="K19" s="23">
        <v>2</v>
      </c>
      <c r="M19" s="11" t="s">
        <v>66</v>
      </c>
    </row>
    <row r="20" spans="1:13" x14ac:dyDescent="0.3">
      <c r="D20" s="48">
        <v>2</v>
      </c>
      <c r="E20" s="2"/>
      <c r="F20" s="50" t="s">
        <v>87</v>
      </c>
      <c r="H20" s="21" t="s">
        <v>30</v>
      </c>
      <c r="I20" s="30">
        <f>dam3rock!L9</f>
        <v>0</v>
      </c>
      <c r="J20" s="20" t="s">
        <v>2</v>
      </c>
      <c r="K20" s="23">
        <v>2</v>
      </c>
      <c r="M20" s="11" t="s">
        <v>68</v>
      </c>
    </row>
    <row r="21" spans="1:13" x14ac:dyDescent="0.3">
      <c r="D21" s="49"/>
      <c r="E21" s="2"/>
      <c r="F21" s="50" t="s">
        <v>88</v>
      </c>
      <c r="H21" s="8" t="s">
        <v>93</v>
      </c>
      <c r="I21" s="53" t="str">
        <f>VLOOKUP(1,L24:M25,2,FALSE)</f>
        <v/>
      </c>
      <c r="J21" s="49"/>
      <c r="K21" s="54">
        <v>2</v>
      </c>
      <c r="L21" s="49"/>
      <c r="M21" s="11" t="s">
        <v>94</v>
      </c>
    </row>
    <row r="22" spans="1:13" x14ac:dyDescent="0.3">
      <c r="E22" s="29"/>
      <c r="H22"/>
      <c r="I22"/>
      <c r="J22"/>
      <c r="K22"/>
      <c r="L22"/>
      <c r="M22"/>
    </row>
    <row r="23" spans="1:13" ht="15.6" x14ac:dyDescent="0.35">
      <c r="A23" s="21" t="s">
        <v>11</v>
      </c>
      <c r="B23" s="22">
        <v>3</v>
      </c>
      <c r="C23" s="20" t="s">
        <v>2</v>
      </c>
      <c r="D23" s="23">
        <v>1</v>
      </c>
      <c r="E23" s="92" t="s">
        <v>19</v>
      </c>
      <c r="F23" s="11" t="s">
        <v>72</v>
      </c>
      <c r="H23"/>
      <c r="I23"/>
      <c r="J23"/>
      <c r="K23"/>
      <c r="L23" s="55" t="s">
        <v>95</v>
      </c>
      <c r="M23" s="55"/>
    </row>
    <row r="24" spans="1:13" ht="15.6" x14ac:dyDescent="0.35">
      <c r="A24" s="21" t="s">
        <v>13</v>
      </c>
      <c r="B24" s="22">
        <v>2</v>
      </c>
      <c r="C24" s="20" t="s">
        <v>2</v>
      </c>
      <c r="D24" s="23">
        <v>1</v>
      </c>
      <c r="E24" s="92" t="s">
        <v>19</v>
      </c>
      <c r="F24" s="11" t="s">
        <v>91</v>
      </c>
      <c r="H24"/>
      <c r="I24"/>
      <c r="J24"/>
      <c r="K24"/>
      <c r="L24" s="1" cm="1">
        <f t="array" ref="L24">IFERROR(MIN(ABS(I2:I20),0),1)</f>
        <v>0</v>
      </c>
      <c r="M24" s="56" t="s">
        <v>96</v>
      </c>
    </row>
    <row r="25" spans="1:13" x14ac:dyDescent="0.3">
      <c r="E25" s="29"/>
      <c r="H25"/>
      <c r="I25"/>
      <c r="J25"/>
      <c r="K25"/>
      <c r="L25" s="57">
        <v>1</v>
      </c>
      <c r="M25" t="str">
        <f>""</f>
        <v/>
      </c>
    </row>
    <row r="26" spans="1:13" x14ac:dyDescent="0.3">
      <c r="E26" s="29"/>
    </row>
    <row r="27" spans="1:13" x14ac:dyDescent="0.3">
      <c r="E27" s="88"/>
      <c r="F27" s="63" t="s">
        <v>177</v>
      </c>
    </row>
    <row r="28" spans="1:13" x14ac:dyDescent="0.3">
      <c r="E28" s="89"/>
      <c r="F28" s="63" t="s">
        <v>178</v>
      </c>
    </row>
    <row r="29" spans="1:13" x14ac:dyDescent="0.3">
      <c r="E29" s="29"/>
    </row>
    <row r="30" spans="1:13" x14ac:dyDescent="0.3">
      <c r="E30" s="29"/>
    </row>
    <row r="31" spans="1:13" x14ac:dyDescent="0.3">
      <c r="E31" s="29"/>
    </row>
    <row r="32" spans="1:13" x14ac:dyDescent="0.3">
      <c r="E32" s="29"/>
    </row>
    <row r="33" spans="5:5" x14ac:dyDescent="0.3">
      <c r="E33" s="29"/>
    </row>
    <row r="34" spans="5:5" x14ac:dyDescent="0.3">
      <c r="E34" s="29"/>
    </row>
    <row r="35" spans="5:5" x14ac:dyDescent="0.3">
      <c r="E35" s="29"/>
    </row>
    <row r="36" spans="5:5" x14ac:dyDescent="0.3">
      <c r="E36" s="29"/>
    </row>
    <row r="37" spans="5:5" x14ac:dyDescent="0.3">
      <c r="E37" s="29"/>
    </row>
    <row r="38" spans="5:5" x14ac:dyDescent="0.3">
      <c r="E38" s="2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0EAE-04AB-4DE0-A6A8-C25D55B95CE6}">
  <dimension ref="A1:M25"/>
  <sheetViews>
    <sheetView workbookViewId="0">
      <selection activeCell="B17" sqref="B17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2" bestFit="1" customWidth="1"/>
    <col min="7" max="7" width="18.6640625" bestFit="1" customWidth="1"/>
    <col min="8" max="8" width="6.33203125" bestFit="1" customWidth="1"/>
    <col min="9" max="9" width="2.5546875" bestFit="1" customWidth="1"/>
    <col min="10" max="10" width="2" bestFit="1" customWidth="1"/>
    <col min="11" max="11" width="15" bestFit="1" customWidth="1"/>
    <col min="12" max="12" width="7.33203125" customWidth="1"/>
    <col min="13" max="14" width="2.5546875" bestFit="1" customWidth="1"/>
  </cols>
  <sheetData>
    <row r="1" spans="1:13" x14ac:dyDescent="0.3">
      <c r="A1" s="64" t="s">
        <v>159</v>
      </c>
      <c r="B1" s="3"/>
    </row>
    <row r="2" spans="1:13" x14ac:dyDescent="0.3">
      <c r="B2" s="3"/>
    </row>
    <row r="3" spans="1:13" x14ac:dyDescent="0.3">
      <c r="A3" s="65" t="s">
        <v>131</v>
      </c>
      <c r="G3" s="64" t="s">
        <v>172</v>
      </c>
    </row>
    <row r="4" spans="1:13" x14ac:dyDescent="0.3">
      <c r="A4" s="67"/>
      <c r="B4" s="68"/>
    </row>
    <row r="5" spans="1:13" x14ac:dyDescent="0.3">
      <c r="A5" s="73" t="s">
        <v>133</v>
      </c>
      <c r="B5" s="66" t="str">
        <f>IF(iodam3!B16=0,"yes","no")</f>
        <v>yes</v>
      </c>
      <c r="F5" s="96" t="s">
        <v>164</v>
      </c>
      <c r="G5" s="96"/>
      <c r="H5" s="97" t="s">
        <v>165</v>
      </c>
      <c r="I5" s="97"/>
      <c r="J5" s="97" t="s">
        <v>166</v>
      </c>
      <c r="K5" s="97"/>
      <c r="L5" s="97" t="s">
        <v>171</v>
      </c>
      <c r="M5" s="97"/>
    </row>
    <row r="6" spans="1:13" x14ac:dyDescent="0.3">
      <c r="A6" s="73" t="s">
        <v>150</v>
      </c>
      <c r="B6" s="77">
        <f>iodam3!B15</f>
        <v>1</v>
      </c>
      <c r="F6" s="80">
        <f>IF(iodam2!B12&lt;MAX(2*L6,2*0.6*H6),0,1)</f>
        <v>1</v>
      </c>
      <c r="G6" s="81" t="s">
        <v>167</v>
      </c>
      <c r="H6" s="82">
        <f>iodam3!B8</f>
        <v>10</v>
      </c>
      <c r="I6" s="83" t="s">
        <v>2</v>
      </c>
      <c r="J6" s="84">
        <f>IF(H6&lt;30,1,2)</f>
        <v>1</v>
      </c>
      <c r="K6" s="81" t="str">
        <f>IF(H6&lt;30,"muro de encosto","muro de abraço")</f>
        <v>muro de encosto</v>
      </c>
      <c r="L6" s="85">
        <f>IF(AND(J6=2,H6&lt;&gt;0),H6*$B$14+5,0)</f>
        <v>0</v>
      </c>
      <c r="M6" s="81" t="s">
        <v>2</v>
      </c>
    </row>
    <row r="7" spans="1:13" ht="15.6" x14ac:dyDescent="0.35">
      <c r="A7" s="73" t="s">
        <v>136</v>
      </c>
      <c r="B7" s="66">
        <f>iodam3!B2</f>
        <v>236</v>
      </c>
      <c r="F7" s="80">
        <f>IF(iodam2!B13&lt;MAX(2*(L7+L8),2*0.6*(H7+H8)),0,1)</f>
        <v>1</v>
      </c>
      <c r="G7" s="81" t="s">
        <v>168</v>
      </c>
      <c r="H7" s="82">
        <f>iodam3!B9</f>
        <v>15</v>
      </c>
      <c r="I7" s="83" t="s">
        <v>2</v>
      </c>
      <c r="J7" s="84">
        <f t="shared" ref="J7:J9" si="0">IF(H7&lt;30,1,2)</f>
        <v>1</v>
      </c>
      <c r="K7" s="81" t="str">
        <f t="shared" ref="K7:K9" si="1">IF(H7&lt;30,"muro de encosto","muro de abraço")</f>
        <v>muro de encosto</v>
      </c>
      <c r="L7" s="85">
        <f t="shared" ref="L7:L9" si="2">IF(AND(J7=2,H7&lt;&gt;0),H7*$B$14+5,0)</f>
        <v>0</v>
      </c>
      <c r="M7" s="81" t="s">
        <v>2</v>
      </c>
    </row>
    <row r="8" spans="1:13" x14ac:dyDescent="0.3">
      <c r="A8" s="73" t="s">
        <v>134</v>
      </c>
      <c r="B8" s="66">
        <f>IF(B5="no",iodam3!B7,iodam3!B6)</f>
        <v>220</v>
      </c>
      <c r="F8" s="80">
        <f>IF(iodam2!B13&lt;MAX(2*(L7+L8),2*0.6*(H7+H8)),0,1)</f>
        <v>1</v>
      </c>
      <c r="G8" s="81" t="s">
        <v>169</v>
      </c>
      <c r="H8" s="82">
        <f>iodam3!B10</f>
        <v>20</v>
      </c>
      <c r="I8" s="83" t="s">
        <v>2</v>
      </c>
      <c r="J8" s="84">
        <f t="shared" si="0"/>
        <v>1</v>
      </c>
      <c r="K8" s="81" t="str">
        <f t="shared" si="1"/>
        <v>muro de encosto</v>
      </c>
      <c r="L8" s="85">
        <f t="shared" si="2"/>
        <v>0</v>
      </c>
      <c r="M8" s="81" t="s">
        <v>2</v>
      </c>
    </row>
    <row r="9" spans="1:13" ht="15.6" x14ac:dyDescent="0.35">
      <c r="A9" s="74" t="s">
        <v>147</v>
      </c>
      <c r="B9" s="66">
        <f>IF(B5="yes",iodam3!B5,iodam3!B4)</f>
        <v>1</v>
      </c>
      <c r="D9" s="2"/>
      <c r="F9" s="80">
        <f>IF(iodam2!B14&lt;MAX(2*L9,2*0.6*H9),0,1)</f>
        <v>1</v>
      </c>
      <c r="G9" s="81" t="s">
        <v>170</v>
      </c>
      <c r="H9" s="82">
        <f>iodam3!B11</f>
        <v>10</v>
      </c>
      <c r="I9" s="83" t="s">
        <v>2</v>
      </c>
      <c r="J9" s="84">
        <f t="shared" si="0"/>
        <v>1</v>
      </c>
      <c r="K9" s="81" t="str">
        <f t="shared" si="1"/>
        <v>muro de encosto</v>
      </c>
      <c r="L9" s="85">
        <f t="shared" si="2"/>
        <v>0</v>
      </c>
      <c r="M9" s="81" t="s">
        <v>2</v>
      </c>
    </row>
    <row r="10" spans="1:13" x14ac:dyDescent="0.3">
      <c r="A10" s="74" t="s">
        <v>151</v>
      </c>
      <c r="B10" s="77">
        <f>iodam3!B3</f>
        <v>1</v>
      </c>
      <c r="D10" s="2"/>
      <c r="F10" s="80">
        <f>SUM(F6:F9)</f>
        <v>4</v>
      </c>
      <c r="G10" s="86" t="s">
        <v>175</v>
      </c>
    </row>
    <row r="11" spans="1:13" x14ac:dyDescent="0.3">
      <c r="A11" s="75"/>
      <c r="B11" s="69"/>
      <c r="D11" s="2"/>
    </row>
    <row r="12" spans="1:13" x14ac:dyDescent="0.3">
      <c r="A12" s="65" t="s">
        <v>176</v>
      </c>
      <c r="D12" s="2"/>
    </row>
    <row r="13" spans="1:13" x14ac:dyDescent="0.3">
      <c r="A13" s="67"/>
      <c r="B13" s="68"/>
      <c r="D13" s="2"/>
    </row>
    <row r="14" spans="1:13" ht="15.6" x14ac:dyDescent="0.35">
      <c r="A14" s="73" t="s">
        <v>137</v>
      </c>
      <c r="B14" s="66">
        <v>1.5</v>
      </c>
      <c r="D14" s="2" t="s">
        <v>154</v>
      </c>
    </row>
    <row r="15" spans="1:13" ht="15.6" x14ac:dyDescent="0.35">
      <c r="A15" s="73" t="s">
        <v>138</v>
      </c>
      <c r="B15" s="66">
        <v>1.5</v>
      </c>
      <c r="D15" s="2" t="s">
        <v>154</v>
      </c>
    </row>
    <row r="16" spans="1:13" x14ac:dyDescent="0.3">
      <c r="A16" s="70" t="s">
        <v>140</v>
      </c>
      <c r="B16" s="66">
        <f>IF(OR(B5="no",iodam2!B16=4),4,10)</f>
        <v>4</v>
      </c>
      <c r="D16" s="2" t="s">
        <v>142</v>
      </c>
    </row>
    <row r="17" spans="1:4" x14ac:dyDescent="0.3">
      <c r="A17" s="70" t="s">
        <v>146</v>
      </c>
      <c r="B17" s="79">
        <f>B7-B8+B9</f>
        <v>17</v>
      </c>
      <c r="D17" s="2"/>
    </row>
    <row r="18" spans="1:4" ht="15.6" x14ac:dyDescent="0.35">
      <c r="A18" s="73" t="s">
        <v>139</v>
      </c>
      <c r="B18" s="87">
        <f>IF(B5="yes",IF(B17&lt;20,3,4),2)</f>
        <v>3</v>
      </c>
      <c r="D18" s="2" t="s">
        <v>142</v>
      </c>
    </row>
    <row r="19" spans="1:4" x14ac:dyDescent="0.3">
      <c r="A19" s="73" t="s">
        <v>149</v>
      </c>
      <c r="B19" s="66">
        <f>IF(B5="yes",B18-1,0)</f>
        <v>2</v>
      </c>
      <c r="D19" s="2" t="s">
        <v>142</v>
      </c>
    </row>
    <row r="20" spans="1:4" x14ac:dyDescent="0.3">
      <c r="A20" s="73" t="s">
        <v>141</v>
      </c>
      <c r="B20" s="66">
        <f>B7+B18</f>
        <v>239</v>
      </c>
      <c r="D20" s="2" t="s">
        <v>142</v>
      </c>
    </row>
    <row r="21" spans="1:4" x14ac:dyDescent="0.3">
      <c r="A21" s="70" t="s">
        <v>135</v>
      </c>
      <c r="B21" s="71">
        <f>B20-B8+B9</f>
        <v>20</v>
      </c>
    </row>
    <row r="22" spans="1:4" x14ac:dyDescent="0.3">
      <c r="A22" s="73" t="s">
        <v>143</v>
      </c>
      <c r="B22" s="71">
        <f>B16+B21*(B15+B14)+INT((B21-1)/10)*2*2</f>
        <v>68</v>
      </c>
      <c r="D22" s="2"/>
    </row>
    <row r="23" spans="1:4" x14ac:dyDescent="0.3">
      <c r="A23" s="73" t="s">
        <v>145</v>
      </c>
      <c r="B23" s="66">
        <f>B22-B24</f>
        <v>34</v>
      </c>
    </row>
    <row r="24" spans="1:4" x14ac:dyDescent="0.3">
      <c r="A24" s="73" t="s">
        <v>144</v>
      </c>
      <c r="B24" s="66">
        <f>B16/2+B21*B15+INT((B21-1)/10)*2</f>
        <v>34</v>
      </c>
    </row>
    <row r="25" spans="1:4" x14ac:dyDescent="0.3">
      <c r="A25" s="73" t="s">
        <v>152</v>
      </c>
      <c r="B25" s="66">
        <v>1</v>
      </c>
      <c r="D25" s="2" t="s">
        <v>153</v>
      </c>
    </row>
  </sheetData>
  <mergeCells count="4">
    <mergeCell ref="F5:G5"/>
    <mergeCell ref="H5:I5"/>
    <mergeCell ref="J5:K5"/>
    <mergeCell ref="L5:M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515A-0AF6-4931-85F7-5907B34DC567}">
  <dimension ref="A1:M28"/>
  <sheetViews>
    <sheetView workbookViewId="0">
      <selection activeCell="F17" sqref="F17"/>
    </sheetView>
  </sheetViews>
  <sheetFormatPr defaultColWidth="9.109375" defaultRowHeight="14.4" x14ac:dyDescent="0.3"/>
  <cols>
    <col min="1" max="1" width="22.33203125" style="34" bestFit="1" customWidth="1"/>
    <col min="2" max="2" width="7.5546875" style="34" bestFit="1" customWidth="1"/>
    <col min="3" max="3" width="2.6640625" style="34" bestFit="1" customWidth="1"/>
    <col min="4" max="4" width="2.6640625" style="34" customWidth="1"/>
    <col min="5" max="5" width="6.109375" style="41" bestFit="1" customWidth="1"/>
    <col min="6" max="6" width="85" style="34" bestFit="1" customWidth="1"/>
    <col min="7" max="7" width="4.6640625" style="34" customWidth="1"/>
    <col min="8" max="8" width="22.33203125" style="34" bestFit="1" customWidth="1"/>
    <col min="9" max="9" width="7.5546875" style="34" bestFit="1" customWidth="1"/>
    <col min="10" max="10" width="2.5546875" style="34" bestFit="1" customWidth="1"/>
    <col min="11" max="11" width="2.5546875" style="34" customWidth="1"/>
    <col min="12" max="12" width="3" style="34" bestFit="1" customWidth="1"/>
    <col min="13" max="13" width="80" style="34" bestFit="1" customWidth="1"/>
    <col min="14" max="16384" width="9.109375" style="34"/>
  </cols>
  <sheetData>
    <row r="1" spans="1:13" x14ac:dyDescent="0.3">
      <c r="A1" s="4" t="s">
        <v>0</v>
      </c>
      <c r="B1" s="32"/>
      <c r="C1" s="32"/>
      <c r="D1" s="32"/>
      <c r="E1" s="33"/>
      <c r="F1" s="52" t="s">
        <v>92</v>
      </c>
      <c r="G1" s="32"/>
      <c r="H1" s="31" t="s">
        <v>1</v>
      </c>
    </row>
    <row r="2" spans="1:13" ht="15.6" x14ac:dyDescent="0.35">
      <c r="A2" s="35" t="s">
        <v>9</v>
      </c>
      <c r="B2" s="36">
        <v>315</v>
      </c>
      <c r="C2" s="34" t="s">
        <v>2</v>
      </c>
      <c r="D2" s="48">
        <v>1</v>
      </c>
      <c r="E2" s="38" t="s">
        <v>18</v>
      </c>
      <c r="F2" s="11" t="s">
        <v>80</v>
      </c>
      <c r="G2" s="32"/>
      <c r="H2" s="35" t="s">
        <v>99</v>
      </c>
      <c r="I2" s="36">
        <f>dyk2eart!B19</f>
        <v>317</v>
      </c>
      <c r="J2" s="39" t="s">
        <v>2</v>
      </c>
      <c r="K2" s="48">
        <v>1</v>
      </c>
      <c r="L2" s="61"/>
      <c r="M2" s="11" t="s">
        <v>109</v>
      </c>
    </row>
    <row r="3" spans="1:13" ht="15.6" x14ac:dyDescent="0.35">
      <c r="A3" s="35" t="s">
        <v>17</v>
      </c>
      <c r="B3" s="36">
        <v>310</v>
      </c>
      <c r="C3" s="34" t="s">
        <v>2</v>
      </c>
      <c r="D3" s="48">
        <v>1</v>
      </c>
      <c r="E3" s="38" t="s">
        <v>31</v>
      </c>
      <c r="F3" s="11" t="s">
        <v>81</v>
      </c>
      <c r="G3" s="32"/>
      <c r="H3" s="35" t="s">
        <v>100</v>
      </c>
      <c r="I3" s="36">
        <f>dyk2eart!B16</f>
        <v>4</v>
      </c>
      <c r="J3" s="34" t="s">
        <v>2</v>
      </c>
      <c r="K3" s="48">
        <v>2</v>
      </c>
      <c r="L3" s="58"/>
      <c r="M3" s="11" t="s">
        <v>110</v>
      </c>
    </row>
    <row r="4" spans="1:13" x14ac:dyDescent="0.3">
      <c r="A4" s="35" t="s">
        <v>10</v>
      </c>
      <c r="B4" s="42">
        <v>1</v>
      </c>
      <c r="D4" s="48">
        <v>1</v>
      </c>
      <c r="E4" s="43"/>
      <c r="F4" s="11" t="s">
        <v>69</v>
      </c>
      <c r="G4" s="32"/>
      <c r="H4" s="8" t="s">
        <v>101</v>
      </c>
      <c r="I4" s="36">
        <f>dyk2eart!B19</f>
        <v>317</v>
      </c>
      <c r="J4" t="s">
        <v>2</v>
      </c>
      <c r="K4" s="48">
        <v>1</v>
      </c>
      <c r="L4" s="61"/>
      <c r="M4" s="11" t="s">
        <v>111</v>
      </c>
    </row>
    <row r="5" spans="1:13" ht="15.6" x14ac:dyDescent="0.35">
      <c r="A5" s="8" t="s">
        <v>121</v>
      </c>
      <c r="B5" s="36">
        <v>1</v>
      </c>
      <c r="C5" s="34" t="s">
        <v>2</v>
      </c>
      <c r="D5" s="48">
        <v>1</v>
      </c>
      <c r="E5" s="60" t="s">
        <v>19</v>
      </c>
      <c r="F5" s="11" t="s">
        <v>120</v>
      </c>
      <c r="G5" s="32"/>
      <c r="H5" s="8" t="s">
        <v>103</v>
      </c>
      <c r="I5" s="36">
        <f>dyk2eart!B14</f>
        <v>2.5</v>
      </c>
      <c r="J5"/>
      <c r="K5" s="48">
        <v>1</v>
      </c>
      <c r="L5" s="58"/>
      <c r="M5" s="11" t="s">
        <v>113</v>
      </c>
    </row>
    <row r="6" spans="1:13" x14ac:dyDescent="0.3">
      <c r="A6" s="8" t="s">
        <v>123</v>
      </c>
      <c r="B6" s="36">
        <v>308</v>
      </c>
      <c r="C6" s="34" t="s">
        <v>2</v>
      </c>
      <c r="D6" s="48">
        <v>1</v>
      </c>
      <c r="E6" s="59"/>
      <c r="F6" s="11" t="s">
        <v>119</v>
      </c>
      <c r="G6" s="32"/>
      <c r="H6" s="8" t="s">
        <v>102</v>
      </c>
      <c r="I6" s="36">
        <f>dyk2eart!B15</f>
        <v>2.2000000000000002</v>
      </c>
      <c r="J6"/>
      <c r="K6" s="48">
        <v>1</v>
      </c>
      <c r="L6" s="58"/>
      <c r="M6" s="11" t="s">
        <v>112</v>
      </c>
    </row>
    <row r="7" spans="1:13" x14ac:dyDescent="0.3">
      <c r="A7" s="8" t="s">
        <v>97</v>
      </c>
      <c r="B7" s="47">
        <v>1</v>
      </c>
      <c r="C7"/>
      <c r="D7" s="48">
        <v>2</v>
      </c>
      <c r="E7" s="59"/>
      <c r="F7" s="11" t="s">
        <v>98</v>
      </c>
      <c r="G7" s="32"/>
      <c r="H7" s="8" t="s">
        <v>104</v>
      </c>
      <c r="I7" s="36">
        <f>dyk2eart!B21</f>
        <v>51</v>
      </c>
      <c r="J7" s="39" t="s">
        <v>2</v>
      </c>
      <c r="K7" s="48">
        <v>2</v>
      </c>
      <c r="L7" s="61"/>
      <c r="M7" s="11" t="s">
        <v>114</v>
      </c>
    </row>
    <row r="8" spans="1:13" x14ac:dyDescent="0.3">
      <c r="G8" s="32"/>
      <c r="H8" s="8" t="s">
        <v>105</v>
      </c>
      <c r="I8" s="36">
        <f>dyk2eart!B22</f>
        <v>24</v>
      </c>
      <c r="J8" s="34" t="s">
        <v>2</v>
      </c>
      <c r="K8" s="48">
        <v>2</v>
      </c>
      <c r="L8" s="61"/>
      <c r="M8" s="11" t="s">
        <v>115</v>
      </c>
    </row>
    <row r="9" spans="1:13" x14ac:dyDescent="0.3">
      <c r="D9" s="48">
        <v>1</v>
      </c>
      <c r="E9" s="2"/>
      <c r="F9" s="50" t="s">
        <v>85</v>
      </c>
      <c r="G9" s="32"/>
      <c r="H9" s="8" t="s">
        <v>106</v>
      </c>
      <c r="I9" s="36">
        <f>dyk2eart!B23</f>
        <v>27</v>
      </c>
      <c r="J9" s="34" t="s">
        <v>2</v>
      </c>
      <c r="K9" s="48">
        <v>2</v>
      </c>
      <c r="L9" s="61"/>
      <c r="M9" s="11" t="s">
        <v>116</v>
      </c>
    </row>
    <row r="10" spans="1:13" x14ac:dyDescent="0.3">
      <c r="D10" s="49"/>
      <c r="E10" s="2"/>
      <c r="F10" s="50" t="s">
        <v>86</v>
      </c>
      <c r="H10" s="8" t="s">
        <v>107</v>
      </c>
      <c r="I10" s="36">
        <f>dyk2eart!B25</f>
        <v>309</v>
      </c>
      <c r="J10" s="34" t="s">
        <v>2</v>
      </c>
      <c r="K10" s="48">
        <v>1</v>
      </c>
      <c r="L10" s="58"/>
      <c r="M10" s="11" t="s">
        <v>117</v>
      </c>
    </row>
    <row r="11" spans="1:13" x14ac:dyDescent="0.3">
      <c r="D11" s="48">
        <v>2</v>
      </c>
      <c r="E11" s="2"/>
      <c r="F11" s="50" t="s">
        <v>87</v>
      </c>
      <c r="H11" s="8" t="s">
        <v>108</v>
      </c>
      <c r="I11" s="36">
        <f>dyk2eart!B26</f>
        <v>310</v>
      </c>
      <c r="J11" s="34" t="s">
        <v>2</v>
      </c>
      <c r="K11" s="48">
        <v>1</v>
      </c>
      <c r="L11" s="58"/>
      <c r="M11" s="11" t="s">
        <v>118</v>
      </c>
    </row>
    <row r="12" spans="1:13" x14ac:dyDescent="0.3">
      <c r="D12" s="49"/>
      <c r="E12" s="2"/>
      <c r="F12" s="50" t="s">
        <v>88</v>
      </c>
      <c r="H12" s="8" t="s">
        <v>45</v>
      </c>
      <c r="I12" s="36">
        <v>1</v>
      </c>
      <c r="J12" s="34" t="s">
        <v>2</v>
      </c>
      <c r="K12" s="48">
        <v>1</v>
      </c>
      <c r="L12"/>
      <c r="M12" s="11" t="s">
        <v>71</v>
      </c>
    </row>
    <row r="13" spans="1:13" x14ac:dyDescent="0.3">
      <c r="E13" s="34"/>
      <c r="H13" s="8" t="s">
        <v>93</v>
      </c>
      <c r="I13" s="53" t="str">
        <f>VLOOKUP(1,L16:M17,2,FALSE)</f>
        <v/>
      </c>
      <c r="J13" s="49"/>
      <c r="K13" s="54">
        <v>2</v>
      </c>
      <c r="L13"/>
      <c r="M13" s="11" t="s">
        <v>94</v>
      </c>
    </row>
    <row r="14" spans="1:13" x14ac:dyDescent="0.3">
      <c r="E14" s="34"/>
      <c r="H14"/>
      <c r="I14"/>
      <c r="J14"/>
      <c r="K14"/>
      <c r="L14"/>
      <c r="M14"/>
    </row>
    <row r="15" spans="1:13" x14ac:dyDescent="0.3">
      <c r="E15" s="88"/>
      <c r="F15" s="63" t="s">
        <v>177</v>
      </c>
      <c r="H15"/>
      <c r="I15"/>
      <c r="J15"/>
      <c r="K15"/>
      <c r="L15" s="55" t="s">
        <v>95</v>
      </c>
      <c r="M15" s="55"/>
    </row>
    <row r="16" spans="1:13" x14ac:dyDescent="0.3">
      <c r="E16" s="93"/>
      <c r="F16" s="63" t="s">
        <v>179</v>
      </c>
      <c r="H16"/>
      <c r="I16"/>
      <c r="J16"/>
      <c r="K16"/>
      <c r="L16" s="1" cm="1">
        <f t="array" ref="L16">IFERROR(MIN(ABS(I2:I12),0),1)</f>
        <v>0</v>
      </c>
      <c r="M16" s="56" t="s">
        <v>96</v>
      </c>
    </row>
    <row r="17" spans="5:13" x14ac:dyDescent="0.3">
      <c r="E17" s="34"/>
      <c r="H17"/>
      <c r="I17"/>
      <c r="J17"/>
      <c r="K17"/>
      <c r="L17" s="57">
        <v>1</v>
      </c>
      <c r="M17" t="str">
        <f>""</f>
        <v/>
      </c>
    </row>
    <row r="18" spans="5:13" x14ac:dyDescent="0.3">
      <c r="E18" s="34"/>
    </row>
    <row r="19" spans="5:13" x14ac:dyDescent="0.3">
      <c r="E19" s="34"/>
    </row>
    <row r="20" spans="5:13" x14ac:dyDescent="0.3">
      <c r="E20" s="34"/>
    </row>
    <row r="21" spans="5:13" x14ac:dyDescent="0.3">
      <c r="E21" s="34"/>
    </row>
    <row r="22" spans="5:13" x14ac:dyDescent="0.3">
      <c r="E22" s="34"/>
    </row>
    <row r="23" spans="5:13" x14ac:dyDescent="0.3">
      <c r="E23" s="34"/>
    </row>
    <row r="24" spans="5:13" x14ac:dyDescent="0.3">
      <c r="E24" s="34"/>
    </row>
    <row r="25" spans="5:13" x14ac:dyDescent="0.3">
      <c r="E25" s="34"/>
    </row>
    <row r="26" spans="5:13" x14ac:dyDescent="0.3">
      <c r="E26" s="34"/>
    </row>
    <row r="27" spans="5:13" x14ac:dyDescent="0.3">
      <c r="E27" s="34"/>
    </row>
    <row r="28" spans="5:13" x14ac:dyDescent="0.3">
      <c r="E28" s="3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53D-051E-464A-B450-E754AD4A8226}">
  <dimension ref="A1:D26"/>
  <sheetViews>
    <sheetView workbookViewId="0">
      <selection activeCell="F6" sqref="F6"/>
    </sheetView>
  </sheetViews>
  <sheetFormatPr defaultRowHeight="14.4" x14ac:dyDescent="0.3"/>
  <cols>
    <col min="1" max="1" width="65.5546875" style="72" bestFit="1" customWidth="1"/>
    <col min="3" max="3" width="2.6640625" customWidth="1"/>
    <col min="4" max="4" width="26.44140625" bestFit="1" customWidth="1"/>
    <col min="5" max="5" width="2.6640625" customWidth="1"/>
    <col min="6" max="6" width="17.88671875" customWidth="1"/>
    <col min="7" max="7" width="12.88671875" bestFit="1" customWidth="1"/>
    <col min="8" max="9" width="9.109375" customWidth="1"/>
  </cols>
  <sheetData>
    <row r="1" spans="1:4" x14ac:dyDescent="0.3">
      <c r="A1" s="64" t="s">
        <v>155</v>
      </c>
      <c r="B1" s="3"/>
    </row>
    <row r="2" spans="1:4" x14ac:dyDescent="0.3">
      <c r="B2" s="3"/>
    </row>
    <row r="3" spans="1:4" x14ac:dyDescent="0.3">
      <c r="A3" s="65" t="s">
        <v>131</v>
      </c>
    </row>
    <row r="4" spans="1:4" x14ac:dyDescent="0.3">
      <c r="A4" s="67"/>
      <c r="B4" s="68"/>
    </row>
    <row r="5" spans="1:4" x14ac:dyDescent="0.3">
      <c r="A5" s="73" t="s">
        <v>133</v>
      </c>
      <c r="B5" s="66" t="str">
        <f>IF(iodyk2!B7=0,"yes","no")</f>
        <v>no</v>
      </c>
    </row>
    <row r="6" spans="1:4" ht="15.6" x14ac:dyDescent="0.35">
      <c r="A6" s="73" t="s">
        <v>136</v>
      </c>
      <c r="B6" s="66">
        <f>iodyk2!B2</f>
        <v>315</v>
      </c>
    </row>
    <row r="7" spans="1:4" x14ac:dyDescent="0.3">
      <c r="A7" s="73" t="s">
        <v>156</v>
      </c>
      <c r="B7" s="66">
        <f>iodyk2!B3</f>
        <v>310</v>
      </c>
    </row>
    <row r="8" spans="1:4" x14ac:dyDescent="0.3">
      <c r="A8" s="73" t="s">
        <v>134</v>
      </c>
      <c r="B8" s="66">
        <f>iodyk2!B6</f>
        <v>308</v>
      </c>
    </row>
    <row r="9" spans="1:4" ht="15.6" x14ac:dyDescent="0.35">
      <c r="A9" s="74" t="s">
        <v>147</v>
      </c>
      <c r="B9" s="66">
        <f>iodyk2!B5</f>
        <v>1</v>
      </c>
      <c r="D9" s="2"/>
    </row>
    <row r="10" spans="1:4" x14ac:dyDescent="0.3">
      <c r="A10" s="74" t="s">
        <v>151</v>
      </c>
      <c r="B10" s="77">
        <f>iodyk2!B4</f>
        <v>1</v>
      </c>
      <c r="D10" s="2"/>
    </row>
    <row r="11" spans="1:4" x14ac:dyDescent="0.3">
      <c r="A11" s="75"/>
      <c r="B11" s="69"/>
      <c r="D11" s="2"/>
    </row>
    <row r="12" spans="1:4" x14ac:dyDescent="0.3">
      <c r="A12" s="65" t="s">
        <v>176</v>
      </c>
      <c r="D12" s="2"/>
    </row>
    <row r="13" spans="1:4" x14ac:dyDescent="0.3">
      <c r="A13" s="67"/>
      <c r="B13" s="68"/>
      <c r="D13" s="2"/>
    </row>
    <row r="14" spans="1:4" ht="15.6" x14ac:dyDescent="0.35">
      <c r="A14" s="73" t="s">
        <v>137</v>
      </c>
      <c r="B14" s="66">
        <f>IF(B20&gt;30,3,2.5)</f>
        <v>2.5</v>
      </c>
      <c r="D14" s="2" t="s">
        <v>154</v>
      </c>
    </row>
    <row r="15" spans="1:4" ht="15.6" x14ac:dyDescent="0.35">
      <c r="A15" s="73" t="s">
        <v>138</v>
      </c>
      <c r="B15" s="66">
        <f>IF(B20&gt;30,2.5,2.2)</f>
        <v>2.2000000000000002</v>
      </c>
      <c r="D15" s="2" t="s">
        <v>154</v>
      </c>
    </row>
    <row r="16" spans="1:4" x14ac:dyDescent="0.3">
      <c r="A16" s="70" t="s">
        <v>161</v>
      </c>
      <c r="B16" s="66">
        <v>4</v>
      </c>
      <c r="D16" s="2" t="s">
        <v>142</v>
      </c>
    </row>
    <row r="17" spans="1:4" x14ac:dyDescent="0.3">
      <c r="A17" s="70" t="s">
        <v>146</v>
      </c>
      <c r="B17" s="71">
        <f>B6-B8+B9</f>
        <v>8</v>
      </c>
      <c r="D17" s="2"/>
    </row>
    <row r="18" spans="1:4" ht="15.6" x14ac:dyDescent="0.35">
      <c r="A18" s="73" t="s">
        <v>139</v>
      </c>
      <c r="B18" s="66">
        <f>IF(B5="yes",4,2)</f>
        <v>2</v>
      </c>
      <c r="D18" s="2" t="s">
        <v>142</v>
      </c>
    </row>
    <row r="19" spans="1:4" x14ac:dyDescent="0.3">
      <c r="A19" s="73" t="s">
        <v>162</v>
      </c>
      <c r="B19" s="66">
        <f>B6+B18</f>
        <v>317</v>
      </c>
      <c r="D19" s="2" t="s">
        <v>142</v>
      </c>
    </row>
    <row r="20" spans="1:4" x14ac:dyDescent="0.3">
      <c r="A20" s="70" t="s">
        <v>163</v>
      </c>
      <c r="B20" s="71">
        <f>B19-B8+B9</f>
        <v>10</v>
      </c>
    </row>
    <row r="21" spans="1:4" x14ac:dyDescent="0.3">
      <c r="A21" s="73" t="s">
        <v>160</v>
      </c>
      <c r="B21" s="71">
        <f>B16+B20*(B15+B14)</f>
        <v>51</v>
      </c>
      <c r="D21" s="2"/>
    </row>
    <row r="22" spans="1:4" x14ac:dyDescent="0.3">
      <c r="A22" s="73" t="s">
        <v>145</v>
      </c>
      <c r="B22" s="66">
        <f>B21-B23</f>
        <v>24</v>
      </c>
    </row>
    <row r="23" spans="1:4" x14ac:dyDescent="0.3">
      <c r="A23" s="73" t="s">
        <v>144</v>
      </c>
      <c r="B23" s="66">
        <f>B16/2+B20*B14</f>
        <v>27</v>
      </c>
    </row>
    <row r="24" spans="1:4" x14ac:dyDescent="0.3">
      <c r="A24" s="73" t="s">
        <v>152</v>
      </c>
      <c r="B24" s="66">
        <v>1</v>
      </c>
      <c r="D24" s="2" t="s">
        <v>153</v>
      </c>
    </row>
    <row r="25" spans="1:4" x14ac:dyDescent="0.3">
      <c r="A25" s="73" t="s">
        <v>157</v>
      </c>
      <c r="B25" s="78">
        <f>IF(B7-1&gt;B8-B9,B7-1,B8-B9)</f>
        <v>309</v>
      </c>
    </row>
    <row r="26" spans="1:4" x14ac:dyDescent="0.3">
      <c r="A26" s="73" t="s">
        <v>158</v>
      </c>
      <c r="B26" s="78">
        <f>IF(B20&gt;7,B6-5,B8-B9+2)</f>
        <v>310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iodam1</vt:lpstr>
      <vt:lpstr>dam1conc</vt:lpstr>
      <vt:lpstr>iodam2</vt:lpstr>
      <vt:lpstr>dam2eart</vt:lpstr>
      <vt:lpstr>iodam3</vt:lpstr>
      <vt:lpstr>dam3rock</vt:lpstr>
      <vt:lpstr>iodyk2</vt:lpstr>
      <vt:lpstr>dyk2eart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2021-07-22T13:17:30Z</cp:lastPrinted>
  <dcterms:created xsi:type="dcterms:W3CDTF">2017-06-07T19:27:12Z</dcterms:created>
  <dcterms:modified xsi:type="dcterms:W3CDTF">2022-05-19T20:21:21Z</dcterms:modified>
</cp:coreProperties>
</file>