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"/>
    </mc:Choice>
  </mc:AlternateContent>
  <xr:revisionPtr revIDLastSave="0" documentId="13_ncr:1_{9943C2E0-5FA3-4961-B51B-6E7B2A7B806D}" xr6:coauthVersionLast="47" xr6:coauthVersionMax="47" xr10:uidLastSave="{00000000-0000-0000-0000-000000000000}"/>
  <bookViews>
    <workbookView xWindow="-108" yWindow="-108" windowWidth="23256" windowHeight="12576" tabRatio="879" xr2:uid="{00000000-000D-0000-FFFF-FFFF00000000}"/>
  </bookViews>
  <sheets>
    <sheet name="ioquant" sheetId="1" r:id="rId1"/>
    <sheet name="dyk_eart" sheetId="14" r:id="rId2"/>
    <sheet name="dam_eart" sheetId="7" r:id="rId3"/>
    <sheet name="div_tund" sheetId="2" r:id="rId4"/>
    <sheet name="div_gall" sheetId="6" r:id="rId5"/>
    <sheet name="div_slui" sheetId="11" r:id="rId6"/>
    <sheet name="spw_strc" sheetId="8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B7" i="7"/>
  <c r="B13" i="7"/>
  <c r="B7" i="14"/>
  <c r="B15" i="14"/>
  <c r="B13" i="14"/>
  <c r="B9" i="14"/>
  <c r="B3" i="14"/>
  <c r="H24" i="1"/>
  <c r="H23" i="1"/>
  <c r="B9" i="7"/>
  <c r="H22" i="1"/>
  <c r="H25" i="1"/>
  <c r="H18" i="1" l="1"/>
  <c r="H17" i="1"/>
  <c r="B15" i="7" l="1"/>
  <c r="B3" i="7"/>
  <c r="K53" i="1" l="1"/>
  <c r="H46" i="1" l="1"/>
  <c r="H33" i="1" l="1"/>
  <c r="H44" i="1" l="1"/>
  <c r="H43" i="1"/>
  <c r="H42" i="1"/>
  <c r="H41" i="1"/>
  <c r="H40" i="1"/>
  <c r="H39" i="1"/>
  <c r="B12" i="8" l="1"/>
  <c r="B6" i="8"/>
  <c r="B8" i="11" l="1"/>
  <c r="B4" i="11" l="1"/>
  <c r="B5" i="11"/>
  <c r="B6" i="11"/>
  <c r="B15" i="2" l="1"/>
  <c r="B5" i="2"/>
  <c r="H3" i="1" l="1"/>
  <c r="H4" i="1"/>
  <c r="H5" i="1"/>
  <c r="H6" i="1"/>
  <c r="H8" i="1"/>
  <c r="H12" i="1"/>
  <c r="H15" i="1"/>
  <c r="H16" i="1"/>
  <c r="H19" i="1"/>
  <c r="H20" i="1"/>
  <c r="H26" i="1"/>
  <c r="H27" i="1"/>
  <c r="H28" i="1"/>
  <c r="H30" i="1"/>
  <c r="H31" i="1"/>
  <c r="H32" i="1"/>
  <c r="H34" i="1"/>
  <c r="H35" i="1"/>
  <c r="H36" i="1"/>
  <c r="H37" i="1"/>
  <c r="H38" i="1"/>
  <c r="H45" i="1"/>
  <c r="H47" i="1"/>
  <c r="B10" i="8" l="1"/>
  <c r="B7" i="11" l="1"/>
  <c r="B4" i="8" l="1"/>
  <c r="B10" i="11" l="1"/>
  <c r="B11" i="11"/>
  <c r="B12" i="11" s="1"/>
  <c r="B3" i="11"/>
  <c r="B23" i="11" s="1"/>
  <c r="B3" i="6"/>
  <c r="B9" i="11"/>
  <c r="H14" i="1" l="1"/>
  <c r="B16" i="11"/>
  <c r="B14" i="11"/>
  <c r="B17" i="11" s="1"/>
  <c r="B21" i="11"/>
  <c r="B18" i="11"/>
  <c r="B19" i="11" l="1"/>
  <c r="B8" i="8" l="1"/>
  <c r="B2" i="8" l="1"/>
  <c r="B15" i="8" s="1"/>
  <c r="H48" i="1" s="1"/>
  <c r="B7" i="6" l="1"/>
  <c r="B8" i="6"/>
  <c r="B6" i="6"/>
  <c r="B5" i="6"/>
  <c r="B4" i="6"/>
  <c r="B10" i="6"/>
  <c r="B9" i="6"/>
  <c r="B19" i="6" l="1"/>
  <c r="B16" i="6"/>
  <c r="B14" i="6"/>
  <c r="B13" i="6"/>
  <c r="H11" i="1"/>
  <c r="B15" i="6"/>
  <c r="B17" i="6" l="1"/>
  <c r="H13" i="1" s="1"/>
  <c r="B16" i="2" l="1"/>
  <c r="B3" i="2"/>
  <c r="C11" i="2"/>
  <c r="C10" i="2"/>
  <c r="B11" i="2"/>
  <c r="B10" i="2"/>
  <c r="B9" i="2"/>
  <c r="B4" i="2"/>
  <c r="H2" i="1"/>
  <c r="D10" i="2" l="1"/>
  <c r="B21" i="2"/>
  <c r="B20" i="2"/>
  <c r="B19" i="2"/>
  <c r="D11" i="2"/>
  <c r="E11" i="2"/>
  <c r="D9" i="2"/>
  <c r="E10" i="2"/>
  <c r="H10" i="1" s="1"/>
  <c r="B22" i="2" l="1"/>
  <c r="D12" i="2"/>
  <c r="H7" i="1" s="1"/>
  <c r="H9" i="1"/>
  <c r="J52" i="1" l="1" a="1"/>
  <c r="J52" i="1" s="1"/>
  <c r="H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<sst xmlns="http://schemas.openxmlformats.org/spreadsheetml/2006/main" count="589" uniqueCount="344">
  <si>
    <t>~IN</t>
  </si>
  <si>
    <t>~OUT</t>
  </si>
  <si>
    <t>m</t>
  </si>
  <si>
    <t>m³</t>
  </si>
  <si>
    <t>m²</t>
  </si>
  <si>
    <t>Seção sem revestimento:</t>
  </si>
  <si>
    <t>Seção com concreto projetado:</t>
  </si>
  <si>
    <t>Seção com concreto estrutural:</t>
  </si>
  <si>
    <t>Diâmetro:</t>
  </si>
  <si>
    <t>Total:</t>
  </si>
  <si>
    <t>Número de túneis:</t>
  </si>
  <si>
    <t>Túnel de Desvio</t>
  </si>
  <si>
    <t>div_cfd1_fill_m3</t>
  </si>
  <si>
    <t>div_cfd2_fill_m3</t>
  </si>
  <si>
    <t>div_tund_trtm_m2</t>
  </si>
  <si>
    <t>div_tund_conc_m3</t>
  </si>
  <si>
    <t>div_tund_shot_m3</t>
  </si>
  <si>
    <t>dam_eart_fill_m3</t>
  </si>
  <si>
    <t>dam_rock_fill_m3</t>
  </si>
  <si>
    <t>dam_rock_clay_m3</t>
  </si>
  <si>
    <t>dam_rock_conc_m3</t>
  </si>
  <si>
    <t>dam_eart_ripr_m3</t>
  </si>
  <si>
    <t>dam_eart_prot_m2</t>
  </si>
  <si>
    <t>dam_conc_slex_m3</t>
  </si>
  <si>
    <t>dam_conc_rkex_m3</t>
  </si>
  <si>
    <t>dam_conc_trtm_m2</t>
  </si>
  <si>
    <t>dam_conc_conc_m3</t>
  </si>
  <si>
    <t>dam_trwl_slex_m3</t>
  </si>
  <si>
    <t>dam_trwl_rkex_m3</t>
  </si>
  <si>
    <t>dam_trwl_trtm_m2</t>
  </si>
  <si>
    <t>dam_trwl_conc_m3</t>
  </si>
  <si>
    <t>div_tund_ugex_m3</t>
  </si>
  <si>
    <t>div_tund_0000_n</t>
  </si>
  <si>
    <t>div_tund_0000_d</t>
  </si>
  <si>
    <t>div_tund_rock_l</t>
  </si>
  <si>
    <t>div_tund_shot_l</t>
  </si>
  <si>
    <t>div_tund_conc_l</t>
  </si>
  <si>
    <t>div_tund_shot_th</t>
  </si>
  <si>
    <t>div_tund_conc_th</t>
  </si>
  <si>
    <t>div_chan_appr_el</t>
  </si>
  <si>
    <t>dam_crst_0000_el</t>
  </si>
  <si>
    <t xml:space="preserve">div_cfd2_upst_el </t>
  </si>
  <si>
    <t>Tomada d'Água do Desvio</t>
  </si>
  <si>
    <t>Elevação na crista:</t>
  </si>
  <si>
    <t>Largura da crista:</t>
  </si>
  <si>
    <t>Comprimento</t>
  </si>
  <si>
    <t>Espessura</t>
  </si>
  <si>
    <t>Volume da seção cheia:</t>
  </si>
  <si>
    <t>Volume de vazios:</t>
  </si>
  <si>
    <t>Escavação</t>
  </si>
  <si>
    <t>Concreto</t>
  </si>
  <si>
    <t>spw_totl_slex_m3</t>
  </si>
  <si>
    <t>spw_totl_rkex_m3</t>
  </si>
  <si>
    <t>spw_totl_trtm_m2</t>
  </si>
  <si>
    <t>spw_totl_conc_m3</t>
  </si>
  <si>
    <t>Volume total de concreto:</t>
  </si>
  <si>
    <t>dam_crst_0000_l</t>
  </si>
  <si>
    <t>Elevação da soleira:</t>
  </si>
  <si>
    <t>Volume do tampão:</t>
  </si>
  <si>
    <t>Volumes (m³)</t>
  </si>
  <si>
    <t>Dimensões (m)</t>
  </si>
  <si>
    <t>hera_dam_conc_totl_m3</t>
  </si>
  <si>
    <t>hera_dam_eart_totl_m3</t>
  </si>
  <si>
    <t>hera_dam_rock_totl_m3</t>
  </si>
  <si>
    <t>hera_spw_ogee_slex_m3</t>
  </si>
  <si>
    <t>hera_spw_ogee_rkex_m3</t>
  </si>
  <si>
    <t>hera_spw_totl_trtm_m2</t>
  </si>
  <si>
    <t>hera_spw_totl_conc_m3</t>
  </si>
  <si>
    <t>hera_spw_appr_slex_m3</t>
  </si>
  <si>
    <t>hera_spw_appr_rkex_m3</t>
  </si>
  <si>
    <t>hera_spw_rest_slex_m3</t>
  </si>
  <si>
    <t>hera_spw_rest_rkex_m3</t>
  </si>
  <si>
    <t>hera_div_cfd1_fill_m3</t>
  </si>
  <si>
    <t>hera_div_cfd2_fill_m3</t>
  </si>
  <si>
    <t>hera_div_chan_slex_m3</t>
  </si>
  <si>
    <t>hera_div_chan_rkex_m3</t>
  </si>
  <si>
    <t>hera_dam_conc_trtm_m2</t>
  </si>
  <si>
    <t>hera_dam_conc_slex_m3</t>
  </si>
  <si>
    <t>hera_dam_conc_rkex_m3</t>
  </si>
  <si>
    <t>hera_dam_eart_trtm_m2</t>
  </si>
  <si>
    <t>hera_dam_eart_slex_m3</t>
  </si>
  <si>
    <t>hera_dam_rock_trtm_m2</t>
  </si>
  <si>
    <t>hera_dam_rock_slex_m3</t>
  </si>
  <si>
    <t>hera_spw_appr_regc_m3</t>
  </si>
  <si>
    <t>hera_spw_rest_regc_m3</t>
  </si>
  <si>
    <t>hera_div_chan_regc_m3</t>
  </si>
  <si>
    <t>hera_dam_trwl_trtm_m2</t>
  </si>
  <si>
    <t>hera_dam_trwl_slex_m3</t>
  </si>
  <si>
    <t>hera_dam_trwl_rkex_m3</t>
  </si>
  <si>
    <t>hera_dam_trwl_conc_m3</t>
  </si>
  <si>
    <t>hera_dam_rock_clay_m3</t>
  </si>
  <si>
    <t>Número de galerias:</t>
  </si>
  <si>
    <t>Altura do vão da galeria:</t>
  </si>
  <si>
    <t>Largura do vão da galeria:</t>
  </si>
  <si>
    <t>div_gall_gate_w</t>
  </si>
  <si>
    <t>div_gall_gate_h</t>
  </si>
  <si>
    <t>Galeria de Desvio com Tomada d'Água</t>
  </si>
  <si>
    <t>div_gall_conc_th</t>
  </si>
  <si>
    <t>Espessura das paredes:</t>
  </si>
  <si>
    <t>div_gall_totl_l</t>
  </si>
  <si>
    <t>Extensão total da galeria:</t>
  </si>
  <si>
    <t>div_gall_totl_w</t>
  </si>
  <si>
    <t>Largura total da galeria:</t>
  </si>
  <si>
    <t>Volume dos tampões:</t>
  </si>
  <si>
    <t>div_chan_slex_m3</t>
  </si>
  <si>
    <t>div_chan_rkex_m3</t>
  </si>
  <si>
    <t>div_chan_regc_m3</t>
  </si>
  <si>
    <t>div_gall_rkex_m3</t>
  </si>
  <si>
    <t>div_gall_trtm_m2</t>
  </si>
  <si>
    <t>div_gall_conc_m3</t>
  </si>
  <si>
    <t>Escavação em rocha:</t>
  </si>
  <si>
    <t>Volume adicional:</t>
  </si>
  <si>
    <t>div_slui_rkex_m3</t>
  </si>
  <si>
    <t>div_slui_trtm_m2</t>
  </si>
  <si>
    <t>div_slui_conc_m3</t>
  </si>
  <si>
    <t>geo_rock_excv_th</t>
  </si>
  <si>
    <t>dam_eart_slex_m3</t>
  </si>
  <si>
    <t>dam_eart_trtm_m2</t>
  </si>
  <si>
    <t>dam_rock_slex_m3</t>
  </si>
  <si>
    <t>dam_rock_trtm_m2</t>
  </si>
  <si>
    <t>dam_rock_tran_m3</t>
  </si>
  <si>
    <t>hera_dam_rock_tran_m3</t>
  </si>
  <si>
    <t>dam_eart_filt_m3</t>
  </si>
  <si>
    <t>spw_appr_slex_m3</t>
  </si>
  <si>
    <t>spw_appr_rkex_m3</t>
  </si>
  <si>
    <t>spw_appr_regc_m3</t>
  </si>
  <si>
    <t>spw_rest_slex_m3</t>
  </si>
  <si>
    <t>spw_rest_rkex_m3</t>
  </si>
  <si>
    <t>spw_rest_regc_m3</t>
  </si>
  <si>
    <t>Proteção de talude de jusante (grama):</t>
  </si>
  <si>
    <t>Filtros:</t>
  </si>
  <si>
    <t>dam_eart_ripr_el</t>
  </si>
  <si>
    <t>Proteção de talude de montante (rip-rap):</t>
  </si>
  <si>
    <t>dam_mxwl_axis_w</t>
  </si>
  <si>
    <t>dam_eart_filt_el</t>
  </si>
  <si>
    <t>Filtro Vertical:</t>
  </si>
  <si>
    <t>Filtro Horizontal:</t>
  </si>
  <si>
    <t>Pilares:</t>
  </si>
  <si>
    <t>Muros laterais:</t>
  </si>
  <si>
    <t>spw_ogee_sill_el</t>
  </si>
  <si>
    <t>Ponte:</t>
  </si>
  <si>
    <t>res_max0_0000_wl</t>
  </si>
  <si>
    <t>spw_ogee_pilr_n</t>
  </si>
  <si>
    <t>spw_ogee_pilr_th</t>
  </si>
  <si>
    <t>Volume de concreto adicional:</t>
  </si>
  <si>
    <t>spw_strc_totl_w</t>
  </si>
  <si>
    <t>hera_spw_totl_addc_m3</t>
  </si>
  <si>
    <t>Número de adufas:</t>
  </si>
  <si>
    <t>Largura do vão da adufa:</t>
  </si>
  <si>
    <t>Altura do vão da adufa:</t>
  </si>
  <si>
    <t>Largura total da adufa:</t>
  </si>
  <si>
    <t>Extensão total da adufa:</t>
  </si>
  <si>
    <t>div_gall_gate_n</t>
  </si>
  <si>
    <t>div_slui_gate_n</t>
  </si>
  <si>
    <t>div_slui_gate_w</t>
  </si>
  <si>
    <t>div_slui_gate_h</t>
  </si>
  <si>
    <t>div_slui_totl_w</t>
  </si>
  <si>
    <t>spw_ogee_slui_l</t>
  </si>
  <si>
    <t>spw_chan_appr_el</t>
  </si>
  <si>
    <t>Elevação no trecho sem adufa:</t>
  </si>
  <si>
    <t>x:</t>
  </si>
  <si>
    <t>Adufa de Desvio com Tomada d'Água</t>
  </si>
  <si>
    <t>Limpeza e Tratamento de Fundação</t>
  </si>
  <si>
    <t>hera_div_gall_cter_el</t>
  </si>
  <si>
    <t>hera_dam_eart_vtpj_m2</t>
  </si>
  <si>
    <t>hera_dam_rock_vtpj_m2</t>
  </si>
  <si>
    <t>hera_dam_conc_vtpj_m2</t>
  </si>
  <si>
    <t>spw_edis_totl_l</t>
  </si>
  <si>
    <t>spw_edis_wall_el</t>
  </si>
  <si>
    <t>spw_edis_sill_el</t>
  </si>
  <si>
    <t>spw_strc_totl_l</t>
  </si>
  <si>
    <t>A =  (spw_edis_wall_el - spw_edis_sill_el) x spw_edis_totl_l</t>
  </si>
  <si>
    <t>spw_dims_head_h</t>
  </si>
  <si>
    <t>A = (dam_crst_0000_el - spw_ogee_sill_el) x (dam_crst_0000_l + (spw_dims_head_h)/2)</t>
  </si>
  <si>
    <t>spw_geom_000a_i</t>
  </si>
  <si>
    <t>A = (spw_dims_head_h x spw_geom_000a_i) x (spw_strc_totl_l - spw_edis_totl_l - (dam_crst_0000_l + (spw_dims_head_h)/2))</t>
  </si>
  <si>
    <t>Muros da bacia ou concha:</t>
  </si>
  <si>
    <t>spw_ogee_sill_l</t>
  </si>
  <si>
    <t>dam_eart_upst_i</t>
  </si>
  <si>
    <t>dam_eart_dwst_i</t>
  </si>
  <si>
    <t>dam_conc_dwst_i</t>
  </si>
  <si>
    <t>geo_soil_lbnk_th</t>
  </si>
  <si>
    <t>geo_soil_rbnk_th</t>
  </si>
  <si>
    <t>r</t>
  </si>
  <si>
    <t>Vertedouro</t>
  </si>
  <si>
    <t>dam_dvwl_spph_w</t>
  </si>
  <si>
    <t>Muro Divisor*</t>
  </si>
  <si>
    <t>*Considerando 10% de vazios</t>
  </si>
  <si>
    <t>spw_dims_dsch_k</t>
  </si>
  <si>
    <t xml:space="preserve">structural concrete volume of the concrete dam </t>
  </si>
  <si>
    <t>downstream slope of the concrete dam</t>
  </si>
  <si>
    <t xml:space="preserve">roller-compacted concrete volume of the concrete dam </t>
  </si>
  <si>
    <t xml:space="preserve">surface rock excavation volume of the concrete dam </t>
  </si>
  <si>
    <t xml:space="preserve">common excavation volume of the concrete dam </t>
  </si>
  <si>
    <t xml:space="preserve">foundation cleaning and treatment area of the concrete dam </t>
  </si>
  <si>
    <t>dam crest elevation</t>
  </si>
  <si>
    <t>dam crest width</t>
  </si>
  <si>
    <t>downstream slope of the earthfill dam</t>
  </si>
  <si>
    <t xml:space="preserve">compacted earthfill volume of the earthfill dam </t>
  </si>
  <si>
    <t xml:space="preserve">vertical filter top elevation of the earthfill dam </t>
  </si>
  <si>
    <t>filters and transitions volumes of an earthfill dam</t>
  </si>
  <si>
    <t xml:space="preserve">dam downstream face protection of the earthfill dam </t>
  </si>
  <si>
    <t xml:space="preserve">rip-rap bottom elevation of the earthfill dam </t>
  </si>
  <si>
    <t xml:space="preserve">rip-rap volume of the earthfill dam </t>
  </si>
  <si>
    <t xml:space="preserve">common excavation volume of an earthfill dam </t>
  </si>
  <si>
    <t xml:space="preserve">foundation cleaning and treatment area of an earthfill dam </t>
  </si>
  <si>
    <t>upstream slope of the earthfill dam</t>
  </si>
  <si>
    <t>dam axis length for the maximum reservoir water level</t>
  </si>
  <si>
    <t>clay core volume of the rockfill dam</t>
  </si>
  <si>
    <t>concrete face volume of the rockfill dam</t>
  </si>
  <si>
    <t>rockfill volume of the rockfill dam</t>
  </si>
  <si>
    <t xml:space="preserve">common excavation volume of a rockfill dam </t>
  </si>
  <si>
    <t xml:space="preserve">transitions volumes of a rockfill dam </t>
  </si>
  <si>
    <t xml:space="preserve">foundation cleaning and treatment area of a rockfill dam </t>
  </si>
  <si>
    <t>structural concrete volume of the transition walls</t>
  </si>
  <si>
    <t>surface rock excavation volume of the transition walls</t>
  </si>
  <si>
    <t>common excavation volume of the transition walls</t>
  </si>
  <si>
    <t>dividing wall width between the spillway and the intake</t>
  </si>
  <si>
    <t>foundation cleaning and treatment area of the transition walls</t>
  </si>
  <si>
    <t>total volume of the first phase cofferdam</t>
  </si>
  <si>
    <t>total volume of the second phase cofferdam</t>
  </si>
  <si>
    <t xml:space="preserve">crest elevation of the second phase upstream cofferdam </t>
  </si>
  <si>
    <t xml:space="preserve">sill elevation of the diversion approach channel </t>
  </si>
  <si>
    <t>dental concrete volume for the regularization of the diversion channels</t>
  </si>
  <si>
    <t>surface rock excavation volume of the diversion channels</t>
  </si>
  <si>
    <t>common excavation volume of the diversion channels</t>
  </si>
  <si>
    <t>structural concrete volume of the diversion gallery (including intake)</t>
  </si>
  <si>
    <t>concrete wall thickness of the diversion gallery</t>
  </si>
  <si>
    <t>mean terrain elevation around the gallery</t>
  </si>
  <si>
    <t>gate height of the diversion gallery</t>
  </si>
  <si>
    <t>number of gates of the diversion gallery</t>
  </si>
  <si>
    <t>gate width of the diversion gallery</t>
  </si>
  <si>
    <t xml:space="preserve">surface rock excavation volume of the diversion gallery </t>
  </si>
  <si>
    <t>total length of the diversion gallery</t>
  </si>
  <si>
    <t>total width of the diversion gallery</t>
  </si>
  <si>
    <t>foundation cleaning and treatment area of the diversion gallery</t>
  </si>
  <si>
    <t>structural concrete volume of the sluiceway</t>
  </si>
  <si>
    <t>gate height of the sluiceway</t>
  </si>
  <si>
    <t>number of gates of the sluiceway</t>
  </si>
  <si>
    <t>gate width of the sluiceway</t>
  </si>
  <si>
    <t>surface rock excavation volume of the sluiceway</t>
  </si>
  <si>
    <t>total width of the sluiceway</t>
  </si>
  <si>
    <t>foundation cleaning and treatment area of the sluiceway</t>
  </si>
  <si>
    <t>height and widht of the diversion tunnel cross section (arch with straight sides)</t>
  </si>
  <si>
    <t>number of diversion tunnels</t>
  </si>
  <si>
    <t>concrete lining length of the diversion tunnel</t>
  </si>
  <si>
    <t>structural concrete volume of the diversion tunnels (including intake)</t>
  </si>
  <si>
    <t>concrete lining thickness of the diversion tunnel</t>
  </si>
  <si>
    <t>no-lining length of the diversion tunnel</t>
  </si>
  <si>
    <t>shotcrete lining length of the diversion tunnel</t>
  </si>
  <si>
    <t>shotcrete volume of the diversion tunnels</t>
  </si>
  <si>
    <t>shotcrete lining thickness of the diversion tunnel</t>
  </si>
  <si>
    <t>foundation cleaning and treatment area of the diversion tunnel</t>
  </si>
  <si>
    <t>underground rock excavation volume of the channels of the diversion tunnel</t>
  </si>
  <si>
    <t xml:space="preserve">rock excavation thickness for concrete structures </t>
  </si>
  <si>
    <t>soil thickness on the left riverbank</t>
  </si>
  <si>
    <t>maximum water level of the reservoir</t>
  </si>
  <si>
    <t>dental concrete volume for the regularization of the spillway approach channel</t>
  </si>
  <si>
    <t>surface rock excavation volume of the spillway approach channel</t>
  </si>
  <si>
    <t>common excavation volume of the spillway approach channel</t>
  </si>
  <si>
    <t>elevation of the spillway approach channel sill</t>
  </si>
  <si>
    <t>design head of the spillway</t>
  </si>
  <si>
    <t>elevation of the stilling basin sill or ski jump</t>
  </si>
  <si>
    <t>length of the stilling basin or ski jump</t>
  </si>
  <si>
    <t>elevation of the stilling basin wall or ski jump wall</t>
  </si>
  <si>
    <t>spillway crest geometry HDC 111-20, plate 3-2, slope of the downstream line (a:1)</t>
  </si>
  <si>
    <t>number of spillway pillars</t>
  </si>
  <si>
    <t>thickness of the spillway pillars</t>
  </si>
  <si>
    <t>elevation of the spillway ogee</t>
  </si>
  <si>
    <t>length of the spillway ogee</t>
  </si>
  <si>
    <t>length of the spillway ogee over the sluiceways</t>
  </si>
  <si>
    <t>dental concrete volume for the regularization of the spillway restitution channel</t>
  </si>
  <si>
    <t>surface rock excavation volume of the spillway restitution channel</t>
  </si>
  <si>
    <t>common excavation volume of the spillway restitution channel</t>
  </si>
  <si>
    <t>total length of the spillway</t>
  </si>
  <si>
    <t>total width of the spillway</t>
  </si>
  <si>
    <t>structural concrete volume of the spillway</t>
  </si>
  <si>
    <t>surface rock excavation volume of the spillway</t>
  </si>
  <si>
    <t>common excavation volume of the spillway</t>
  </si>
  <si>
    <t>foundation cleaning and treatment area of the spillway</t>
  </si>
  <si>
    <t>spillway discharge coefficient</t>
  </si>
  <si>
    <t xml:space="preserve">total volume of the concrete dam </t>
  </si>
  <si>
    <t>area of ​​the vertical concrete dam projection</t>
  </si>
  <si>
    <t xml:space="preserve">total volume of the earthfill dam </t>
  </si>
  <si>
    <t>area of ​​the vertical earthfill dam projection</t>
  </si>
  <si>
    <t xml:space="preserve">total volume of the rockfill dam </t>
  </si>
  <si>
    <t>area of ​​the vertical rockfill dam projection</t>
  </si>
  <si>
    <t>additional concrete volume in the foundation of the spillway</t>
  </si>
  <si>
    <t>surface rock excavation volume of the spillway ogee</t>
  </si>
  <si>
    <t>common excavation volume of the spillway ogee</t>
  </si>
  <si>
    <t>diversion location along the dam axis (r - right riverbank; l - left riverbank)</t>
  </si>
  <si>
    <t>lay_div0_lctn_x</t>
  </si>
  <si>
    <t>Extensão total do vertedouro (sem a bacia):</t>
  </si>
  <si>
    <t>soil thickness on the right riverbank</t>
  </si>
  <si>
    <t>Elevação da fundação da adufa:</t>
  </si>
  <si>
    <t>Escavação em rocha (adufas + canal de desvio das adufas):</t>
  </si>
  <si>
    <t>Elevação da soleira da adufa:</t>
  </si>
  <si>
    <t>Fator de área (arco-retângulo):</t>
  </si>
  <si>
    <t>Muro Divisor</t>
  </si>
  <si>
    <t xml:space="preserve"> values obtained by HERA</t>
  </si>
  <si>
    <t xml:space="preserve"> values obtained in the worksheets</t>
  </si>
  <si>
    <t>templates to be created in the future</t>
  </si>
  <si>
    <t>volumes from this worksheet (hsy_chnl)</t>
  </si>
  <si>
    <t xml:space="preserve">use HERA calculation (column B variables) only if it´s not a cartography from SRTM </t>
  </si>
  <si>
    <t>volumes defined in the dimensioning  worksheets including assembly area</t>
  </si>
  <si>
    <t xml:space="preserve">to access the definition of the variables in other languages, refer to Engineering dictionary.xls at HERA documentation </t>
  </si>
  <si>
    <t>dam_conc_rcc0_m3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</si>
  <si>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</si>
  <si>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</si>
  <si>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</si>
  <si>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</si>
  <si>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hera_dyk_eart_vtpj_m2</t>
  </si>
  <si>
    <t>hera_dyk_eart_totl_m3</t>
  </si>
  <si>
    <t xml:space="preserve">area of ​​the vertical projection of the earthfill dam rip-rap </t>
  </si>
  <si>
    <t>hera_dam_eart_rrpj_m2</t>
  </si>
  <si>
    <t>hera_dyk_eart_rrpj_m2</t>
  </si>
  <si>
    <t xml:space="preserve">sum of all the areas of the vertical projection of the earthfill dykes </t>
  </si>
  <si>
    <t>sum of all the volumes of the earthfill dykes</t>
  </si>
  <si>
    <t>sum of all the foundation cleaning and treatment areas of an earthfill dyke</t>
  </si>
  <si>
    <t>sum of all the common excavation volumes of an earthfill dyke</t>
  </si>
  <si>
    <t>hera_dyk_eart_slex_m3</t>
  </si>
  <si>
    <t>hera_dyk_eart_trtm_m2</t>
  </si>
  <si>
    <t>hera_dyk_eart_vfpj_m2</t>
  </si>
  <si>
    <t>hera_dam_eart_vfpj_m2</t>
  </si>
  <si>
    <t>dam+dyke</t>
  </si>
  <si>
    <t>novo</t>
  </si>
  <si>
    <t>tirar?</t>
  </si>
  <si>
    <t>movido</t>
  </si>
  <si>
    <t>area of ​​the projection of the vertical filter of the earthfill dam</t>
  </si>
  <si>
    <t xml:space="preserve">sum of all the areas of the vertical projection of the earthfill dykes rip-rap </t>
  </si>
  <si>
    <t>Proteção de talude de montante:</t>
  </si>
  <si>
    <t>Rip-rap:</t>
  </si>
  <si>
    <t>Geomembrana:</t>
  </si>
  <si>
    <t>dam_eart_linr_m2</t>
  </si>
  <si>
    <t>res_type_watc_x</t>
  </si>
  <si>
    <t>identification for the reservoir type according to its location (in a watercourse = 0 or not =1)</t>
  </si>
  <si>
    <t>geomembrane liner area of the earthfill dam</t>
  </si>
  <si>
    <t>sum of all the areas of ​​the projection of the vertical filter of the earthfill dykes</t>
  </si>
  <si>
    <t>hera_dyk_crst_0000_l</t>
  </si>
  <si>
    <t>hera_dyk_eart_upst_i</t>
  </si>
  <si>
    <t>hera_dyk_eart_dwst_i</t>
  </si>
  <si>
    <t>dyke crest width (maximum value of all dykes)</t>
  </si>
  <si>
    <t>upstream slope of the earthfill dyke (maximum value of all dykes)</t>
  </si>
  <si>
    <t>downstream slope of the earthfill dyke (maximum value of all dykes)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</si>
</sst>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0.000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2">
    <xf numFmtId="0" fontId="0" fillId="0" borderId="0"/>
    <xf numFmtId="0" fontId="2" fillId="0" borderId="0"/>
    <xf numFmtId="0" fontId="4" fillId="0" borderId="0"/>
    <xf numFmtId="0" fontId="1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1" applyNumberFormat="0" applyAlignment="0" applyProtection="0"/>
    <xf numFmtId="0" fontId="9" fillId="14" borderId="2" applyNumberFormat="0" applyAlignment="0" applyProtection="0"/>
    <xf numFmtId="0" fontId="10" fillId="0" borderId="3" applyNumberFormat="0" applyFill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11" fillId="9" borderId="1" applyNumberFormat="0" applyAlignment="0" applyProtection="0"/>
    <xf numFmtId="0" fontId="13" fillId="19" borderId="0" applyNumberFormat="0" applyBorder="0" applyAlignment="0" applyProtection="0"/>
    <xf numFmtId="0" fontId="14" fillId="9" borderId="0" applyNumberFormat="0" applyBorder="0" applyAlignment="0" applyProtection="0"/>
    <xf numFmtId="0" fontId="1" fillId="6" borderId="4" applyNumberFormat="0" applyFont="0" applyAlignment="0" applyProtection="0"/>
    <xf numFmtId="0" fontId="15" fillId="13" borderId="5" applyNumberForma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3" fillId="19" borderId="0" applyNumberFormat="0" applyBorder="0" applyAlignment="0" applyProtection="0"/>
    <xf numFmtId="0" fontId="14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5">
    <xf numFmtId="0" fontId="0" fillId="0" borderId="0" xfId="0"/>
    <xf numFmtId="2" fontId="0" fillId="0" borderId="0" xfId="0" applyNumberFormat="1"/>
    <xf numFmtId="0" fontId="22" fillId="0" borderId="0" xfId="0" applyFont="1"/>
    <xf numFmtId="0" fontId="23" fillId="0" borderId="0" xfId="0" applyFont="1"/>
    <xf numFmtId="2" fontId="23" fillId="3" borderId="0" xfId="0" applyNumberFormat="1" applyFont="1" applyFill="1"/>
    <xf numFmtId="2" fontId="24" fillId="0" borderId="0" xfId="1" applyNumberFormat="1" applyFont="1"/>
    <xf numFmtId="0" fontId="27" fillId="2" borderId="0" xfId="0" applyFont="1" applyFill="1"/>
    <xf numFmtId="0" fontId="27" fillId="0" borderId="0" xfId="0" applyFont="1"/>
    <xf numFmtId="2" fontId="1" fillId="0" borderId="0" xfId="1" applyNumberFormat="1" applyFont="1"/>
    <xf numFmtId="0" fontId="26" fillId="0" borderId="0" xfId="0" applyFont="1"/>
    <xf numFmtId="3" fontId="0" fillId="0" borderId="0" xfId="0" applyNumberFormat="1"/>
    <xf numFmtId="0" fontId="29" fillId="0" borderId="0" xfId="0" applyFont="1"/>
    <xf numFmtId="0" fontId="26" fillId="3" borderId="0" xfId="0" applyFont="1" applyFill="1"/>
    <xf numFmtId="165" fontId="23" fillId="0" borderId="0" xfId="64" applyNumberFormat="1" applyFont="1"/>
    <xf numFmtId="0" fontId="3" fillId="0" borderId="0" xfId="0" applyFont="1"/>
    <xf numFmtId="0" fontId="22" fillId="3" borderId="0" xfId="0" applyFont="1" applyFill="1"/>
    <xf numFmtId="0" fontId="0" fillId="0" borderId="0" xfId="0" quotePrefix="1"/>
    <xf numFmtId="0" fontId="27" fillId="3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3" borderId="0" xfId="0" applyFill="1"/>
    <xf numFmtId="0" fontId="30" fillId="0" borderId="0" xfId="0" applyFont="1"/>
    <xf numFmtId="0" fontId="28" fillId="21" borderId="0" xfId="0" applyFont="1" applyFill="1"/>
    <xf numFmtId="0" fontId="28" fillId="20" borderId="0" xfId="0" applyFont="1" applyFill="1"/>
    <xf numFmtId="165" fontId="0" fillId="3" borderId="0" xfId="64" applyNumberFormat="1" applyFont="1" applyFill="1"/>
    <xf numFmtId="1" fontId="0" fillId="3" borderId="0" xfId="0" applyNumberFormat="1" applyFill="1" applyAlignment="1">
      <alignment horizontal="right"/>
    </xf>
    <xf numFmtId="166" fontId="27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3" fontId="0" fillId="0" borderId="10" xfId="0" applyNumberFormat="1" applyBorder="1"/>
    <xf numFmtId="3" fontId="22" fillId="3" borderId="0" xfId="0" applyNumberFormat="1" applyFont="1" applyFill="1"/>
    <xf numFmtId="0" fontId="30" fillId="0" borderId="0" xfId="0" applyFont="1" applyAlignment="1">
      <alignment horizontal="left" indent="1"/>
    </xf>
    <xf numFmtId="0" fontId="30" fillId="0" borderId="0" xfId="0" applyFont="1" applyAlignment="1">
      <alignment horizontal="left" indent="2"/>
    </xf>
    <xf numFmtId="0" fontId="25" fillId="0" borderId="0" xfId="0" applyFont="1" applyAlignment="1">
      <alignment horizontal="center"/>
    </xf>
    <xf numFmtId="0" fontId="26" fillId="22" borderId="0" xfId="0" applyFont="1" applyFill="1"/>
    <xf numFmtId="165" fontId="0" fillId="22" borderId="0" xfId="64" applyNumberFormat="1" applyFont="1" applyFill="1"/>
    <xf numFmtId="0" fontId="0" fillId="22" borderId="0" xfId="0" applyFill="1"/>
    <xf numFmtId="0" fontId="28" fillId="0" borderId="0" xfId="0" applyFont="1"/>
    <xf numFmtId="0" fontId="31" fillId="23" borderId="0" xfId="0" applyFont="1" applyFill="1"/>
    <xf numFmtId="1" fontId="0" fillId="3" borderId="0" xfId="0" applyNumberFormat="1" applyFill="1"/>
    <xf numFmtId="0" fontId="0" fillId="24" borderId="0" xfId="0" applyFill="1"/>
    <xf numFmtId="0" fontId="0" fillId="0" borderId="0" xfId="0" applyAlignment="1">
      <alignment horizontal="center"/>
    </xf>
    <xf numFmtId="0" fontId="0" fillId="24" borderId="0" xfId="0" applyFill="1" applyAlignment="1">
      <alignment horizontal="center"/>
    </xf>
    <xf numFmtId="0" fontId="27" fillId="25" borderId="0" xfId="0" applyFont="1" applyFill="1"/>
    <xf numFmtId="0" fontId="27" fillId="26" borderId="0" xfId="0" applyFont="1" applyFill="1"/>
    <xf numFmtId="0" fontId="25" fillId="25" borderId="0" xfId="0" quotePrefix="1" applyFont="1" applyFill="1" applyAlignment="1">
      <alignment horizontal="center"/>
    </xf>
    <xf numFmtId="0" fontId="23" fillId="25" borderId="0" xfId="0" applyFont="1" applyFill="1"/>
    <xf numFmtId="0" fontId="27" fillId="27" borderId="0" xfId="0" applyFont="1" applyFill="1"/>
    <xf numFmtId="0" fontId="25" fillId="0" borderId="0" xfId="0" applyFont="1"/>
    <xf numFmtId="0" fontId="25" fillId="0" borderId="0" xfId="0" applyFont="1" applyAlignment="1">
      <alignment horizontal="right"/>
    </xf>
    <xf numFmtId="0" fontId="26" fillId="25" borderId="0" xfId="0" applyFont="1" applyFill="1"/>
    <xf numFmtId="0" fontId="0" fillId="0" borderId="10" xfId="0" applyBorder="1" applyAlignment="1">
      <alignment horizontal="center"/>
    </xf>
    <xf numFmtId="0" fontId="22" fillId="0" borderId="0" xfId="0" applyFont="1" applyAlignment="1">
      <alignment horizontal="center"/>
    </xf>
  </cellXfs>
  <cellStyles count="122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stilo 1" xfId="3" xr:uid="{00000000-0005-0000-0000-00001D000000}"/>
    <cellStyle name="Incorreto 2" xfId="33" xr:uid="{00000000-0005-0000-0000-00001E000000}"/>
    <cellStyle name="Moeda 2" xfId="68" xr:uid="{00000000-0005-0000-0000-000050000000}"/>
    <cellStyle name="Moeda 2 2" xfId="101" xr:uid="{30053016-3CD8-4309-83F1-65D83BC9A8A3}"/>
    <cellStyle name="Moeda 3" xfId="66" xr:uid="{00000000-0005-0000-0000-00006E000000}"/>
    <cellStyle name="Moeda 3 2" xfId="99" xr:uid="{65E1D638-B5C9-4BBA-9CD0-A1378B7DC41C}"/>
    <cellStyle name="Neutra 2" xfId="34" xr:uid="{00000000-0005-0000-0000-00001F000000}"/>
    <cellStyle name="Neutro 2" xfId="52" xr:uid="{00000000-0005-0000-0000-000060000000}"/>
    <cellStyle name="Normal" xfId="0" builtinId="0"/>
    <cellStyle name="Normal 2" xfId="47" xr:uid="{00000000-0005-0000-0000-000021000000}"/>
    <cellStyle name="Normal 2 2" xfId="56" xr:uid="{00000000-0005-0000-0000-000021000000}"/>
    <cellStyle name="Normal 3" xfId="48" xr:uid="{00000000-0005-0000-0000-000022000000}"/>
    <cellStyle name="Normal 3 2" xfId="57" xr:uid="{00000000-0005-0000-0000-000022000000}"/>
    <cellStyle name="Normal 4" xfId="46" xr:uid="{00000000-0005-0000-0000-000023000000}"/>
    <cellStyle name="Normal 4 2" xfId="55" xr:uid="{00000000-0005-0000-0000-000023000000}"/>
    <cellStyle name="Normal 5" xfId="2" xr:uid="{00000000-0005-0000-0000-000024000000}"/>
    <cellStyle name="Normal 5 2" xfId="54" xr:uid="{00000000-0005-0000-0000-000035000000}"/>
    <cellStyle name="Normal 6" xfId="50" xr:uid="{00000000-0005-0000-0000-000061000000}"/>
    <cellStyle name="Normal_VERTEDOR" xfId="1" xr:uid="{00000000-0005-0000-0000-000025000000}"/>
    <cellStyle name="Nota 2" xfId="35" xr:uid="{00000000-0005-0000-0000-000026000000}"/>
    <cellStyle name="Porcentagem 2" xfId="45" xr:uid="{00000000-0005-0000-0000-000027000000}"/>
    <cellStyle name="Ruim 2" xfId="51" xr:uid="{00000000-0005-0000-0000-000067000000}"/>
    <cellStyle name="Saída 2" xfId="36" xr:uid="{00000000-0005-0000-0000-000028000000}"/>
    <cellStyle name="Separador de milhares 2" xfId="49" xr:uid="{00000000-0005-0000-0000-000029000000}"/>
    <cellStyle name="Separador de milhares 2 2" xfId="60" xr:uid="{00000000-0005-0000-0000-000029000000}"/>
    <cellStyle name="Separador de milhares 2 2 2" xfId="77" xr:uid="{00000000-0005-0000-0000-000029000000}"/>
    <cellStyle name="Separador de milhares 2 2 2 2" xfId="110" xr:uid="{90346737-2E11-4682-8E69-6E1E828E3E13}"/>
    <cellStyle name="Separador de milhares 2 2 3" xfId="93" xr:uid="{9814BF5F-E1E0-49F0-B6BD-4EE41DA402D4}"/>
    <cellStyle name="Separador de milhares 2 3" xfId="84" xr:uid="{00000000-0005-0000-0000-000029000000}"/>
    <cellStyle name="Separador de milhares 2 3 2" xfId="117" xr:uid="{0A550ED6-62F7-47B8-B065-79466B7635EA}"/>
    <cellStyle name="Separador de milhares 2 4" xfId="71" xr:uid="{00000000-0005-0000-0000-000029000000}"/>
    <cellStyle name="Separador de milhares 2 4 2" xfId="104" xr:uid="{324D7A6D-EDA3-4D09-BC87-4F708935535D}"/>
    <cellStyle name="Separador de milhares 2 5" xfId="89" xr:uid="{21CFDDE3-EB85-44C4-98C3-210254D9CFB2}"/>
    <cellStyle name="Texto de Aviso 2" xfId="37" xr:uid="{00000000-0005-0000-0000-00002A000000}"/>
    <cellStyle name="Texto Explicativo 2" xfId="38" xr:uid="{00000000-0005-0000-0000-00002B000000}"/>
    <cellStyle name="Título 1 2" xfId="40" xr:uid="{00000000-0005-0000-0000-00002C000000}"/>
    <cellStyle name="Título 2 2" xfId="41" xr:uid="{00000000-0005-0000-0000-00002D000000}"/>
    <cellStyle name="Título 3 2" xfId="42" xr:uid="{00000000-0005-0000-0000-00002E000000}"/>
    <cellStyle name="Título 4 2" xfId="43" xr:uid="{00000000-0005-0000-0000-00002F000000}"/>
    <cellStyle name="Título 5" xfId="39" xr:uid="{00000000-0005-0000-0000-000030000000}"/>
    <cellStyle name="Total 2" xfId="44" xr:uid="{00000000-0005-0000-0000-000031000000}"/>
    <cellStyle name="Vírgula" xfId="64" builtinId="3"/>
    <cellStyle name="Vírgula 10" xfId="97" xr:uid="{D4EEDCAC-921C-4BE8-812D-9D736E8F9580}"/>
    <cellStyle name="Vírgula 2" xfId="58" xr:uid="{00000000-0005-0000-0000-000039000000}"/>
    <cellStyle name="Vírgula 2 2" xfId="62" xr:uid="{00000000-0005-0000-0000-000039000000}"/>
    <cellStyle name="Vírgula 2 2 2" xfId="79" xr:uid="{00000000-0005-0000-0000-000039000000}"/>
    <cellStyle name="Vírgula 2 2 2 2" xfId="112" xr:uid="{7E85A4E5-B045-486D-A998-A6D07401119C}"/>
    <cellStyle name="Vírgula 2 2 3" xfId="86" xr:uid="{00000000-0005-0000-0000-000039000000}"/>
    <cellStyle name="Vírgula 2 2 3 2" xfId="119" xr:uid="{7041227E-7B72-4AA1-83B2-D84F4141CDE6}"/>
    <cellStyle name="Vírgula 2 2 4" xfId="73" xr:uid="{00000000-0005-0000-0000-000039000000}"/>
    <cellStyle name="Vírgula 2 2 4 2" xfId="106" xr:uid="{B488C606-51B2-4F2F-8986-09243BFA592C}"/>
    <cellStyle name="Vírgula 2 2 5" xfId="95" xr:uid="{11A98829-4E56-46D5-A6AD-212C799A8105}"/>
    <cellStyle name="Vírgula 2 3" xfId="76" xr:uid="{00000000-0005-0000-0000-000030000000}"/>
    <cellStyle name="Vírgula 2 3 2" xfId="109" xr:uid="{35D1F908-B69F-403B-AC0A-E53867AE5141}"/>
    <cellStyle name="Vírgula 2 4" xfId="83" xr:uid="{00000000-0005-0000-0000-000030000000}"/>
    <cellStyle name="Vírgula 2 4 2" xfId="116" xr:uid="{70C9EA18-6AF3-4533-86E0-49C2B6EF759C}"/>
    <cellStyle name="Vírgula 2 5" xfId="70" xr:uid="{00000000-0005-0000-0000-000030000000}"/>
    <cellStyle name="Vírgula 2 5 2" xfId="103" xr:uid="{07C085A0-D254-4623-8DCC-9FB626AE9665}"/>
    <cellStyle name="Vírgula 2 6" xfId="91" xr:uid="{93D2F6C5-7985-47A0-8DDA-52FCEE28A80D}"/>
    <cellStyle name="Vírgula 3" xfId="53" xr:uid="{00000000-0005-0000-0000-000068000000}"/>
    <cellStyle name="Vírgula 3 2" xfId="61" xr:uid="{00000000-0005-0000-0000-000068000000}"/>
    <cellStyle name="Vírgula 3 2 2" xfId="78" xr:uid="{00000000-0005-0000-0000-000068000000}"/>
    <cellStyle name="Vírgula 3 2 2 2" xfId="111" xr:uid="{B8299DFB-2770-4878-9E11-4A2A92B55C62}"/>
    <cellStyle name="Vírgula 3 2 3" xfId="94" xr:uid="{EC7ADE0F-5E96-46B2-8AF9-C849081AF063}"/>
    <cellStyle name="Vírgula 3 3" xfId="85" xr:uid="{00000000-0005-0000-0000-000068000000}"/>
    <cellStyle name="Vírgula 3 3 2" xfId="118" xr:uid="{293FC983-6C95-4B81-818F-64F1F7A63D8C}"/>
    <cellStyle name="Vírgula 3 4" xfId="72" xr:uid="{00000000-0005-0000-0000-000068000000}"/>
    <cellStyle name="Vírgula 3 4 2" xfId="105" xr:uid="{169AA413-85CA-421F-8ACB-460EAD1B5210}"/>
    <cellStyle name="Vírgula 3 5" xfId="90" xr:uid="{2569131C-0998-4ECF-84D5-375F1C683F7F}"/>
    <cellStyle name="Vírgula 4" xfId="59" xr:uid="{00000000-0005-0000-0000-000069000000}"/>
    <cellStyle name="Vírgula 4 2" xfId="63" xr:uid="{00000000-0005-0000-0000-000069000000}"/>
    <cellStyle name="Vírgula 4 2 2" xfId="80" xr:uid="{00000000-0005-0000-0000-000069000000}"/>
    <cellStyle name="Vírgula 4 2 2 2" xfId="113" xr:uid="{EB760444-23C0-47E0-9FF7-CF9229F7C121}"/>
    <cellStyle name="Vírgula 4 2 3" xfId="96" xr:uid="{772BAF4D-42B0-4578-B923-D6A03BC78FF9}"/>
    <cellStyle name="Vírgula 4 3" xfId="87" xr:uid="{00000000-0005-0000-0000-000069000000}"/>
    <cellStyle name="Vírgula 4 3 2" xfId="120" xr:uid="{C986E8B1-E4F5-48AE-8FFD-AE9867273EA3}"/>
    <cellStyle name="Vírgula 4 4" xfId="74" xr:uid="{00000000-0005-0000-0000-000069000000}"/>
    <cellStyle name="Vírgula 4 4 2" xfId="107" xr:uid="{2B4467F1-3B84-4609-8E6E-059F347CFC9D}"/>
    <cellStyle name="Vírgula 4 5" xfId="92" xr:uid="{BFB204C1-FB01-4EFB-B479-A74E4A9A6B84}"/>
    <cellStyle name="Vírgula 5" xfId="69" xr:uid="{00000000-0005-0000-0000-000068000000}"/>
    <cellStyle name="Vírgula 5 2" xfId="81" xr:uid="{00000000-0005-0000-0000-00006C000000}"/>
    <cellStyle name="Vírgula 5 2 2" xfId="114" xr:uid="{140F44CF-124B-418E-ACC2-B0580CA00565}"/>
    <cellStyle name="Vírgula 5 3" xfId="88" xr:uid="{00000000-0005-0000-0000-00006C000000}"/>
    <cellStyle name="Vírgula 5 3 2" xfId="121" xr:uid="{0588F9D4-CBD8-4075-BC74-DB475BA00405}"/>
    <cellStyle name="Vírgula 5 4" xfId="102" xr:uid="{B5BA2901-219D-4119-90DC-F91F9F32DA99}"/>
    <cellStyle name="Vírgula 6" xfId="67" xr:uid="{00000000-0005-0000-0000-000069000000}"/>
    <cellStyle name="Vírgula 6 2" xfId="100" xr:uid="{C79728A0-B32B-438B-B517-28C467267008}"/>
    <cellStyle name="Vírgula 7" xfId="75" xr:uid="{00000000-0005-0000-0000-000070000000}"/>
    <cellStyle name="Vírgula 7 2" xfId="108" xr:uid="{26456FBC-FE6C-4DB3-9214-E41F3630FA7E}"/>
    <cellStyle name="Vírgula 8" xfId="82" xr:uid="{00000000-0005-0000-0000-000077000000}"/>
    <cellStyle name="Vírgula 8 2" xfId="115" xr:uid="{BE3F2693-3D5A-48A3-B9BC-587DAD892DEA}"/>
    <cellStyle name="Vírgula 9" xfId="65" xr:uid="{00000000-0005-0000-0000-000074000000}"/>
    <cellStyle name="Vírgula 9 2" xfId="98" xr:uid="{B0915CDF-2BDF-44EC-9CAA-B6C55A800D97}"/>
  </cellStyles>
  <dxfs count="0"/>
  <tableStyles count="0" defaultTableStyle="TableStyleMedium9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14</xdr:row>
      <xdr:rowOff>180975</xdr:rowOff>
    </xdr:from>
    <xdr:to>
      <xdr:col>12</xdr:col>
      <xdr:colOff>304800</xdr:colOff>
      <xdr:row>14</xdr:row>
      <xdr:rowOff>180975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3558DBB4-2271-4E34-B681-FFA4FB917880}"/>
            </a:ext>
          </a:extLst>
        </xdr:cNvPr>
        <xdr:cNvCxnSpPr/>
      </xdr:nvCxnSpPr>
      <xdr:spPr>
        <a:xfrm>
          <a:off x="6896100" y="2657475"/>
          <a:ext cx="3238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28575</xdr:rowOff>
    </xdr:from>
    <xdr:to>
      <xdr:col>18</xdr:col>
      <xdr:colOff>323850</xdr:colOff>
      <xdr:row>28</xdr:row>
      <xdr:rowOff>161925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B22F0BE6-6BD4-48E5-BA31-A2D51EC9A0CA}"/>
            </a:ext>
          </a:extLst>
        </xdr:cNvPr>
        <xdr:cNvGrpSpPr/>
      </xdr:nvGrpSpPr>
      <xdr:grpSpPr>
        <a:xfrm>
          <a:off x="2947035" y="211455"/>
          <a:ext cx="7953375" cy="5071110"/>
          <a:chOff x="2686050" y="209550"/>
          <a:chExt cx="7953375" cy="5086350"/>
        </a:xfrm>
      </xdr:grpSpPr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DA57FAC2-2196-476D-AD31-B0CCC54CCA8E}"/>
              </a:ext>
            </a:extLst>
          </xdr:cNvPr>
          <xdr:cNvSpPr/>
        </xdr:nvSpPr>
        <xdr:spPr>
          <a:xfrm>
            <a:off x="2686050" y="209550"/>
            <a:ext cx="7953375" cy="508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5873270A-787A-43E2-9CCC-EC155043B02A}"/>
              </a:ext>
            </a:extLst>
          </xdr:cNvPr>
          <xdr:cNvGrpSpPr/>
        </xdr:nvGrpSpPr>
        <xdr:grpSpPr>
          <a:xfrm>
            <a:off x="3019425" y="295274"/>
            <a:ext cx="6170294" cy="2785294"/>
            <a:chOff x="2952750" y="304799"/>
            <a:chExt cx="6170294" cy="2785294"/>
          </a:xfrm>
        </xdr:grpSpPr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09106F0F-5A15-41F3-B412-A9DD56E553C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0250" t="51753" r="66394" b="32544"/>
            <a:stretch/>
          </xdr:blipFill>
          <xdr:spPr>
            <a:xfrm>
              <a:off x="2952750" y="304799"/>
              <a:ext cx="4510236" cy="1704975"/>
            </a:xfrm>
            <a:prstGeom prst="rect">
              <a:avLst/>
            </a:prstGeom>
          </xdr:spPr>
        </xdr:pic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0FDBE1E-CB68-40E9-8E6F-2CF1D488BAB6}"/>
                </a:ext>
              </a:extLst>
            </xdr:cNvPr>
            <xdr:cNvSpPr txBox="1"/>
          </xdr:nvSpPr>
          <xdr:spPr>
            <a:xfrm>
              <a:off x="6008369" y="2842443"/>
              <a:ext cx="31146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/>
                <a:t>1.5 * dyk_eart_dwst_i *</a:t>
              </a:r>
              <a:r>
                <a:rPr lang="pt-BR" sz="1100" baseline="0"/>
                <a:t> hera_dyk_conc_vtpj_m2</a:t>
              </a:r>
              <a:endParaRPr lang="pt-BR" sz="1100"/>
            </a:p>
          </xdr:txBody>
        </xdr:sp>
      </xdr:grpSp>
    </xdr:grpSp>
    <xdr:clientData/>
  </xdr:twoCellAnchor>
  <xdr:twoCellAnchor>
    <xdr:from>
      <xdr:col>10</xdr:col>
      <xdr:colOff>466725</xdr:colOff>
      <xdr:row>11</xdr:row>
      <xdr:rowOff>142877</xdr:rowOff>
    </xdr:from>
    <xdr:to>
      <xdr:col>10</xdr:col>
      <xdr:colOff>538725</xdr:colOff>
      <xdr:row>17</xdr:row>
      <xdr:rowOff>95252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25D383C-FE95-4B76-9206-4A8013610C25}"/>
            </a:ext>
          </a:extLst>
        </xdr:cNvPr>
        <xdr:cNvSpPr/>
      </xdr:nvSpPr>
      <xdr:spPr>
        <a:xfrm>
          <a:off x="6162675" y="2047877"/>
          <a:ext cx="72000" cy="109537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471486</xdr:colOff>
      <xdr:row>17</xdr:row>
      <xdr:rowOff>23816</xdr:rowOff>
    </xdr:from>
    <xdr:to>
      <xdr:col>15</xdr:col>
      <xdr:colOff>447673</xdr:colOff>
      <xdr:row>17</xdr:row>
      <xdr:rowOff>95816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95A7C9E-CFC8-4617-A883-69D22D7B16D1}"/>
            </a:ext>
          </a:extLst>
        </xdr:cNvPr>
        <xdr:cNvSpPr/>
      </xdr:nvSpPr>
      <xdr:spPr>
        <a:xfrm rot="5400000">
          <a:off x="7643530" y="1595722"/>
          <a:ext cx="72000" cy="302418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594360</xdr:colOff>
      <xdr:row>12</xdr:row>
      <xdr:rowOff>120016</xdr:rowOff>
    </xdr:from>
    <xdr:to>
      <xdr:col>11</xdr:col>
      <xdr:colOff>41910</xdr:colOff>
      <xdr:row>13</xdr:row>
      <xdr:rowOff>169546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4B1CA283-93F4-452B-8907-373FA1939514}"/>
            </a:ext>
          </a:extLst>
        </xdr:cNvPr>
        <xdr:cNvSpPr txBox="1"/>
      </xdr:nvSpPr>
      <xdr:spPr>
        <a:xfrm>
          <a:off x="3246120" y="2314576"/>
          <a:ext cx="3105150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 * dyk_crst_0000_l </a:t>
          </a:r>
          <a:r>
            <a:rPr lang="pt-BR" sz="1100" baseline="0"/>
            <a:t>* hera_dyk_conc_fvpj_m2</a:t>
          </a:r>
          <a:endParaRPr lang="pt-BR" sz="1100"/>
        </a:p>
      </xdr:txBody>
    </xdr:sp>
    <xdr:clientData/>
  </xdr:twoCellAnchor>
  <xdr:twoCellAnchor>
    <xdr:from>
      <xdr:col>9</xdr:col>
      <xdr:colOff>129540</xdr:colOff>
      <xdr:row>11</xdr:row>
      <xdr:rowOff>129541</xdr:rowOff>
    </xdr:from>
    <xdr:to>
      <xdr:col>10</xdr:col>
      <xdr:colOff>474605</xdr:colOff>
      <xdr:row>12</xdr:row>
      <xdr:rowOff>179071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7F110FD-F875-4DD1-A9CE-8D897A6A1D9E}"/>
            </a:ext>
          </a:extLst>
        </xdr:cNvPr>
        <xdr:cNvSpPr txBox="1"/>
      </xdr:nvSpPr>
      <xdr:spPr>
        <a:xfrm>
          <a:off x="5219700" y="2141221"/>
          <a:ext cx="954665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Vertical</a:t>
          </a:r>
        </a:p>
      </xdr:txBody>
    </xdr:sp>
    <xdr:clientData/>
  </xdr:twoCellAnchor>
  <xdr:twoCellAnchor>
    <xdr:from>
      <xdr:col>11</xdr:col>
      <xdr:colOff>28575</xdr:colOff>
      <xdr:row>14</xdr:row>
      <xdr:rowOff>95251</xdr:rowOff>
    </xdr:from>
    <xdr:to>
      <xdr:col>12</xdr:col>
      <xdr:colOff>581025</xdr:colOff>
      <xdr:row>15</xdr:row>
      <xdr:rowOff>152401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7B56DE9-5D30-4409-B35E-2B51B241C337}"/>
            </a:ext>
          </a:extLst>
        </xdr:cNvPr>
        <xdr:cNvSpPr txBox="1"/>
      </xdr:nvSpPr>
      <xdr:spPr>
        <a:xfrm>
          <a:off x="6334125" y="2571751"/>
          <a:ext cx="11620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Horizontal</a:t>
          </a:r>
        </a:p>
      </xdr:txBody>
    </xdr:sp>
    <xdr:clientData/>
  </xdr:twoCellAnchor>
  <xdr:twoCellAnchor>
    <xdr:from>
      <xdr:col>6</xdr:col>
      <xdr:colOff>174112</xdr:colOff>
      <xdr:row>16</xdr:row>
      <xdr:rowOff>64017</xdr:rowOff>
    </xdr:from>
    <xdr:to>
      <xdr:col>8</xdr:col>
      <xdr:colOff>50287</xdr:colOff>
      <xdr:row>16</xdr:row>
      <xdr:rowOff>136017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9C5A799-FA6E-47A4-A673-089862F61CEB}"/>
            </a:ext>
          </a:extLst>
        </xdr:cNvPr>
        <xdr:cNvSpPr/>
      </xdr:nvSpPr>
      <xdr:spPr>
        <a:xfrm rot="3986723">
          <a:off x="3943350" y="2409829"/>
          <a:ext cx="72000" cy="1095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</xdr:colOff>
      <xdr:row>17</xdr:row>
      <xdr:rowOff>123826</xdr:rowOff>
    </xdr:from>
    <xdr:to>
      <xdr:col>13</xdr:col>
      <xdr:colOff>0</xdr:colOff>
      <xdr:row>18</xdr:row>
      <xdr:rowOff>180976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D28971D-3E3B-4816-873B-55465F103ADD}"/>
            </a:ext>
          </a:extLst>
        </xdr:cNvPr>
        <xdr:cNvSpPr txBox="1"/>
      </xdr:nvSpPr>
      <xdr:spPr>
        <a:xfrm>
          <a:off x="3886200" y="31718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0.4 * dyk_crst_0000_l * hera_dyk_conc_rrpj_m2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16</xdr:row>
      <xdr:rowOff>76201</xdr:rowOff>
    </xdr:from>
    <xdr:to>
      <xdr:col>8</xdr:col>
      <xdr:colOff>373640</xdr:colOff>
      <xdr:row>17</xdr:row>
      <xdr:rowOff>133351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9C0F2F5B-D7CF-4EC4-AA57-8C51CE1B415E}"/>
            </a:ext>
          </a:extLst>
        </xdr:cNvPr>
        <xdr:cNvSpPr txBox="1"/>
      </xdr:nvSpPr>
      <xdr:spPr>
        <a:xfrm>
          <a:off x="3895725" y="29337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Rip-rap</a:t>
          </a:r>
        </a:p>
      </xdr:txBody>
    </xdr:sp>
    <xdr:clientData/>
  </xdr:twoCellAnchor>
  <xdr:twoCellAnchor>
    <xdr:from>
      <xdr:col>7</xdr:col>
      <xdr:colOff>392712</xdr:colOff>
      <xdr:row>22</xdr:row>
      <xdr:rowOff>43823</xdr:rowOff>
    </xdr:from>
    <xdr:to>
      <xdr:col>11</xdr:col>
      <xdr:colOff>197219</xdr:colOff>
      <xdr:row>22</xdr:row>
      <xdr:rowOff>89542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3CEF2CB3-55AB-4832-93E0-DE6A402885FE}"/>
            </a:ext>
          </a:extLst>
        </xdr:cNvPr>
        <xdr:cNvSpPr/>
      </xdr:nvSpPr>
      <xdr:spPr>
        <a:xfrm rot="6990412" flipH="1">
          <a:off x="5362266" y="2785709"/>
          <a:ext cx="45719" cy="22429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466725</xdr:colOff>
      <xdr:row>25</xdr:row>
      <xdr:rowOff>9526</xdr:rowOff>
    </xdr:from>
    <xdr:to>
      <xdr:col>12</xdr:col>
      <xdr:colOff>447675</xdr:colOff>
      <xdr:row>26</xdr:row>
      <xdr:rowOff>66676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67B1672-5530-44FD-AE17-367469491B03}"/>
            </a:ext>
          </a:extLst>
        </xdr:cNvPr>
        <xdr:cNvSpPr txBox="1"/>
      </xdr:nvSpPr>
      <xdr:spPr>
        <a:xfrm>
          <a:off x="3724275" y="45815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dyk_eart_dwst_i^2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6</xdr:col>
      <xdr:colOff>476250</xdr:colOff>
      <xdr:row>23</xdr:row>
      <xdr:rowOff>152400</xdr:rowOff>
    </xdr:from>
    <xdr:to>
      <xdr:col>9</xdr:col>
      <xdr:colOff>99060</xdr:colOff>
      <xdr:row>25</xdr:row>
      <xdr:rowOff>38099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D2B792C-F735-40DD-A423-B3793D92A098}"/>
            </a:ext>
          </a:extLst>
        </xdr:cNvPr>
        <xdr:cNvSpPr txBox="1"/>
      </xdr:nvSpPr>
      <xdr:spPr>
        <a:xfrm>
          <a:off x="3737610" y="4175760"/>
          <a:ext cx="1451610" cy="251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Grama </a:t>
          </a:r>
        </a:p>
      </xdr:txBody>
    </xdr:sp>
    <xdr:clientData/>
  </xdr:twoCellAnchor>
  <xdr:twoCellAnchor>
    <xdr:from>
      <xdr:col>10</xdr:col>
      <xdr:colOff>35548</xdr:colOff>
      <xdr:row>5</xdr:row>
      <xdr:rowOff>135471</xdr:rowOff>
    </xdr:from>
    <xdr:to>
      <xdr:col>12</xdr:col>
      <xdr:colOff>542685</xdr:colOff>
      <xdr:row>5</xdr:row>
      <xdr:rowOff>181190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8D97E10A-FB06-4AA5-8D45-4E7B8EBAEC94}"/>
            </a:ext>
          </a:extLst>
        </xdr:cNvPr>
        <xdr:cNvSpPr/>
      </xdr:nvSpPr>
      <xdr:spPr>
        <a:xfrm rot="6695451" flipH="1">
          <a:off x="6571807" y="247662"/>
          <a:ext cx="45719" cy="17263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71435</xdr:colOff>
      <xdr:row>7</xdr:row>
      <xdr:rowOff>19052</xdr:rowOff>
    </xdr:from>
    <xdr:to>
      <xdr:col>12</xdr:col>
      <xdr:colOff>476249</xdr:colOff>
      <xdr:row>7</xdr:row>
      <xdr:rowOff>95250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9CFAE8A-7ABA-4247-8D31-571364AACA5B}"/>
            </a:ext>
          </a:extLst>
        </xdr:cNvPr>
        <xdr:cNvSpPr/>
      </xdr:nvSpPr>
      <xdr:spPr>
        <a:xfrm rot="5400000">
          <a:off x="6541293" y="578644"/>
          <a:ext cx="76198" cy="162401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76200</xdr:colOff>
      <xdr:row>4</xdr:row>
      <xdr:rowOff>123828</xdr:rowOff>
    </xdr:from>
    <xdr:to>
      <xdr:col>10</xdr:col>
      <xdr:colOff>142876</xdr:colOff>
      <xdr:row>7</xdr:row>
      <xdr:rowOff>28576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2F81A68-E90A-4FA8-8ACB-C00428962830}"/>
            </a:ext>
          </a:extLst>
        </xdr:cNvPr>
        <xdr:cNvSpPr/>
      </xdr:nvSpPr>
      <xdr:spPr>
        <a:xfrm>
          <a:off x="5772150" y="885828"/>
          <a:ext cx="66676" cy="47624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92917</xdr:colOff>
      <xdr:row>4</xdr:row>
      <xdr:rowOff>178379</xdr:rowOff>
    </xdr:from>
    <xdr:to>
      <xdr:col>9</xdr:col>
      <xdr:colOff>489263</xdr:colOff>
      <xdr:row>5</xdr:row>
      <xdr:rowOff>68767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11E310-70CB-4A42-878D-47E2BA51FA40}"/>
            </a:ext>
          </a:extLst>
        </xdr:cNvPr>
        <xdr:cNvSpPr/>
      </xdr:nvSpPr>
      <xdr:spPr>
        <a:xfrm rot="4230205">
          <a:off x="5039816" y="443560"/>
          <a:ext cx="73268" cy="100594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297860</xdr:colOff>
      <xdr:row>5</xdr:row>
      <xdr:rowOff>111272</xdr:rowOff>
    </xdr:from>
    <xdr:to>
      <xdr:col>9</xdr:col>
      <xdr:colOff>508415</xdr:colOff>
      <xdr:row>5</xdr:row>
      <xdr:rowOff>156991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51115934-F8D9-4A50-BE3E-254B3DE1B59E}"/>
            </a:ext>
          </a:extLst>
        </xdr:cNvPr>
        <xdr:cNvSpPr/>
      </xdr:nvSpPr>
      <xdr:spPr>
        <a:xfrm rot="15061126" flipH="1">
          <a:off x="4556038" y="28854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236900</xdr:colOff>
      <xdr:row>21</xdr:row>
      <xdr:rowOff>88412</xdr:rowOff>
    </xdr:from>
    <xdr:to>
      <xdr:col>15</xdr:col>
      <xdr:colOff>447455</xdr:colOff>
      <xdr:row>21</xdr:row>
      <xdr:rowOff>134131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A3F6933B-C9D8-4315-9BB6-92062090E0F0}"/>
            </a:ext>
          </a:extLst>
        </xdr:cNvPr>
        <xdr:cNvSpPr/>
      </xdr:nvSpPr>
      <xdr:spPr>
        <a:xfrm rot="15114266" flipH="1">
          <a:off x="8152678" y="2749194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219075</xdr:colOff>
      <xdr:row>25</xdr:row>
      <xdr:rowOff>7621</xdr:rowOff>
    </xdr:from>
    <xdr:to>
      <xdr:col>18</xdr:col>
      <xdr:colOff>200025</xdr:colOff>
      <xdr:row>26</xdr:row>
      <xdr:rowOff>64771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98756A7-AAC0-45C2-8EF2-37511E73E101}"/>
            </a:ext>
          </a:extLst>
        </xdr:cNvPr>
        <xdr:cNvSpPr txBox="1"/>
      </xdr:nvSpPr>
      <xdr:spPr>
        <a:xfrm>
          <a:off x="7138035" y="4396741"/>
          <a:ext cx="36385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dyk_eart_upst_i^2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12</xdr:col>
      <xdr:colOff>228600</xdr:colOff>
      <xdr:row>23</xdr:row>
      <xdr:rowOff>150495</xdr:rowOff>
    </xdr:from>
    <xdr:to>
      <xdr:col>14</xdr:col>
      <xdr:colOff>461010</xdr:colOff>
      <xdr:row>25</xdr:row>
      <xdr:rowOff>36194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CE29E0CF-2F98-43F4-AFAA-29A3C035AC2E}"/>
            </a:ext>
          </a:extLst>
        </xdr:cNvPr>
        <xdr:cNvSpPr txBox="1"/>
      </xdr:nvSpPr>
      <xdr:spPr>
        <a:xfrm>
          <a:off x="7147560" y="4173855"/>
          <a:ext cx="1451610" cy="251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Geomembrana</a:t>
          </a:r>
        </a:p>
      </xdr:txBody>
    </xdr:sp>
    <xdr:clientData/>
  </xdr:twoCellAnchor>
  <xdr:twoCellAnchor>
    <xdr:from>
      <xdr:col>10</xdr:col>
      <xdr:colOff>487679</xdr:colOff>
      <xdr:row>4</xdr:row>
      <xdr:rowOff>121920</xdr:rowOff>
    </xdr:from>
    <xdr:to>
      <xdr:col>12</xdr:col>
      <xdr:colOff>228600</xdr:colOff>
      <xdr:row>5</xdr:row>
      <xdr:rowOff>152400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34E0AC6E-C848-46BF-B391-9F0B7DA757CE}"/>
            </a:ext>
          </a:extLst>
        </xdr:cNvPr>
        <xdr:cNvSpPr txBox="1"/>
      </xdr:nvSpPr>
      <xdr:spPr>
        <a:xfrm>
          <a:off x="6187439" y="853440"/>
          <a:ext cx="960121" cy="21336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dyk_eart_dwst_i </a:t>
          </a:r>
        </a:p>
      </xdr:txBody>
    </xdr:sp>
    <xdr:clientData/>
  </xdr:twoCellAnchor>
  <xdr:twoCellAnchor>
    <xdr:from>
      <xdr:col>6</xdr:col>
      <xdr:colOff>396240</xdr:colOff>
      <xdr:row>4</xdr:row>
      <xdr:rowOff>148591</xdr:rowOff>
    </xdr:from>
    <xdr:to>
      <xdr:col>8</xdr:col>
      <xdr:colOff>91440</xdr:colOff>
      <xdr:row>5</xdr:row>
      <xdr:rowOff>139066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402B11F1-DF61-4EFF-A0B5-9DF7D936C2BA}"/>
            </a:ext>
          </a:extLst>
        </xdr:cNvPr>
        <xdr:cNvSpPr txBox="1"/>
      </xdr:nvSpPr>
      <xdr:spPr>
        <a:xfrm>
          <a:off x="3657600" y="880111"/>
          <a:ext cx="914400" cy="1733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dyk_eart_upst_i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16</xdr:row>
      <xdr:rowOff>180975</xdr:rowOff>
    </xdr:from>
    <xdr:to>
      <xdr:col>12</xdr:col>
      <xdr:colOff>304800</xdr:colOff>
      <xdr:row>16</xdr:row>
      <xdr:rowOff>180975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E4919BD0-BFA2-4590-9C2F-F6EF554D7490}"/>
            </a:ext>
          </a:extLst>
        </xdr:cNvPr>
        <xdr:cNvCxnSpPr/>
      </xdr:nvCxnSpPr>
      <xdr:spPr>
        <a:xfrm>
          <a:off x="6896100" y="2657475"/>
          <a:ext cx="3238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28575</xdr:rowOff>
    </xdr:from>
    <xdr:to>
      <xdr:col>18</xdr:col>
      <xdr:colOff>323850</xdr:colOff>
      <xdr:row>30</xdr:row>
      <xdr:rowOff>161925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8D54C846-3483-49CF-AD3E-C4C480479587}"/>
            </a:ext>
          </a:extLst>
        </xdr:cNvPr>
        <xdr:cNvGrpSpPr/>
      </xdr:nvGrpSpPr>
      <xdr:grpSpPr>
        <a:xfrm>
          <a:off x="2947035" y="211455"/>
          <a:ext cx="7953375" cy="5436870"/>
          <a:chOff x="2686050" y="209550"/>
          <a:chExt cx="7953375" cy="5086350"/>
        </a:xfrm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61C33EFB-0CD2-46DF-9C3D-046FAB054676}"/>
              </a:ext>
            </a:extLst>
          </xdr:cNvPr>
          <xdr:cNvSpPr/>
        </xdr:nvSpPr>
        <xdr:spPr>
          <a:xfrm>
            <a:off x="2686050" y="209550"/>
            <a:ext cx="7953375" cy="508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EAF651F9-D188-492E-ACCA-72590723D8E4}"/>
              </a:ext>
            </a:extLst>
          </xdr:cNvPr>
          <xdr:cNvGrpSpPr/>
        </xdr:nvGrpSpPr>
        <xdr:grpSpPr>
          <a:xfrm>
            <a:off x="3019425" y="295274"/>
            <a:ext cx="6162674" cy="2923755"/>
            <a:chOff x="2952750" y="304799"/>
            <a:chExt cx="6162674" cy="2923755"/>
          </a:xfrm>
        </xdr:grpSpPr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ACAE6BDC-894A-479A-A715-D3A93B6F26E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0250" t="51753" r="66394" b="32544"/>
            <a:stretch/>
          </xdr:blipFill>
          <xdr:spPr>
            <a:xfrm>
              <a:off x="2952750" y="304799"/>
              <a:ext cx="4510236" cy="1704975"/>
            </a:xfrm>
            <a:prstGeom prst="rect">
              <a:avLst/>
            </a:prstGeom>
          </xdr:spPr>
        </xdr:pic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9227A9-0C96-4F44-BDAE-F30533045A6E}"/>
                </a:ext>
              </a:extLst>
            </xdr:cNvPr>
            <xdr:cNvSpPr txBox="1"/>
          </xdr:nvSpPr>
          <xdr:spPr>
            <a:xfrm>
              <a:off x="6000749" y="2980904"/>
              <a:ext cx="31146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/>
                <a:t>1.5 * dam_eart_dwst_i *</a:t>
              </a:r>
              <a:r>
                <a:rPr lang="pt-BR" sz="1100" baseline="0"/>
                <a:t> hera_dam_conc_vtpj_m2</a:t>
              </a:r>
              <a:endParaRPr lang="pt-BR" sz="1100"/>
            </a:p>
          </xdr:txBody>
        </xdr:sp>
      </xdr:grpSp>
    </xdr:grpSp>
    <xdr:clientData/>
  </xdr:twoCellAnchor>
  <xdr:twoCellAnchor>
    <xdr:from>
      <xdr:col>10</xdr:col>
      <xdr:colOff>466725</xdr:colOff>
      <xdr:row>13</xdr:row>
      <xdr:rowOff>142877</xdr:rowOff>
    </xdr:from>
    <xdr:to>
      <xdr:col>10</xdr:col>
      <xdr:colOff>538725</xdr:colOff>
      <xdr:row>19</xdr:row>
      <xdr:rowOff>95252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24AA652B-988A-48B7-8880-ED83CF4CE87D}"/>
            </a:ext>
          </a:extLst>
        </xdr:cNvPr>
        <xdr:cNvSpPr/>
      </xdr:nvSpPr>
      <xdr:spPr>
        <a:xfrm>
          <a:off x="6162675" y="2047877"/>
          <a:ext cx="72000" cy="109537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471486</xdr:colOff>
      <xdr:row>19</xdr:row>
      <xdr:rowOff>31436</xdr:rowOff>
    </xdr:from>
    <xdr:to>
      <xdr:col>15</xdr:col>
      <xdr:colOff>447673</xdr:colOff>
      <xdr:row>19</xdr:row>
      <xdr:rowOff>103436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3202888B-55F3-4407-83C6-C784A8613D66}"/>
            </a:ext>
          </a:extLst>
        </xdr:cNvPr>
        <xdr:cNvSpPr/>
      </xdr:nvSpPr>
      <xdr:spPr>
        <a:xfrm rot="5400000">
          <a:off x="7647340" y="2030062"/>
          <a:ext cx="72000" cy="302418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381000</xdr:colOff>
      <xdr:row>14</xdr:row>
      <xdr:rowOff>142876</xdr:rowOff>
    </xdr:from>
    <xdr:to>
      <xdr:col>10</xdr:col>
      <xdr:colOff>438150</xdr:colOff>
      <xdr:row>16</xdr:row>
      <xdr:rowOff>9526</xdr:rowOff>
    </xdr:to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16EA5633-69ED-4399-8077-B1D7B742958F}"/>
            </a:ext>
          </a:extLst>
        </xdr:cNvPr>
        <xdr:cNvSpPr txBox="1"/>
      </xdr:nvSpPr>
      <xdr:spPr>
        <a:xfrm>
          <a:off x="3028950" y="2238376"/>
          <a:ext cx="31051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 * dam_crst_0000_l </a:t>
          </a:r>
          <a:r>
            <a:rPr lang="pt-BR" sz="1100" baseline="0"/>
            <a:t>* hera_dam_conc_fvpj_m2</a:t>
          </a:r>
          <a:endParaRPr lang="pt-BR" sz="1100"/>
        </a:p>
      </xdr:txBody>
    </xdr:sp>
    <xdr:clientData/>
  </xdr:twoCellAnchor>
  <xdr:twoCellAnchor>
    <xdr:from>
      <xdr:col>9</xdr:col>
      <xdr:colOff>38100</xdr:colOff>
      <xdr:row>13</xdr:row>
      <xdr:rowOff>137161</xdr:rowOff>
    </xdr:from>
    <xdr:to>
      <xdr:col>10</xdr:col>
      <xdr:colOff>383165</xdr:colOff>
      <xdr:row>15</xdr:row>
      <xdr:rowOff>3811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0A42398D-15D7-4569-8E10-B4DA35546935}"/>
            </a:ext>
          </a:extLst>
        </xdr:cNvPr>
        <xdr:cNvSpPr txBox="1"/>
      </xdr:nvSpPr>
      <xdr:spPr>
        <a:xfrm>
          <a:off x="5128260" y="2514601"/>
          <a:ext cx="954665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Vertical</a:t>
          </a:r>
        </a:p>
      </xdr:txBody>
    </xdr:sp>
    <xdr:clientData/>
  </xdr:twoCellAnchor>
  <xdr:twoCellAnchor>
    <xdr:from>
      <xdr:col>10</xdr:col>
      <xdr:colOff>607695</xdr:colOff>
      <xdr:row>16</xdr:row>
      <xdr:rowOff>49531</xdr:rowOff>
    </xdr:from>
    <xdr:to>
      <xdr:col>12</xdr:col>
      <xdr:colOff>550545</xdr:colOff>
      <xdr:row>17</xdr:row>
      <xdr:rowOff>106681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00B85BDF-43A1-4F35-A7F1-0C1C4FE184FE}"/>
            </a:ext>
          </a:extLst>
        </xdr:cNvPr>
        <xdr:cNvSpPr txBox="1"/>
      </xdr:nvSpPr>
      <xdr:spPr>
        <a:xfrm>
          <a:off x="6307455" y="2975611"/>
          <a:ext cx="11620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Horizontal</a:t>
          </a:r>
        </a:p>
      </xdr:txBody>
    </xdr:sp>
    <xdr:clientData/>
  </xdr:twoCellAnchor>
  <xdr:twoCellAnchor>
    <xdr:from>
      <xdr:col>6</xdr:col>
      <xdr:colOff>447676</xdr:colOff>
      <xdr:row>5</xdr:row>
      <xdr:rowOff>26670</xdr:rowOff>
    </xdr:from>
    <xdr:to>
      <xdr:col>8</xdr:col>
      <xdr:colOff>142876</xdr:colOff>
      <xdr:row>6</xdr:row>
      <xdr:rowOff>17145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68448B46-36C1-49DB-AFCC-7E8AEB5E7B26}"/>
            </a:ext>
          </a:extLst>
        </xdr:cNvPr>
        <xdr:cNvSpPr txBox="1"/>
      </xdr:nvSpPr>
      <xdr:spPr>
        <a:xfrm>
          <a:off x="3709036" y="941070"/>
          <a:ext cx="914400" cy="1733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dam_eart_upst_i </a:t>
          </a:r>
        </a:p>
      </xdr:txBody>
    </xdr:sp>
    <xdr:clientData/>
  </xdr:twoCellAnchor>
  <xdr:twoCellAnchor>
    <xdr:from>
      <xdr:col>5</xdr:col>
      <xdr:colOff>570352</xdr:colOff>
      <xdr:row>18</xdr:row>
      <xdr:rowOff>163077</xdr:rowOff>
    </xdr:from>
    <xdr:to>
      <xdr:col>7</xdr:col>
      <xdr:colOff>446527</xdr:colOff>
      <xdr:row>19</xdr:row>
      <xdr:rowOff>52197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179614A9-802C-4C5A-8EE7-528146BCEB33}"/>
            </a:ext>
          </a:extLst>
        </xdr:cNvPr>
        <xdr:cNvSpPr/>
      </xdr:nvSpPr>
      <xdr:spPr>
        <a:xfrm rot="3986723">
          <a:off x="3733800" y="2943229"/>
          <a:ext cx="72000" cy="1095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</xdr:colOff>
      <xdr:row>19</xdr:row>
      <xdr:rowOff>123826</xdr:rowOff>
    </xdr:from>
    <xdr:to>
      <xdr:col>13</xdr:col>
      <xdr:colOff>0</xdr:colOff>
      <xdr:row>20</xdr:row>
      <xdr:rowOff>180976</xdr:rowOff>
    </xdr:to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4A9E7AAF-FACC-420D-B402-8BE729E36E49}"/>
            </a:ext>
          </a:extLst>
        </xdr:cNvPr>
        <xdr:cNvSpPr txBox="1"/>
      </xdr:nvSpPr>
      <xdr:spPr>
        <a:xfrm>
          <a:off x="3886200" y="31718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0.4 * dam_crst_0000_l * hera_dam_conc_rrpj_m2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18</xdr:row>
      <xdr:rowOff>76201</xdr:rowOff>
    </xdr:from>
    <xdr:to>
      <xdr:col>8</xdr:col>
      <xdr:colOff>373640</xdr:colOff>
      <xdr:row>19</xdr:row>
      <xdr:rowOff>133351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7E072486-7BAE-43F4-8B54-20289D9D643C}"/>
            </a:ext>
          </a:extLst>
        </xdr:cNvPr>
        <xdr:cNvSpPr txBox="1"/>
      </xdr:nvSpPr>
      <xdr:spPr>
        <a:xfrm>
          <a:off x="3895725" y="29337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Rip-rap</a:t>
          </a:r>
        </a:p>
      </xdr:txBody>
    </xdr:sp>
    <xdr:clientData/>
  </xdr:twoCellAnchor>
  <xdr:twoCellAnchor>
    <xdr:from>
      <xdr:col>7</xdr:col>
      <xdr:colOff>57431</xdr:colOff>
      <xdr:row>24</xdr:row>
      <xdr:rowOff>81924</xdr:rowOff>
    </xdr:from>
    <xdr:to>
      <xdr:col>10</xdr:col>
      <xdr:colOff>471538</xdr:colOff>
      <xdr:row>24</xdr:row>
      <xdr:rowOff>127643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A5B65EA-7580-4FB3-86C8-271DB9C8BECF}"/>
            </a:ext>
          </a:extLst>
        </xdr:cNvPr>
        <xdr:cNvSpPr/>
      </xdr:nvSpPr>
      <xdr:spPr>
        <a:xfrm rot="6990412" flipH="1">
          <a:off x="5026985" y="3372450"/>
          <a:ext cx="45719" cy="22429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466725</xdr:colOff>
      <xdr:row>27</xdr:row>
      <xdr:rowOff>9526</xdr:rowOff>
    </xdr:from>
    <xdr:to>
      <xdr:col>12</xdr:col>
      <xdr:colOff>447675</xdr:colOff>
      <xdr:row>28</xdr:row>
      <xdr:rowOff>66676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57DB2498-120E-4F11-8722-9D51CF602DDE}"/>
            </a:ext>
          </a:extLst>
        </xdr:cNvPr>
        <xdr:cNvSpPr txBox="1"/>
      </xdr:nvSpPr>
      <xdr:spPr>
        <a:xfrm>
          <a:off x="3724275" y="45815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dam_eart_dwst_i^2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hera_dam_conc_vtpj_m2</a:t>
          </a:r>
          <a:endParaRPr lang="pt-BR" sz="1100"/>
        </a:p>
      </xdr:txBody>
    </xdr:sp>
    <xdr:clientData/>
  </xdr:twoCellAnchor>
  <xdr:twoCellAnchor>
    <xdr:from>
      <xdr:col>6</xdr:col>
      <xdr:colOff>476250</xdr:colOff>
      <xdr:row>25</xdr:row>
      <xdr:rowOff>152401</xdr:rowOff>
    </xdr:from>
    <xdr:to>
      <xdr:col>8</xdr:col>
      <xdr:colOff>211715</xdr:colOff>
      <xdr:row>27</xdr:row>
      <xdr:rowOff>19051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B271119-7F6F-4552-BB6A-9BF56533E2A3}"/>
            </a:ext>
          </a:extLst>
        </xdr:cNvPr>
        <xdr:cNvSpPr txBox="1"/>
      </xdr:nvSpPr>
      <xdr:spPr>
        <a:xfrm>
          <a:off x="3733800" y="43434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Grama</a:t>
          </a:r>
        </a:p>
      </xdr:txBody>
    </xdr:sp>
    <xdr:clientData/>
  </xdr:twoCellAnchor>
  <xdr:twoCellAnchor>
    <xdr:from>
      <xdr:col>10</xdr:col>
      <xdr:colOff>20308</xdr:colOff>
      <xdr:row>5</xdr:row>
      <xdr:rowOff>173570</xdr:rowOff>
    </xdr:from>
    <xdr:to>
      <xdr:col>12</xdr:col>
      <xdr:colOff>527445</xdr:colOff>
      <xdr:row>6</xdr:row>
      <xdr:rowOff>36409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C6021039-23E7-4331-9B0F-0DBC0966259E}"/>
            </a:ext>
          </a:extLst>
        </xdr:cNvPr>
        <xdr:cNvSpPr/>
      </xdr:nvSpPr>
      <xdr:spPr>
        <a:xfrm rot="6812725" flipH="1">
          <a:off x="6560377" y="247661"/>
          <a:ext cx="45719" cy="17263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76199</xdr:colOff>
      <xdr:row>7</xdr:row>
      <xdr:rowOff>148592</xdr:rowOff>
    </xdr:from>
    <xdr:to>
      <xdr:col>12</xdr:col>
      <xdr:colOff>461008</xdr:colOff>
      <xdr:row>8</xdr:row>
      <xdr:rowOff>38100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499B6056-4A94-459C-A028-4DB0067226FF}"/>
            </a:ext>
          </a:extLst>
        </xdr:cNvPr>
        <xdr:cNvSpPr/>
      </xdr:nvSpPr>
      <xdr:spPr>
        <a:xfrm rot="5400000">
          <a:off x="6541770" y="662941"/>
          <a:ext cx="72388" cy="160400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76200</xdr:colOff>
      <xdr:row>4</xdr:row>
      <xdr:rowOff>123828</xdr:rowOff>
    </xdr:from>
    <xdr:to>
      <xdr:col>10</xdr:col>
      <xdr:colOff>137160</xdr:colOff>
      <xdr:row>8</xdr:row>
      <xdr:rowOff>22860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913CB5A4-17DE-4BB9-9BFA-88CAFC86CE30}"/>
            </a:ext>
          </a:extLst>
        </xdr:cNvPr>
        <xdr:cNvSpPr/>
      </xdr:nvSpPr>
      <xdr:spPr>
        <a:xfrm>
          <a:off x="5775960" y="855348"/>
          <a:ext cx="60960" cy="630552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123397</xdr:colOff>
      <xdr:row>5</xdr:row>
      <xdr:rowOff>64079</xdr:rowOff>
    </xdr:from>
    <xdr:to>
      <xdr:col>9</xdr:col>
      <xdr:colOff>519743</xdr:colOff>
      <xdr:row>5</xdr:row>
      <xdr:rowOff>137347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8D7F1363-38C8-4539-843D-9E2EAEAAB9A4}"/>
            </a:ext>
          </a:extLst>
        </xdr:cNvPr>
        <xdr:cNvSpPr/>
      </xdr:nvSpPr>
      <xdr:spPr>
        <a:xfrm rot="4128351">
          <a:off x="5070296" y="512140"/>
          <a:ext cx="73268" cy="100594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366441</xdr:colOff>
      <xdr:row>24</xdr:row>
      <xdr:rowOff>28575</xdr:rowOff>
    </xdr:from>
    <xdr:to>
      <xdr:col>15</xdr:col>
      <xdr:colOff>576996</xdr:colOff>
      <xdr:row>24</xdr:row>
      <xdr:rowOff>74294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736AAC46-3C8F-4EC9-AD09-AB62540875D2}"/>
            </a:ext>
          </a:extLst>
        </xdr:cNvPr>
        <xdr:cNvSpPr/>
      </xdr:nvSpPr>
      <xdr:spPr>
        <a:xfrm rot="15114266" flipH="1">
          <a:off x="8282219" y="3420877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318135</xdr:colOff>
      <xdr:row>27</xdr:row>
      <xdr:rowOff>8744</xdr:rowOff>
    </xdr:from>
    <xdr:to>
      <xdr:col>18</xdr:col>
      <xdr:colOff>299085</xdr:colOff>
      <xdr:row>28</xdr:row>
      <xdr:rowOff>65894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7284712-2C63-4B24-A363-F2C1E1BF789B}"/>
            </a:ext>
          </a:extLst>
        </xdr:cNvPr>
        <xdr:cNvSpPr txBox="1"/>
      </xdr:nvSpPr>
      <xdr:spPr>
        <a:xfrm>
          <a:off x="7237095" y="4946504"/>
          <a:ext cx="36385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dyk_eart_upst_i^2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12</xdr:col>
      <xdr:colOff>327660</xdr:colOff>
      <xdr:row>25</xdr:row>
      <xdr:rowOff>151618</xdr:rowOff>
    </xdr:from>
    <xdr:to>
      <xdr:col>14</xdr:col>
      <xdr:colOff>560070</xdr:colOff>
      <xdr:row>27</xdr:row>
      <xdr:rowOff>37317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B9D8F245-9451-4663-B0AC-C545D48D8438}"/>
            </a:ext>
          </a:extLst>
        </xdr:cNvPr>
        <xdr:cNvSpPr txBox="1"/>
      </xdr:nvSpPr>
      <xdr:spPr>
        <a:xfrm>
          <a:off x="7246620" y="4723618"/>
          <a:ext cx="1451610" cy="251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Geomembrana</a:t>
          </a:r>
        </a:p>
      </xdr:txBody>
    </xdr:sp>
    <xdr:clientData/>
  </xdr:twoCellAnchor>
  <xdr:twoCellAnchor>
    <xdr:from>
      <xdr:col>6</xdr:col>
      <xdr:colOff>343581</xdr:colOff>
      <xdr:row>5</xdr:row>
      <xdr:rowOff>173356</xdr:rowOff>
    </xdr:from>
    <xdr:to>
      <xdr:col>9</xdr:col>
      <xdr:colOff>554136</xdr:colOff>
      <xdr:row>6</xdr:row>
      <xdr:rowOff>36195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63833A23-58B0-42B0-97B6-D9644C567C2B}"/>
            </a:ext>
          </a:extLst>
        </xdr:cNvPr>
        <xdr:cNvSpPr/>
      </xdr:nvSpPr>
      <xdr:spPr>
        <a:xfrm rot="15005837" flipH="1">
          <a:off x="4601759" y="90938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584835</xdr:colOff>
      <xdr:row>5</xdr:row>
      <xdr:rowOff>15239</xdr:rowOff>
    </xdr:from>
    <xdr:to>
      <xdr:col>12</xdr:col>
      <xdr:colOff>308610</xdr:colOff>
      <xdr:row>6</xdr:row>
      <xdr:rowOff>24764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DC9338D2-B35E-4203-8F8F-773709CA8260}"/>
            </a:ext>
          </a:extLst>
        </xdr:cNvPr>
        <xdr:cNvSpPr txBox="1"/>
      </xdr:nvSpPr>
      <xdr:spPr>
        <a:xfrm>
          <a:off x="6284595" y="929639"/>
          <a:ext cx="942975" cy="19240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dam_eart_dwst_i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13</xdr:row>
      <xdr:rowOff>9525</xdr:rowOff>
    </xdr:from>
    <xdr:to>
      <xdr:col>12</xdr:col>
      <xdr:colOff>446983</xdr:colOff>
      <xdr:row>31</xdr:row>
      <xdr:rowOff>113858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5CFD3EE8-F7D0-46A2-A8EE-891EC6D9E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2486025"/>
          <a:ext cx="5533333" cy="3533333"/>
        </a:xfrm>
        <a:prstGeom prst="rect">
          <a:avLst/>
        </a:prstGeom>
      </xdr:spPr>
    </xdr:pic>
    <xdr:clientData/>
  </xdr:twoCellAnchor>
  <xdr:twoCellAnchor>
    <xdr:from>
      <xdr:col>5</xdr:col>
      <xdr:colOff>47623</xdr:colOff>
      <xdr:row>1</xdr:row>
      <xdr:rowOff>9525</xdr:rowOff>
    </xdr:from>
    <xdr:to>
      <xdr:col>14</xdr:col>
      <xdr:colOff>171449</xdr:colOff>
      <xdr:row>9</xdr:row>
      <xdr:rowOff>95249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E057C10A-9CB5-452D-963E-73CEC9A1EFEA}"/>
            </a:ext>
          </a:extLst>
        </xdr:cNvPr>
        <xdr:cNvGrpSpPr/>
      </xdr:nvGrpSpPr>
      <xdr:grpSpPr>
        <a:xfrm>
          <a:off x="5861683" y="192405"/>
          <a:ext cx="5610226" cy="1548764"/>
          <a:chOff x="5724523" y="142875"/>
          <a:chExt cx="5610226" cy="1609724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30069311-E643-4BE9-8713-CE2935A24293}"/>
              </a:ext>
            </a:extLst>
          </xdr:cNvPr>
          <xdr:cNvSpPr/>
        </xdr:nvSpPr>
        <xdr:spPr>
          <a:xfrm>
            <a:off x="5791201" y="142875"/>
            <a:ext cx="5467350" cy="160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Caixa de Texto 125">
            <a:extLst>
              <a:ext uri="{FF2B5EF4-FFF2-40B4-BE49-F238E27FC236}">
                <a16:creationId xmlns:a16="http://schemas.microsoft.com/office/drawing/2014/main" id="{81FAE9A2-C71E-44B9-9835-C1CF3B1BC04F}"/>
              </a:ext>
            </a:extLst>
          </xdr:cNvPr>
          <xdr:cNvSpPr txBox="1"/>
        </xdr:nvSpPr>
        <xdr:spPr>
          <a:xfrm>
            <a:off x="6248400" y="1442085"/>
            <a:ext cx="1219200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div_tund_0000_d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A6848D18-C4BE-4E6B-A302-868E69FC457C}"/>
              </a:ext>
            </a:extLst>
          </xdr:cNvPr>
          <xdr:cNvGrpSpPr/>
        </xdr:nvGrpSpPr>
        <xdr:grpSpPr>
          <a:xfrm>
            <a:off x="8115300" y="635635"/>
            <a:ext cx="996315" cy="675854"/>
            <a:chOff x="8105775" y="273685"/>
            <a:chExt cx="996315" cy="675854"/>
          </a:xfrm>
        </xdr:grpSpPr>
        <xdr:grpSp>
          <xdr:nvGrpSpPr>
            <xdr:cNvPr id="2" name="Agrupar 1">
              <a:extLst>
                <a:ext uri="{FF2B5EF4-FFF2-40B4-BE49-F238E27FC236}">
                  <a16:creationId xmlns:a16="http://schemas.microsoft.com/office/drawing/2014/main" id="{65807B2F-C844-4652-A3B0-FF1DA0E815A8}"/>
                </a:ext>
              </a:extLst>
            </xdr:cNvPr>
            <xdr:cNvGrpSpPr/>
          </xdr:nvGrpSpPr>
          <xdr:grpSpPr>
            <a:xfrm>
              <a:off x="8105775" y="273685"/>
              <a:ext cx="682625" cy="675854"/>
              <a:chOff x="22225" y="0"/>
              <a:chExt cx="682625" cy="676275"/>
            </a:xfrm>
          </xdr:grpSpPr>
          <xdr:sp macro="" textlink="">
            <xdr:nvSpPr>
              <xdr:cNvPr id="23" name="Arco 22">
                <a:extLst>
                  <a:ext uri="{FF2B5EF4-FFF2-40B4-BE49-F238E27FC236}">
                    <a16:creationId xmlns:a16="http://schemas.microsoft.com/office/drawing/2014/main" id="{00000000-0008-0000-0300-000046000000}"/>
                  </a:ext>
                </a:extLst>
              </xdr:cNvPr>
              <xdr:cNvSpPr>
                <a:spLocks/>
              </xdr:cNvSpPr>
            </xdr:nvSpPr>
            <xdr:spPr>
              <a:xfrm>
                <a:off x="28575" y="0"/>
                <a:ext cx="646546" cy="654901"/>
              </a:xfrm>
              <a:prstGeom prst="arc">
                <a:avLst>
                  <a:gd name="adj1" fmla="val 10557175"/>
                  <a:gd name="adj2" fmla="val 0"/>
                </a:avLst>
              </a:prstGeom>
              <a:ln w="44450" cmpd="dbl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24" name="Conector reto 23">
                <a:extLst>
                  <a:ext uri="{FF2B5EF4-FFF2-40B4-BE49-F238E27FC236}">
                    <a16:creationId xmlns:a16="http://schemas.microsoft.com/office/drawing/2014/main" id="{00000000-0008-0000-0300-000047000000}"/>
                  </a:ext>
                </a:extLst>
              </xdr:cNvPr>
              <xdr:cNvCxnSpPr/>
            </xdr:nvCxnSpPr>
            <xdr:spPr>
              <a:xfrm>
                <a:off x="28575" y="342900"/>
                <a:ext cx="7438" cy="327451"/>
              </a:xfrm>
              <a:prstGeom prst="line">
                <a:avLst/>
              </a:prstGeom>
              <a:ln w="44450" cmpd="dbl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Conector reto 24">
                <a:extLst>
                  <a:ext uri="{FF2B5EF4-FFF2-40B4-BE49-F238E27FC236}">
                    <a16:creationId xmlns:a16="http://schemas.microsoft.com/office/drawing/2014/main" id="{00000000-0008-0000-0300-00004D000000}"/>
                  </a:ext>
                </a:extLst>
              </xdr:cNvPr>
              <xdr:cNvCxnSpPr/>
            </xdr:nvCxnSpPr>
            <xdr:spPr>
              <a:xfrm>
                <a:off x="676275" y="323850"/>
                <a:ext cx="526" cy="339296"/>
              </a:xfrm>
              <a:prstGeom prst="line">
                <a:avLst/>
              </a:prstGeom>
              <a:ln w="44450" cmpd="dbl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Conector reto 25">
                <a:extLst>
                  <a:ext uri="{FF2B5EF4-FFF2-40B4-BE49-F238E27FC236}">
                    <a16:creationId xmlns:a16="http://schemas.microsoft.com/office/drawing/2014/main" id="{00000000-0008-0000-0300-000048000000}"/>
                  </a:ext>
                </a:extLst>
              </xdr:cNvPr>
              <xdr:cNvCxnSpPr/>
            </xdr:nvCxnSpPr>
            <xdr:spPr>
              <a:xfrm>
                <a:off x="22225" y="676275"/>
                <a:ext cx="682625" cy="0"/>
              </a:xfrm>
              <a:prstGeom prst="line">
                <a:avLst/>
              </a:prstGeom>
              <a:ln w="28575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" name="Conector de Seta Reta 5">
              <a:extLst>
                <a:ext uri="{FF2B5EF4-FFF2-40B4-BE49-F238E27FC236}">
                  <a16:creationId xmlns:a16="http://schemas.microsoft.com/office/drawing/2014/main" id="{D82C4E4B-BFF1-4C5E-99BF-46E752B3786A}"/>
                </a:ext>
              </a:extLst>
            </xdr:cNvPr>
            <xdr:cNvCxnSpPr/>
          </xdr:nvCxnSpPr>
          <xdr:spPr>
            <a:xfrm flipH="1">
              <a:off x="8778240" y="728980"/>
              <a:ext cx="323850" cy="9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Conector de Seta Reta 6">
              <a:extLst>
                <a:ext uri="{FF2B5EF4-FFF2-40B4-BE49-F238E27FC236}">
                  <a16:creationId xmlns:a16="http://schemas.microsoft.com/office/drawing/2014/main" id="{D5EBFC8B-A5FF-4755-86C4-FE2AECFE14B7}"/>
                </a:ext>
              </a:extLst>
            </xdr:cNvPr>
            <xdr:cNvCxnSpPr/>
          </xdr:nvCxnSpPr>
          <xdr:spPr>
            <a:xfrm>
              <a:off x="8388350" y="738505"/>
              <a:ext cx="342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Caixa de Texto 129">
            <a:extLst>
              <a:ext uri="{FF2B5EF4-FFF2-40B4-BE49-F238E27FC236}">
                <a16:creationId xmlns:a16="http://schemas.microsoft.com/office/drawing/2014/main" id="{C2D7371C-2227-405C-AF93-D5B3280BECCA}"/>
              </a:ext>
            </a:extLst>
          </xdr:cNvPr>
          <xdr:cNvSpPr txBox="1"/>
        </xdr:nvSpPr>
        <xdr:spPr>
          <a:xfrm>
            <a:off x="8100694" y="1443355"/>
            <a:ext cx="1233805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div_tund_shot_th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Caixa de Texto 133">
            <a:extLst>
              <a:ext uri="{FF2B5EF4-FFF2-40B4-BE49-F238E27FC236}">
                <a16:creationId xmlns:a16="http://schemas.microsoft.com/office/drawing/2014/main" id="{D0DDAB13-EBA9-4A56-B18E-DB863E61E5D7}"/>
              </a:ext>
            </a:extLst>
          </xdr:cNvPr>
          <xdr:cNvSpPr txBox="1"/>
        </xdr:nvSpPr>
        <xdr:spPr>
          <a:xfrm>
            <a:off x="9934575" y="1444625"/>
            <a:ext cx="1362075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div_tund_conc_th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E5CB3FF2-8AEE-4B88-A2CA-E1D8EAF0C375}"/>
              </a:ext>
            </a:extLst>
          </xdr:cNvPr>
          <xdr:cNvGrpSpPr/>
        </xdr:nvGrpSpPr>
        <xdr:grpSpPr>
          <a:xfrm>
            <a:off x="6278880" y="676275"/>
            <a:ext cx="755015" cy="740410"/>
            <a:chOff x="6231255" y="295275"/>
            <a:chExt cx="755015" cy="740410"/>
          </a:xfrm>
        </xdr:grpSpPr>
        <xdr:cxnSp macro="">
          <xdr:nvCxnSpPr>
            <xdr:cNvPr id="3" name="Conector de Seta Reta 2">
              <a:extLst>
                <a:ext uri="{FF2B5EF4-FFF2-40B4-BE49-F238E27FC236}">
                  <a16:creationId xmlns:a16="http://schemas.microsoft.com/office/drawing/2014/main" id="{5F51BB1B-9DD9-4FFB-8670-862A6E8A17E5}"/>
                </a:ext>
              </a:extLst>
            </xdr:cNvPr>
            <xdr:cNvCxnSpPr/>
          </xdr:nvCxnSpPr>
          <xdr:spPr>
            <a:xfrm>
              <a:off x="6281420" y="1035685"/>
              <a:ext cx="645795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Conector de Seta Reta 3">
              <a:extLst>
                <a:ext uri="{FF2B5EF4-FFF2-40B4-BE49-F238E27FC236}">
                  <a16:creationId xmlns:a16="http://schemas.microsoft.com/office/drawing/2014/main" id="{E9F15525-635E-4326-A56D-C8F4BB0384ED}"/>
                </a:ext>
              </a:extLst>
            </xdr:cNvPr>
            <xdr:cNvCxnSpPr/>
          </xdr:nvCxnSpPr>
          <xdr:spPr>
            <a:xfrm>
              <a:off x="6986270" y="349885"/>
              <a:ext cx="0" cy="64770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2382667B-DAFA-444F-9767-9D1B3E3ED762}"/>
                </a:ext>
              </a:extLst>
            </xdr:cNvPr>
            <xdr:cNvGrpSpPr/>
          </xdr:nvGrpSpPr>
          <xdr:grpSpPr>
            <a:xfrm>
              <a:off x="6231255" y="295275"/>
              <a:ext cx="657225" cy="647700"/>
              <a:chOff x="0" y="33339"/>
              <a:chExt cx="428625" cy="428625"/>
            </a:xfrm>
          </xdr:grpSpPr>
          <xdr:sp macro="" textlink="">
            <xdr:nvSpPr>
              <xdr:cNvPr id="15" name="Arco 14">
                <a:extLst>
                  <a:ext uri="{FF2B5EF4-FFF2-40B4-BE49-F238E27FC236}">
                    <a16:creationId xmlns:a16="http://schemas.microsoft.com/office/drawing/2014/main" id="{CC6A083A-0D36-4FBE-9D45-D0798DA3D006}"/>
                  </a:ext>
                </a:extLst>
              </xdr:cNvPr>
              <xdr:cNvSpPr>
                <a:spLocks/>
              </xdr:cNvSpPr>
            </xdr:nvSpPr>
            <xdr:spPr>
              <a:xfrm>
                <a:off x="0" y="33339"/>
                <a:ext cx="423750" cy="421010"/>
              </a:xfrm>
              <a:prstGeom prst="arc">
                <a:avLst>
                  <a:gd name="adj1" fmla="val 10557175"/>
                  <a:gd name="adj2" fmla="val 0"/>
                </a:avLst>
              </a:prstGeom>
              <a:ln w="25400" cmpd="sng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16" name="Conector reto 15">
                <a:extLst>
                  <a:ext uri="{FF2B5EF4-FFF2-40B4-BE49-F238E27FC236}">
                    <a16:creationId xmlns:a16="http://schemas.microsoft.com/office/drawing/2014/main" id="{D6F3F586-FF6E-4853-B330-6C791390770E}"/>
                  </a:ext>
                </a:extLst>
              </xdr:cNvPr>
              <xdr:cNvCxnSpPr/>
            </xdr:nvCxnSpPr>
            <xdr:spPr>
              <a:xfrm>
                <a:off x="0" y="251281"/>
                <a:ext cx="4875" cy="210505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Conector reto 16">
                <a:extLst>
                  <a:ext uri="{FF2B5EF4-FFF2-40B4-BE49-F238E27FC236}">
                    <a16:creationId xmlns:a16="http://schemas.microsoft.com/office/drawing/2014/main" id="{9FBE598C-A33C-453E-A889-F2EEB0C191EC}"/>
                  </a:ext>
                </a:extLst>
              </xdr:cNvPr>
              <xdr:cNvCxnSpPr/>
            </xdr:nvCxnSpPr>
            <xdr:spPr>
              <a:xfrm>
                <a:off x="423750" y="243844"/>
                <a:ext cx="345" cy="218120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Conector reto 17">
                <a:extLst>
                  <a:ext uri="{FF2B5EF4-FFF2-40B4-BE49-F238E27FC236}">
                    <a16:creationId xmlns:a16="http://schemas.microsoft.com/office/drawing/2014/main" id="{D9C9CE39-CC82-49AA-AC07-E516DC2B4455}"/>
                  </a:ext>
                </a:extLst>
              </xdr:cNvPr>
              <xdr:cNvCxnSpPr/>
            </xdr:nvCxnSpPr>
            <xdr:spPr>
              <a:xfrm>
                <a:off x="4875" y="459536"/>
                <a:ext cx="423750" cy="0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ECBE70B9-F677-4DDD-9D7A-554A9E6D3D00}"/>
              </a:ext>
            </a:extLst>
          </xdr:cNvPr>
          <xdr:cNvGrpSpPr/>
        </xdr:nvGrpSpPr>
        <xdr:grpSpPr>
          <a:xfrm>
            <a:off x="9934575" y="606425"/>
            <a:ext cx="1133475" cy="742950"/>
            <a:chOff x="6267450" y="3159125"/>
            <a:chExt cx="1133475" cy="742950"/>
          </a:xfrm>
        </xdr:grpSpPr>
        <xdr:sp macro="" textlink="">
          <xdr:nvSpPr>
            <xdr:cNvPr id="9" name="Arco 8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>
              <a:spLocks/>
            </xdr:cNvSpPr>
          </xdr:nvSpPr>
          <xdr:spPr>
            <a:xfrm>
              <a:off x="6271895" y="3159125"/>
              <a:ext cx="781050" cy="729615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t"/>
            <a:lstStyle/>
            <a:p>
              <a:endParaRPr lang="pt-BR"/>
            </a:p>
          </xdr:txBody>
        </xdr:sp>
        <xdr:grpSp>
          <xdr:nvGrpSpPr>
            <xdr:cNvPr id="10" name="Agrupar 9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GrpSpPr/>
          </xdr:nvGrpSpPr>
          <xdr:grpSpPr>
            <a:xfrm>
              <a:off x="6357620" y="3263265"/>
              <a:ext cx="604520" cy="552450"/>
              <a:chOff x="1428751" y="61915"/>
              <a:chExt cx="837525" cy="814389"/>
            </a:xfrm>
          </xdr:grpSpPr>
          <xdr:sp macro="" textlink="">
            <xdr:nvSpPr>
              <xdr:cNvPr id="19" name="Arco 18">
                <a:extLst>
                  <a:ext uri="{FF2B5EF4-FFF2-40B4-BE49-F238E27FC236}">
                    <a16:creationId xmlns:a16="http://schemas.microsoft.com/office/drawing/2014/main" id="{00000000-0008-0000-0300-00005F000000}"/>
                  </a:ext>
                </a:extLst>
              </xdr:cNvPr>
              <xdr:cNvSpPr>
                <a:spLocks/>
              </xdr:cNvSpPr>
            </xdr:nvSpPr>
            <xdr:spPr>
              <a:xfrm>
                <a:off x="1428751" y="61915"/>
                <a:ext cx="828000" cy="799921"/>
              </a:xfrm>
              <a:prstGeom prst="arc">
                <a:avLst>
                  <a:gd name="adj1" fmla="val 10557175"/>
                  <a:gd name="adj2" fmla="val 0"/>
                </a:avLst>
              </a:prstGeom>
              <a:ln w="19050" cmpd="sng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20" name="Conector reto 19">
                <a:extLst>
                  <a:ext uri="{FF2B5EF4-FFF2-40B4-BE49-F238E27FC236}">
                    <a16:creationId xmlns:a16="http://schemas.microsoft.com/office/drawing/2014/main" id="{00000000-0008-0000-0300-000060000000}"/>
                  </a:ext>
                </a:extLst>
              </xdr:cNvPr>
              <xdr:cNvCxnSpPr/>
            </xdr:nvCxnSpPr>
            <xdr:spPr>
              <a:xfrm>
                <a:off x="1428751" y="476006"/>
                <a:ext cx="9525" cy="399959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Conector reto 20">
                <a:extLst>
                  <a:ext uri="{FF2B5EF4-FFF2-40B4-BE49-F238E27FC236}">
                    <a16:creationId xmlns:a16="http://schemas.microsoft.com/office/drawing/2014/main" id="{00000000-0008-0000-0300-000061000000}"/>
                  </a:ext>
                </a:extLst>
              </xdr:cNvPr>
              <xdr:cNvCxnSpPr>
                <a:stCxn id="19" idx="2"/>
              </xdr:cNvCxnSpPr>
            </xdr:nvCxnSpPr>
            <xdr:spPr>
              <a:xfrm>
                <a:off x="2256751" y="461876"/>
                <a:ext cx="675" cy="414428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Conector reto 21">
                <a:extLst>
                  <a:ext uri="{FF2B5EF4-FFF2-40B4-BE49-F238E27FC236}">
                    <a16:creationId xmlns:a16="http://schemas.microsoft.com/office/drawing/2014/main" id="{00000000-0008-0000-0300-000062000000}"/>
                  </a:ext>
                </a:extLst>
              </xdr:cNvPr>
              <xdr:cNvCxnSpPr/>
            </xdr:nvCxnSpPr>
            <xdr:spPr>
              <a:xfrm>
                <a:off x="1438276" y="871691"/>
                <a:ext cx="828000" cy="0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DC2FC8C1-7854-4594-A8DF-0124D0A1C2F0}"/>
                </a:ext>
              </a:extLst>
            </xdr:cNvPr>
            <xdr:cNvCxnSpPr/>
          </xdr:nvCxnSpPr>
          <xdr:spPr>
            <a:xfrm flipH="1">
              <a:off x="7050406" y="3660775"/>
              <a:ext cx="35051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26E4ACCB-BDC7-49AB-B6BA-55B97064A1DA}"/>
                </a:ext>
              </a:extLst>
            </xdr:cNvPr>
            <xdr:cNvCxnSpPr/>
          </xdr:nvCxnSpPr>
          <xdr:spPr>
            <a:xfrm>
              <a:off x="6593840" y="3660775"/>
              <a:ext cx="342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CxnSpPr/>
          </xdr:nvCxnSpPr>
          <xdr:spPr>
            <a:xfrm>
              <a:off x="6267450" y="3536950"/>
              <a:ext cx="8890" cy="36449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300-00005D000000}"/>
                </a:ext>
              </a:extLst>
            </xdr:cNvPr>
            <xdr:cNvCxnSpPr/>
          </xdr:nvCxnSpPr>
          <xdr:spPr>
            <a:xfrm>
              <a:off x="7048500" y="3524250"/>
              <a:ext cx="635" cy="377825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300-00005E000000}"/>
                </a:ext>
              </a:extLst>
            </xdr:cNvPr>
            <xdr:cNvCxnSpPr/>
          </xdr:nvCxnSpPr>
          <xdr:spPr>
            <a:xfrm>
              <a:off x="6276340" y="3898265"/>
              <a:ext cx="78105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Caixa de Texto 125">
            <a:extLst>
              <a:ext uri="{FF2B5EF4-FFF2-40B4-BE49-F238E27FC236}">
                <a16:creationId xmlns:a16="http://schemas.microsoft.com/office/drawing/2014/main" id="{4B109734-C576-4D04-BBAC-4324C6879A12}"/>
              </a:ext>
            </a:extLst>
          </xdr:cNvPr>
          <xdr:cNvSpPr txBox="1"/>
        </xdr:nvSpPr>
        <xdr:spPr>
          <a:xfrm>
            <a:off x="5724523" y="304800"/>
            <a:ext cx="1790701" cy="24765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Trecho sem revestimento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Caixa de Texto 125">
            <a:extLst>
              <a:ext uri="{FF2B5EF4-FFF2-40B4-BE49-F238E27FC236}">
                <a16:creationId xmlns:a16="http://schemas.microsoft.com/office/drawing/2014/main" id="{6AD44F05-EA5B-4962-9237-37BA96E8B2C1}"/>
              </a:ext>
            </a:extLst>
          </xdr:cNvPr>
          <xdr:cNvSpPr txBox="1"/>
        </xdr:nvSpPr>
        <xdr:spPr>
          <a:xfrm>
            <a:off x="7400925" y="304800"/>
            <a:ext cx="2057400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Trecho de concreto projetado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49" name="Text Box 1">
            <a:extLst>
              <a:ext uri="{FF2B5EF4-FFF2-40B4-BE49-F238E27FC236}">
                <a16:creationId xmlns:a16="http://schemas.microsoft.com/office/drawing/2014/main" id="{3AB146B3-F210-4C79-89AD-47B78B4EC2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20224" y="323850"/>
            <a:ext cx="1914525" cy="2286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Trecho de concreto estrutural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38101</xdr:rowOff>
    </xdr:from>
    <xdr:to>
      <xdr:col>11</xdr:col>
      <xdr:colOff>142875</xdr:colOff>
      <xdr:row>18</xdr:row>
      <xdr:rowOff>76200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EE7BE7A9-367C-4230-BF99-8E4318D4C2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189" t="40500" r="29638" b="14702"/>
        <a:stretch/>
      </xdr:blipFill>
      <xdr:spPr>
        <a:xfrm>
          <a:off x="3724275" y="228601"/>
          <a:ext cx="5486400" cy="3276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9524</xdr:rowOff>
    </xdr:from>
    <xdr:to>
      <xdr:col>11</xdr:col>
      <xdr:colOff>266700</xdr:colOff>
      <xdr:row>26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A296B7-9296-4A47-AA07-97DB61E11E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408" t="27737" r="28102" b="5326"/>
        <a:stretch/>
      </xdr:blipFill>
      <xdr:spPr>
        <a:xfrm>
          <a:off x="4533900" y="200024"/>
          <a:ext cx="5657850" cy="4895851"/>
        </a:xfrm>
        <a:prstGeom prst="rect">
          <a:avLst/>
        </a:prstGeom>
      </xdr:spPr>
    </xdr:pic>
    <xdr:clientData/>
  </xdr:twoCellAnchor>
  <xdr:twoCellAnchor editAs="oneCell">
    <xdr:from>
      <xdr:col>0</xdr:col>
      <xdr:colOff>2781300</xdr:colOff>
      <xdr:row>26</xdr:row>
      <xdr:rowOff>19050</xdr:rowOff>
    </xdr:from>
    <xdr:to>
      <xdr:col>11</xdr:col>
      <xdr:colOff>313393</xdr:colOff>
      <xdr:row>34</xdr:row>
      <xdr:rowOff>47431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4ABE02-7B05-456A-996A-7459BB2B5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1300" y="4972050"/>
          <a:ext cx="7457143" cy="15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0</xdr:rowOff>
    </xdr:from>
    <xdr:to>
      <xdr:col>3</xdr:col>
      <xdr:colOff>247649</xdr:colOff>
      <xdr:row>4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5B15F9D-E181-4852-A2FB-FD458C1B93B5}"/>
            </a:ext>
          </a:extLst>
        </xdr:cNvPr>
        <xdr:cNvSpPr/>
      </xdr:nvSpPr>
      <xdr:spPr>
        <a:xfrm>
          <a:off x="3162300" y="571500"/>
          <a:ext cx="228599" cy="1905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</a:t>
          </a:r>
        </a:p>
      </xdr:txBody>
    </xdr:sp>
    <xdr:clientData/>
  </xdr:twoCellAnchor>
  <xdr:twoCellAnchor>
    <xdr:from>
      <xdr:col>3</xdr:col>
      <xdr:colOff>19050</xdr:colOff>
      <xdr:row>7</xdr:row>
      <xdr:rowOff>9524</xdr:rowOff>
    </xdr:from>
    <xdr:to>
      <xdr:col>4</xdr:col>
      <xdr:colOff>0</xdr:colOff>
      <xdr:row>7</xdr:row>
      <xdr:rowOff>190499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C7C937B-97AA-4814-B9DC-C6E75B7288D6}"/>
            </a:ext>
          </a:extLst>
        </xdr:cNvPr>
        <xdr:cNvSpPr/>
      </xdr:nvSpPr>
      <xdr:spPr>
        <a:xfrm>
          <a:off x="3162300" y="1343024"/>
          <a:ext cx="228600" cy="180975"/>
        </a:xfrm>
        <a:prstGeom prst="rect">
          <a:avLst/>
        </a:prstGeom>
        <a:noFill/>
        <a:ln>
          <a:solidFill>
            <a:srgbClr val="FFC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59B1D01-B851-44E3-8011-A595FBFA0F31}"/>
            </a:ext>
          </a:extLst>
        </xdr:cNvPr>
        <xdr:cNvSpPr/>
      </xdr:nvSpPr>
      <xdr:spPr>
        <a:xfrm>
          <a:off x="3152775" y="952500"/>
          <a:ext cx="238125" cy="190500"/>
        </a:xfrm>
        <a:prstGeom prst="rect">
          <a:avLst/>
        </a:prstGeom>
        <a:solidFill>
          <a:sysClr val="window" lastClr="FFFFFF"/>
        </a:solidFill>
        <a:ln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38101</xdr:colOff>
      <xdr:row>12</xdr:row>
      <xdr:rowOff>8724</xdr:rowOff>
    </xdr:from>
    <xdr:to>
      <xdr:col>10</xdr:col>
      <xdr:colOff>285751</xdr:colOff>
      <xdr:row>25</xdr:row>
      <xdr:rowOff>152012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E811A90-A85A-4A33-AB21-98E6C0001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1" y="2294724"/>
          <a:ext cx="4267200" cy="2619788"/>
        </a:xfrm>
        <a:prstGeom prst="rect">
          <a:avLst/>
        </a:prstGeom>
      </xdr:spPr>
    </xdr:pic>
    <xdr:clientData/>
  </xdr:twoCellAnchor>
  <xdr:twoCellAnchor>
    <xdr:from>
      <xdr:col>11</xdr:col>
      <xdr:colOff>19049</xdr:colOff>
      <xdr:row>6</xdr:row>
      <xdr:rowOff>123824</xdr:rowOff>
    </xdr:from>
    <xdr:to>
      <xdr:col>17</xdr:col>
      <xdr:colOff>514350</xdr:colOff>
      <xdr:row>22</xdr:row>
      <xdr:rowOff>3963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0CA14907-22F7-4836-A416-810114E49DA9}"/>
            </a:ext>
          </a:extLst>
        </xdr:cNvPr>
        <xdr:cNvGrpSpPr/>
      </xdr:nvGrpSpPr>
      <xdr:grpSpPr>
        <a:xfrm>
          <a:off x="8020049" y="1221104"/>
          <a:ext cx="4381501" cy="2806219"/>
          <a:chOff x="3209924" y="333374"/>
          <a:chExt cx="4171951" cy="2928139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B2754D5F-B43E-458F-8EA5-70E35124FAD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759" t="44407" r="71666" b="26163"/>
          <a:stretch/>
        </xdr:blipFill>
        <xdr:spPr>
          <a:xfrm>
            <a:off x="3209924" y="333374"/>
            <a:ext cx="4171951" cy="2928139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DDF6D015-377B-4D0A-B242-BC787E1D4FFF}"/>
              </a:ext>
            </a:extLst>
          </xdr:cNvPr>
          <xdr:cNvSpPr/>
        </xdr:nvSpPr>
        <xdr:spPr>
          <a:xfrm>
            <a:off x="4276725" y="581025"/>
            <a:ext cx="600075" cy="619126"/>
          </a:xfrm>
          <a:prstGeom prst="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v</a:t>
            </a: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AB3FA4F-C90A-4F87-9814-CAF0AFCFF0B6}"/>
              </a:ext>
            </a:extLst>
          </xdr:cNvPr>
          <xdr:cNvSpPr/>
        </xdr:nvSpPr>
        <xdr:spPr>
          <a:xfrm>
            <a:off x="5562600" y="1562100"/>
            <a:ext cx="1019175" cy="704850"/>
          </a:xfrm>
          <a:prstGeom prst="rect">
            <a:avLst/>
          </a:prstGeom>
          <a:noFill/>
          <a:ln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Paralelogramo 6">
            <a:extLst>
              <a:ext uri="{FF2B5EF4-FFF2-40B4-BE49-F238E27FC236}">
                <a16:creationId xmlns:a16="http://schemas.microsoft.com/office/drawing/2014/main" id="{B1B213EF-3901-4265-96AC-369E498DD619}"/>
              </a:ext>
            </a:extLst>
          </xdr:cNvPr>
          <xdr:cNvSpPr/>
        </xdr:nvSpPr>
        <xdr:spPr>
          <a:xfrm rot="17378414">
            <a:off x="4645835" y="901853"/>
            <a:ext cx="1039762" cy="1025044"/>
          </a:xfrm>
          <a:prstGeom prst="parallelogram">
            <a:avLst>
              <a:gd name="adj" fmla="val 56290"/>
            </a:avLst>
          </a:prstGeom>
          <a:noFill/>
          <a:ln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E7" zoomScaleNormal="100" workbookViewId="0">
      <selection activeCell="H21" sqref="H21"/>
    </sheetView>
  </sheetViews>
  <sheetFormatPr defaultColWidth="9.109375" defaultRowHeight="14.4" x14ac:dyDescent="0.3"/>
  <cols>
    <col min="1" max="1" width="30.33203125" style="7" bestFit="1" customWidth="1"/>
    <col min="2" max="2" width="12" style="3" bestFit="1" customWidth="1"/>
    <col min="3" max="3" width="4.6640625" style="3" bestFit="1" customWidth="1"/>
    <col min="4" max="4" width="5" style="7" customWidth="1"/>
    <col min="5" max="5" width="116.44140625" style="3" customWidth="1"/>
    <col min="6" max="6" width="10.44140625" style="3" bestFit="1" customWidth="1"/>
    <col min="7" max="7" width="22.33203125" style="7" bestFit="1" customWidth="1"/>
    <col min="8" max="8" width="11.6640625" style="13" customWidth="1"/>
    <col min="9" max="9" width="3.109375" style="3" bestFit="1" customWidth="1"/>
    <col min="10" max="10" width="5" style="3" bestFit="1" customWidth="1"/>
    <col min="11" max="11" width="78.5546875" style="3" bestFit="1" customWidth="1"/>
    <col min="12" max="12" width="92.88671875" style="3" bestFit="1" customWidth="1"/>
    <col min="13" max="13" width="78.5546875" style="3" bestFit="1" customWidth="1"/>
    <col min="14" max="14" width="18.33203125" style="3" bestFit="1" customWidth="1"/>
    <col min="15" max="16384" width="9.109375" style="3"/>
  </cols>
  <sheetData>
    <row r="1" spans="1:14" x14ac:dyDescent="0.3">
      <c r="A1" s="6" t="s">
        <v>0</v>
      </c>
      <c r="D1" s="3"/>
      <c r="E1" s="40" t="s">
        <v>305</v>
      </c>
      <c r="G1" s="6" t="s">
        <v>1</v>
      </c>
    </row>
    <row r="2" spans="1:14" x14ac:dyDescent="0.3">
      <c r="A2" s="17" t="s">
        <v>291</v>
      </c>
      <c r="B2" s="25" t="s">
        <v>183</v>
      </c>
      <c r="C2" s="5"/>
      <c r="E2" s="22" t="s">
        <v>290</v>
      </c>
      <c r="G2" s="17" t="s">
        <v>12</v>
      </c>
      <c r="H2" s="24">
        <f>B6</f>
        <v>0</v>
      </c>
      <c r="I2" s="5" t="s">
        <v>3</v>
      </c>
      <c r="K2" s="22" t="s">
        <v>219</v>
      </c>
      <c r="N2" s="9"/>
    </row>
    <row r="3" spans="1:14" x14ac:dyDescent="0.3">
      <c r="A3" s="17" t="s">
        <v>334</v>
      </c>
      <c r="B3" s="25">
        <v>0</v>
      </c>
      <c r="C3" s="5"/>
      <c r="E3" s="22" t="s">
        <v>335</v>
      </c>
      <c r="G3" s="17" t="s">
        <v>13</v>
      </c>
      <c r="H3" s="24">
        <f>B7</f>
        <v>0</v>
      </c>
      <c r="I3" s="5" t="s">
        <v>3</v>
      </c>
      <c r="K3" s="22" t="s">
        <v>220</v>
      </c>
      <c r="N3" s="9"/>
    </row>
    <row r="4" spans="1:14" x14ac:dyDescent="0.3">
      <c r="A4" s="17" t="s">
        <v>181</v>
      </c>
      <c r="B4" s="4">
        <v>0</v>
      </c>
      <c r="C4" s="14" t="s">
        <v>2</v>
      </c>
      <c r="D4" s="49"/>
      <c r="E4" s="22" t="s">
        <v>255</v>
      </c>
      <c r="F4" s="50" t="s">
        <v>327</v>
      </c>
      <c r="G4" s="17" t="s">
        <v>104</v>
      </c>
      <c r="H4" s="24">
        <f>B9</f>
        <v>0</v>
      </c>
      <c r="I4" s="5" t="s">
        <v>3</v>
      </c>
      <c r="K4" s="22" t="s">
        <v>225</v>
      </c>
      <c r="N4" s="9"/>
    </row>
    <row r="5" spans="1:14" x14ac:dyDescent="0.3">
      <c r="A5" s="17" t="s">
        <v>182</v>
      </c>
      <c r="B5" s="4">
        <v>0</v>
      </c>
      <c r="C5" s="14" t="s">
        <v>2</v>
      </c>
      <c r="D5" s="49"/>
      <c r="E5" s="22" t="s">
        <v>293</v>
      </c>
      <c r="F5" s="50" t="s">
        <v>327</v>
      </c>
      <c r="G5" s="17" t="s">
        <v>105</v>
      </c>
      <c r="H5" s="24">
        <f>B10</f>
        <v>0</v>
      </c>
      <c r="I5" s="5" t="s">
        <v>3</v>
      </c>
      <c r="K5" s="22" t="s">
        <v>224</v>
      </c>
      <c r="N5" s="9"/>
    </row>
    <row r="6" spans="1:14" x14ac:dyDescent="0.3">
      <c r="A6" s="17" t="s">
        <v>72</v>
      </c>
      <c r="B6" s="4">
        <v>0</v>
      </c>
      <c r="C6" s="5" t="s">
        <v>3</v>
      </c>
      <c r="E6" s="23" t="s">
        <v>219</v>
      </c>
      <c r="G6" s="17" t="s">
        <v>106</v>
      </c>
      <c r="H6" s="24">
        <f>B11</f>
        <v>0</v>
      </c>
      <c r="I6" s="5" t="s">
        <v>3</v>
      </c>
      <c r="K6" s="22" t="s">
        <v>223</v>
      </c>
      <c r="N6" s="9"/>
    </row>
    <row r="7" spans="1:14" x14ac:dyDescent="0.3">
      <c r="A7" s="17" t="s">
        <v>73</v>
      </c>
      <c r="B7" s="4">
        <v>0</v>
      </c>
      <c r="C7" s="5" t="s">
        <v>3</v>
      </c>
      <c r="E7" s="23" t="s">
        <v>220</v>
      </c>
      <c r="G7" s="17" t="s">
        <v>31</v>
      </c>
      <c r="H7" s="24">
        <f>IF(B13&gt;0,div_tund!D12,0)</f>
        <v>0</v>
      </c>
      <c r="I7" s="5" t="s">
        <v>3</v>
      </c>
      <c r="K7" s="22" t="s">
        <v>253</v>
      </c>
      <c r="N7" s="9"/>
    </row>
    <row r="8" spans="1:14" x14ac:dyDescent="0.3">
      <c r="A8" s="17" t="s">
        <v>41</v>
      </c>
      <c r="B8" s="4">
        <v>0</v>
      </c>
      <c r="C8" s="5" t="s">
        <v>2</v>
      </c>
      <c r="E8" s="22" t="s">
        <v>221</v>
      </c>
      <c r="G8" s="17" t="s">
        <v>14</v>
      </c>
      <c r="H8" s="24">
        <f>IF(B13&gt;0,B14*(B15+B16+B17),0)</f>
        <v>0</v>
      </c>
      <c r="I8" s="5" t="s">
        <v>4</v>
      </c>
      <c r="K8" s="22" t="s">
        <v>252</v>
      </c>
      <c r="N8" s="9"/>
    </row>
    <row r="9" spans="1:14" x14ac:dyDescent="0.3">
      <c r="A9" s="17" t="s">
        <v>74</v>
      </c>
      <c r="B9" s="4">
        <v>0</v>
      </c>
      <c r="C9" s="5" t="s">
        <v>3</v>
      </c>
      <c r="E9" s="23" t="s">
        <v>225</v>
      </c>
      <c r="G9" s="17" t="s">
        <v>15</v>
      </c>
      <c r="H9" s="24">
        <f>IF(B13&gt;0,div_tund!E11+div_tund!B22,0)</f>
        <v>0</v>
      </c>
      <c r="I9" s="5" t="s">
        <v>3</v>
      </c>
      <c r="J9" s="35"/>
      <c r="K9" s="22" t="s">
        <v>246</v>
      </c>
      <c r="N9" s="9"/>
    </row>
    <row r="10" spans="1:14" x14ac:dyDescent="0.3">
      <c r="A10" s="17" t="s">
        <v>75</v>
      </c>
      <c r="B10" s="4">
        <v>0</v>
      </c>
      <c r="C10" s="5" t="s">
        <v>3</v>
      </c>
      <c r="E10" s="23" t="s">
        <v>224</v>
      </c>
      <c r="G10" s="17" t="s">
        <v>16</v>
      </c>
      <c r="H10" s="24">
        <f>IF(B13&gt;0,div_tund!E10,0)</f>
        <v>0</v>
      </c>
      <c r="I10" s="5" t="s">
        <v>3</v>
      </c>
      <c r="K10" s="22" t="s">
        <v>250</v>
      </c>
      <c r="N10" s="9"/>
    </row>
    <row r="11" spans="1:14" x14ac:dyDescent="0.3">
      <c r="A11" s="17" t="s">
        <v>85</v>
      </c>
      <c r="B11" s="4">
        <v>0</v>
      </c>
      <c r="C11" s="5" t="s">
        <v>3</v>
      </c>
      <c r="E11" s="23" t="s">
        <v>223</v>
      </c>
      <c r="G11" s="17" t="s">
        <v>107</v>
      </c>
      <c r="H11" s="24">
        <f>IF(B20&gt;0,div_gall!B19,0)</f>
        <v>0</v>
      </c>
      <c r="I11" s="5" t="s">
        <v>3</v>
      </c>
      <c r="K11" s="22" t="s">
        <v>232</v>
      </c>
      <c r="N11" s="9"/>
    </row>
    <row r="12" spans="1:14" x14ac:dyDescent="0.3">
      <c r="A12" s="17" t="s">
        <v>39</v>
      </c>
      <c r="B12" s="4">
        <v>0</v>
      </c>
      <c r="C12" s="5" t="s">
        <v>2</v>
      </c>
      <c r="E12" s="22" t="s">
        <v>222</v>
      </c>
      <c r="G12" s="17" t="s">
        <v>108</v>
      </c>
      <c r="H12" s="24">
        <f>IF(B20&gt;0,B24*B25,0)</f>
        <v>0</v>
      </c>
      <c r="I12" s="5" t="s">
        <v>4</v>
      </c>
      <c r="K12" s="22" t="s">
        <v>235</v>
      </c>
      <c r="N12" s="9"/>
    </row>
    <row r="13" spans="1:14" x14ac:dyDescent="0.3">
      <c r="A13" s="17" t="s">
        <v>32</v>
      </c>
      <c r="B13" s="4">
        <v>0</v>
      </c>
      <c r="C13" s="5"/>
      <c r="E13" s="22" t="s">
        <v>244</v>
      </c>
      <c r="G13" s="17" t="s">
        <v>109</v>
      </c>
      <c r="H13" s="24">
        <f>IF(B20&gt;0,div_gall!B17,0)</f>
        <v>0</v>
      </c>
      <c r="I13" s="5" t="s">
        <v>3</v>
      </c>
      <c r="K13" s="22" t="s">
        <v>226</v>
      </c>
      <c r="N13" s="9"/>
    </row>
    <row r="14" spans="1:14" x14ac:dyDescent="0.3">
      <c r="A14" s="17" t="s">
        <v>33</v>
      </c>
      <c r="B14" s="4">
        <v>0</v>
      </c>
      <c r="C14" s="5" t="s">
        <v>2</v>
      </c>
      <c r="E14" s="22" t="s">
        <v>243</v>
      </c>
      <c r="G14" s="17" t="s">
        <v>112</v>
      </c>
      <c r="H14" s="24">
        <f>div_slui!B23</f>
        <v>0</v>
      </c>
      <c r="I14" s="5" t="s">
        <v>3</v>
      </c>
      <c r="K14" s="22" t="s">
        <v>240</v>
      </c>
      <c r="N14" s="9"/>
    </row>
    <row r="15" spans="1:14" x14ac:dyDescent="0.3">
      <c r="A15" s="17" t="s">
        <v>34</v>
      </c>
      <c r="B15" s="4">
        <v>0</v>
      </c>
      <c r="C15" s="5" t="s">
        <v>2</v>
      </c>
      <c r="E15" s="22" t="s">
        <v>248</v>
      </c>
      <c r="G15" s="17" t="s">
        <v>113</v>
      </c>
      <c r="H15" s="24">
        <f>IF(B27&gt;0,div_slui!B21,0)</f>
        <v>0</v>
      </c>
      <c r="I15" s="5" t="s">
        <v>4</v>
      </c>
      <c r="K15" s="22" t="s">
        <v>242</v>
      </c>
      <c r="N15" s="7"/>
    </row>
    <row r="16" spans="1:14" x14ac:dyDescent="0.3">
      <c r="A16" s="17" t="s">
        <v>35</v>
      </c>
      <c r="B16" s="4">
        <v>0</v>
      </c>
      <c r="C16" s="5" t="s">
        <v>2</v>
      </c>
      <c r="E16" s="22" t="s">
        <v>249</v>
      </c>
      <c r="G16" s="17" t="s">
        <v>114</v>
      </c>
      <c r="H16" s="24">
        <f>IF(B27&gt;0,div_slui!B19,0)</f>
        <v>0</v>
      </c>
      <c r="I16" s="5" t="s">
        <v>3</v>
      </c>
      <c r="K16" s="22" t="s">
        <v>236</v>
      </c>
      <c r="L16"/>
      <c r="N16" s="7"/>
    </row>
    <row r="17" spans="1:14" x14ac:dyDescent="0.3">
      <c r="A17" s="17" t="s">
        <v>36</v>
      </c>
      <c r="B17" s="4">
        <v>0</v>
      </c>
      <c r="C17" s="5" t="s">
        <v>2</v>
      </c>
      <c r="E17" s="22" t="s">
        <v>245</v>
      </c>
      <c r="F17" s="51" t="s">
        <v>324</v>
      </c>
      <c r="G17" s="17" t="s">
        <v>116</v>
      </c>
      <c r="H17" s="24">
        <f>B34+B35</f>
        <v>0</v>
      </c>
      <c r="I17" s="5" t="s">
        <v>3</v>
      </c>
      <c r="J17" s="48"/>
      <c r="K17" s="22" t="s">
        <v>204</v>
      </c>
      <c r="L17"/>
      <c r="N17" s="7"/>
    </row>
    <row r="18" spans="1:14" x14ac:dyDescent="0.3">
      <c r="A18" s="17" t="s">
        <v>37</v>
      </c>
      <c r="B18" s="4">
        <v>0</v>
      </c>
      <c r="C18" s="5" t="s">
        <v>2</v>
      </c>
      <c r="E18" s="22" t="s">
        <v>251</v>
      </c>
      <c r="F18" s="51" t="s">
        <v>324</v>
      </c>
      <c r="G18" s="17" t="s">
        <v>117</v>
      </c>
      <c r="H18" s="24">
        <f>B36+B37</f>
        <v>0</v>
      </c>
      <c r="I18" s="5" t="s">
        <v>4</v>
      </c>
      <c r="J18" s="48"/>
      <c r="K18" s="22" t="s">
        <v>205</v>
      </c>
      <c r="L18"/>
      <c r="N18" s="7"/>
    </row>
    <row r="19" spans="1:14" x14ac:dyDescent="0.3">
      <c r="A19" s="12" t="s">
        <v>38</v>
      </c>
      <c r="B19" s="4">
        <v>0</v>
      </c>
      <c r="C19" s="5" t="s">
        <v>2</v>
      </c>
      <c r="E19" s="22" t="s">
        <v>247</v>
      </c>
      <c r="F19" s="51"/>
      <c r="G19" s="17" t="s">
        <v>118</v>
      </c>
      <c r="H19" s="24">
        <f>B46</f>
        <v>0</v>
      </c>
      <c r="I19" s="5" t="s">
        <v>3</v>
      </c>
      <c r="K19" s="22" t="s">
        <v>211</v>
      </c>
      <c r="L19"/>
      <c r="N19" s="7"/>
    </row>
    <row r="20" spans="1:14" x14ac:dyDescent="0.3">
      <c r="A20" s="12" t="s">
        <v>152</v>
      </c>
      <c r="B20" s="4">
        <v>0</v>
      </c>
      <c r="C20" s="5"/>
      <c r="E20" s="22" t="s">
        <v>230</v>
      </c>
      <c r="F20" s="51"/>
      <c r="G20" s="17" t="s">
        <v>119</v>
      </c>
      <c r="H20" s="24">
        <f>B47</f>
        <v>0</v>
      </c>
      <c r="I20" s="5" t="s">
        <v>4</v>
      </c>
      <c r="K20" s="22" t="s">
        <v>213</v>
      </c>
      <c r="L20"/>
      <c r="N20" s="7"/>
    </row>
    <row r="21" spans="1:14" x14ac:dyDescent="0.3">
      <c r="A21" s="12" t="s">
        <v>94</v>
      </c>
      <c r="B21" s="4">
        <v>0</v>
      </c>
      <c r="C21" s="5" t="s">
        <v>2</v>
      </c>
      <c r="E21" s="22" t="s">
        <v>231</v>
      </c>
      <c r="F21" s="51" t="s">
        <v>324</v>
      </c>
      <c r="G21" s="17" t="s">
        <v>17</v>
      </c>
      <c r="H21" s="24">
        <f>IF(B38&gt;0,B38,0)+IF(B39&gt;0,B39,0)-H22-H23</f>
        <v>0</v>
      </c>
      <c r="I21" s="5" t="s">
        <v>3</v>
      </c>
      <c r="J21" s="47"/>
      <c r="K21" s="22" t="s">
        <v>198</v>
      </c>
      <c r="L21"/>
      <c r="N21" s="7"/>
    </row>
    <row r="22" spans="1:14" x14ac:dyDescent="0.3">
      <c r="A22" s="12" t="s">
        <v>95</v>
      </c>
      <c r="B22" s="4">
        <v>0</v>
      </c>
      <c r="C22" s="5" t="s">
        <v>2</v>
      </c>
      <c r="E22" s="22" t="s">
        <v>229</v>
      </c>
      <c r="F22" s="51" t="s">
        <v>324</v>
      </c>
      <c r="G22" s="17" t="s">
        <v>122</v>
      </c>
      <c r="H22" s="24">
        <f>IF(B38&gt;0,dam_eart!B13+dam_eart!B15,0)+IF(B39&gt;0,dyk_eart!B13+dyk_eart!B15,0)</f>
        <v>0</v>
      </c>
      <c r="I22" s="5" t="s">
        <v>3</v>
      </c>
      <c r="J22" s="47"/>
      <c r="K22" s="22" t="s">
        <v>200</v>
      </c>
      <c r="N22" s="7"/>
    </row>
    <row r="23" spans="1:14" x14ac:dyDescent="0.3">
      <c r="A23" s="12" t="s">
        <v>97</v>
      </c>
      <c r="B23" s="4">
        <v>0</v>
      </c>
      <c r="C23" s="5" t="s">
        <v>2</v>
      </c>
      <c r="E23" s="22" t="s">
        <v>227</v>
      </c>
      <c r="F23" s="51" t="s">
        <v>324</v>
      </c>
      <c r="G23" s="17" t="s">
        <v>21</v>
      </c>
      <c r="H23" s="24">
        <f>IF(B3=0,IF(B38&gt;0,dam_eart!B7,0)+IF(B39&gt;0,dyk_eart!B7,0),0)</f>
        <v>0</v>
      </c>
      <c r="I23" s="5" t="s">
        <v>3</v>
      </c>
      <c r="J23" s="47"/>
      <c r="K23" s="22" t="s">
        <v>203</v>
      </c>
      <c r="L23"/>
      <c r="N23" s="7"/>
    </row>
    <row r="24" spans="1:14" x14ac:dyDescent="0.3">
      <c r="A24" s="12" t="s">
        <v>101</v>
      </c>
      <c r="B24" s="4">
        <v>0</v>
      </c>
      <c r="C24" s="5" t="s">
        <v>2</v>
      </c>
      <c r="E24" s="22" t="s">
        <v>234</v>
      </c>
      <c r="F24" s="51" t="s">
        <v>324</v>
      </c>
      <c r="G24" s="45" t="s">
        <v>333</v>
      </c>
      <c r="H24" s="24">
        <f>IF(B3=1,IF(B38&gt;0,dam_eart!B9,0)+IF(B39&gt;0,dyk_eart!B9,0),0)</f>
        <v>0</v>
      </c>
      <c r="I24" s="8" t="s">
        <v>4</v>
      </c>
      <c r="J24" s="47"/>
      <c r="K24" s="22" t="s">
        <v>336</v>
      </c>
      <c r="L24"/>
      <c r="N24" s="7"/>
    </row>
    <row r="25" spans="1:14" x14ac:dyDescent="0.3">
      <c r="A25" s="12" t="s">
        <v>99</v>
      </c>
      <c r="B25" s="4">
        <v>0</v>
      </c>
      <c r="C25" s="5" t="s">
        <v>2</v>
      </c>
      <c r="E25" s="22" t="s">
        <v>233</v>
      </c>
      <c r="F25" s="51" t="s">
        <v>324</v>
      </c>
      <c r="G25" s="17" t="s">
        <v>22</v>
      </c>
      <c r="H25" s="24">
        <f>IF(B38&gt;0,dam_eart!B3,0)+IF(B39&gt;0,dyk_eart!B3,0)</f>
        <v>0</v>
      </c>
      <c r="I25" s="5" t="s">
        <v>4</v>
      </c>
      <c r="J25" s="47"/>
      <c r="K25" s="22" t="s">
        <v>201</v>
      </c>
      <c r="N25" s="7"/>
    </row>
    <row r="26" spans="1:14" x14ac:dyDescent="0.3">
      <c r="A26" s="12" t="s">
        <v>163</v>
      </c>
      <c r="B26" s="4">
        <v>0</v>
      </c>
      <c r="C26" s="5" t="s">
        <v>2</v>
      </c>
      <c r="E26" s="23" t="s">
        <v>228</v>
      </c>
      <c r="G26" s="17" t="s">
        <v>18</v>
      </c>
      <c r="H26" s="24">
        <f>B48-B49-B50</f>
        <v>0</v>
      </c>
      <c r="I26" s="5" t="s">
        <v>3</v>
      </c>
      <c r="K26" s="22" t="s">
        <v>210</v>
      </c>
      <c r="N26" s="7"/>
    </row>
    <row r="27" spans="1:14" x14ac:dyDescent="0.3">
      <c r="A27" s="17" t="s">
        <v>153</v>
      </c>
      <c r="B27" s="4">
        <v>0</v>
      </c>
      <c r="C27"/>
      <c r="E27" s="22" t="s">
        <v>238</v>
      </c>
      <c r="G27" s="17" t="s">
        <v>19</v>
      </c>
      <c r="H27" s="24">
        <f>B49</f>
        <v>0</v>
      </c>
      <c r="I27" s="5" t="s">
        <v>3</v>
      </c>
      <c r="K27" s="22" t="s">
        <v>208</v>
      </c>
      <c r="N27" s="7"/>
    </row>
    <row r="28" spans="1:14" x14ac:dyDescent="0.3">
      <c r="A28" s="17" t="s">
        <v>154</v>
      </c>
      <c r="B28" s="4">
        <v>0</v>
      </c>
      <c r="C28" t="s">
        <v>2</v>
      </c>
      <c r="E28" s="22" t="s">
        <v>239</v>
      </c>
      <c r="G28" s="17" t="s">
        <v>120</v>
      </c>
      <c r="H28" s="24">
        <f>B50</f>
        <v>0</v>
      </c>
      <c r="I28" s="5" t="s">
        <v>3</v>
      </c>
      <c r="K28" s="22" t="s">
        <v>212</v>
      </c>
      <c r="N28" s="7"/>
    </row>
    <row r="29" spans="1:14" x14ac:dyDescent="0.3">
      <c r="A29" s="17" t="s">
        <v>155</v>
      </c>
      <c r="B29" s="4">
        <v>0</v>
      </c>
      <c r="C29" t="s">
        <v>2</v>
      </c>
      <c r="E29" s="22" t="s">
        <v>237</v>
      </c>
      <c r="G29" s="36" t="s">
        <v>20</v>
      </c>
      <c r="H29" s="37">
        <v>0</v>
      </c>
      <c r="I29" s="5" t="s">
        <v>3</v>
      </c>
      <c r="K29" s="22" t="s">
        <v>209</v>
      </c>
      <c r="N29" s="7"/>
    </row>
    <row r="30" spans="1:14" x14ac:dyDescent="0.3">
      <c r="A30" s="17" t="s">
        <v>156</v>
      </c>
      <c r="B30" s="4">
        <v>0</v>
      </c>
      <c r="C30" t="s">
        <v>2</v>
      </c>
      <c r="E30" s="22" t="s">
        <v>241</v>
      </c>
      <c r="G30" s="17" t="s">
        <v>23</v>
      </c>
      <c r="H30" s="24">
        <f>B52</f>
        <v>0</v>
      </c>
      <c r="I30" s="5" t="s">
        <v>3</v>
      </c>
      <c r="K30" s="22" t="s">
        <v>193</v>
      </c>
      <c r="N30" s="7"/>
    </row>
    <row r="31" spans="1:14" x14ac:dyDescent="0.3">
      <c r="A31" s="17" t="s">
        <v>157</v>
      </c>
      <c r="B31" s="4">
        <v>0</v>
      </c>
      <c r="C31" t="s">
        <v>2</v>
      </c>
      <c r="E31" s="22" t="s">
        <v>270</v>
      </c>
      <c r="G31" s="17" t="s">
        <v>24</v>
      </c>
      <c r="H31" s="24">
        <f>B53</f>
        <v>0</v>
      </c>
      <c r="I31" s="5" t="s">
        <v>3</v>
      </c>
      <c r="K31" s="22" t="s">
        <v>192</v>
      </c>
      <c r="N31" s="7"/>
    </row>
    <row r="32" spans="1:14" x14ac:dyDescent="0.3">
      <c r="A32" s="17" t="s">
        <v>177</v>
      </c>
      <c r="B32" s="4">
        <v>0</v>
      </c>
      <c r="C32" t="s">
        <v>2</v>
      </c>
      <c r="E32" s="22" t="s">
        <v>269</v>
      </c>
      <c r="G32" s="17" t="s">
        <v>25</v>
      </c>
      <c r="H32" s="24">
        <f>B54</f>
        <v>0</v>
      </c>
      <c r="I32" s="5" t="s">
        <v>4</v>
      </c>
      <c r="K32" s="22" t="s">
        <v>194</v>
      </c>
      <c r="N32" s="7"/>
    </row>
    <row r="33" spans="1:14" x14ac:dyDescent="0.3">
      <c r="A33" s="17" t="s">
        <v>158</v>
      </c>
      <c r="B33" s="4">
        <v>0</v>
      </c>
      <c r="C33" t="s">
        <v>2</v>
      </c>
      <c r="E33" s="22" t="s">
        <v>260</v>
      </c>
      <c r="G33" s="17" t="s">
        <v>26</v>
      </c>
      <c r="H33" s="24">
        <f>IF(B55&gt;0,IF((B54*1+B56*1+(B64-1)*B73*1)&gt;0,(B54*1+B56*1+(B64-1)*B73*1),0),0)</f>
        <v>0</v>
      </c>
      <c r="I33" s="5" t="s">
        <v>3</v>
      </c>
      <c r="K33" s="22" t="s">
        <v>189</v>
      </c>
      <c r="L33"/>
      <c r="N33" s="7"/>
    </row>
    <row r="34" spans="1:14" x14ac:dyDescent="0.3">
      <c r="A34" s="12" t="s">
        <v>80</v>
      </c>
      <c r="B34" s="4">
        <v>0</v>
      </c>
      <c r="C34" s="5" t="s">
        <v>3</v>
      </c>
      <c r="E34" s="23" t="s">
        <v>204</v>
      </c>
      <c r="G34" s="17" t="s">
        <v>306</v>
      </c>
      <c r="H34" s="24">
        <f>B55-H33</f>
        <v>0</v>
      </c>
      <c r="I34" s="5" t="s">
        <v>3</v>
      </c>
      <c r="K34" s="22" t="s">
        <v>191</v>
      </c>
      <c r="N34" s="7"/>
    </row>
    <row r="35" spans="1:14" x14ac:dyDescent="0.3">
      <c r="A35" s="52" t="s">
        <v>320</v>
      </c>
      <c r="B35" s="4">
        <v>0</v>
      </c>
      <c r="C35" s="5" t="s">
        <v>3</v>
      </c>
      <c r="D35" s="45"/>
      <c r="E35" s="23" t="s">
        <v>319</v>
      </c>
      <c r="F35" s="50" t="s">
        <v>325</v>
      </c>
      <c r="G35" s="17" t="s">
        <v>27</v>
      </c>
      <c r="H35" s="24">
        <f>B57</f>
        <v>0</v>
      </c>
      <c r="I35" s="5" t="s">
        <v>3</v>
      </c>
      <c r="K35" s="22" t="s">
        <v>216</v>
      </c>
      <c r="N35" s="7"/>
    </row>
    <row r="36" spans="1:14" x14ac:dyDescent="0.3">
      <c r="A36" s="12" t="s">
        <v>79</v>
      </c>
      <c r="B36" s="4">
        <v>0</v>
      </c>
      <c r="C36" s="5" t="s">
        <v>4</v>
      </c>
      <c r="E36" s="23" t="s">
        <v>205</v>
      </c>
      <c r="G36" s="17" t="s">
        <v>28</v>
      </c>
      <c r="H36" s="24">
        <f>B58</f>
        <v>0</v>
      </c>
      <c r="I36" s="5" t="s">
        <v>3</v>
      </c>
      <c r="K36" s="22" t="s">
        <v>215</v>
      </c>
      <c r="N36" s="7"/>
    </row>
    <row r="37" spans="1:14" x14ac:dyDescent="0.3">
      <c r="A37" s="52" t="s">
        <v>321</v>
      </c>
      <c r="B37" s="4">
        <v>0</v>
      </c>
      <c r="C37" s="5" t="s">
        <v>4</v>
      </c>
      <c r="D37" s="45"/>
      <c r="E37" s="23" t="s">
        <v>318</v>
      </c>
      <c r="F37" s="50" t="s">
        <v>325</v>
      </c>
      <c r="G37" s="17" t="s">
        <v>29</v>
      </c>
      <c r="H37" s="24">
        <f>B59</f>
        <v>0</v>
      </c>
      <c r="I37" s="5" t="s">
        <v>4</v>
      </c>
      <c r="K37" s="22" t="s">
        <v>218</v>
      </c>
      <c r="N37" s="7"/>
    </row>
    <row r="38" spans="1:14" x14ac:dyDescent="0.3">
      <c r="A38" s="12" t="s">
        <v>62</v>
      </c>
      <c r="B38" s="4">
        <v>0</v>
      </c>
      <c r="C38" s="5" t="s">
        <v>3</v>
      </c>
      <c r="E38" s="23" t="s">
        <v>283</v>
      </c>
      <c r="G38" s="17" t="s">
        <v>30</v>
      </c>
      <c r="H38" s="24">
        <f>B60</f>
        <v>0</v>
      </c>
      <c r="I38" s="5" t="s">
        <v>3</v>
      </c>
      <c r="K38" s="22" t="s">
        <v>214</v>
      </c>
      <c r="N38" s="7"/>
    </row>
    <row r="39" spans="1:14" x14ac:dyDescent="0.3">
      <c r="A39" s="52" t="s">
        <v>312</v>
      </c>
      <c r="B39" s="4">
        <v>0</v>
      </c>
      <c r="C39" s="5" t="s">
        <v>3</v>
      </c>
      <c r="D39" s="45"/>
      <c r="E39" s="23" t="s">
        <v>317</v>
      </c>
      <c r="F39" s="50" t="s">
        <v>325</v>
      </c>
      <c r="G39" s="17" t="s">
        <v>123</v>
      </c>
      <c r="H39" s="24">
        <f t="shared" ref="H39:H44" si="0">B79</f>
        <v>0</v>
      </c>
      <c r="I39" s="5" t="s">
        <v>3</v>
      </c>
      <c r="K39" s="22" t="s">
        <v>259</v>
      </c>
      <c r="N39" s="7"/>
    </row>
    <row r="40" spans="1:14" x14ac:dyDescent="0.3">
      <c r="A40" s="12" t="s">
        <v>164</v>
      </c>
      <c r="B40" s="4">
        <v>0</v>
      </c>
      <c r="C40" s="5" t="s">
        <v>4</v>
      </c>
      <c r="E40" s="23" t="s">
        <v>284</v>
      </c>
      <c r="G40" s="17" t="s">
        <v>124</v>
      </c>
      <c r="H40" s="24">
        <f t="shared" si="0"/>
        <v>0</v>
      </c>
      <c r="I40" s="5" t="s">
        <v>3</v>
      </c>
      <c r="K40" s="22" t="s">
        <v>258</v>
      </c>
      <c r="N40" s="7"/>
    </row>
    <row r="41" spans="1:14" x14ac:dyDescent="0.3">
      <c r="A41" s="52" t="s">
        <v>314</v>
      </c>
      <c r="B41" s="4">
        <v>0</v>
      </c>
      <c r="C41" s="5" t="s">
        <v>4</v>
      </c>
      <c r="D41" s="45"/>
      <c r="E41" s="23" t="s">
        <v>313</v>
      </c>
      <c r="F41" s="50" t="s">
        <v>325</v>
      </c>
      <c r="G41" s="17" t="s">
        <v>125</v>
      </c>
      <c r="H41" s="24">
        <f t="shared" si="0"/>
        <v>0</v>
      </c>
      <c r="I41" s="5" t="s">
        <v>3</v>
      </c>
      <c r="K41" s="22" t="s">
        <v>257</v>
      </c>
      <c r="N41" s="7"/>
    </row>
    <row r="42" spans="1:14" x14ac:dyDescent="0.3">
      <c r="A42" s="52" t="s">
        <v>323</v>
      </c>
      <c r="B42" s="4">
        <v>0</v>
      </c>
      <c r="C42" s="5" t="s">
        <v>4</v>
      </c>
      <c r="D42" s="45"/>
      <c r="E42" s="23" t="s">
        <v>328</v>
      </c>
      <c r="F42" s="50" t="s">
        <v>325</v>
      </c>
      <c r="G42" s="17" t="s">
        <v>126</v>
      </c>
      <c r="H42" s="24">
        <f t="shared" si="0"/>
        <v>0</v>
      </c>
      <c r="I42" s="5" t="s">
        <v>3</v>
      </c>
      <c r="K42" s="22" t="s">
        <v>273</v>
      </c>
      <c r="N42" s="7"/>
    </row>
    <row r="43" spans="1:14" x14ac:dyDescent="0.3">
      <c r="A43" s="52" t="s">
        <v>311</v>
      </c>
      <c r="B43" s="4">
        <v>0</v>
      </c>
      <c r="C43" s="5" t="s">
        <v>4</v>
      </c>
      <c r="D43" s="45"/>
      <c r="E43" s="23" t="s">
        <v>316</v>
      </c>
      <c r="F43" s="50" t="s">
        <v>325</v>
      </c>
      <c r="G43" s="17" t="s">
        <v>127</v>
      </c>
      <c r="H43" s="24">
        <f t="shared" si="0"/>
        <v>0</v>
      </c>
      <c r="I43" s="5" t="s">
        <v>3</v>
      </c>
      <c r="K43" s="22" t="s">
        <v>272</v>
      </c>
      <c r="N43" s="7"/>
    </row>
    <row r="44" spans="1:14" x14ac:dyDescent="0.3">
      <c r="A44" s="52" t="s">
        <v>315</v>
      </c>
      <c r="B44" s="4">
        <v>0</v>
      </c>
      <c r="C44" s="5" t="s">
        <v>4</v>
      </c>
      <c r="D44" s="45"/>
      <c r="E44" s="23" t="s">
        <v>329</v>
      </c>
      <c r="F44" s="50" t="s">
        <v>325</v>
      </c>
      <c r="G44" s="17" t="s">
        <v>128</v>
      </c>
      <c r="H44" s="24">
        <f t="shared" si="0"/>
        <v>0</v>
      </c>
      <c r="I44" s="5" t="s">
        <v>3</v>
      </c>
      <c r="K44" s="22" t="s">
        <v>271</v>
      </c>
      <c r="N44" s="7"/>
    </row>
    <row r="45" spans="1:14" x14ac:dyDescent="0.3">
      <c r="A45" s="52" t="s">
        <v>322</v>
      </c>
      <c r="B45" s="4">
        <v>0</v>
      </c>
      <c r="C45" s="5" t="s">
        <v>4</v>
      </c>
      <c r="D45" s="45"/>
      <c r="E45" s="23" t="s">
        <v>337</v>
      </c>
      <c r="F45" s="50" t="s">
        <v>325</v>
      </c>
      <c r="G45" s="17" t="s">
        <v>51</v>
      </c>
      <c r="H45" s="24">
        <f>IF(B74&lt;=0,0,B74)</f>
        <v>0</v>
      </c>
      <c r="I45" s="5" t="s">
        <v>3</v>
      </c>
      <c r="K45" s="22" t="s">
        <v>278</v>
      </c>
      <c r="N45" s="7"/>
    </row>
    <row r="46" spans="1:14" x14ac:dyDescent="0.3">
      <c r="A46" s="12" t="s">
        <v>82</v>
      </c>
      <c r="B46" s="4">
        <v>0</v>
      </c>
      <c r="C46" s="5" t="s">
        <v>3</v>
      </c>
      <c r="E46" s="23" t="s">
        <v>211</v>
      </c>
      <c r="G46" s="17" t="s">
        <v>52</v>
      </c>
      <c r="H46" s="24">
        <f>IF(B75&lt;=0,0,B75)</f>
        <v>0</v>
      </c>
      <c r="I46" s="5" t="s">
        <v>3</v>
      </c>
      <c r="K46" s="22" t="s">
        <v>277</v>
      </c>
      <c r="N46" s="7"/>
    </row>
    <row r="47" spans="1:14" x14ac:dyDescent="0.3">
      <c r="A47" s="12" t="s">
        <v>81</v>
      </c>
      <c r="B47" s="4">
        <v>0</v>
      </c>
      <c r="C47" s="5" t="s">
        <v>4</v>
      </c>
      <c r="E47" s="23" t="s">
        <v>213</v>
      </c>
      <c r="G47" s="17" t="s">
        <v>53</v>
      </c>
      <c r="H47" s="24">
        <f>B76</f>
        <v>0</v>
      </c>
      <c r="I47" s="5" t="s">
        <v>4</v>
      </c>
      <c r="K47" s="22" t="s">
        <v>279</v>
      </c>
      <c r="N47" s="7"/>
    </row>
    <row r="48" spans="1:14" x14ac:dyDescent="0.3">
      <c r="A48" s="12" t="s">
        <v>63</v>
      </c>
      <c r="B48" s="4">
        <v>0</v>
      </c>
      <c r="C48" s="5" t="s">
        <v>3</v>
      </c>
      <c r="E48" s="23" t="s">
        <v>285</v>
      </c>
      <c r="G48" s="17" t="s">
        <v>54</v>
      </c>
      <c r="H48" s="24">
        <f>IF(B96&gt;2.5,1.5*B77,B77)+B78+spw_strc!B15</f>
        <v>0</v>
      </c>
      <c r="I48" s="5" t="s">
        <v>3</v>
      </c>
      <c r="K48" s="22" t="s">
        <v>276</v>
      </c>
      <c r="N48" s="7"/>
    </row>
    <row r="49" spans="1:14" x14ac:dyDescent="0.3">
      <c r="A49" s="12" t="s">
        <v>90</v>
      </c>
      <c r="B49" s="4">
        <v>0</v>
      </c>
      <c r="C49" s="5" t="s">
        <v>3</v>
      </c>
      <c r="E49" s="23" t="s">
        <v>208</v>
      </c>
      <c r="G49" s="17" t="s">
        <v>307</v>
      </c>
      <c r="H49" s="41" t="str">
        <f>VLOOKUP(1,J52:K53,2,FALSE)</f>
        <v/>
      </c>
      <c r="I49" s="14"/>
      <c r="K49" s="22" t="s">
        <v>308</v>
      </c>
      <c r="L49"/>
      <c r="N49" s="7"/>
    </row>
    <row r="50" spans="1:14" x14ac:dyDescent="0.3">
      <c r="A50" s="12" t="s">
        <v>121</v>
      </c>
      <c r="B50" s="4">
        <v>0</v>
      </c>
      <c r="C50" s="5" t="s">
        <v>3</v>
      </c>
      <c r="E50" s="23" t="s">
        <v>212</v>
      </c>
      <c r="G50"/>
      <c r="H50"/>
      <c r="I50"/>
      <c r="J50"/>
      <c r="K50"/>
      <c r="N50" s="7"/>
    </row>
    <row r="51" spans="1:14" x14ac:dyDescent="0.3">
      <c r="A51" s="12" t="s">
        <v>165</v>
      </c>
      <c r="B51" s="4">
        <v>0</v>
      </c>
      <c r="C51" s="5" t="s">
        <v>4</v>
      </c>
      <c r="E51" s="23" t="s">
        <v>286</v>
      </c>
      <c r="G51"/>
      <c r="H51"/>
      <c r="I51"/>
      <c r="J51" s="42" t="s">
        <v>309</v>
      </c>
      <c r="K51" s="42"/>
      <c r="N51" s="7"/>
    </row>
    <row r="52" spans="1:14" x14ac:dyDescent="0.3">
      <c r="A52" s="12" t="s">
        <v>77</v>
      </c>
      <c r="B52" s="4">
        <v>0</v>
      </c>
      <c r="C52" s="5" t="s">
        <v>3</v>
      </c>
      <c r="E52" s="23" t="s">
        <v>193</v>
      </c>
      <c r="G52"/>
      <c r="H52"/>
      <c r="I52"/>
      <c r="J52" s="43" cm="1">
        <f t="array" ref="J52">IFERROR(MIN(ABS(H2:H48),0),1)</f>
        <v>0</v>
      </c>
      <c r="K52" s="16" t="s">
        <v>310</v>
      </c>
      <c r="N52" s="7"/>
    </row>
    <row r="53" spans="1:14" x14ac:dyDescent="0.3">
      <c r="A53" s="12" t="s">
        <v>78</v>
      </c>
      <c r="B53" s="4">
        <v>0</v>
      </c>
      <c r="C53" s="5" t="s">
        <v>3</v>
      </c>
      <c r="E53" s="23" t="s">
        <v>192</v>
      </c>
      <c r="G53"/>
      <c r="H53"/>
      <c r="I53"/>
      <c r="J53" s="44">
        <v>1</v>
      </c>
      <c r="K53" t="str">
        <f>""</f>
        <v/>
      </c>
      <c r="N53" s="7"/>
    </row>
    <row r="54" spans="1:14" x14ac:dyDescent="0.3">
      <c r="A54" s="12" t="s">
        <v>76</v>
      </c>
      <c r="B54" s="4">
        <v>0</v>
      </c>
      <c r="C54" s="5" t="s">
        <v>4</v>
      </c>
      <c r="E54" s="23" t="s">
        <v>194</v>
      </c>
      <c r="N54" s="7"/>
    </row>
    <row r="55" spans="1:14" x14ac:dyDescent="0.3">
      <c r="A55" s="12" t="s">
        <v>61</v>
      </c>
      <c r="B55" s="4">
        <v>0</v>
      </c>
      <c r="C55" s="5" t="s">
        <v>3</v>
      </c>
      <c r="E55" s="23" t="s">
        <v>281</v>
      </c>
      <c r="K55" s="38" t="s">
        <v>301</v>
      </c>
      <c r="N55" s="7"/>
    </row>
    <row r="56" spans="1:14" x14ac:dyDescent="0.3">
      <c r="A56" s="12" t="s">
        <v>166</v>
      </c>
      <c r="B56" s="4">
        <v>0</v>
      </c>
      <c r="C56" s="5" t="s">
        <v>4</v>
      </c>
      <c r="E56" s="23" t="s">
        <v>282</v>
      </c>
      <c r="J56" s="3">
        <v>1</v>
      </c>
      <c r="K56" s="39" t="s">
        <v>302</v>
      </c>
      <c r="N56" s="7"/>
    </row>
    <row r="57" spans="1:14" x14ac:dyDescent="0.3">
      <c r="A57" s="12" t="s">
        <v>87</v>
      </c>
      <c r="B57" s="4">
        <v>0</v>
      </c>
      <c r="C57" s="5" t="s">
        <v>3</v>
      </c>
      <c r="E57" s="23" t="s">
        <v>216</v>
      </c>
      <c r="K57" t="s">
        <v>303</v>
      </c>
      <c r="L57"/>
      <c r="N57" s="7"/>
    </row>
    <row r="58" spans="1:14" x14ac:dyDescent="0.3">
      <c r="A58" s="12" t="s">
        <v>88</v>
      </c>
      <c r="B58" s="4">
        <v>0</v>
      </c>
      <c r="C58" s="5" t="s">
        <v>3</v>
      </c>
      <c r="E58" s="23" t="s">
        <v>215</v>
      </c>
      <c r="J58" s="3">
        <v>2</v>
      </c>
      <c r="K58" t="s">
        <v>304</v>
      </c>
      <c r="L58"/>
      <c r="N58" s="7"/>
    </row>
    <row r="59" spans="1:14" x14ac:dyDescent="0.3">
      <c r="A59" s="12" t="s">
        <v>86</v>
      </c>
      <c r="B59" s="4">
        <v>0</v>
      </c>
      <c r="C59" s="5" t="s">
        <v>4</v>
      </c>
      <c r="E59" s="23" t="s">
        <v>218</v>
      </c>
      <c r="K59"/>
      <c r="L59"/>
      <c r="N59" s="7"/>
    </row>
    <row r="60" spans="1:14" x14ac:dyDescent="0.3">
      <c r="A60" s="12" t="s">
        <v>89</v>
      </c>
      <c r="B60" s="4">
        <v>0</v>
      </c>
      <c r="C60" s="5" t="s">
        <v>3</v>
      </c>
      <c r="E60" s="23" t="s">
        <v>214</v>
      </c>
      <c r="J60"/>
      <c r="L60"/>
      <c r="N60" s="7"/>
    </row>
    <row r="61" spans="1:14" x14ac:dyDescent="0.3">
      <c r="A61" s="12" t="s">
        <v>115</v>
      </c>
      <c r="B61" s="4">
        <v>0</v>
      </c>
      <c r="C61" s="8" t="s">
        <v>2</v>
      </c>
      <c r="E61" s="22" t="s">
        <v>254</v>
      </c>
      <c r="L61"/>
      <c r="N61" s="7"/>
    </row>
    <row r="62" spans="1:14" x14ac:dyDescent="0.3">
      <c r="A62" s="17" t="s">
        <v>180</v>
      </c>
      <c r="B62" s="4">
        <v>0</v>
      </c>
      <c r="C62" s="8"/>
      <c r="E62" s="22" t="s">
        <v>190</v>
      </c>
      <c r="L62"/>
      <c r="N62" s="7"/>
    </row>
    <row r="63" spans="1:14" x14ac:dyDescent="0.3">
      <c r="A63" s="12" t="s">
        <v>40</v>
      </c>
      <c r="B63" s="4">
        <v>0</v>
      </c>
      <c r="C63" s="5" t="s">
        <v>2</v>
      </c>
      <c r="E63" s="22" t="s">
        <v>195</v>
      </c>
      <c r="L63"/>
      <c r="N63" s="7"/>
    </row>
    <row r="64" spans="1:14" x14ac:dyDescent="0.3">
      <c r="A64" s="12" t="s">
        <v>56</v>
      </c>
      <c r="B64" s="4">
        <v>0</v>
      </c>
      <c r="C64" s="5" t="s">
        <v>2</v>
      </c>
      <c r="E64" s="22" t="s">
        <v>196</v>
      </c>
      <c r="L64"/>
      <c r="N64" s="7"/>
    </row>
    <row r="65" spans="1:14" x14ac:dyDescent="0.3">
      <c r="A65" s="52" t="s">
        <v>338</v>
      </c>
      <c r="B65" s="4">
        <v>0</v>
      </c>
      <c r="C65" s="5" t="s">
        <v>2</v>
      </c>
      <c r="D65" s="45"/>
      <c r="E65" s="22" t="s">
        <v>341</v>
      </c>
      <c r="F65" s="50" t="s">
        <v>325</v>
      </c>
      <c r="L65"/>
      <c r="N65" s="7"/>
    </row>
    <row r="66" spans="1:14" x14ac:dyDescent="0.3">
      <c r="A66" s="17" t="s">
        <v>185</v>
      </c>
      <c r="B66" s="4">
        <v>0</v>
      </c>
      <c r="C66" t="s">
        <v>2</v>
      </c>
      <c r="E66" s="22" t="s">
        <v>217</v>
      </c>
      <c r="L66"/>
      <c r="N66" s="7"/>
    </row>
    <row r="67" spans="1:14" x14ac:dyDescent="0.3">
      <c r="A67" s="17" t="s">
        <v>178</v>
      </c>
      <c r="B67" s="4">
        <v>0</v>
      </c>
      <c r="C67" s="5"/>
      <c r="E67" s="22" t="s">
        <v>206</v>
      </c>
      <c r="L67"/>
      <c r="N67" s="7"/>
    </row>
    <row r="68" spans="1:14" x14ac:dyDescent="0.3">
      <c r="A68" s="17" t="s">
        <v>179</v>
      </c>
      <c r="B68" s="4">
        <v>0</v>
      </c>
      <c r="C68" s="5"/>
      <c r="E68" s="22" t="s">
        <v>197</v>
      </c>
      <c r="F68" s="50"/>
      <c r="L68"/>
      <c r="N68" s="7"/>
    </row>
    <row r="69" spans="1:14" x14ac:dyDescent="0.3">
      <c r="A69" s="45" t="s">
        <v>339</v>
      </c>
      <c r="B69" s="4">
        <v>0</v>
      </c>
      <c r="C69" s="5"/>
      <c r="D69" s="45"/>
      <c r="E69" s="22" t="s">
        <v>342</v>
      </c>
      <c r="F69" s="50" t="s">
        <v>325</v>
      </c>
      <c r="L69"/>
      <c r="N69" s="7"/>
    </row>
    <row r="70" spans="1:14" x14ac:dyDescent="0.3">
      <c r="A70" s="45" t="s">
        <v>340</v>
      </c>
      <c r="B70" s="4">
        <v>0</v>
      </c>
      <c r="C70" s="5"/>
      <c r="D70" s="45"/>
      <c r="E70" s="22" t="s">
        <v>343</v>
      </c>
      <c r="F70" s="50" t="s">
        <v>325</v>
      </c>
      <c r="L70"/>
      <c r="N70" s="7"/>
    </row>
    <row r="71" spans="1:14" x14ac:dyDescent="0.3">
      <c r="A71" s="12" t="s">
        <v>131</v>
      </c>
      <c r="B71" s="4">
        <v>0</v>
      </c>
      <c r="C71" s="5" t="s">
        <v>2</v>
      </c>
      <c r="D71" s="46"/>
      <c r="E71" s="22" t="s">
        <v>202</v>
      </c>
      <c r="F71" s="50" t="s">
        <v>326</v>
      </c>
      <c r="L71"/>
      <c r="N71" s="7"/>
    </row>
    <row r="72" spans="1:14" x14ac:dyDescent="0.3">
      <c r="A72" s="12" t="s">
        <v>134</v>
      </c>
      <c r="B72" s="4">
        <v>0</v>
      </c>
      <c r="C72" s="5" t="s">
        <v>2</v>
      </c>
      <c r="D72" s="46"/>
      <c r="E72" s="22" t="s">
        <v>199</v>
      </c>
      <c r="F72" s="50" t="s">
        <v>326</v>
      </c>
      <c r="L72"/>
      <c r="N72" s="7"/>
    </row>
    <row r="73" spans="1:14" x14ac:dyDescent="0.3">
      <c r="A73" s="12" t="s">
        <v>133</v>
      </c>
      <c r="B73" s="4">
        <v>0</v>
      </c>
      <c r="C73" s="5" t="s">
        <v>2</v>
      </c>
      <c r="D73" s="46"/>
      <c r="E73" s="22" t="s">
        <v>207</v>
      </c>
      <c r="F73" s="50" t="s">
        <v>326</v>
      </c>
      <c r="L73"/>
      <c r="N73" s="7"/>
    </row>
    <row r="74" spans="1:14" x14ac:dyDescent="0.3">
      <c r="A74" s="12" t="s">
        <v>64</v>
      </c>
      <c r="B74" s="4">
        <v>0</v>
      </c>
      <c r="C74" s="5" t="s">
        <v>3</v>
      </c>
      <c r="E74" s="23" t="s">
        <v>288</v>
      </c>
      <c r="L74"/>
      <c r="N74" s="7"/>
    </row>
    <row r="75" spans="1:14" x14ac:dyDescent="0.3">
      <c r="A75" s="12" t="s">
        <v>65</v>
      </c>
      <c r="B75" s="4">
        <v>0</v>
      </c>
      <c r="C75" s="5" t="s">
        <v>3</v>
      </c>
      <c r="E75" s="23" t="s">
        <v>289</v>
      </c>
      <c r="L75"/>
      <c r="N75" s="7"/>
    </row>
    <row r="76" spans="1:14" x14ac:dyDescent="0.3">
      <c r="A76" s="12" t="s">
        <v>66</v>
      </c>
      <c r="B76" s="4">
        <v>0</v>
      </c>
      <c r="C76" s="5" t="s">
        <v>4</v>
      </c>
      <c r="E76" s="23" t="s">
        <v>279</v>
      </c>
      <c r="L76"/>
      <c r="N76" s="7"/>
    </row>
    <row r="77" spans="1:14" x14ac:dyDescent="0.3">
      <c r="A77" s="12" t="s">
        <v>67</v>
      </c>
      <c r="B77" s="4">
        <v>0</v>
      </c>
      <c r="C77" s="5" t="s">
        <v>3</v>
      </c>
      <c r="E77" s="23" t="s">
        <v>276</v>
      </c>
      <c r="L77"/>
      <c r="N77" s="7"/>
    </row>
    <row r="78" spans="1:14" x14ac:dyDescent="0.3">
      <c r="A78" s="12" t="s">
        <v>146</v>
      </c>
      <c r="B78" s="4">
        <v>0</v>
      </c>
      <c r="C78" s="5" t="s">
        <v>3</v>
      </c>
      <c r="E78" s="23" t="s">
        <v>287</v>
      </c>
      <c r="L78"/>
      <c r="N78" s="7"/>
    </row>
    <row r="79" spans="1:14" x14ac:dyDescent="0.3">
      <c r="A79" s="12" t="s">
        <v>68</v>
      </c>
      <c r="B79" s="4">
        <v>0</v>
      </c>
      <c r="C79" s="5" t="s">
        <v>3</v>
      </c>
      <c r="E79" s="23" t="s">
        <v>259</v>
      </c>
      <c r="L79"/>
      <c r="N79" s="7"/>
    </row>
    <row r="80" spans="1:14" x14ac:dyDescent="0.3">
      <c r="A80" s="12" t="s">
        <v>69</v>
      </c>
      <c r="B80" s="4">
        <v>0</v>
      </c>
      <c r="C80" s="5" t="s">
        <v>3</v>
      </c>
      <c r="E80" s="23" t="s">
        <v>258</v>
      </c>
      <c r="N80" s="7"/>
    </row>
    <row r="81" spans="1:14" x14ac:dyDescent="0.3">
      <c r="A81" s="12" t="s">
        <v>83</v>
      </c>
      <c r="B81" s="4">
        <v>0</v>
      </c>
      <c r="C81" s="5" t="s">
        <v>3</v>
      </c>
      <c r="E81" s="23" t="s">
        <v>257</v>
      </c>
      <c r="N81" s="7"/>
    </row>
    <row r="82" spans="1:14" x14ac:dyDescent="0.3">
      <c r="A82" s="12" t="s">
        <v>70</v>
      </c>
      <c r="B82" s="4">
        <v>0</v>
      </c>
      <c r="C82" s="5" t="s">
        <v>3</v>
      </c>
      <c r="E82" s="23" t="s">
        <v>273</v>
      </c>
      <c r="L82"/>
      <c r="N82" s="7"/>
    </row>
    <row r="83" spans="1:14" x14ac:dyDescent="0.3">
      <c r="A83" s="12" t="s">
        <v>71</v>
      </c>
      <c r="B83" s="4">
        <v>0</v>
      </c>
      <c r="C83" s="5" t="s">
        <v>3</v>
      </c>
      <c r="E83" s="23" t="s">
        <v>272</v>
      </c>
      <c r="L83"/>
      <c r="N83" s="7"/>
    </row>
    <row r="84" spans="1:14" x14ac:dyDescent="0.3">
      <c r="A84" s="12" t="s">
        <v>84</v>
      </c>
      <c r="B84" s="4">
        <v>0</v>
      </c>
      <c r="C84" s="5" t="s">
        <v>3</v>
      </c>
      <c r="E84" s="23" t="s">
        <v>271</v>
      </c>
      <c r="N84" s="7"/>
    </row>
    <row r="85" spans="1:14" x14ac:dyDescent="0.3">
      <c r="A85" s="12" t="s">
        <v>139</v>
      </c>
      <c r="B85" s="4">
        <v>0</v>
      </c>
      <c r="C85" s="8" t="s">
        <v>2</v>
      </c>
      <c r="D85" s="11"/>
      <c r="E85" s="22" t="s">
        <v>268</v>
      </c>
      <c r="N85" s="7"/>
    </row>
    <row r="86" spans="1:14" x14ac:dyDescent="0.3">
      <c r="A86" s="12" t="s">
        <v>141</v>
      </c>
      <c r="B86" s="4">
        <v>500</v>
      </c>
      <c r="C86" s="5" t="s">
        <v>2</v>
      </c>
      <c r="D86" s="11"/>
      <c r="E86" s="22" t="s">
        <v>256</v>
      </c>
      <c r="L86"/>
      <c r="N86" s="7"/>
    </row>
    <row r="87" spans="1:14" x14ac:dyDescent="0.3">
      <c r="A87" s="17" t="s">
        <v>172</v>
      </c>
      <c r="B87" s="4">
        <v>0</v>
      </c>
      <c r="C87" s="8" t="s">
        <v>2</v>
      </c>
      <c r="D87" s="11"/>
      <c r="E87" s="22" t="s">
        <v>261</v>
      </c>
      <c r="N87" s="7"/>
    </row>
    <row r="88" spans="1:14" x14ac:dyDescent="0.3">
      <c r="A88" s="17" t="s">
        <v>174</v>
      </c>
      <c r="B88" s="4">
        <v>0</v>
      </c>
      <c r="C88" s="8"/>
      <c r="D88" s="11"/>
      <c r="E88" s="22" t="s">
        <v>265</v>
      </c>
      <c r="L88"/>
      <c r="N88" s="7"/>
    </row>
    <row r="89" spans="1:14" x14ac:dyDescent="0.3">
      <c r="A89" s="12" t="s">
        <v>142</v>
      </c>
      <c r="B89" s="4">
        <v>0</v>
      </c>
      <c r="C89" s="8"/>
      <c r="D89" s="11"/>
      <c r="E89" s="22" t="s">
        <v>266</v>
      </c>
      <c r="N89" s="7"/>
    </row>
    <row r="90" spans="1:14" x14ac:dyDescent="0.3">
      <c r="A90" s="12" t="s">
        <v>143</v>
      </c>
      <c r="B90" s="4">
        <v>0</v>
      </c>
      <c r="C90" s="5" t="s">
        <v>2</v>
      </c>
      <c r="D90" s="11"/>
      <c r="E90" s="22" t="s">
        <v>267</v>
      </c>
      <c r="N90" s="7"/>
    </row>
    <row r="91" spans="1:14" x14ac:dyDescent="0.3">
      <c r="A91" s="12" t="s">
        <v>167</v>
      </c>
      <c r="B91" s="4">
        <v>0</v>
      </c>
      <c r="C91" s="5" t="s">
        <v>2</v>
      </c>
      <c r="D91" s="11"/>
      <c r="E91" s="22" t="s">
        <v>263</v>
      </c>
      <c r="N91" s="7"/>
    </row>
    <row r="92" spans="1:14" x14ac:dyDescent="0.3">
      <c r="A92" s="12" t="s">
        <v>168</v>
      </c>
      <c r="B92" s="4">
        <v>0</v>
      </c>
      <c r="C92" s="5" t="s">
        <v>2</v>
      </c>
      <c r="D92" s="11"/>
      <c r="E92" s="22" t="s">
        <v>264</v>
      </c>
      <c r="G92" s="26"/>
      <c r="N92" s="7"/>
    </row>
    <row r="93" spans="1:14" x14ac:dyDescent="0.3">
      <c r="A93" s="12" t="s">
        <v>169</v>
      </c>
      <c r="B93" s="4">
        <v>0</v>
      </c>
      <c r="C93" s="8" t="s">
        <v>2</v>
      </c>
      <c r="D93" s="11"/>
      <c r="E93" s="22" t="s">
        <v>262</v>
      </c>
      <c r="N93" s="7"/>
    </row>
    <row r="94" spans="1:14" x14ac:dyDescent="0.3">
      <c r="A94" s="17" t="s">
        <v>170</v>
      </c>
      <c r="B94" s="4">
        <v>0</v>
      </c>
      <c r="C94" s="8" t="s">
        <v>2</v>
      </c>
      <c r="D94" s="11"/>
      <c r="E94" s="22" t="s">
        <v>274</v>
      </c>
      <c r="L94"/>
    </row>
    <row r="95" spans="1:14" x14ac:dyDescent="0.3">
      <c r="A95" s="12" t="s">
        <v>145</v>
      </c>
      <c r="B95" s="4">
        <v>0</v>
      </c>
      <c r="C95" s="8" t="s">
        <v>2</v>
      </c>
      <c r="D95" s="11"/>
      <c r="E95" s="22" t="s">
        <v>275</v>
      </c>
    </row>
    <row r="96" spans="1:14" x14ac:dyDescent="0.3">
      <c r="A96" s="17" t="s">
        <v>188</v>
      </c>
      <c r="B96" s="4">
        <v>0</v>
      </c>
      <c r="C96"/>
      <c r="E96" s="22" t="s">
        <v>280</v>
      </c>
    </row>
    <row r="98" spans="5:12" x14ac:dyDescent="0.3">
      <c r="E98" s="23" t="s">
        <v>299</v>
      </c>
    </row>
    <row r="99" spans="5:12" x14ac:dyDescent="0.3">
      <c r="E99" s="22" t="s">
        <v>300</v>
      </c>
    </row>
    <row r="102" spans="5:12" x14ac:dyDescent="0.3">
      <c r="L102"/>
    </row>
  </sheetData>
  <phoneticPr fontId="3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65B8-443E-42ED-9727-6021AD9B5D2F}">
  <dimension ref="A2:Q18"/>
  <sheetViews>
    <sheetView workbookViewId="0">
      <selection activeCell="B7" sqref="B7"/>
    </sheetView>
  </sheetViews>
  <sheetFormatPr defaultRowHeight="14.4" x14ac:dyDescent="0.3"/>
  <cols>
    <col min="1" max="1" width="3.109375" customWidth="1"/>
  </cols>
  <sheetData>
    <row r="2" spans="1:5" x14ac:dyDescent="0.3">
      <c r="A2" s="15" t="s">
        <v>129</v>
      </c>
      <c r="B2" s="20"/>
      <c r="C2" s="20"/>
      <c r="D2" s="20"/>
      <c r="E2" s="20"/>
    </row>
    <row r="3" spans="1:5" x14ac:dyDescent="0.3">
      <c r="B3" s="10">
        <f>ioquant!B43*(ioquant!B70^2+1)^0.5</f>
        <v>0</v>
      </c>
      <c r="C3" t="s">
        <v>4</v>
      </c>
    </row>
    <row r="5" spans="1:5" x14ac:dyDescent="0.3">
      <c r="A5" s="15" t="s">
        <v>330</v>
      </c>
      <c r="B5" s="20"/>
      <c r="C5" s="20"/>
      <c r="D5" s="20"/>
      <c r="E5" s="20"/>
    </row>
    <row r="6" spans="1:5" x14ac:dyDescent="0.3">
      <c r="A6" t="s">
        <v>331</v>
      </c>
    </row>
    <row r="7" spans="1:5" x14ac:dyDescent="0.3">
      <c r="B7" s="10">
        <f>0.4*ioquant!B65*ioquant!B44</f>
        <v>0</v>
      </c>
      <c r="C7" t="s">
        <v>3</v>
      </c>
    </row>
    <row r="8" spans="1:5" x14ac:dyDescent="0.3">
      <c r="A8" t="s">
        <v>332</v>
      </c>
    </row>
    <row r="9" spans="1:5" x14ac:dyDescent="0.3">
      <c r="B9" s="10">
        <f>ioquant!B43*(ioquant!B67^2+1)^0.5</f>
        <v>0</v>
      </c>
      <c r="C9" t="s">
        <v>3</v>
      </c>
    </row>
    <row r="10" spans="1:5" x14ac:dyDescent="0.3">
      <c r="B10" s="10"/>
    </row>
    <row r="11" spans="1:5" x14ac:dyDescent="0.3">
      <c r="A11" s="15" t="s">
        <v>130</v>
      </c>
      <c r="B11" s="20"/>
      <c r="C11" s="20"/>
    </row>
    <row r="12" spans="1:5" x14ac:dyDescent="0.3">
      <c r="A12" t="s">
        <v>135</v>
      </c>
    </row>
    <row r="13" spans="1:5" x14ac:dyDescent="0.3">
      <c r="B13" s="10">
        <f>0.2*ioquant!B65*ioquant!B45</f>
        <v>0</v>
      </c>
      <c r="C13" t="s">
        <v>3</v>
      </c>
    </row>
    <row r="14" spans="1:5" x14ac:dyDescent="0.3">
      <c r="A14" t="s">
        <v>136</v>
      </c>
    </row>
    <row r="15" spans="1:5" x14ac:dyDescent="0.3">
      <c r="B15" s="10">
        <f>1.5*ioquant!B70*ioquant!B43</f>
        <v>0</v>
      </c>
      <c r="C15" t="s">
        <v>3</v>
      </c>
    </row>
    <row r="18" spans="17:17" x14ac:dyDescent="0.3">
      <c r="Q1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6EB2-25A1-4023-BB9D-28D710BB0C53}">
  <dimension ref="A2:Q20"/>
  <sheetViews>
    <sheetView workbookViewId="0">
      <selection activeCell="B15" sqref="B15"/>
    </sheetView>
  </sheetViews>
  <sheetFormatPr defaultRowHeight="14.4" x14ac:dyDescent="0.3"/>
  <cols>
    <col min="1" max="1" width="3.109375" customWidth="1"/>
  </cols>
  <sheetData>
    <row r="2" spans="1:5" x14ac:dyDescent="0.3">
      <c r="A2" s="15" t="s">
        <v>129</v>
      </c>
      <c r="B2" s="20"/>
      <c r="C2" s="20"/>
      <c r="D2" s="20"/>
      <c r="E2" s="20"/>
    </row>
    <row r="3" spans="1:5" x14ac:dyDescent="0.3">
      <c r="B3" s="10">
        <f>ioquant!B40*(ioquant!B68^2+1)^0.5</f>
        <v>0</v>
      </c>
      <c r="C3" t="s">
        <v>4</v>
      </c>
    </row>
    <row r="5" spans="1:5" x14ac:dyDescent="0.3">
      <c r="A5" s="15" t="s">
        <v>132</v>
      </c>
      <c r="B5" s="20"/>
      <c r="C5" s="20"/>
      <c r="D5" s="20"/>
      <c r="E5" s="20"/>
    </row>
    <row r="6" spans="1:5" x14ac:dyDescent="0.3">
      <c r="A6" t="s">
        <v>331</v>
      </c>
    </row>
    <row r="7" spans="1:5" x14ac:dyDescent="0.3">
      <c r="B7" s="10">
        <f>0.4*ioquant!B64*ioquant!B41</f>
        <v>0</v>
      </c>
      <c r="C7" t="s">
        <v>3</v>
      </c>
    </row>
    <row r="8" spans="1:5" x14ac:dyDescent="0.3">
      <c r="A8" t="s">
        <v>332</v>
      </c>
    </row>
    <row r="9" spans="1:5" x14ac:dyDescent="0.3">
      <c r="B9" s="10">
        <f>ioquant!B40*(ioquant!B67^2+1)^0.5</f>
        <v>0</v>
      </c>
      <c r="C9" t="s">
        <v>3</v>
      </c>
    </row>
    <row r="11" spans="1:5" x14ac:dyDescent="0.3">
      <c r="A11" s="15" t="s">
        <v>130</v>
      </c>
      <c r="B11" s="20"/>
      <c r="C11" s="20"/>
    </row>
    <row r="12" spans="1:5" x14ac:dyDescent="0.3">
      <c r="A12" t="s">
        <v>135</v>
      </c>
    </row>
    <row r="13" spans="1:5" x14ac:dyDescent="0.3">
      <c r="B13" s="10">
        <f>0.2*ioquant!B64*ioquant!B42</f>
        <v>0</v>
      </c>
      <c r="C13" t="s">
        <v>3</v>
      </c>
    </row>
    <row r="14" spans="1:5" x14ac:dyDescent="0.3">
      <c r="A14" t="s">
        <v>136</v>
      </c>
    </row>
    <row r="15" spans="1:5" x14ac:dyDescent="0.3">
      <c r="B15" s="10">
        <f>1.5*ioquant!B40*ioquant!B68</f>
        <v>0</v>
      </c>
      <c r="C15" t="s">
        <v>3</v>
      </c>
    </row>
    <row r="20" spans="17:17" x14ac:dyDescent="0.3">
      <c r="Q20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2"/>
  <sheetViews>
    <sheetView topLeftCell="A4" workbookViewId="0">
      <selection activeCell="D10" sqref="D10"/>
    </sheetView>
  </sheetViews>
  <sheetFormatPr defaultRowHeight="14.4" x14ac:dyDescent="0.3"/>
  <cols>
    <col min="1" max="1" width="32.44140625" customWidth="1"/>
    <col min="2" max="2" width="13.109375" bestFit="1" customWidth="1"/>
    <col min="3" max="3" width="13.109375" customWidth="1"/>
    <col min="4" max="4" width="13.6640625" bestFit="1" customWidth="1"/>
    <col min="5" max="5" width="12.44140625" bestFit="1" customWidth="1"/>
  </cols>
  <sheetData>
    <row r="2" spans="1:5" x14ac:dyDescent="0.3">
      <c r="A2" s="15" t="s">
        <v>11</v>
      </c>
      <c r="B2" s="20"/>
      <c r="C2" s="20"/>
      <c r="D2" s="20"/>
      <c r="E2" s="20"/>
    </row>
    <row r="3" spans="1:5" x14ac:dyDescent="0.3">
      <c r="A3" t="s">
        <v>10</v>
      </c>
      <c r="B3" s="27">
        <f>ioquant!B13</f>
        <v>0</v>
      </c>
    </row>
    <row r="4" spans="1:5" x14ac:dyDescent="0.3">
      <c r="A4" t="s">
        <v>8</v>
      </c>
      <c r="B4" s="1">
        <f>ioquant!B14</f>
        <v>0</v>
      </c>
      <c r="C4" s="1" t="s">
        <v>2</v>
      </c>
    </row>
    <row r="5" spans="1:5" x14ac:dyDescent="0.3">
      <c r="A5" t="s">
        <v>297</v>
      </c>
      <c r="B5" s="28" t="e">
        <f>IF(ioquant!B14&gt;=0,(ioquant!B14*(ioquant!B14/2)+PI()*ioquant!B14^2/8)/((ioquant!B14)^2),0)</f>
        <v>#DIV/0!</v>
      </c>
      <c r="D5" s="1"/>
    </row>
    <row r="7" spans="1:5" x14ac:dyDescent="0.3">
      <c r="B7" s="53" t="s">
        <v>60</v>
      </c>
      <c r="C7" s="53"/>
      <c r="D7" s="53" t="s">
        <v>59</v>
      </c>
      <c r="E7" s="53"/>
    </row>
    <row r="8" spans="1:5" x14ac:dyDescent="0.3">
      <c r="B8" s="29" t="s">
        <v>45</v>
      </c>
      <c r="C8" s="29" t="s">
        <v>46</v>
      </c>
      <c r="D8" s="29" t="s">
        <v>49</v>
      </c>
      <c r="E8" s="29" t="s">
        <v>50</v>
      </c>
    </row>
    <row r="9" spans="1:5" x14ac:dyDescent="0.3">
      <c r="A9" t="s">
        <v>5</v>
      </c>
      <c r="B9" s="30">
        <f>ioquant!B15</f>
        <v>0</v>
      </c>
      <c r="C9" s="30">
        <v>0</v>
      </c>
      <c r="D9" s="31" t="e">
        <f>(B5*B4^2)*B9</f>
        <v>#DIV/0!</v>
      </c>
      <c r="E9" s="31">
        <v>0</v>
      </c>
    </row>
    <row r="10" spans="1:5" x14ac:dyDescent="0.3">
      <c r="A10" t="s">
        <v>6</v>
      </c>
      <c r="B10" s="30">
        <f>ioquant!B16</f>
        <v>0</v>
      </c>
      <c r="C10" s="30">
        <f>ioquant!B18</f>
        <v>0</v>
      </c>
      <c r="D10" s="31" t="e">
        <f>((B5*(B4+2*C10)^2)-((B4+2*C10)*C10))*B10</f>
        <v>#DIV/0!</v>
      </c>
      <c r="E10" s="31" t="e">
        <f>(B5*((B4+2*C10)^2-(B4)^2)-((B4+2*C10)*C10))*B10</f>
        <v>#DIV/0!</v>
      </c>
    </row>
    <row r="11" spans="1:5" x14ac:dyDescent="0.3">
      <c r="A11" t="s">
        <v>7</v>
      </c>
      <c r="B11" s="30">
        <f>ioquant!B17</f>
        <v>0</v>
      </c>
      <c r="C11" s="30">
        <f>ioquant!B19</f>
        <v>0</v>
      </c>
      <c r="D11" s="31" t="e">
        <f>(B5*(B4+2*C11)^2)*B11</f>
        <v>#DIV/0!</v>
      </c>
      <c r="E11" s="31" t="e">
        <f>(B5*((B4+2*C11)^2-(B4)^2))*B11</f>
        <v>#DIV/0!</v>
      </c>
    </row>
    <row r="12" spans="1:5" x14ac:dyDescent="0.3">
      <c r="A12" t="s">
        <v>9</v>
      </c>
      <c r="B12" s="1"/>
      <c r="C12" s="1"/>
      <c r="D12" s="31" t="e">
        <f>SUM(D9:D11)</f>
        <v>#DIV/0!</v>
      </c>
      <c r="E12" s="10"/>
    </row>
    <row r="14" spans="1:5" x14ac:dyDescent="0.3">
      <c r="A14" s="15" t="s">
        <v>42</v>
      </c>
      <c r="B14" s="20"/>
      <c r="C14" s="20"/>
    </row>
    <row r="15" spans="1:5" x14ac:dyDescent="0.3">
      <c r="A15" t="s">
        <v>43</v>
      </c>
      <c r="B15" s="1">
        <f>ioquant!B8+1</f>
        <v>1</v>
      </c>
      <c r="C15" t="s">
        <v>2</v>
      </c>
    </row>
    <row r="16" spans="1:5" x14ac:dyDescent="0.3">
      <c r="A16" t="s">
        <v>57</v>
      </c>
      <c r="B16" s="1">
        <f>ioquant!B12</f>
        <v>0</v>
      </c>
      <c r="C16" t="s">
        <v>2</v>
      </c>
    </row>
    <row r="17" spans="1:3" x14ac:dyDescent="0.3">
      <c r="A17" t="s">
        <v>44</v>
      </c>
      <c r="B17" s="1">
        <v>5</v>
      </c>
      <c r="C17" t="s">
        <v>2</v>
      </c>
    </row>
    <row r="19" spans="1:3" x14ac:dyDescent="0.3">
      <c r="A19" t="s">
        <v>47</v>
      </c>
      <c r="B19" s="10">
        <f>B3*((B15-B16+1)*B17+(B4+2)*B4)*(B4+2)</f>
        <v>0</v>
      </c>
      <c r="C19" t="s">
        <v>3</v>
      </c>
    </row>
    <row r="20" spans="1:3" x14ac:dyDescent="0.3">
      <c r="A20" t="s">
        <v>48</v>
      </c>
      <c r="B20" s="10">
        <f>B3*(B4*(B17+B4))*B4</f>
        <v>0</v>
      </c>
      <c r="C20" t="s">
        <v>3</v>
      </c>
    </row>
    <row r="21" spans="1:3" x14ac:dyDescent="0.3">
      <c r="A21" t="s">
        <v>58</v>
      </c>
      <c r="B21" s="10">
        <f>B3*1.5*B4^3</f>
        <v>0</v>
      </c>
      <c r="C21" t="s">
        <v>3</v>
      </c>
    </row>
    <row r="22" spans="1:3" x14ac:dyDescent="0.3">
      <c r="A22" t="s">
        <v>55</v>
      </c>
      <c r="B22" s="10">
        <f>B19-B20+B21</f>
        <v>0</v>
      </c>
      <c r="C22" t="s">
        <v>3</v>
      </c>
    </row>
  </sheetData>
  <mergeCells count="2">
    <mergeCell ref="B7:C7"/>
    <mergeCell ref="D7:E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AFEA-CB7E-4C2B-BB16-D6DED36101E6}">
  <dimension ref="A2:E22"/>
  <sheetViews>
    <sheetView workbookViewId="0">
      <selection activeCell="B16" sqref="B16"/>
    </sheetView>
  </sheetViews>
  <sheetFormatPr defaultRowHeight="14.4" x14ac:dyDescent="0.3"/>
  <cols>
    <col min="1" max="1" width="28.6640625" bestFit="1" customWidth="1"/>
    <col min="2" max="2" width="13.109375" bestFit="1" customWidth="1"/>
    <col min="3" max="3" width="13.109375" customWidth="1"/>
    <col min="4" max="4" width="13.6640625" bestFit="1" customWidth="1"/>
    <col min="5" max="5" width="12.44140625" bestFit="1" customWidth="1"/>
  </cols>
  <sheetData>
    <row r="2" spans="1:5" x14ac:dyDescent="0.3">
      <c r="A2" s="15" t="s">
        <v>96</v>
      </c>
      <c r="B2" s="20"/>
      <c r="C2" s="20"/>
    </row>
    <row r="3" spans="1:5" x14ac:dyDescent="0.3">
      <c r="A3" t="s">
        <v>91</v>
      </c>
      <c r="B3" s="27">
        <f>ioquant!B20</f>
        <v>0</v>
      </c>
    </row>
    <row r="4" spans="1:5" x14ac:dyDescent="0.3">
      <c r="A4" t="s">
        <v>93</v>
      </c>
      <c r="B4" s="1">
        <f>ioquant!B21</f>
        <v>0</v>
      </c>
      <c r="C4" t="s">
        <v>2</v>
      </c>
    </row>
    <row r="5" spans="1:5" x14ac:dyDescent="0.3">
      <c r="A5" t="s">
        <v>92</v>
      </c>
      <c r="B5" s="1">
        <f>ioquant!B22</f>
        <v>0</v>
      </c>
      <c r="C5" s="1" t="s">
        <v>2</v>
      </c>
    </row>
    <row r="6" spans="1:5" x14ac:dyDescent="0.3">
      <c r="A6" t="s">
        <v>98</v>
      </c>
      <c r="B6" s="1">
        <f>ioquant!B23</f>
        <v>0</v>
      </c>
      <c r="C6" s="1" t="s">
        <v>2</v>
      </c>
      <c r="D6" s="1"/>
      <c r="E6" s="1"/>
    </row>
    <row r="7" spans="1:5" x14ac:dyDescent="0.3">
      <c r="A7" t="s">
        <v>102</v>
      </c>
      <c r="B7" s="1">
        <f>ioquant!B24</f>
        <v>0</v>
      </c>
      <c r="C7" t="s">
        <v>2</v>
      </c>
      <c r="D7" s="1"/>
      <c r="E7" s="1"/>
    </row>
    <row r="8" spans="1:5" x14ac:dyDescent="0.3">
      <c r="A8" t="s">
        <v>100</v>
      </c>
      <c r="B8" s="1">
        <f>ioquant!B25</f>
        <v>0</v>
      </c>
      <c r="C8" t="s">
        <v>2</v>
      </c>
    </row>
    <row r="9" spans="1:5" x14ac:dyDescent="0.3">
      <c r="A9" t="s">
        <v>43</v>
      </c>
      <c r="B9" s="1">
        <f>ioquant!B8+1</f>
        <v>1</v>
      </c>
      <c r="C9" t="s">
        <v>2</v>
      </c>
    </row>
    <row r="10" spans="1:5" x14ac:dyDescent="0.3">
      <c r="A10" t="s">
        <v>57</v>
      </c>
      <c r="B10" s="1">
        <f>ioquant!B12</f>
        <v>0</v>
      </c>
      <c r="C10" t="s">
        <v>2</v>
      </c>
    </row>
    <row r="11" spans="1:5" x14ac:dyDescent="0.3">
      <c r="A11" t="s">
        <v>44</v>
      </c>
      <c r="B11" s="1">
        <v>5</v>
      </c>
      <c r="C11" t="s">
        <v>2</v>
      </c>
    </row>
    <row r="13" spans="1:5" x14ac:dyDescent="0.3">
      <c r="A13" t="s">
        <v>47</v>
      </c>
      <c r="B13" s="10">
        <f>((B9-B10+B6)*B11+(B5+2*B6)*(B8-5))*(B7)</f>
        <v>0</v>
      </c>
      <c r="C13" t="s">
        <v>3</v>
      </c>
    </row>
    <row r="14" spans="1:5" x14ac:dyDescent="0.3">
      <c r="A14" t="s">
        <v>48</v>
      </c>
      <c r="B14" s="10">
        <f>B3*(B8*B5)*B4</f>
        <v>0</v>
      </c>
      <c r="C14" t="s">
        <v>3</v>
      </c>
    </row>
    <row r="15" spans="1:5" x14ac:dyDescent="0.3">
      <c r="A15" t="s">
        <v>103</v>
      </c>
      <c r="B15" s="10">
        <f>B3*1.5*(B5^2*B4)</f>
        <v>0</v>
      </c>
      <c r="C15" t="s">
        <v>3</v>
      </c>
    </row>
    <row r="16" spans="1:5" x14ac:dyDescent="0.3">
      <c r="A16" t="s">
        <v>111</v>
      </c>
      <c r="B16" s="10">
        <f>IF(ioquant!B2="l",IF((ioquant!B26-ioquant!B4-ioquant!B61)-(B10-B6)&lt;0,-((ioquant!B26-ioquant!B4-ioquant!B61)-(B10-B6))*B7*B8,0),IF(ioquant!B2="r",IF((ioquant!B26-ioquant!B5-ioquant!B61)-(B10-B6)&lt;0,-((ioquant!B26-ioquant!B5-ioquant!B61)-(B10-B6))*B7*B8,0),0))</f>
        <v>0</v>
      </c>
      <c r="C16" t="s">
        <v>3</v>
      </c>
    </row>
    <row r="17" spans="1:3" x14ac:dyDescent="0.3">
      <c r="A17" t="s">
        <v>55</v>
      </c>
      <c r="B17" s="10">
        <f>B13-B14+B15+B16</f>
        <v>0</v>
      </c>
      <c r="C17" t="s">
        <v>3</v>
      </c>
    </row>
    <row r="18" spans="1:3" x14ac:dyDescent="0.3">
      <c r="B18" s="10"/>
    </row>
    <row r="19" spans="1:3" x14ac:dyDescent="0.3">
      <c r="A19" t="s">
        <v>110</v>
      </c>
      <c r="B19" s="10">
        <f>IF(ioquant!B2="l",IF((B10-B6)-(ioquant!B26-ioquant!B4-ioquant!B61)&gt;=0,ioquant!B61*B7*B8,((ioquant!B26-ioquant!B4)-(B10-B6))*B7*B8),IF(ioquant!B2="r",IF((B10-B6)-(ioquant!B26-ioquant!B5-ioquant!B61)&gt;=0,ioquant!B61*B7*B8,((ioquant!B26-ioquant!B5)-(B10-B6))*B7*B8)))</f>
        <v>0</v>
      </c>
      <c r="C19" t="s">
        <v>3</v>
      </c>
    </row>
    <row r="22" spans="1:3" x14ac:dyDescent="0.3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15FB-6828-45FA-BB5A-38C41E0C8DC8}">
  <dimension ref="A2:E23"/>
  <sheetViews>
    <sheetView workbookViewId="0">
      <selection activeCell="A17" sqref="A17"/>
    </sheetView>
  </sheetViews>
  <sheetFormatPr defaultRowHeight="14.4" x14ac:dyDescent="0.3"/>
  <cols>
    <col min="1" max="1" width="52.44140625" customWidth="1"/>
    <col min="2" max="2" width="9.44140625" customWidth="1"/>
    <col min="3" max="3" width="6" customWidth="1"/>
    <col min="4" max="4" width="13.6640625" bestFit="1" customWidth="1"/>
    <col min="5" max="5" width="12.44140625" bestFit="1" customWidth="1"/>
  </cols>
  <sheetData>
    <row r="2" spans="1:5" x14ac:dyDescent="0.3">
      <c r="A2" s="15" t="s">
        <v>161</v>
      </c>
      <c r="B2" s="20"/>
      <c r="C2" s="20"/>
    </row>
    <row r="3" spans="1:5" x14ac:dyDescent="0.3">
      <c r="A3" t="s">
        <v>147</v>
      </c>
      <c r="B3" s="27">
        <f>ioquant!B27</f>
        <v>0</v>
      </c>
    </row>
    <row r="4" spans="1:5" x14ac:dyDescent="0.3">
      <c r="A4" t="s">
        <v>148</v>
      </c>
      <c r="B4" s="1">
        <f>ioquant!B28</f>
        <v>0</v>
      </c>
      <c r="C4" t="s">
        <v>2</v>
      </c>
    </row>
    <row r="5" spans="1:5" x14ac:dyDescent="0.3">
      <c r="A5" t="s">
        <v>149</v>
      </c>
      <c r="B5" s="1">
        <f>ioquant!B29</f>
        <v>0</v>
      </c>
      <c r="C5" s="1" t="s">
        <v>2</v>
      </c>
    </row>
    <row r="6" spans="1:5" x14ac:dyDescent="0.3">
      <c r="A6" t="s">
        <v>150</v>
      </c>
      <c r="B6" s="1">
        <f>ioquant!B30</f>
        <v>0</v>
      </c>
      <c r="C6" t="s">
        <v>2</v>
      </c>
      <c r="D6" s="1"/>
      <c r="E6" s="1"/>
    </row>
    <row r="7" spans="1:5" x14ac:dyDescent="0.3">
      <c r="A7" t="s">
        <v>292</v>
      </c>
      <c r="B7" s="1">
        <f>ioquant!B32</f>
        <v>0</v>
      </c>
      <c r="C7" t="s">
        <v>2</v>
      </c>
    </row>
    <row r="8" spans="1:5" x14ac:dyDescent="0.3">
      <c r="A8" t="s">
        <v>151</v>
      </c>
      <c r="B8" s="1">
        <f>ioquant!B31</f>
        <v>0</v>
      </c>
      <c r="C8" t="s">
        <v>2</v>
      </c>
    </row>
    <row r="9" spans="1:5" x14ac:dyDescent="0.3">
      <c r="A9" t="s">
        <v>43</v>
      </c>
      <c r="B9" s="1">
        <f>ioquant!B8+1</f>
        <v>1</v>
      </c>
      <c r="C9" t="s">
        <v>2</v>
      </c>
    </row>
    <row r="10" spans="1:5" x14ac:dyDescent="0.3">
      <c r="A10" t="s">
        <v>159</v>
      </c>
      <c r="B10" s="1">
        <f>ioquant!B33</f>
        <v>0</v>
      </c>
      <c r="C10" t="s">
        <v>2</v>
      </c>
    </row>
    <row r="11" spans="1:5" x14ac:dyDescent="0.3">
      <c r="A11" t="s">
        <v>296</v>
      </c>
      <c r="B11" s="1">
        <f>ioquant!B12</f>
        <v>0</v>
      </c>
      <c r="C11" t="s">
        <v>2</v>
      </c>
    </row>
    <row r="12" spans="1:5" x14ac:dyDescent="0.3">
      <c r="A12" t="s">
        <v>294</v>
      </c>
      <c r="B12" s="1">
        <f>B11-(0.24*B5+2)</f>
        <v>-2</v>
      </c>
      <c r="C12" t="s">
        <v>2</v>
      </c>
    </row>
    <row r="13" spans="1:5" x14ac:dyDescent="0.3">
      <c r="A13" t="s">
        <v>44</v>
      </c>
      <c r="B13" s="1">
        <v>5</v>
      </c>
      <c r="C13" t="s">
        <v>2</v>
      </c>
    </row>
    <row r="14" spans="1:5" x14ac:dyDescent="0.3">
      <c r="A14" t="s">
        <v>160</v>
      </c>
      <c r="B14" s="1">
        <f>MAX(IF(B10&lt;B9,(0.24*B5+2+B5/2)/(B9-B11+0.24*B5+2)*(B8-B7),(0.24*B5+2+B5/2)/(B10-B11+0.24*B5+2)*(B8-B7)),0)</f>
        <v>0</v>
      </c>
      <c r="C14" t="s">
        <v>2</v>
      </c>
    </row>
    <row r="16" spans="1:5" x14ac:dyDescent="0.3">
      <c r="A16" t="s">
        <v>47</v>
      </c>
      <c r="B16" s="10">
        <f>IF(B3&gt;0,(((B9-B11+(0.24*B5+2))*B13)+IF(B10&lt;B12,0,(B10-B12)*(B7+B8)/2))*B6,0)</f>
        <v>0</v>
      </c>
      <c r="C16" t="s">
        <v>3</v>
      </c>
    </row>
    <row r="17" spans="1:3" x14ac:dyDescent="0.3">
      <c r="A17" t="s">
        <v>48</v>
      </c>
      <c r="B17" s="10">
        <f>B3*(B8+B13-B14)*(B5*B4)</f>
        <v>0</v>
      </c>
      <c r="C17" t="s">
        <v>3</v>
      </c>
    </row>
    <row r="18" spans="1:3" x14ac:dyDescent="0.3">
      <c r="A18" t="s">
        <v>103</v>
      </c>
      <c r="B18" s="10">
        <f>B3*1.5*(B5^2*B4)</f>
        <v>0</v>
      </c>
      <c r="C18" t="s">
        <v>3</v>
      </c>
    </row>
    <row r="19" spans="1:3" x14ac:dyDescent="0.3">
      <c r="A19" t="s">
        <v>55</v>
      </c>
      <c r="B19" s="10">
        <f>IF(B16-B17+B18&gt;0,B16-B17+B18,0)</f>
        <v>0</v>
      </c>
      <c r="C19" t="s">
        <v>3</v>
      </c>
    </row>
    <row r="20" spans="1:3" x14ac:dyDescent="0.3">
      <c r="B20" s="10"/>
    </row>
    <row r="21" spans="1:3" x14ac:dyDescent="0.3">
      <c r="A21" t="s">
        <v>162</v>
      </c>
      <c r="B21">
        <f>(B13+B8)*B6</f>
        <v>0</v>
      </c>
      <c r="C21" t="s">
        <v>4</v>
      </c>
    </row>
    <row r="22" spans="1:3" x14ac:dyDescent="0.3">
      <c r="B22" s="2"/>
    </row>
    <row r="23" spans="1:3" x14ac:dyDescent="0.3">
      <c r="A23" t="s">
        <v>295</v>
      </c>
      <c r="B23">
        <f>IF(B3&lt;=0,0,IF(OR(B10-B12&lt;=0,B10-B11&lt;=0),0,(B10-B12)*(B8+B13)*B6+(B10-B11)*(B6*20+PI()*B6^2/4)))</f>
        <v>0</v>
      </c>
      <c r="C2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BFB7-888D-480D-8A6F-73A715BA6116}">
  <dimension ref="A2:R15"/>
  <sheetViews>
    <sheetView workbookViewId="0">
      <selection activeCell="B12" sqref="B12"/>
    </sheetView>
  </sheetViews>
  <sheetFormatPr defaultRowHeight="14.4" x14ac:dyDescent="0.3"/>
  <cols>
    <col min="1" max="1" width="28.44140625" bestFit="1" customWidth="1"/>
    <col min="2" max="2" width="9.5546875" bestFit="1" customWidth="1"/>
    <col min="4" max="4" width="3.6640625" customWidth="1"/>
    <col min="5" max="18" width="9.44140625" customWidth="1"/>
  </cols>
  <sheetData>
    <row r="2" spans="1:18" x14ac:dyDescent="0.3">
      <c r="A2" s="15" t="s">
        <v>184</v>
      </c>
      <c r="B2" s="32">
        <f>SUM(B4,B6,B8,B10)</f>
        <v>0</v>
      </c>
      <c r="C2" s="15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4" spans="1:18" x14ac:dyDescent="0.3">
      <c r="A4" s="18" t="s">
        <v>137</v>
      </c>
      <c r="B4" s="10">
        <f>ioquant!B89*ioquant!B90*((ioquant!B63-ioquant!B85)*(ioquant!B64+ioquant!B87/2))</f>
        <v>0</v>
      </c>
      <c r="C4" t="s">
        <v>3</v>
      </c>
      <c r="E4" s="33" t="s">
        <v>173</v>
      </c>
    </row>
    <row r="5" spans="1:18" x14ac:dyDescent="0.3">
      <c r="A5" s="18"/>
      <c r="B5" s="10"/>
      <c r="E5" s="34"/>
    </row>
    <row r="6" spans="1:18" x14ac:dyDescent="0.3">
      <c r="A6" s="18" t="s">
        <v>138</v>
      </c>
      <c r="B6" s="10">
        <f>2*(ioquant!B90/2)*(ioquant!B87*IF(ioquant!B88&gt;1,1,ioquant!B88))*IF(ioquant!B94-ioquant!B91-ioquant!B64&gt;0,ioquant!B94-ioquant!B91-ioquant!B64,0)</f>
        <v>0</v>
      </c>
      <c r="C6" t="s">
        <v>3</v>
      </c>
      <c r="D6" s="19"/>
      <c r="E6" s="33" t="s">
        <v>175</v>
      </c>
    </row>
    <row r="7" spans="1:18" x14ac:dyDescent="0.3">
      <c r="A7" s="18"/>
      <c r="B7" s="10"/>
      <c r="E7" s="34"/>
    </row>
    <row r="8" spans="1:18" x14ac:dyDescent="0.3">
      <c r="A8" s="18" t="s">
        <v>176</v>
      </c>
      <c r="B8" s="10">
        <f>2*ioquant!B90/2*(ioquant!B92-ioquant!B93)*ioquant!B91</f>
        <v>0</v>
      </c>
      <c r="C8" t="s">
        <v>3</v>
      </c>
      <c r="D8" s="19"/>
      <c r="E8" s="33" t="s">
        <v>171</v>
      </c>
    </row>
    <row r="9" spans="1:18" x14ac:dyDescent="0.3">
      <c r="A9" s="18"/>
      <c r="B9" s="10"/>
      <c r="F9" s="2"/>
      <c r="L9" s="54" t="s">
        <v>298</v>
      </c>
      <c r="M9" s="54"/>
      <c r="N9" s="54"/>
      <c r="O9" s="54"/>
      <c r="P9" s="54"/>
      <c r="Q9" s="54"/>
      <c r="R9" s="54"/>
    </row>
    <row r="10" spans="1:18" x14ac:dyDescent="0.3">
      <c r="A10" s="18" t="s">
        <v>140</v>
      </c>
      <c r="B10" s="10">
        <f>1*ioquant!B95*ioquant!B64</f>
        <v>0</v>
      </c>
      <c r="C10" t="s">
        <v>3</v>
      </c>
    </row>
    <row r="11" spans="1:18" x14ac:dyDescent="0.3">
      <c r="B11" s="27"/>
    </row>
    <row r="12" spans="1:18" x14ac:dyDescent="0.3">
      <c r="A12" s="15" t="s">
        <v>186</v>
      </c>
      <c r="B12" s="32">
        <f>IF(ioquant!B88&lt;=1.6,(((PI()*(ioquant!B66)^2/8)+(ioquant!B66*ioquant!B64))*(ioquant!B63-(ioquant!B33-7))+(ioquant!B66*((0.75*(ioquant!B63-(ioquant!B33-7)))-ioquant!B64)*((ioquant!B86-0.6*ioquant!B87)-(ioquant!B33-7)))),(((PI()*(ioquant!B66)^2/8)+(ioquant!B66*ioquant!B64))*(ioquant!B63-(ioquant!B33-2))+(ioquant!B66*((0.75*(ioquant!B63-(ioquant!B33-2)))-ioquant!B64)*((ioquant!B86-0.6*ioquant!B87)-(ioquant!B33-2)))))*0.9</f>
        <v>0</v>
      </c>
      <c r="C12" s="15" t="s">
        <v>3</v>
      </c>
      <c r="D12" s="20"/>
      <c r="E12" s="20"/>
      <c r="F12" s="20"/>
      <c r="G12" s="20"/>
      <c r="H12" s="20"/>
      <c r="I12" s="20"/>
      <c r="J12" s="20"/>
      <c r="K12" s="20"/>
    </row>
    <row r="13" spans="1:18" x14ac:dyDescent="0.3">
      <c r="A13" s="21" t="s">
        <v>187</v>
      </c>
    </row>
    <row r="15" spans="1:18" x14ac:dyDescent="0.3">
      <c r="A15" s="15" t="s">
        <v>144</v>
      </c>
      <c r="B15" s="32">
        <f>B2+B12</f>
        <v>0</v>
      </c>
      <c r="C15" s="15" t="s">
        <v>3</v>
      </c>
    </row>
  </sheetData>
  <mergeCells count="1">
    <mergeCell ref="L9:R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ioquant</vt:lpstr>
      <vt:lpstr>dyk_eart</vt:lpstr>
      <vt:lpstr>dam_eart</vt:lpstr>
      <vt:lpstr>div_tund</vt:lpstr>
      <vt:lpstr>div_gall</vt:lpstr>
      <vt:lpstr>div_slui</vt:lpstr>
      <vt:lpstr>spw_strc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Albuquerque</cp:lastModifiedBy>
  <cp:lastPrinted>2018-03-07T15:26:55Z</cp:lastPrinted>
  <dcterms:created xsi:type="dcterms:W3CDTF">2017-09-17T15:08:16Z</dcterms:created>
  <dcterms:modified xsi:type="dcterms:W3CDTF">2021-12-17T18:07:42Z</dcterms:modified>
</cp:coreProperties>
</file>