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4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5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6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olpho\PSR\UHR\planilhas_io_uhr\v41_tentativo\"/>
    </mc:Choice>
  </mc:AlternateContent>
  <xr:revisionPtr revIDLastSave="0" documentId="13_ncr:1_{0F9E6B57-F0A8-4973-933C-304C9CEE5E9F}" xr6:coauthVersionLast="47" xr6:coauthVersionMax="47" xr10:uidLastSave="{00000000-0000-0000-0000-000000000000}"/>
  <bookViews>
    <workbookView xWindow="-108" yWindow="-108" windowWidth="23256" windowHeight="12456" tabRatio="528" activeTab="6" xr2:uid="{00000000-000D-0000-FFFF-FFFF00000000}"/>
  </bookViews>
  <sheets>
    <sheet name="iohsrf2" sheetId="15" r:id="rId1"/>
    <sheet name="hsrf2rout" sheetId="3" r:id="rId2"/>
    <sheet name="hsrf2intk" sheetId="18" r:id="rId3"/>
    <sheet name="hsrf2tunl" sheetId="4" r:id="rId4"/>
    <sheet name="hsrf2stnk" sheetId="19" r:id="rId5"/>
    <sheet name="hsrf2pwh" sheetId="16" r:id="rId6"/>
    <sheet name="hsrf2new" sheetId="17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7" l="1"/>
  <c r="I110" i="15"/>
  <c r="I109" i="15"/>
  <c r="G41" i="17"/>
  <c r="G46" i="17" s="1"/>
  <c r="G44" i="17"/>
  <c r="D12" i="3" l="1"/>
  <c r="D10" i="3"/>
  <c r="B38" i="15" l="1"/>
  <c r="G33" i="17" l="1"/>
  <c r="B4" i="16" l="1"/>
  <c r="B5" i="16"/>
  <c r="C6" i="16"/>
  <c r="B3" i="16" l="1"/>
  <c r="B11" i="16"/>
  <c r="C11" i="16"/>
  <c r="B78" i="16"/>
  <c r="B27" i="15"/>
  <c r="B12" i="16" l="1"/>
  <c r="E21" i="4" l="1"/>
  <c r="E22" i="4"/>
  <c r="E23" i="4"/>
  <c r="E20" i="4"/>
  <c r="N17" i="16" l="1"/>
  <c r="B110" i="17" l="1"/>
  <c r="B111" i="18" l="1"/>
  <c r="B12" i="19"/>
  <c r="B11" i="19"/>
  <c r="B8" i="18"/>
  <c r="B7" i="18"/>
  <c r="B6" i="18"/>
  <c r="B5" i="18"/>
  <c r="B40" i="18" s="1"/>
  <c r="G27" i="17"/>
  <c r="B8" i="17"/>
  <c r="B7" i="17"/>
  <c r="B41" i="17" s="1"/>
  <c r="B6" i="17"/>
  <c r="G35" i="17" s="1"/>
  <c r="B5" i="17"/>
  <c r="G7" i="17"/>
  <c r="G34" i="17" l="1"/>
  <c r="B39" i="17"/>
  <c r="B42" i="18"/>
  <c r="J5" i="3" l="1"/>
  <c r="J3" i="3"/>
  <c r="C9" i="4" l="1"/>
  <c r="C8" i="4"/>
  <c r="I61" i="15" l="1"/>
  <c r="B130" i="16"/>
  <c r="B132" i="16" s="1"/>
  <c r="E58" i="3" l="1"/>
  <c r="N18" i="16" l="1"/>
  <c r="C8" i="16" l="1"/>
  <c r="B19" i="16"/>
  <c r="B30" i="16" s="1"/>
  <c r="B32" i="16"/>
  <c r="C19" i="16" l="1"/>
  <c r="C7" i="16"/>
  <c r="B20" i="16"/>
  <c r="D8" i="3" l="1"/>
  <c r="D7" i="3"/>
  <c r="L138" i="15" l="1"/>
  <c r="M139" i="15" l="1"/>
  <c r="D13" i="3" l="1"/>
  <c r="D9" i="3" l="1"/>
  <c r="K5" i="3" l="1"/>
  <c r="K3" i="3"/>
  <c r="E67" i="3" s="1"/>
  <c r="E40" i="3" l="1"/>
  <c r="D26" i="4" l="1"/>
  <c r="E47" i="3" l="1"/>
  <c r="C7" i="4"/>
  <c r="C4" i="4"/>
  <c r="D6" i="3" l="1"/>
  <c r="D5" i="3"/>
  <c r="D14" i="3" l="1"/>
  <c r="C25" i="3" s="1"/>
  <c r="E48" i="3"/>
  <c r="F108" i="4"/>
  <c r="F64" i="4"/>
  <c r="D15" i="3" l="1"/>
  <c r="F47" i="4"/>
  <c r="F45" i="4"/>
  <c r="F46" i="4"/>
  <c r="F44" i="4" l="1"/>
  <c r="F54" i="4" l="1"/>
  <c r="C28" i="3" l="1"/>
  <c r="E71" i="3"/>
  <c r="I8" i="15" s="1"/>
  <c r="F104" i="4"/>
  <c r="I34" i="15" l="1"/>
  <c r="E38" i="3" l="1"/>
  <c r="F36" i="4" s="1"/>
  <c r="B9" i="17" l="1"/>
  <c r="D16" i="3"/>
  <c r="B9" i="16" l="1"/>
  <c r="B10" i="16" s="1"/>
  <c r="E39" i="3"/>
  <c r="E37" i="3" s="1"/>
  <c r="D34" i="3" s="1"/>
  <c r="I4" i="15" s="1"/>
  <c r="B108" i="17"/>
  <c r="B73" i="17"/>
  <c r="I123" i="15" s="1"/>
  <c r="B10" i="18"/>
  <c r="B109" i="18" s="1"/>
  <c r="I20" i="15"/>
  <c r="B144" i="16" l="1"/>
  <c r="C16" i="16"/>
  <c r="F137" i="4"/>
  <c r="I81" i="15"/>
  <c r="I43" i="15"/>
  <c r="E75" i="3"/>
  <c r="E66" i="3"/>
  <c r="E65" i="3" s="1"/>
  <c r="E52" i="3"/>
  <c r="B74" i="18"/>
  <c r="B55" i="18"/>
  <c r="B16" i="16" l="1"/>
  <c r="B17" i="16" s="1"/>
  <c r="C17" i="16"/>
  <c r="B9" i="18" s="1"/>
  <c r="F43" i="4" s="1"/>
  <c r="D63" i="3"/>
  <c r="I6" i="15" s="1"/>
  <c r="D62" i="3"/>
  <c r="E55" i="3"/>
  <c r="E53" i="3" s="1"/>
  <c r="E49" i="3" s="1"/>
  <c r="E46" i="3" s="1"/>
  <c r="D44" i="3" s="1"/>
  <c r="I5" i="15" s="1"/>
  <c r="E73" i="3"/>
  <c r="E72" i="3"/>
  <c r="I7" i="15" s="1"/>
  <c r="I84" i="15"/>
  <c r="I9" i="15" l="1"/>
  <c r="G42" i="17"/>
  <c r="I132" i="15"/>
  <c r="B15" i="18"/>
  <c r="C5" i="4"/>
  <c r="B6" i="19" s="1"/>
  <c r="C6" i="4"/>
  <c r="F60" i="4" s="1"/>
  <c r="F44" i="3"/>
  <c r="I87" i="15"/>
  <c r="B10" i="17"/>
  <c r="C104" i="16"/>
  <c r="B21" i="16"/>
  <c r="I27" i="16" s="1"/>
  <c r="I39" i="15"/>
  <c r="I98" i="15" s="1"/>
  <c r="G6" i="17" l="1"/>
  <c r="B128" i="18"/>
  <c r="I76" i="15" s="1"/>
  <c r="K19" i="16"/>
  <c r="I42" i="16"/>
  <c r="I22" i="16"/>
  <c r="K32" i="16"/>
  <c r="I26" i="16"/>
  <c r="K21" i="16"/>
  <c r="K49" i="16"/>
  <c r="K27" i="16"/>
  <c r="I45" i="16"/>
  <c r="I40" i="16"/>
  <c r="I50" i="16"/>
  <c r="I39" i="16"/>
  <c r="K40" i="16"/>
  <c r="K46" i="16"/>
  <c r="I53" i="16"/>
  <c r="I47" i="16"/>
  <c r="K36" i="16"/>
  <c r="K41" i="16"/>
  <c r="K24" i="16"/>
  <c r="I20" i="16"/>
  <c r="I29" i="16"/>
  <c r="K22" i="16"/>
  <c r="I21" i="16"/>
  <c r="I44" i="16"/>
  <c r="I37" i="16"/>
  <c r="I41" i="16"/>
  <c r="K43" i="16"/>
  <c r="K47" i="16"/>
  <c r="I19" i="16"/>
  <c r="K34" i="16"/>
  <c r="I25" i="16"/>
  <c r="K30" i="16"/>
  <c r="I23" i="16"/>
  <c r="K31" i="16"/>
  <c r="K37" i="16"/>
  <c r="K53" i="16"/>
  <c r="K29" i="16"/>
  <c r="K39" i="16"/>
  <c r="I46" i="16"/>
  <c r="I35" i="16"/>
  <c r="I51" i="16"/>
  <c r="I30" i="16"/>
  <c r="I38" i="16"/>
  <c r="K20" i="16"/>
  <c r="K51" i="16"/>
  <c r="K26" i="16"/>
  <c r="I49" i="16"/>
  <c r="I43" i="16"/>
  <c r="I28" i="16"/>
  <c r="K52" i="16"/>
  <c r="K38" i="16"/>
  <c r="I32" i="16"/>
  <c r="I36" i="16"/>
  <c r="I31" i="16"/>
  <c r="I52" i="16"/>
  <c r="K28" i="16"/>
  <c r="K35" i="16"/>
  <c r="K25" i="16"/>
  <c r="K33" i="16"/>
  <c r="K45" i="16"/>
  <c r="K42" i="16"/>
  <c r="K44" i="16"/>
  <c r="K23" i="16"/>
  <c r="K50" i="16"/>
  <c r="I34" i="16"/>
  <c r="K48" i="16"/>
  <c r="I24" i="16"/>
  <c r="I33" i="16"/>
  <c r="I48" i="16"/>
  <c r="H12" i="16" l="1"/>
  <c r="M12" i="16" s="1"/>
  <c r="H13" i="16"/>
  <c r="B127" i="17"/>
  <c r="I129" i="15" s="1"/>
  <c r="B37" i="16" l="1"/>
  <c r="C23" i="16"/>
  <c r="M17" i="16" s="1"/>
  <c r="I12" i="16"/>
  <c r="J12" i="16" s="1"/>
  <c r="L12" i="16"/>
  <c r="L13" i="16"/>
  <c r="I13" i="16"/>
  <c r="J13" i="16" s="1"/>
  <c r="M13" i="16"/>
  <c r="B23" i="16" l="1"/>
  <c r="B105" i="16"/>
  <c r="I46" i="15" s="1"/>
  <c r="B109" i="16"/>
  <c r="B119" i="16" s="1"/>
  <c r="I45" i="15"/>
  <c r="B24" i="16" l="1"/>
  <c r="B31" i="16"/>
  <c r="M18" i="16"/>
  <c r="H125" i="16"/>
  <c r="H121" i="16"/>
  <c r="H119" i="16"/>
  <c r="H124" i="16"/>
  <c r="H120" i="16"/>
  <c r="H122" i="16"/>
  <c r="H123" i="16"/>
  <c r="B110" i="16"/>
  <c r="B111" i="16" s="1"/>
  <c r="I85" i="15" s="1"/>
  <c r="I70" i="15" l="1"/>
  <c r="I67" i="15"/>
  <c r="F35" i="4" l="1"/>
  <c r="I21" i="15" l="1"/>
  <c r="I23" i="15" l="1"/>
  <c r="I22" i="15"/>
  <c r="I32" i="15" l="1"/>
  <c r="B27" i="16" l="1"/>
  <c r="B26" i="16"/>
  <c r="B33" i="16"/>
  <c r="B38" i="16" s="1"/>
  <c r="B34" i="16"/>
  <c r="B25" i="16"/>
  <c r="K12" i="16" l="1"/>
  <c r="B35" i="16" s="1"/>
  <c r="B36" i="16" s="1"/>
  <c r="K13" i="16"/>
  <c r="B68" i="16"/>
  <c r="U45" i="16"/>
  <c r="V40" i="16"/>
  <c r="U40" i="16"/>
  <c r="V49" i="16"/>
  <c r="V45" i="16"/>
  <c r="B72" i="16"/>
  <c r="B73" i="16"/>
  <c r="B62" i="16"/>
  <c r="B66" i="16"/>
  <c r="B43" i="16"/>
  <c r="F70" i="16" s="1"/>
  <c r="B58" i="16"/>
  <c r="I59" i="15" s="1"/>
  <c r="B53" i="16"/>
  <c r="B49" i="16"/>
  <c r="B44" i="16"/>
  <c r="B61" i="16"/>
  <c r="B57" i="16"/>
  <c r="B52" i="16"/>
  <c r="B48" i="16"/>
  <c r="I58" i="15" s="1"/>
  <c r="B64" i="16"/>
  <c r="B56" i="16"/>
  <c r="B51" i="16"/>
  <c r="B47" i="16"/>
  <c r="I57" i="15" s="1"/>
  <c r="B42" i="16"/>
  <c r="B63" i="16"/>
  <c r="I60" i="15" s="1"/>
  <c r="B59" i="16"/>
  <c r="B54" i="16"/>
  <c r="B50" i="16"/>
  <c r="B46" i="16"/>
  <c r="K142" i="4" s="1"/>
  <c r="F145" i="4" s="1"/>
  <c r="B28" i="16"/>
  <c r="B178" i="16" l="1"/>
  <c r="I96" i="15" s="1"/>
  <c r="B75" i="16"/>
  <c r="B76" i="16" s="1"/>
  <c r="I83" i="15" s="1"/>
  <c r="B179" i="16"/>
  <c r="I97" i="15" s="1"/>
  <c r="B104" i="16"/>
  <c r="B18" i="16"/>
  <c r="I2" i="15" s="1"/>
  <c r="B29" i="16"/>
  <c r="I3" i="15" s="1"/>
  <c r="U49" i="16"/>
  <c r="B94" i="16"/>
  <c r="B96" i="16" s="1"/>
  <c r="G36" i="17"/>
  <c r="B70" i="16"/>
  <c r="I52" i="15" s="1"/>
  <c r="H67" i="16"/>
  <c r="F71" i="16"/>
  <c r="G71" i="16" s="1"/>
  <c r="G70" i="16"/>
  <c r="B45" i="16"/>
  <c r="B95" i="16" s="1"/>
  <c r="B67" i="16"/>
  <c r="B135" i="16" s="1"/>
  <c r="B93" i="16"/>
  <c r="F66" i="16"/>
  <c r="F67" i="16"/>
  <c r="B86" i="16"/>
  <c r="I55" i="15" s="1"/>
  <c r="I44" i="15"/>
  <c r="B85" i="16"/>
  <c r="I82" i="15"/>
  <c r="B55" i="16"/>
  <c r="H73" i="3" s="1"/>
  <c r="B60" i="16"/>
  <c r="B13" i="19"/>
  <c r="H65" i="3"/>
  <c r="K143" i="4"/>
  <c r="L145" i="4" s="1"/>
  <c r="I99" i="15" s="1"/>
  <c r="F123" i="4"/>
  <c r="I63" i="15"/>
  <c r="B136" i="16"/>
  <c r="I47" i="15"/>
  <c r="B133" i="16"/>
  <c r="G10" i="17" s="1"/>
  <c r="B69" i="16"/>
  <c r="I56" i="15"/>
  <c r="B82" i="16"/>
  <c r="H55" i="3" l="1"/>
  <c r="B18" i="19"/>
  <c r="B106" i="16"/>
  <c r="B107" i="16"/>
  <c r="B141" i="16"/>
  <c r="I95" i="15" s="1"/>
  <c r="B83" i="16"/>
  <c r="B84" i="16"/>
  <c r="I50" i="15" s="1"/>
  <c r="I65" i="15"/>
  <c r="I66" i="15" s="1"/>
  <c r="B155" i="16"/>
  <c r="B138" i="16"/>
  <c r="B97" i="16"/>
  <c r="I102" i="15" s="1"/>
  <c r="I62" i="15"/>
  <c r="B153" i="16"/>
  <c r="L146" i="4"/>
  <c r="L151" i="4" s="1"/>
  <c r="I100" i="15" s="1"/>
  <c r="I64" i="15"/>
  <c r="B149" i="16"/>
  <c r="B146" i="16"/>
  <c r="B151" i="16"/>
  <c r="I49" i="15"/>
  <c r="I54" i="15"/>
  <c r="B87" i="16"/>
  <c r="B89" i="16" s="1"/>
  <c r="B88" i="16"/>
  <c r="I51" i="15" s="1"/>
  <c r="B113" i="16" l="1"/>
  <c r="I86" i="15" s="1"/>
  <c r="B124" i="16"/>
  <c r="I91" i="15" s="1"/>
  <c r="B174" i="16"/>
  <c r="I93" i="15" s="1"/>
  <c r="B99" i="16"/>
  <c r="I104" i="15" s="1"/>
  <c r="B161" i="16"/>
  <c r="B162" i="16" s="1"/>
  <c r="B163" i="16" s="1"/>
  <c r="I89" i="15" s="1"/>
  <c r="B98" i="16"/>
  <c r="I103" i="15" s="1"/>
  <c r="I107" i="15"/>
  <c r="B157" i="16"/>
  <c r="I94" i="15" s="1"/>
  <c r="B152" i="16"/>
  <c r="B158" i="16" s="1"/>
  <c r="I48" i="15"/>
  <c r="I53" i="15"/>
  <c r="B120" i="16"/>
  <c r="B122" i="16" s="1"/>
  <c r="I90" i="15" s="1"/>
  <c r="B159" i="16" l="1"/>
  <c r="B167" i="16" s="1"/>
  <c r="I88" i="15"/>
  <c r="K177" i="16" l="1"/>
  <c r="K173" i="16"/>
  <c r="K169" i="16"/>
  <c r="H172" i="16"/>
  <c r="H168" i="16"/>
  <c r="K171" i="16"/>
  <c r="H170" i="16"/>
  <c r="K178" i="16"/>
  <c r="K174" i="16"/>
  <c r="K170" i="16"/>
  <c r="H169" i="16"/>
  <c r="K176" i="16"/>
  <c r="K172" i="16"/>
  <c r="K168" i="16"/>
  <c r="H171" i="16"/>
  <c r="K175" i="16"/>
  <c r="H174" i="16"/>
  <c r="H173" i="16"/>
  <c r="B171" i="16" l="1"/>
  <c r="B172" i="16"/>
  <c r="I92" i="15" l="1"/>
  <c r="G19" i="17" l="1"/>
  <c r="G29" i="17" l="1"/>
  <c r="G20" i="17"/>
  <c r="B11" i="17"/>
  <c r="I105" i="15" l="1"/>
  <c r="B23" i="17"/>
  <c r="G30" i="17"/>
  <c r="G43" i="17" s="1"/>
  <c r="B16" i="17"/>
  <c r="B17" i="17" s="1"/>
  <c r="B45" i="17" l="1"/>
  <c r="B63" i="17" s="1"/>
  <c r="B24" i="17"/>
  <c r="I114" i="15" s="1"/>
  <c r="B27" i="17"/>
  <c r="B30" i="17"/>
  <c r="I113" i="15"/>
  <c r="B19" i="17"/>
  <c r="G31" i="17" s="1"/>
  <c r="I119" i="15"/>
  <c r="B18" i="17"/>
  <c r="B112" i="17" l="1"/>
  <c r="B113" i="17" s="1"/>
  <c r="I128" i="15" s="1"/>
  <c r="B84" i="17"/>
  <c r="B46" i="17"/>
  <c r="B59" i="17" s="1"/>
  <c r="B57" i="17" s="1"/>
  <c r="B25" i="17"/>
  <c r="B43" i="17" s="1"/>
  <c r="G37" i="17" l="1"/>
  <c r="G9" i="17"/>
  <c r="I115" i="15"/>
  <c r="B29" i="17"/>
  <c r="I118" i="15" s="1"/>
  <c r="B75" i="17"/>
  <c r="B80" i="17"/>
  <c r="B125" i="17"/>
  <c r="B115" i="17"/>
  <c r="B124" i="17" s="1"/>
  <c r="B61" i="17"/>
  <c r="B66" i="17" s="1"/>
  <c r="B82" i="17"/>
  <c r="B78" i="17"/>
  <c r="B48" i="17"/>
  <c r="I108" i="15" l="1"/>
  <c r="B81" i="17"/>
  <c r="B87" i="17" s="1"/>
  <c r="B32" i="17"/>
  <c r="G5" i="17" s="1"/>
  <c r="B86" i="17"/>
  <c r="B96" i="17"/>
  <c r="I121" i="15"/>
  <c r="B103" i="17"/>
  <c r="B104" i="17" s="1"/>
  <c r="B105" i="17" s="1"/>
  <c r="I127" i="15" s="1"/>
  <c r="B68" i="17"/>
  <c r="B69" i="17" s="1"/>
  <c r="D66" i="17" s="1"/>
  <c r="B90" i="17"/>
  <c r="B91" i="17" s="1"/>
  <c r="B65" i="17"/>
  <c r="I130" i="15" s="1"/>
  <c r="B88" i="17" l="1"/>
  <c r="P94" i="17" s="1"/>
  <c r="I124" i="15"/>
  <c r="G11" i="17"/>
  <c r="I117" i="15"/>
  <c r="B92" i="17"/>
  <c r="I125" i="15" s="1"/>
  <c r="D87" i="17"/>
  <c r="I106" i="15"/>
  <c r="G28" i="17"/>
  <c r="G21" i="17"/>
  <c r="G32" i="17" s="1"/>
  <c r="G18" i="17"/>
  <c r="B70" i="17"/>
  <c r="I122" i="15" s="1"/>
  <c r="P95" i="17" l="1"/>
  <c r="M92" i="17"/>
  <c r="P96" i="17"/>
  <c r="P98" i="17"/>
  <c r="M88" i="17"/>
  <c r="P97" i="17"/>
  <c r="M94" i="17"/>
  <c r="P89" i="17"/>
  <c r="M89" i="17"/>
  <c r="P88" i="17"/>
  <c r="P92" i="17"/>
  <c r="P90" i="17"/>
  <c r="M91" i="17"/>
  <c r="M90" i="17"/>
  <c r="P93" i="17"/>
  <c r="B101" i="17" s="1"/>
  <c r="M93" i="17"/>
  <c r="P91" i="17"/>
  <c r="B100" i="17"/>
  <c r="I111" i="15" l="1"/>
  <c r="I126" i="15"/>
  <c r="F107" i="4"/>
  <c r="F63" i="4"/>
  <c r="F40" i="4"/>
  <c r="F41" i="4"/>
  <c r="F39" i="4"/>
  <c r="F38" i="4" s="1"/>
  <c r="B16" i="18" l="1"/>
  <c r="B17" i="18" s="1"/>
  <c r="K107" i="4"/>
  <c r="F134" i="4"/>
  <c r="F62" i="4"/>
  <c r="K106" i="4"/>
  <c r="H38" i="3"/>
  <c r="F111" i="4"/>
  <c r="C17" i="4" s="1"/>
  <c r="F117" i="4"/>
  <c r="F120" i="4" s="1"/>
  <c r="B8" i="19"/>
  <c r="B7" i="19" s="1"/>
  <c r="I24" i="15"/>
  <c r="F109" i="4"/>
  <c r="F136" i="4" s="1"/>
  <c r="F48" i="4"/>
  <c r="K136" i="4" l="1"/>
  <c r="F144" i="4" s="1"/>
  <c r="K137" i="4"/>
  <c r="I40" i="15"/>
  <c r="K105" i="4"/>
  <c r="I36" i="15" s="1"/>
  <c r="B24" i="18"/>
  <c r="C16" i="4"/>
  <c r="I37" i="15" s="1"/>
  <c r="I38" i="15"/>
  <c r="F140" i="4"/>
  <c r="F56" i="4"/>
  <c r="F65" i="4"/>
  <c r="F116" i="4" s="1"/>
  <c r="F75" i="4"/>
  <c r="B5" i="19"/>
  <c r="F74" i="4"/>
  <c r="I41" i="15"/>
  <c r="F141" i="4"/>
  <c r="K135" i="4" l="1"/>
  <c r="K139" i="4" s="1"/>
  <c r="K109" i="4"/>
  <c r="I31" i="15"/>
  <c r="F79" i="4"/>
  <c r="B25" i="18"/>
  <c r="B28" i="18"/>
  <c r="B113" i="18" s="1"/>
  <c r="B114" i="18" s="1"/>
  <c r="F147" i="4"/>
  <c r="F80" i="4"/>
  <c r="F91" i="4"/>
  <c r="F86" i="4"/>
  <c r="B46" i="18"/>
  <c r="I13" i="15"/>
  <c r="F81" i="4"/>
  <c r="F92" i="4"/>
  <c r="F87" i="4"/>
  <c r="B18" i="18"/>
  <c r="B20" i="18"/>
  <c r="B9" i="19"/>
  <c r="F93" i="4"/>
  <c r="F85" i="4"/>
  <c r="I42" i="15" l="1"/>
  <c r="I80" i="15"/>
  <c r="B31" i="18"/>
  <c r="B32" i="18" s="1"/>
  <c r="I12" i="15"/>
  <c r="H6" i="19"/>
  <c r="B10" i="19" s="1"/>
  <c r="H48" i="3" s="1"/>
  <c r="H8" i="19"/>
  <c r="H7" i="19"/>
  <c r="B47" i="18"/>
  <c r="I14" i="15"/>
  <c r="B85" i="18"/>
  <c r="B64" i="18"/>
  <c r="H37" i="3"/>
  <c r="B19" i="18"/>
  <c r="B26" i="18" s="1"/>
  <c r="I19" i="15"/>
  <c r="H47" i="3"/>
  <c r="I10" i="15" l="1"/>
  <c r="I16" i="15"/>
  <c r="B126" i="18"/>
  <c r="I75" i="15" s="1"/>
  <c r="B19" i="19"/>
  <c r="B21" i="19" s="1"/>
  <c r="B60" i="18"/>
  <c r="B81" i="18"/>
  <c r="B76" i="18"/>
  <c r="I15" i="15"/>
  <c r="I11" i="15"/>
  <c r="B44" i="18"/>
  <c r="B116" i="18" s="1"/>
  <c r="B30" i="18"/>
  <c r="C12" i="4"/>
  <c r="B14" i="19"/>
  <c r="B20" i="19" l="1"/>
  <c r="I29" i="15" s="1"/>
  <c r="H53" i="3"/>
  <c r="I18" i="15"/>
  <c r="B52" i="18"/>
  <c r="I78" i="15" s="1"/>
  <c r="B33" i="18"/>
  <c r="I17" i="15" s="1"/>
  <c r="B49" i="18"/>
  <c r="B79" i="18"/>
  <c r="B83" i="18"/>
  <c r="B82" i="18" s="1"/>
  <c r="B88" i="18" s="1"/>
  <c r="B62" i="18"/>
  <c r="B67" i="18" s="1"/>
  <c r="B125" i="18"/>
  <c r="C14" i="4"/>
  <c r="I25" i="15"/>
  <c r="B58" i="18"/>
  <c r="H49" i="3"/>
  <c r="B23" i="19"/>
  <c r="B22" i="19"/>
  <c r="B87" i="18" l="1"/>
  <c r="B66" i="18"/>
  <c r="I68" i="15"/>
  <c r="B97" i="18"/>
  <c r="B89" i="18"/>
  <c r="I71" i="15"/>
  <c r="B104" i="18"/>
  <c r="B105" i="18" s="1"/>
  <c r="B106" i="18" s="1"/>
  <c r="I74" i="15" s="1"/>
  <c r="B91" i="18"/>
  <c r="B92" i="18" s="1"/>
  <c r="B93" i="18" s="1"/>
  <c r="I72" i="15" s="1"/>
  <c r="B69" i="18"/>
  <c r="B70" i="18" s="1"/>
  <c r="B71" i="18" s="1"/>
  <c r="I69" i="15" s="1"/>
  <c r="I28" i="15"/>
  <c r="B24" i="19"/>
  <c r="C15" i="4" s="1"/>
  <c r="C13" i="4" s="1"/>
  <c r="I27" i="15"/>
  <c r="H46" i="3"/>
  <c r="I77" i="15" l="1"/>
  <c r="H101" i="18"/>
  <c r="K104" i="18"/>
  <c r="H104" i="18"/>
  <c r="K107" i="18"/>
  <c r="H103" i="18"/>
  <c r="K100" i="18"/>
  <c r="H100" i="18"/>
  <c r="K98" i="18"/>
  <c r="K101" i="18"/>
  <c r="K103" i="18"/>
  <c r="H102" i="18"/>
  <c r="H98" i="18"/>
  <c r="K108" i="18"/>
  <c r="K99" i="18"/>
  <c r="H99" i="18"/>
  <c r="K106" i="18"/>
  <c r="K102" i="18"/>
  <c r="K105" i="18"/>
  <c r="I26" i="15"/>
  <c r="F53" i="4"/>
  <c r="B101" i="18" l="1"/>
  <c r="B102" i="18"/>
  <c r="F82" i="4"/>
  <c r="F70" i="4" s="1"/>
  <c r="F69" i="4" s="1"/>
  <c r="I30" i="15"/>
  <c r="D127" i="4"/>
  <c r="F124" i="4" s="1"/>
  <c r="F94" i="4"/>
  <c r="F72" i="4" s="1"/>
  <c r="F88" i="4"/>
  <c r="F71" i="4" s="1"/>
  <c r="I73" i="15" l="1"/>
  <c r="F100" i="4"/>
  <c r="D130" i="4"/>
  <c r="I35" i="15" s="1"/>
  <c r="I133" i="15" s="1"/>
  <c r="D129" i="4"/>
  <c r="I33" i="15" s="1"/>
  <c r="B31" i="17"/>
  <c r="I116" i="15" s="1"/>
  <c r="B54" i="17"/>
  <c r="I120" i="15" s="1"/>
  <c r="I112" i="15"/>
  <c r="B51" i="17"/>
  <c r="I131" i="15" s="1"/>
  <c r="F150" i="4" l="1"/>
  <c r="F151" i="4"/>
  <c r="I101" i="15" l="1"/>
  <c r="G47" i="17" l="1"/>
  <c r="G48" i="17"/>
  <c r="G49" i="17" s="1"/>
  <c r="L137" i="15" l="1" a="1"/>
  <c r="L137" i="15" s="1"/>
  <c r="I134" i="1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<sst xmlns="http://schemas.openxmlformats.org/spreadsheetml/2006/main" count="1656" uniqueCount="1034">
  <si>
    <t>m³/s</t>
  </si>
  <si>
    <t>m</t>
  </si>
  <si>
    <t>MW</t>
  </si>
  <si>
    <t>m/s</t>
  </si>
  <si>
    <t>não revestido</t>
  </si>
  <si>
    <t>concreto projetado</t>
  </si>
  <si>
    <t>aço</t>
  </si>
  <si>
    <t>Altura</t>
  </si>
  <si>
    <t>concreto estrutural</t>
  </si>
  <si>
    <t xml:space="preserve">S </t>
  </si>
  <si>
    <t>Submergência da tomada d'água</t>
  </si>
  <si>
    <t>Espessura de solo</t>
  </si>
  <si>
    <t>Hb = queda bruta</t>
  </si>
  <si>
    <t>DEFINIÇÃO DO TRAÇADO DO TÚNEL DE ADUÇÃO</t>
  </si>
  <si>
    <t>1.1</t>
  </si>
  <si>
    <t>2.1</t>
  </si>
  <si>
    <t>Extensão</t>
  </si>
  <si>
    <t>2.2</t>
  </si>
  <si>
    <t>Diâmetro</t>
  </si>
  <si>
    <t xml:space="preserve">Seção </t>
  </si>
  <si>
    <t>Arco-retângulo</t>
  </si>
  <si>
    <t>TRECHO L1</t>
  </si>
  <si>
    <t>TRECHO P</t>
  </si>
  <si>
    <t>TRECHO L2A</t>
  </si>
  <si>
    <t>Verificação da Perda de Carga</t>
  </si>
  <si>
    <t>L1</t>
  </si>
  <si>
    <t>Circular</t>
  </si>
  <si>
    <t>Seções</t>
  </si>
  <si>
    <t>Escavação</t>
  </si>
  <si>
    <t>Hidráulica</t>
  </si>
  <si>
    <t>Altura do túnel de adução</t>
  </si>
  <si>
    <t>2.3</t>
  </si>
  <si>
    <t>1.2</t>
  </si>
  <si>
    <t>QUANTITATIVOS (m³)</t>
  </si>
  <si>
    <t>Blindagem</t>
  </si>
  <si>
    <t>Critério para inclusão de Chaminé de Equilíbrio</t>
  </si>
  <si>
    <t>MI, 2007:</t>
  </si>
  <si>
    <t>m³</t>
  </si>
  <si>
    <t>m²</t>
  </si>
  <si>
    <t>mm</t>
  </si>
  <si>
    <t>t</t>
  </si>
  <si>
    <t>R$</t>
  </si>
  <si>
    <t>(t)</t>
  </si>
  <si>
    <t xml:space="preserve">  Preços de DEZ/06</t>
  </si>
  <si>
    <t>kW/rpm</t>
  </si>
  <si>
    <t>$ =</t>
  </si>
  <si>
    <t>kVA/rpm</t>
  </si>
  <si>
    <t>arbitrário</t>
  </si>
  <si>
    <t>1.3</t>
  </si>
  <si>
    <t>LC</t>
  </si>
  <si>
    <t>Linha de centro da turbina</t>
  </si>
  <si>
    <t>L0</t>
  </si>
  <si>
    <t>arredondar para cima</t>
  </si>
  <si>
    <t>Custo da válvula instalada:</t>
  </si>
  <si>
    <t>Dados Iniciais</t>
  </si>
  <si>
    <t>Vazão turbinada máxima (m³/s)</t>
  </si>
  <si>
    <t>Borda livre</t>
  </si>
  <si>
    <t>Nível d'água máximo na chaminé</t>
  </si>
  <si>
    <t>Perda de carga na entrada da TA</t>
  </si>
  <si>
    <t>Perda de carga no túnel de adução</t>
  </si>
  <si>
    <t>Oscilação máxima na chaminé</t>
  </si>
  <si>
    <t>Lad</t>
  </si>
  <si>
    <t>Área do túnel de adução</t>
  </si>
  <si>
    <t>Área da chaminé de equilíbrio</t>
  </si>
  <si>
    <t>Altura estática mínima</t>
  </si>
  <si>
    <t>Comparação com valores calculados nas planilhas:</t>
  </si>
  <si>
    <t>P</t>
  </si>
  <si>
    <t>Hb</t>
  </si>
  <si>
    <t>TÚNEL DE ADUÇÃO</t>
  </si>
  <si>
    <t>TÚNEL FORÇADO</t>
  </si>
  <si>
    <t>Lad/Hb</t>
  </si>
  <si>
    <t>Perda de carga máxima no circuito (m)</t>
  </si>
  <si>
    <t>Queda bruta (m)</t>
  </si>
  <si>
    <t>Potência Instalada (MW)</t>
  </si>
  <si>
    <t>Verificação da necessidade de Chaminé</t>
  </si>
  <si>
    <t>DIMENSIONAMENTO</t>
  </si>
  <si>
    <t>DIMENSIONAMENTO DO CIRCUITO DE ADUÇÃO</t>
  </si>
  <si>
    <t>Válvula Borboleta</t>
  </si>
  <si>
    <t xml:space="preserve">Transporte e seguros (5%), de montagem e testes (8%) e de impostos e taxas (28%): </t>
  </si>
  <si>
    <t>P &lt; 100 MW, Ltotal &gt; 4 Hb</t>
  </si>
  <si>
    <t>P &gt; = 100 MW, Ltotal &gt; 6 Hb</t>
  </si>
  <si>
    <t>L2B,  para valor maior entre 0,8.Hb na vertical e 2.Hb na horizontal</t>
  </si>
  <si>
    <t>Alternativa 1: Rocha de boa qualidade</t>
  </si>
  <si>
    <t>Qualidade da rocha</t>
  </si>
  <si>
    <t>(MI, 2007)</t>
  </si>
  <si>
    <t>Verificação da Perda de Carga (entrada da TA e atrito)</t>
  </si>
  <si>
    <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número de Manning para revestimento em aço (MI 2007)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</si>
  <si>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número de Manning para trecho sem revestimento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</si>
  <si>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número de Manning para revestimento com concreto projetado</t>
    </r>
  </si>
  <si>
    <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número de Manning para revestimento com concreto convencional</t>
    </r>
  </si>
  <si>
    <t>Velocidade (m/s)</t>
  </si>
  <si>
    <t>Máx</t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</si>
  <si>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velocidade admissível no túnel, ponderada cf revestimento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</si>
  <si>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= velocidade admissível no conduto forçado em aço</t>
    </r>
  </si>
  <si>
    <t>Adm *</t>
  </si>
  <si>
    <t>EMBOQUE - Cálculo da elevação correspondente à curva de nível 1 - CN1</t>
  </si>
  <si>
    <t>CHAMINÉ - Cálculo da elevação correspondente à curva de nível 2 - CN2</t>
  </si>
  <si>
    <t>DESEMBOQUE - Cálculo da elevação correspondente à curva de nível 3 - CN3</t>
  </si>
  <si>
    <t>considerando i = 0,5%</t>
  </si>
  <si>
    <t>El final (ch)</t>
  </si>
  <si>
    <t>El final (i)</t>
  </si>
  <si>
    <t>menor dos valores abaixo</t>
  </si>
  <si>
    <t>LP = El final (L1) - El inicial (L2)</t>
  </si>
  <si>
    <t>Circuito com chaminé</t>
  </si>
  <si>
    <t>Circuito sem chaminé</t>
  </si>
  <si>
    <t>Circuito de Adução Curto, Túnel sem Chaminé</t>
  </si>
  <si>
    <t>Circuito de Adução Longo, Túnel com Chaminé</t>
  </si>
  <si>
    <t>Inicial (para definição do traçado)</t>
  </si>
  <si>
    <t>Queda bruta</t>
  </si>
  <si>
    <t>Alternativas de Circuito de Adução</t>
  </si>
  <si>
    <t>Extensão inicial entre o eixo e o canal de fuga (m)</t>
  </si>
  <si>
    <t>=&gt;</t>
  </si>
  <si>
    <t>cálculos intencionalmente conservadores</t>
  </si>
  <si>
    <t>Extensões</t>
  </si>
  <si>
    <t>Elevações (piso)</t>
  </si>
  <si>
    <t>El inicial (L1)</t>
  </si>
  <si>
    <t>El final (L1)</t>
  </si>
  <si>
    <t>El inicial (L2)</t>
  </si>
  <si>
    <t>El final (L2)</t>
  </si>
  <si>
    <r>
      <t>v</t>
    </r>
    <r>
      <rPr>
        <vertAlign val="subscript"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= velocidade admissível para túnel revestido com concreto convencional</t>
    </r>
  </si>
  <si>
    <t>L2A</t>
  </si>
  <si>
    <t>L2B</t>
  </si>
  <si>
    <t>~IN</t>
  </si>
  <si>
    <t>~OUT</t>
  </si>
  <si>
    <t>P'</t>
  </si>
  <si>
    <t>S</t>
  </si>
  <si>
    <t>R</t>
  </si>
  <si>
    <t>dado de entrada</t>
  </si>
  <si>
    <r>
      <t>he = 0,2. v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/2g</t>
    </r>
  </si>
  <si>
    <r>
      <t>v</t>
    </r>
    <r>
      <rPr>
        <vertAlign val="subscript"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</si>
  <si>
    <t>revestimento</t>
  </si>
  <si>
    <t>rocha tipo</t>
  </si>
  <si>
    <t>Alternativa 2: Rocha de média qualidade</t>
  </si>
  <si>
    <t>Alternativa 3: Rocha de má qualidade</t>
  </si>
  <si>
    <t>projet.</t>
  </si>
  <si>
    <t>estrut.</t>
  </si>
  <si>
    <t>(1-boa; 2-média, 3-má)</t>
  </si>
  <si>
    <t>Verificação da Sobrepressão</t>
  </si>
  <si>
    <t>Sobrepressão máxima</t>
  </si>
  <si>
    <t>Sobrepressão calculada</t>
  </si>
  <si>
    <r>
      <t>= 2 . (LP . v</t>
    </r>
    <r>
      <rPr>
        <vertAlign val="subscript"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+ L2A . v</t>
    </r>
    <r>
      <rPr>
        <vertAlign val="subscript"/>
        <sz val="11"/>
        <color theme="1"/>
        <rFont val="Calibri"/>
        <family val="2"/>
        <scheme val="minor"/>
      </rPr>
      <t>L2A</t>
    </r>
    <r>
      <rPr>
        <sz val="11"/>
        <color theme="1"/>
        <rFont val="Calibri"/>
        <family val="2"/>
        <scheme val="minor"/>
      </rPr>
      <t xml:space="preserve"> + L2B . v</t>
    </r>
    <r>
      <rPr>
        <vertAlign val="subscript"/>
        <sz val="11"/>
        <color theme="1"/>
        <rFont val="Calibri"/>
        <family val="2"/>
        <scheme val="minor"/>
      </rPr>
      <t>L2B</t>
    </r>
    <r>
      <rPr>
        <sz val="11"/>
        <color theme="1"/>
        <rFont val="Calibri"/>
        <family val="2"/>
        <scheme val="minor"/>
      </rPr>
      <t>) / (g . Ts)</t>
    </r>
  </si>
  <si>
    <t>s, para túneis longos</t>
  </si>
  <si>
    <t>s, para túneis curtos</t>
  </si>
  <si>
    <t>L / H =</t>
  </si>
  <si>
    <t>tempo de fechamento da válvula ou distribuidor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</si>
  <si>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=</t>
    </r>
  </si>
  <si>
    <t xml:space="preserve">se </t>
  </si>
  <si>
    <t>posição do circuito</t>
  </si>
  <si>
    <t>espessura do solo</t>
  </si>
  <si>
    <t>l</t>
  </si>
  <si>
    <t>r</t>
  </si>
  <si>
    <t>geo_qual_rock_x</t>
  </si>
  <si>
    <t>geo_soil_lbnk_th</t>
  </si>
  <si>
    <t>geo_soil_rbnk_th</t>
  </si>
  <si>
    <t>enr_inst_cpcy_p</t>
  </si>
  <si>
    <t>enr_loss_max0_pc</t>
  </si>
  <si>
    <t>dam_crst_0000_el</t>
  </si>
  <si>
    <t>lay_hsy0_lctn_x</t>
  </si>
  <si>
    <t>lay_chan_intk_l</t>
  </si>
  <si>
    <t>hsy_tunl_totl_l</t>
  </si>
  <si>
    <t>hsy_tunp_conc_l</t>
  </si>
  <si>
    <t>hsy_tunp_stee_l</t>
  </si>
  <si>
    <t>hsy_tunl_uter_el</t>
  </si>
  <si>
    <t>hsy_stnk_cter_el</t>
  </si>
  <si>
    <t>hsy_tunp_dter_el</t>
  </si>
  <si>
    <t>hsy_intk_chan_el</t>
  </si>
  <si>
    <t>hsy_intk_gate_n</t>
  </si>
  <si>
    <t>hsy_intk_gate_w</t>
  </si>
  <si>
    <t>hsy_intk_gate_h</t>
  </si>
  <si>
    <t>hsy_intk_sill_el</t>
  </si>
  <si>
    <t>hsy_intk_totl_w</t>
  </si>
  <si>
    <t>hsy_intk_totl_l</t>
  </si>
  <si>
    <t>hsy_tunl_shot_l</t>
  </si>
  <si>
    <t>hsy_tunl_conc_l</t>
  </si>
  <si>
    <t>hsy_tunl_0000_d</t>
  </si>
  <si>
    <t>hsy_tunl_upst_el</t>
  </si>
  <si>
    <t>hsy_tunl_dwst_el</t>
  </si>
  <si>
    <t>hsy_stnk_max0_wl</t>
  </si>
  <si>
    <t>hsy_stnk_min0_wl</t>
  </si>
  <si>
    <t>hsy_stnk_0000_d</t>
  </si>
  <si>
    <t>hsy_tunp_vert_l</t>
  </si>
  <si>
    <t>hsy_tunp_vert_d</t>
  </si>
  <si>
    <t>hsy_tunp_0000_d</t>
  </si>
  <si>
    <t>hsy_tunp_stee_d</t>
  </si>
  <si>
    <t>hsy_tunp_upst_el</t>
  </si>
  <si>
    <t>hsy_tunp_dwst_el</t>
  </si>
  <si>
    <t>hsy_pstk_brch_n</t>
  </si>
  <si>
    <t>hsy_pstk_brch_d</t>
  </si>
  <si>
    <t>hsy_pstk_brch_l</t>
  </si>
  <si>
    <t>pwh_strc_blck_n</t>
  </si>
  <si>
    <t>pwh_turb_rotr_d</t>
  </si>
  <si>
    <t>pwh_turb_clin_el</t>
  </si>
  <si>
    <t>pwh_strc_totl_w</t>
  </si>
  <si>
    <t>pwh_ably_area_w</t>
  </si>
  <si>
    <t>pwh_strc_totl_l</t>
  </si>
  <si>
    <t>pwh_strc_deck_el</t>
  </si>
  <si>
    <t>pwh_ably_area_l</t>
  </si>
  <si>
    <t>pwh_strc_upcl_l</t>
  </si>
  <si>
    <t>pwh_turb_dtub_l</t>
  </si>
  <si>
    <t>pwh_dtub_gate_n</t>
  </si>
  <si>
    <t>pwh_dtub_gate_w</t>
  </si>
  <si>
    <t>pwh_dtub_gate_h</t>
  </si>
  <si>
    <t>pwh_strc_min2_el</t>
  </si>
  <si>
    <t>pwh_strc_min1_el</t>
  </si>
  <si>
    <t>pwh_strc_min3_el</t>
  </si>
  <si>
    <t>hsy_intk_fwgt_n</t>
  </si>
  <si>
    <t>hsy_intk_fwgt_ct</t>
  </si>
  <si>
    <t>hsy_intk_slog_n</t>
  </si>
  <si>
    <t>hsy_intk_slog_ct</t>
  </si>
  <si>
    <t>hsy_intk_cran_ct</t>
  </si>
  <si>
    <t>hsy_intk_rack_ct</t>
  </si>
  <si>
    <t>hsy_intk_embp_ct</t>
  </si>
  <si>
    <t>hsy_stnk_stee_t</t>
  </si>
  <si>
    <t>hsy_pstk_stee_t</t>
  </si>
  <si>
    <t>pwh_turb_totl_n</t>
  </si>
  <si>
    <t>pwh_turb_0000_ct</t>
  </si>
  <si>
    <t>pwh_genr_totl_n</t>
  </si>
  <si>
    <t>pwh_genr_0000_ct</t>
  </si>
  <si>
    <t>pwh_dtub_slog_n</t>
  </si>
  <si>
    <t>pwh_dtub_slog_ct</t>
  </si>
  <si>
    <t>pwh_strc_brdg_ct</t>
  </si>
  <si>
    <t>pwh_dtub_gtry_ct</t>
  </si>
  <si>
    <t>pwh_dtub_embp_ct</t>
  </si>
  <si>
    <t>pwh_misc_ldev_ct</t>
  </si>
  <si>
    <t>pwh_misc_inst_ct</t>
  </si>
  <si>
    <t>pwh_valv_bfly_n</t>
  </si>
  <si>
    <t>pwh_valv_bfly_ct</t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</si>
  <si>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</si>
  <si>
    <r>
      <t>B</t>
    </r>
    <r>
      <rPr>
        <vertAlign val="subscript"/>
        <sz val="11"/>
        <color theme="1"/>
        <rFont val="Calibri"/>
        <family val="2"/>
        <scheme val="minor"/>
      </rPr>
      <t>cn</t>
    </r>
  </si>
  <si>
    <r>
      <t>e</t>
    </r>
    <r>
      <rPr>
        <vertAlign val="subscript"/>
        <sz val="11"/>
        <color theme="1"/>
        <rFont val="Calibri"/>
        <family val="2"/>
        <scheme val="minor"/>
      </rPr>
      <t>te</t>
    </r>
  </si>
  <si>
    <r>
      <t>El</t>
    </r>
    <r>
      <rPr>
        <vertAlign val="subscript"/>
        <sz val="11"/>
        <color theme="1"/>
        <rFont val="Calibri"/>
        <family val="2"/>
        <scheme val="minor"/>
      </rPr>
      <t>cn</t>
    </r>
  </si>
  <si>
    <r>
      <t>N</t>
    </r>
    <r>
      <rPr>
        <vertAlign val="subscript"/>
        <sz val="11"/>
        <color theme="1"/>
        <rFont val="Calibri"/>
        <family val="2"/>
        <scheme val="minor"/>
      </rPr>
      <t>at</t>
    </r>
  </si>
  <si>
    <r>
      <t>B</t>
    </r>
    <r>
      <rPr>
        <vertAlign val="subscript"/>
        <sz val="11"/>
        <color theme="1"/>
        <rFont val="Calibri"/>
        <family val="2"/>
        <scheme val="minor"/>
      </rPr>
      <t>cp</t>
    </r>
  </si>
  <si>
    <r>
      <t>H</t>
    </r>
    <r>
      <rPr>
        <vertAlign val="subscript"/>
        <sz val="11"/>
        <color theme="1"/>
        <rFont val="Calibri"/>
        <family val="2"/>
        <scheme val="minor"/>
      </rPr>
      <t>cp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</si>
  <si>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%</t>
    </r>
  </si>
  <si>
    <r>
      <t>E</t>
    </r>
    <r>
      <rPr>
        <vertAlign val="subscript"/>
        <sz val="11"/>
        <color theme="1"/>
        <rFont val="Calibri"/>
        <family val="2"/>
        <scheme val="minor"/>
      </rPr>
      <t>sol</t>
    </r>
  </si>
  <si>
    <r>
      <t>B</t>
    </r>
    <r>
      <rPr>
        <vertAlign val="subscript"/>
        <sz val="11"/>
        <color theme="1"/>
        <rFont val="Calibri"/>
        <family val="2"/>
        <scheme val="minor"/>
      </rPr>
      <t>ta</t>
    </r>
  </si>
  <si>
    <r>
      <t>L</t>
    </r>
    <r>
      <rPr>
        <vertAlign val="subscript"/>
        <sz val="11"/>
        <color theme="1"/>
        <rFont val="Calibri"/>
        <family val="2"/>
        <scheme val="minor"/>
      </rPr>
      <t>ta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</si>
  <si>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</si>
  <si>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</si>
  <si>
    <r>
      <t>L</t>
    </r>
    <r>
      <rPr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</si>
  <si>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vertAlign val="subscript"/>
        <sz val="11"/>
        <color theme="1"/>
        <rFont val="Calibri"/>
        <family val="2"/>
        <scheme val="minor"/>
      </rPr>
      <t>g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</si>
  <si>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</si>
  <si>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El</t>
    </r>
    <r>
      <rPr>
        <vertAlign val="subscript"/>
        <sz val="11"/>
        <color theme="1"/>
        <rFont val="Calibri"/>
        <family val="2"/>
        <scheme val="minor"/>
      </rPr>
      <t>d</t>
    </r>
  </si>
  <si>
    <r>
      <t>B</t>
    </r>
    <r>
      <rPr>
        <vertAlign val="subscript"/>
        <sz val="11"/>
        <color theme="1"/>
        <rFont val="Calibri"/>
        <family val="2"/>
        <scheme val="minor"/>
      </rPr>
      <t>cf</t>
    </r>
  </si>
  <si>
    <r>
      <t>B</t>
    </r>
    <r>
      <rPr>
        <vertAlign val="subscript"/>
        <sz val="11"/>
        <color theme="1"/>
        <rFont val="Calibri"/>
        <family val="2"/>
        <scheme val="minor"/>
      </rPr>
      <t>am</t>
    </r>
  </si>
  <si>
    <r>
      <t>L</t>
    </r>
    <r>
      <rPr>
        <vertAlign val="subscript"/>
        <sz val="11"/>
        <color theme="1"/>
        <rFont val="Calibri"/>
        <family val="2"/>
        <scheme val="minor"/>
      </rPr>
      <t>cf</t>
    </r>
  </si>
  <si>
    <r>
      <t>L</t>
    </r>
    <r>
      <rPr>
        <vertAlign val="subscript"/>
        <sz val="11"/>
        <color theme="1"/>
        <rFont val="Calibri"/>
        <family val="2"/>
        <scheme val="minor"/>
      </rPr>
      <t>am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</si>
  <si>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</si>
  <si>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scheme val="minor"/>
      </rPr>
      <t>vs</t>
    </r>
  </si>
  <si>
    <r>
      <t>Z/N</t>
    </r>
    <r>
      <rPr>
        <vertAlign val="subscript"/>
        <sz val="11"/>
        <color theme="1"/>
        <rFont val="Calibri"/>
        <family val="2"/>
        <scheme val="minor"/>
      </rPr>
      <t>vs</t>
    </r>
  </si>
  <si>
    <r>
      <rPr>
        <b/>
        <sz val="11"/>
        <color theme="1"/>
        <rFont val="Calibri"/>
        <family val="2"/>
        <scheme val="minor"/>
      </rPr>
      <t>dados de entrada,</t>
    </r>
    <r>
      <rPr>
        <sz val="11"/>
        <color theme="1"/>
        <rFont val="Calibri"/>
        <family val="2"/>
        <scheme val="minor"/>
      </rPr>
      <t xml:space="preserve"> definidos a partir do traçado, em planta</t>
    </r>
  </si>
  <si>
    <t>dh(túnel sem blindagem)</t>
  </si>
  <si>
    <t>tipo de rocha</t>
  </si>
  <si>
    <t>perda de carga</t>
  </si>
  <si>
    <t>hsy_intk_chan_w</t>
  </si>
  <si>
    <r>
      <t>D</t>
    </r>
    <r>
      <rPr>
        <vertAlign val="subscript"/>
        <sz val="11"/>
        <rFont val="Calibri"/>
        <family val="2"/>
        <scheme val="minor"/>
      </rPr>
      <t>pg</t>
    </r>
  </si>
  <si>
    <r>
      <t>B</t>
    </r>
    <r>
      <rPr>
        <vertAlign val="subscript"/>
        <sz val="11"/>
        <rFont val="Calibri"/>
        <family val="2"/>
        <scheme val="minor"/>
      </rPr>
      <t>1cf</t>
    </r>
  </si>
  <si>
    <r>
      <t>d</t>
    </r>
    <r>
      <rPr>
        <vertAlign val="sub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</si>
  <si>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A</t>
  </si>
  <si>
    <t>B</t>
  </si>
  <si>
    <t>C</t>
  </si>
  <si>
    <t>Y</t>
  </si>
  <si>
    <t>pwh_genr_hous_d</t>
  </si>
  <si>
    <t>pwh_strc_blck_w</t>
  </si>
  <si>
    <t>pwh_strc_cldw_l</t>
  </si>
  <si>
    <t>pwh_turb_inlt_d</t>
  </si>
  <si>
    <t>pwh_turb_sp0b_w</t>
  </si>
  <si>
    <t>pwh_turb_sp0c_w</t>
  </si>
  <si>
    <t>pwh_turb_dtub_h</t>
  </si>
  <si>
    <t>pwh_strc_conc_m3</t>
  </si>
  <si>
    <t>hsy_pstk_stee_th</t>
  </si>
  <si>
    <t>hsy_tunp_stee_th</t>
  </si>
  <si>
    <t>hsy_intk_totl_h</t>
  </si>
  <si>
    <r>
      <t>H</t>
    </r>
    <r>
      <rPr>
        <vertAlign val="subscript"/>
        <sz val="11"/>
        <rFont val="Calibri"/>
        <family val="2"/>
        <scheme val="minor"/>
      </rPr>
      <t>ta</t>
    </r>
  </si>
  <si>
    <t>hsy_intk_subm_h</t>
  </si>
  <si>
    <r>
      <t>h</t>
    </r>
    <r>
      <rPr>
        <vertAlign val="subscript"/>
        <sz val="11"/>
        <rFont val="Calibri"/>
        <family val="2"/>
        <scheme val="minor"/>
      </rPr>
      <t>s</t>
    </r>
  </si>
  <si>
    <t>1.4.</t>
  </si>
  <si>
    <t>Extensão máxima do trecho blindado</t>
  </si>
  <si>
    <t>hsy_tunp_min0_l</t>
  </si>
  <si>
    <t>hsy_tunp_max0_el</t>
  </si>
  <si>
    <t>$</t>
  </si>
  <si>
    <t xml:space="preserve"> se circuito curto, sem chaminé, igual a zero</t>
  </si>
  <si>
    <t xml:space="preserve"> se circuito curto, sem chaminé, soma L1 + L2A</t>
  </si>
  <si>
    <t>pwh_deck_dfld_q</t>
  </si>
  <si>
    <t>dam_crst_0000_l</t>
  </si>
  <si>
    <t>Hta min = 3</t>
  </si>
  <si>
    <t>installed capacity</t>
  </si>
  <si>
    <t>maximum head loss (percentage)</t>
  </si>
  <si>
    <t>rock quality (1 - good; 2 - medium; 3 - poor)</t>
  </si>
  <si>
    <t xml:space="preserve">elevation of the intake channel sill </t>
  </si>
  <si>
    <t>width of the intake channel</t>
  </si>
  <si>
    <t>crane cost of the intake</t>
  </si>
  <si>
    <t>embedded parts cost of the intake equipment</t>
  </si>
  <si>
    <t>fixed wheel gates cost of the intake</t>
  </si>
  <si>
    <t>number of fixed wheel gates of the intake</t>
  </si>
  <si>
    <t>gate height of the intake</t>
  </si>
  <si>
    <t>number of gates of the intake</t>
  </si>
  <si>
    <t>gate width of the intake</t>
  </si>
  <si>
    <t>trash racks cost of the intake</t>
  </si>
  <si>
    <t xml:space="preserve">elevation of the intake sill </t>
  </si>
  <si>
    <t>stoplogs cost of the intake</t>
  </si>
  <si>
    <t>number of stoplogs of the intake</t>
  </si>
  <si>
    <t>submergence of the intake</t>
  </si>
  <si>
    <t>total height of the intake</t>
  </si>
  <si>
    <t>total length of the intake</t>
  </si>
  <si>
    <t>total width of the intake</t>
  </si>
  <si>
    <t>diameter of the penstock branch</t>
  </si>
  <si>
    <t>total length of the penstock branch</t>
  </si>
  <si>
    <t>number of penstock branch</t>
  </si>
  <si>
    <t>weight of the steel lined penstock</t>
  </si>
  <si>
    <t>maximum thickness of the steel lined penstock</t>
  </si>
  <si>
    <t>diameter of the surge tank</t>
  </si>
  <si>
    <t>terrain maximum elevation to define the location of the surge tank</t>
  </si>
  <si>
    <t>maximum water level in the surge tank</t>
  </si>
  <si>
    <t>minimum water level in the surge tank</t>
  </si>
  <si>
    <t>steel lining of the surge tank</t>
  </si>
  <si>
    <t>height and widht of the low pressure tunnel cross section (arch with straight sides)</t>
  </si>
  <si>
    <t>concrete lining length of the low pressure tunnel</t>
  </si>
  <si>
    <t>downstream elevation of the low pressure tunnel sill</t>
  </si>
  <si>
    <t>shotcrete lining length of the low pressure tunnel</t>
  </si>
  <si>
    <t>total length of the low pressure tunnel</t>
  </si>
  <si>
    <t>upstream elevation of the low pressure tunnel sill</t>
  </si>
  <si>
    <t>terrain minimum elevation to define the inlet location of the low pressure tunnel</t>
  </si>
  <si>
    <t>diameter of the high pressure tunnel cross section</t>
  </si>
  <si>
    <t>concrete lining length of the high pressure tunnel</t>
  </si>
  <si>
    <t>terrain minimum elevation to define the outlet location of the high pressure tunnel</t>
  </si>
  <si>
    <t>downstream elevation of the high pressure tunnel sill</t>
  </si>
  <si>
    <t>maximum terrain elevation for the steel lining of the high pressure tunnel</t>
  </si>
  <si>
    <t>minimum steel lining length of the high pressure tunnel</t>
  </si>
  <si>
    <t>diameter of the penstock in the high pressure tunnel</t>
  </si>
  <si>
    <t>steel lining length of the high pressure tunnel</t>
  </si>
  <si>
    <t>maximum thickness of the steel lined penstock in the high pressure tunnel</t>
  </si>
  <si>
    <t>upstream elevation of the high pressure tunnel sill</t>
  </si>
  <si>
    <t>diameter of the vertical high pressure tunnel</t>
  </si>
  <si>
    <t>length of the vertical high pressure tunnel</t>
  </si>
  <si>
    <t>length of the assembly area</t>
  </si>
  <si>
    <t>width of the assembly area</t>
  </si>
  <si>
    <t>design flood for the powerhouse deck</t>
  </si>
  <si>
    <t xml:space="preserve">embedded parts cost of the draft tube equipment </t>
  </si>
  <si>
    <t>gate height of the draft tube</t>
  </si>
  <si>
    <t>number of gates of the draft tube per powerhouse block</t>
  </si>
  <si>
    <t>gate width of the draft tube</t>
  </si>
  <si>
    <t>gantry crane cost</t>
  </si>
  <si>
    <t xml:space="preserve">stoplogs cost of the draft tube </t>
  </si>
  <si>
    <t xml:space="preserve">number of stoplogs of the draft tube </t>
  </si>
  <si>
    <t>generator cost</t>
  </si>
  <si>
    <t>diameter of the generator housing</t>
  </si>
  <si>
    <t>number of generators</t>
  </si>
  <si>
    <t>installations and final works cost</t>
  </si>
  <si>
    <t>land developments cost</t>
  </si>
  <si>
    <t>number of powerhouse blocks</t>
  </si>
  <si>
    <t>total width of one block of the powerhouse</t>
  </si>
  <si>
    <t>bridge crane cost</t>
  </si>
  <si>
    <t>distance from the center line of the generator units to the downstream face wall</t>
  </si>
  <si>
    <t>structural concrete volume of the powerhouse</t>
  </si>
  <si>
    <t xml:space="preserve">elevation of the powerhouse deck </t>
  </si>
  <si>
    <t>elevation of the upstream powerhouse foundation</t>
  </si>
  <si>
    <t>minimum elevation of the powerhouse foundation</t>
  </si>
  <si>
    <t>elevation of the downstream powerhouse foundation</t>
  </si>
  <si>
    <t>total length of the powerhouse</t>
  </si>
  <si>
    <t>total width of the powerhouse</t>
  </si>
  <si>
    <t>distance from the upstream face wall to the center line of the generator units</t>
  </si>
  <si>
    <t>turbine cost</t>
  </si>
  <si>
    <t>center line of the generator units</t>
  </si>
  <si>
    <t>height from the draft tube to the center of the distributor</t>
  </si>
  <si>
    <t>length of the draft tube</t>
  </si>
  <si>
    <t>diameter of the turbine inlet</t>
  </si>
  <si>
    <t>diameter of the turbine rotor</t>
  </si>
  <si>
    <t>smaller width of the spiral casing from the turbine axis</t>
  </si>
  <si>
    <t>larger width of the spiral casing from the turbine axis</t>
  </si>
  <si>
    <t>number of turbines</t>
  </si>
  <si>
    <t>butterfly valve cost</t>
  </si>
  <si>
    <t>number of butterfly valves</t>
  </si>
  <si>
    <t>hydraulic system location along the dam axis (r - right riverbank; l - left riverbank)</t>
  </si>
  <si>
    <t>IN: project basic information</t>
  </si>
  <si>
    <t>OUT: first results for HERA calculation</t>
  </si>
  <si>
    <t>IN: information obtained by HERA after the first workflow calculation</t>
  </si>
  <si>
    <t>OUT: final results obtained after the end of the workflow</t>
  </si>
  <si>
    <t xml:space="preserve">to access the definition of the variables in other languages, refer to Engineering dictionary.xls at HERA documentation </t>
  </si>
  <si>
    <t>hydraulic system length from the river up to the inlet structure (channel + intake)</t>
  </si>
  <si>
    <t>bdg_eqp0_exch_k</t>
  </si>
  <si>
    <t>bdg_eqp0_updt_k</t>
  </si>
  <si>
    <r>
      <t>dh (válvula) = 0,2. v</t>
    </r>
    <r>
      <rPr>
        <vertAlign val="subscript"/>
        <sz val="11"/>
        <color theme="1"/>
        <rFont val="Calibri"/>
        <family val="2"/>
        <scheme val="minor"/>
      </rPr>
      <t>valv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</si>
  <si>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(redução) = 0,1. (v</t>
    </r>
    <r>
      <rPr>
        <vertAlign val="subscript"/>
        <sz val="11"/>
        <color theme="1"/>
        <rFont val="Calibri"/>
        <family val="2"/>
        <scheme val="minor"/>
      </rPr>
      <t>valv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</si>
  <si>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(bifurcação) = 0,1. v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</si>
  <si>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 xml:space="preserve">para 2 curvas com r/D = 1 e 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= 90</t>
    </r>
    <r>
      <rPr>
        <vertAlign val="superscript"/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</si>
  <si>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%</t>
    </r>
  </si>
  <si>
    <r>
      <t>k (curvas) = [0.08 - 0.2(r/D - 5)] . {[0.0746*(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]-[0.4698*(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]+[1.1928*(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/180)]}</t>
    </r>
  </si>
  <si>
    <t>diameter of the penstock in the high pressure tunnel (first value = 0)</t>
  </si>
  <si>
    <t>OUT: intermediate results for HERA calculation</t>
  </si>
  <si>
    <t xml:space="preserve"> apenas uma bifurcação</t>
  </si>
  <si>
    <t>se circuito longo</t>
  </si>
  <si>
    <t xml:space="preserve">se circuito curto </t>
  </si>
  <si>
    <t>v (rev) =</t>
  </si>
  <si>
    <r>
      <t>dh (entrada) = 0,2.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</si>
  <si>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r>
      <t>dh (sem revest) = % . [6,35 . L1 . n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</si>
  <si>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dh (conc projet) = % . [6,35 . L1 .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</si>
  <si>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dh (conc conven) =% . [6,35 . L1 . n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Hta</t>
    </r>
    <r>
      <rPr>
        <sz val="11"/>
        <color theme="1"/>
        <rFont val="Calibri"/>
        <family val="2"/>
        <scheme val="minor"/>
      </rPr>
      <t xml:space="preserve"> / Deq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</si>
  <si>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t>diameter of the high pressure tunnel cross section (first value = 0)</t>
  </si>
  <si>
    <r>
      <t>dh (redução) = 0,1. (v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Hta'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2g</t>
    </r>
  </si>
  <si>
    <t>hsy_pstk_loop_n</t>
  </si>
  <si>
    <t>hsy_pstk_endl_x</t>
  </si>
  <si>
    <t>indicator of the end of  the penstock dimensioning (0 = end; 1 = continue)</t>
  </si>
  <si>
    <t>err_msg0_0000_tx</t>
  </si>
  <si>
    <t>error message</t>
  </si>
  <si>
    <t>number of iterations for the penstock dimensioning (first value = 0)</t>
  </si>
  <si>
    <t>total length of the low pressure tunnel (first value &lt;&gt; 0)</t>
  </si>
  <si>
    <t>concrete lining length of the high pressure tunnel (first value &lt;&gt; 0)</t>
  </si>
  <si>
    <t xml:space="preserve">ERROR MESSAGES </t>
  </si>
  <si>
    <t>Number of iterations for the penstock dimensioning exceeded limit.</t>
  </si>
  <si>
    <t>Error during the dimensioning process. Generate the engineering files of this layout to find it</t>
  </si>
  <si>
    <t>Níveis</t>
  </si>
  <si>
    <t>Peso</t>
  </si>
  <si>
    <t>Vão Livre</t>
  </si>
  <si>
    <t>Pórtico</t>
  </si>
  <si>
    <t>Pernas</t>
  </si>
  <si>
    <t>Vão</t>
  </si>
  <si>
    <t>(fixo)</t>
  </si>
  <si>
    <t>(m)</t>
  </si>
  <si>
    <t>Informações Complementares</t>
  </si>
  <si>
    <t>Cosseno do ângulo com a vertical</t>
  </si>
  <si>
    <t>Número de peças fixas por unidade</t>
  </si>
  <si>
    <t>Número de peças fixas total</t>
  </si>
  <si>
    <t>D3</t>
  </si>
  <si>
    <t>Turbina</t>
  </si>
  <si>
    <t>hsy_intk_fwgt_t</t>
  </si>
  <si>
    <t>weight of the fixed wheel gates of the intake</t>
  </si>
  <si>
    <t>hsy_intk_slog_t</t>
  </si>
  <si>
    <t>weight of the stoplogs of the intake</t>
  </si>
  <si>
    <t>hsy_intk_cran_t</t>
  </si>
  <si>
    <t>weight of the crane of the intake</t>
  </si>
  <si>
    <t>hsy_intk_rack_t</t>
  </si>
  <si>
    <t>weight of the trash racks of the intake</t>
  </si>
  <si>
    <t>hsy_intk_embp_t</t>
  </si>
  <si>
    <t>weight of the embedded parts of the intake equipment</t>
  </si>
  <si>
    <t>pwh_turb_0000_t</t>
  </si>
  <si>
    <t>weight of the turbine</t>
  </si>
  <si>
    <t>pwh_genr_0000_t</t>
  </si>
  <si>
    <t>weight of the generator</t>
  </si>
  <si>
    <t>pwh_dtub_slog_t</t>
  </si>
  <si>
    <t xml:space="preserve">weight of the stoplogs of the draft tube </t>
  </si>
  <si>
    <t>pwh_strc_brdg_t</t>
  </si>
  <si>
    <t>weight of the bridge crane</t>
  </si>
  <si>
    <t>pwh_dtub_gtry_t</t>
  </si>
  <si>
    <t>weight of the gantry crane</t>
  </si>
  <si>
    <t>pwh_dtub_embp_t</t>
  </si>
  <si>
    <t xml:space="preserve">weight embedded parts of the draft tube equipment </t>
  </si>
  <si>
    <t>pwh_valv_bfly_t</t>
  </si>
  <si>
    <t>weight of the butterfly valve</t>
  </si>
  <si>
    <t>pwh_syst_freq_hz</t>
  </si>
  <si>
    <t>hz</t>
  </si>
  <si>
    <t>system frequency</t>
  </si>
  <si>
    <t>pwh_turb_spsp_dl</t>
  </si>
  <si>
    <r>
      <t>n</t>
    </r>
    <r>
      <rPr>
        <vertAlign val="subscript"/>
        <sz val="11"/>
        <rFont val="Calibri"/>
        <family val="2"/>
        <scheme val="minor"/>
      </rPr>
      <t>s</t>
    </r>
  </si>
  <si>
    <t>specific speed of the turbine</t>
  </si>
  <si>
    <t>exchange rate from dollars</t>
  </si>
  <si>
    <t xml:space="preserve">update conversion rate from december 2006 for equipment costs </t>
  </si>
  <si>
    <t>maximum water level of the upper reservoir</t>
  </si>
  <si>
    <t>minimum water level of the upper reservoir</t>
  </si>
  <si>
    <t>maximum water level of the lower reservoir</t>
  </si>
  <si>
    <t>minimum water level of the lower reservoir</t>
  </si>
  <si>
    <t>Nível d'água máximo do reservatório superior (m)</t>
  </si>
  <si>
    <t>Nível mínimo do reservatório superior (m)</t>
  </si>
  <si>
    <t>Nível d'água máximo do reservatório inferior (m)</t>
  </si>
  <si>
    <t>Nível mínimo do reservatório inferior (m)</t>
  </si>
  <si>
    <r>
      <t xml:space="preserve">Altura de escavação do túnel </t>
    </r>
    <r>
      <rPr>
        <sz val="11"/>
        <color rgb="FF0070C0"/>
        <rFont val="Calibri"/>
        <family val="2"/>
        <scheme val="minor"/>
      </rPr>
      <t>de fuga</t>
    </r>
  </si>
  <si>
    <t>ignorar se terreno descer</t>
  </si>
  <si>
    <t>Elevação mínima do terreno para blindagem</t>
  </si>
  <si>
    <t>Elevação mínima do terreno para casa de força</t>
  </si>
  <si>
    <t>altura da casa de força? F(N ou Htf)?</t>
  </si>
  <si>
    <t>lay_pstk_pwh0_l</t>
  </si>
  <si>
    <t>terrain minimum elevation to define the location of the power house</t>
  </si>
  <si>
    <t>Altura do cotovelo (O)</t>
  </si>
  <si>
    <t>Raio do cotovelo (P)</t>
  </si>
  <si>
    <t xml:space="preserve">Espessura do Pilar (U)  </t>
  </si>
  <si>
    <t>nq</t>
  </si>
  <si>
    <t>rotação mínima da bomba</t>
  </si>
  <si>
    <t>rotação máxima da bomba</t>
  </si>
  <si>
    <t xml:space="preserve"> número de polos</t>
  </si>
  <si>
    <t>DADOS DE ENTRADA</t>
  </si>
  <si>
    <t>BOMBA</t>
  </si>
  <si>
    <t>TURBINA</t>
  </si>
  <si>
    <t>Frequência (Hz)</t>
  </si>
  <si>
    <t>padrão</t>
  </si>
  <si>
    <t>seria dado de entrada?</t>
  </si>
  <si>
    <t>CÁLCULOS PRELIMINARES</t>
  </si>
  <si>
    <t>Rotação síncrona escolhida</t>
  </si>
  <si>
    <t>Frequência (hz)</t>
  </si>
  <si>
    <t>freq</t>
  </si>
  <si>
    <t>rotação síncrona (rpm)</t>
  </si>
  <si>
    <t>Diâmetro de Saída da Caixa Espiral (A)</t>
  </si>
  <si>
    <t>Altura do Distribuidor (I)</t>
  </si>
  <si>
    <t>Altura do Tubo de Sucção (N)</t>
  </si>
  <si>
    <t>Altura a Jusante da Caixa Espiral (L)</t>
  </si>
  <si>
    <t>Altura a Montante da Caixa Espiral (M)</t>
  </si>
  <si>
    <t>Altura do Pilar Divisor (Q)</t>
  </si>
  <si>
    <t xml:space="preserve">Comprimento do Tubo de Sucção (S) </t>
  </si>
  <si>
    <t>Vão de Saída do Tubo de Sucção (V)</t>
  </si>
  <si>
    <t>Largura do Tubo de Sucção (Z)</t>
  </si>
  <si>
    <t>Distância ao Início Pilar Divisor (T)</t>
  </si>
  <si>
    <t>Altura da Saída do Tubo de Sucção (R)</t>
  </si>
  <si>
    <t>Distância da LC do Rotor ao Fundo do Tubo de Sucção (J)</t>
  </si>
  <si>
    <t>Diâmetro Máximo do Pré-Distribuidor (F)</t>
  </si>
  <si>
    <t>Diâmetro Mínimo do Pré-Distribuidor (G)</t>
  </si>
  <si>
    <t>Afastamento a Jusante da Caixa Espiral (D)</t>
  </si>
  <si>
    <t>Afastamento a Montante da Caixa Espiral (E)</t>
  </si>
  <si>
    <t>Afastamento Lateral da Caixa Espiral (C)</t>
  </si>
  <si>
    <t>Distância do Centro da Unidade ao Conduto (B)</t>
  </si>
  <si>
    <t>Diâmetro  Palhetas Diretrizes (H)</t>
  </si>
  <si>
    <t>Nível d´água mínimo normal do reservatório</t>
  </si>
  <si>
    <t>DIMENSÕES DA CASA DE FORÇA</t>
  </si>
  <si>
    <t>Linha de centro do distribuidor (m) - LC</t>
  </si>
  <si>
    <t>res_type_watc_x</t>
  </si>
  <si>
    <t>identification for the reservoir type according to its location (in a watercourse = 0 or not =1)</t>
  </si>
  <si>
    <t>V</t>
  </si>
  <si>
    <t>fixo?</t>
  </si>
  <si>
    <t>J</t>
  </si>
  <si>
    <t>MOTOR</t>
  </si>
  <si>
    <t>GERADOR</t>
  </si>
  <si>
    <t>Momento de inércia (t.m²) - GD²</t>
  </si>
  <si>
    <t>velocidade ajustável 5 a 25% maior</t>
  </si>
  <si>
    <t>COMPORTA ENSECADEIRA</t>
  </si>
  <si>
    <t>Montante (m)</t>
  </si>
  <si>
    <t>Jusante (m)</t>
  </si>
  <si>
    <t>Ponte de Serviço Montante (m)</t>
  </si>
  <si>
    <t>Ponte de Serviço Jusante (m)</t>
  </si>
  <si>
    <t>Soleira (m)</t>
  </si>
  <si>
    <t>res_type_watc_x: NA máximo do reservatório inferior x Na max max jusante?</t>
  </si>
  <si>
    <t>Quantidade de módulos</t>
  </si>
  <si>
    <t>V, dividir vão?</t>
  </si>
  <si>
    <t>Valores intermediários: Comprimentos</t>
  </si>
  <si>
    <t>Altura máxima do módulo (m)</t>
  </si>
  <si>
    <t>Peças Fixas (m)</t>
  </si>
  <si>
    <t>Percurso (m)</t>
  </si>
  <si>
    <t>Valores intermediários: Alturas</t>
  </si>
  <si>
    <t>Valores intermediários: Larguras</t>
  </si>
  <si>
    <t>Capacidade de carga (t)</t>
  </si>
  <si>
    <t>Vão (m)</t>
  </si>
  <si>
    <t>Altura (m)</t>
  </si>
  <si>
    <t>PÓRTICO ROLANTE</t>
  </si>
  <si>
    <t>Dados de Entrada</t>
  </si>
  <si>
    <t>TABELAS AUXILIARES</t>
  </si>
  <si>
    <t>Pórtico (t)</t>
  </si>
  <si>
    <t>Pernas (t)</t>
  </si>
  <si>
    <t>PONTE ROLANTE</t>
  </si>
  <si>
    <t>Quantidade</t>
  </si>
  <si>
    <t>se velocidade ajustável, acima de 50-100 MVA, 1.3x</t>
  </si>
  <si>
    <t>se velocidade ajustável, acima de 50-100 MVA, 2x</t>
  </si>
  <si>
    <t>lay_trce_intk_l</t>
  </si>
  <si>
    <t>~UPPER</t>
  </si>
  <si>
    <t>res_max0_0000_wl</t>
  </si>
  <si>
    <t>res_min0_0000_wl</t>
  </si>
  <si>
    <t>~LOWER</t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</si>
  <si>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</si>
  <si>
    <t>L3A</t>
  </si>
  <si>
    <t>L3B</t>
  </si>
  <si>
    <t>geo_soil_xres_th</t>
  </si>
  <si>
    <t>dam crest elevation INTK sup</t>
  </si>
  <si>
    <t>dam crest width INTK sup</t>
  </si>
  <si>
    <t>lay_uppr_lowr_l</t>
  </si>
  <si>
    <t>upper reservoir</t>
  </si>
  <si>
    <t>lower reservoir</t>
  </si>
  <si>
    <r>
      <t xml:space="preserve">CONDUTOS FORÇADOS </t>
    </r>
    <r>
      <rPr>
        <b/>
        <sz val="11"/>
        <color theme="4"/>
        <rFont val="Calibri"/>
        <family val="2"/>
        <scheme val="minor"/>
      </rPr>
      <t>RAMIFICADOS</t>
    </r>
  </si>
  <si>
    <r>
      <t xml:space="preserve">Lcd </t>
    </r>
    <r>
      <rPr>
        <sz val="11"/>
        <color theme="4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20 m </t>
    </r>
  </si>
  <si>
    <t>QUANTITATIVOS (t)</t>
  </si>
  <si>
    <r>
      <t>Área da seção de escoamento (m²) - A</t>
    </r>
    <r>
      <rPr>
        <vertAlign val="subscript"/>
        <sz val="11"/>
        <color theme="1"/>
        <rFont val="Calibri"/>
        <family val="2"/>
        <scheme val="minor"/>
      </rPr>
      <t>fu</t>
    </r>
  </si>
  <si>
    <t>?</t>
  </si>
  <si>
    <t>Elevação inicial da soleira (m)</t>
  </si>
  <si>
    <t>Elevação final da soleira (m)</t>
  </si>
  <si>
    <t>TA</t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</si>
  <si>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fu</t>
    </r>
  </si>
  <si>
    <r>
      <t>Nível de água máximo normal do reservatório (m) - NA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</si>
  <si>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Nível de água mínimo normal do reservatório (m) - NA</t>
    </r>
    <r>
      <rPr>
        <vertAlign val="subscript"/>
        <sz val="11"/>
        <color theme="1"/>
        <rFont val="Calibri"/>
        <family val="2"/>
        <scheme val="minor"/>
      </rPr>
      <t>min</t>
    </r>
  </si>
  <si>
    <t>TÚNEL DE FUGA</t>
  </si>
  <si>
    <t>Coeficiente para aproximação do escoamento assimétrica - c</t>
  </si>
  <si>
    <r>
      <t>Cota da soleira da tomada d'água (m) - El</t>
    </r>
    <r>
      <rPr>
        <vertAlign val="subscript"/>
        <sz val="11"/>
        <color theme="1"/>
        <rFont val="Calibri"/>
        <family val="2"/>
        <scheme val="minor"/>
      </rPr>
      <t>sol</t>
    </r>
  </si>
  <si>
    <r>
      <t>Inclinação do túnel de fuga - i</t>
    </r>
    <r>
      <rPr>
        <vertAlign val="subscript"/>
        <sz val="11"/>
        <color theme="1"/>
        <rFont val="Calibri"/>
        <family val="2"/>
        <scheme val="minor"/>
      </rPr>
      <t>fu</t>
    </r>
  </si>
  <si>
    <t>mínimo?</t>
  </si>
  <si>
    <t>CÁLCULOS</t>
  </si>
  <si>
    <t xml:space="preserve">CÁLCULOS </t>
  </si>
  <si>
    <t>DIMENSÕES DA TOMADA D'ÁGUA</t>
  </si>
  <si>
    <t>critérios?</t>
  </si>
  <si>
    <r>
      <t>Cota do teto da abertura da tomada d'água (m) - El</t>
    </r>
    <r>
      <rPr>
        <vertAlign val="subscript"/>
        <sz val="11"/>
        <color theme="1"/>
        <rFont val="Calibri"/>
        <family val="2"/>
        <scheme val="minor"/>
      </rPr>
      <t>sol</t>
    </r>
  </si>
  <si>
    <r>
      <t>Largura da comporta da tomada d'água (m) - B</t>
    </r>
    <r>
      <rPr>
        <vertAlign val="subscript"/>
        <sz val="11"/>
        <color theme="1"/>
        <rFont val="Calibri"/>
        <family val="2"/>
        <scheme val="minor"/>
      </rPr>
      <t>cp</t>
    </r>
  </si>
  <si>
    <r>
      <t>Altura da comporta da tomada d'água (m) - H</t>
    </r>
    <r>
      <rPr>
        <vertAlign val="subscript"/>
        <sz val="11"/>
        <color theme="1"/>
        <rFont val="Calibri"/>
        <family val="2"/>
        <scheme val="minor"/>
      </rPr>
      <t>cp</t>
    </r>
  </si>
  <si>
    <r>
      <t>Área do conduto associado à tomada de água (m) - A</t>
    </r>
    <r>
      <rPr>
        <vertAlign val="subscript"/>
        <sz val="11"/>
        <color theme="1"/>
        <rFont val="Calibri"/>
        <family val="2"/>
        <scheme val="minor"/>
      </rPr>
      <t>fu</t>
    </r>
  </si>
  <si>
    <r>
      <t>Número de aberturas da tomada d'água - N</t>
    </r>
    <r>
      <rPr>
        <vertAlign val="subscript"/>
        <sz val="11"/>
        <color theme="1"/>
        <rFont val="Calibri"/>
        <family val="2"/>
        <scheme val="minor"/>
      </rPr>
      <t>at</t>
    </r>
  </si>
  <si>
    <r>
      <t>Altura da tomada d'água (m) - H</t>
    </r>
    <r>
      <rPr>
        <vertAlign val="subscript"/>
        <sz val="11"/>
        <color theme="1"/>
        <rFont val="Calibri"/>
        <family val="2"/>
        <scheme val="minor"/>
      </rPr>
      <t>ta</t>
    </r>
  </si>
  <si>
    <r>
      <t>Largura do bloco da tomada d'água (m) -B</t>
    </r>
    <r>
      <rPr>
        <vertAlign val="subscript"/>
        <sz val="11"/>
        <color theme="1"/>
        <rFont val="Calibri"/>
        <family val="2"/>
        <scheme val="minor"/>
      </rPr>
      <t>1ta</t>
    </r>
  </si>
  <si>
    <r>
      <t>Largura total da tomada d'água (m) -B</t>
    </r>
    <r>
      <rPr>
        <vertAlign val="subscript"/>
        <sz val="11"/>
        <color theme="1"/>
        <rFont val="Calibri"/>
        <family val="2"/>
        <scheme val="minor"/>
      </rPr>
      <t>ta</t>
    </r>
  </si>
  <si>
    <r>
      <t>Comprimento total da tomada d'água na base (m) - L</t>
    </r>
    <r>
      <rPr>
        <vertAlign val="subscript"/>
        <sz val="11"/>
        <color theme="1"/>
        <rFont val="Calibri"/>
        <family val="2"/>
        <scheme val="minor"/>
      </rPr>
      <t>ta</t>
    </r>
  </si>
  <si>
    <t xml:space="preserve">Largura da crista da barragem (m) </t>
  </si>
  <si>
    <t xml:space="preserve">Elevação da crista da barragem (m) </t>
  </si>
  <si>
    <t>quais?</t>
  </si>
  <si>
    <t>Perda de carga no túnel de fuga (m)</t>
  </si>
  <si>
    <r>
      <t>Número de Manning para trecho sem revestimento - n</t>
    </r>
    <r>
      <rPr>
        <vertAlign val="subscript"/>
        <sz val="11"/>
        <color theme="1"/>
        <rFont val="Calibri"/>
        <family val="2"/>
        <scheme val="minor"/>
      </rPr>
      <t>1</t>
    </r>
  </si>
  <si>
    <r>
      <t>Número de Manning para revestimento com concreto convencional - n</t>
    </r>
    <r>
      <rPr>
        <vertAlign val="subscript"/>
        <sz val="11"/>
        <color theme="1"/>
        <rFont val="Calibri"/>
        <family val="2"/>
        <scheme val="minor"/>
      </rPr>
      <t>3</t>
    </r>
  </si>
  <si>
    <r>
      <t>Número de Manning para revestimento com concreto projetado - n</t>
    </r>
    <r>
      <rPr>
        <vertAlign val="subscript"/>
        <sz val="11"/>
        <color theme="1"/>
        <rFont val="Calibri"/>
        <family val="2"/>
        <scheme val="minor"/>
      </rPr>
      <t>2</t>
    </r>
  </si>
  <si>
    <t>MI</t>
  </si>
  <si>
    <t>conc proj?</t>
  </si>
  <si>
    <t>CHAMINÉ DE EQUILÍBRIO INFERIOR</t>
  </si>
  <si>
    <r>
      <t>Área da seção da chaminé de equilíbrio (m²) - A</t>
    </r>
    <r>
      <rPr>
        <vertAlign val="subscript"/>
        <sz val="11"/>
        <color theme="1"/>
        <rFont val="Calibri"/>
        <family val="2"/>
        <scheme val="minor"/>
      </rPr>
      <t>ch</t>
    </r>
  </si>
  <si>
    <r>
      <t>Diâmetro interno da chaminé de equilíbrio (m) - D</t>
    </r>
    <r>
      <rPr>
        <vertAlign val="subscript"/>
        <sz val="11"/>
        <color theme="1"/>
        <rFont val="Calibri"/>
        <family val="2"/>
        <scheme val="minor"/>
      </rPr>
      <t>ch</t>
    </r>
  </si>
  <si>
    <r>
      <t>Oscilação máxima na chaminé de equilíbrio (m) - 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</si>
  <si>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Nível de água máximo na chaminé de equilíbrio (m) - Na</t>
    </r>
    <r>
      <rPr>
        <vertAlign val="subscript"/>
        <sz val="11"/>
        <color theme="1"/>
        <rFont val="Calibri"/>
        <family val="2"/>
        <scheme val="minor"/>
      </rPr>
      <t>xch</t>
    </r>
  </si>
  <si>
    <t>critério?</t>
  </si>
  <si>
    <t xml:space="preserve">Necessidade da chaminé </t>
  </si>
  <si>
    <t>TOMADA D´ÁGUA DO RESERVATÓRIO SUPERIOR</t>
  </si>
  <si>
    <t>Namax</t>
  </si>
  <si>
    <r>
      <t>Área da seção de escoamento (m²) - A</t>
    </r>
    <r>
      <rPr>
        <vertAlign val="subscript"/>
        <sz val="11"/>
        <color theme="1"/>
        <rFont val="Calibri"/>
        <family val="2"/>
        <scheme val="minor"/>
      </rPr>
      <t>ad</t>
    </r>
  </si>
  <si>
    <t>Perda de carga na entrada da tomada (m)</t>
  </si>
  <si>
    <t>CHAMINÉ DE EQUILÍBRIO SUPERIOR</t>
  </si>
  <si>
    <t>Perda de carga no túnel de adução (m)</t>
  </si>
  <si>
    <r>
      <t>Nível de água mínimo na chaminé de equilíbrio (m) - Na</t>
    </r>
    <r>
      <rPr>
        <vertAlign val="subscript"/>
        <sz val="11"/>
        <color theme="1"/>
        <rFont val="Calibri"/>
        <family val="2"/>
        <scheme val="minor"/>
      </rPr>
      <t>nch</t>
    </r>
  </si>
  <si>
    <t>geo_soil_hsy0_th</t>
  </si>
  <si>
    <t>COMPORTA VAGÃO</t>
  </si>
  <si>
    <t>GRADES</t>
  </si>
  <si>
    <t>Tabuleiro (m)</t>
  </si>
  <si>
    <t>D'água no centro (m)</t>
  </si>
  <si>
    <t>D'água na soleira (m)</t>
  </si>
  <si>
    <t>Apoio (m)</t>
  </si>
  <si>
    <t>Peças Fixas (t)</t>
  </si>
  <si>
    <t>Comporta (t)</t>
  </si>
  <si>
    <t>Módulo (t)</t>
  </si>
  <si>
    <t>hsy_stlw_max0_wl</t>
  </si>
  <si>
    <t>hsy_stlw_min0_wl</t>
  </si>
  <si>
    <t>hsy_stlw_0000_d</t>
  </si>
  <si>
    <t>Largura máxima (m)</t>
  </si>
  <si>
    <t>Ponte (t)</t>
  </si>
  <si>
    <t>psh_genr_cycl_tm</t>
  </si>
  <si>
    <t>psh_pump_cycl_tm</t>
  </si>
  <si>
    <t>h</t>
  </si>
  <si>
    <t>generation time of the pumped storage hydro</t>
  </si>
  <si>
    <t>hsy_trce_0000_d</t>
  </si>
  <si>
    <t>hsy_trce_upst_el</t>
  </si>
  <si>
    <t>hsy_trce_dwst_el</t>
  </si>
  <si>
    <t>psh_eqp0_conf_x</t>
  </si>
  <si>
    <t>identification for the equipment configuration type (fixed speed = 0, variable speed = 1)</t>
  </si>
  <si>
    <t>number of gates of the pumping intake</t>
  </si>
  <si>
    <t>gate width of the pumping intake</t>
  </si>
  <si>
    <t>gate height of the pumping intake</t>
  </si>
  <si>
    <t xml:space="preserve">elevation of the pumping intake sill </t>
  </si>
  <si>
    <t>total width of the pumping intake</t>
  </si>
  <si>
    <t>total length of the pumping intake</t>
  </si>
  <si>
    <t>total height of the pumping intake</t>
  </si>
  <si>
    <t>submergence of the pumping intake</t>
  </si>
  <si>
    <t>number of fixed wheel gates of the pumping intake</t>
  </si>
  <si>
    <t>weight of the fixed wheel gates of the pumping intake</t>
  </si>
  <si>
    <t>fixed wheel gates cost of the pumping intake</t>
  </si>
  <si>
    <t>number of stoplogs of the pumping intake</t>
  </si>
  <si>
    <t>weight of the stoplogs of the pumping intake</t>
  </si>
  <si>
    <t>stoplogs cost of the pumping intake</t>
  </si>
  <si>
    <t>weight of the crane of the pumping intake</t>
  </si>
  <si>
    <t>crane cost of the pumping intake</t>
  </si>
  <si>
    <t>weight of the trash racks of the pumping intake</t>
  </si>
  <si>
    <t>trash racks cost of the pumping intake</t>
  </si>
  <si>
    <t>weight of the embedded parts of the pumping intake equipment</t>
  </si>
  <si>
    <t>embedded parts cost of the pumping intake equipment</t>
  </si>
  <si>
    <t>hsy_inpp_gate_n</t>
  </si>
  <si>
    <t>hsy_inpp_gate_w</t>
  </si>
  <si>
    <t>hsy_inpp_gate_h</t>
  </si>
  <si>
    <t>hsy_inpp_sill_el</t>
  </si>
  <si>
    <t>hsy_inpp_totl_w</t>
  </si>
  <si>
    <t>hsy_inpp_totl_l</t>
  </si>
  <si>
    <t>hsy_inpp_totl_h</t>
  </si>
  <si>
    <t>hsy_inpp_subm_h</t>
  </si>
  <si>
    <t>hsy_inpp_fwgt_n</t>
  </si>
  <si>
    <t>hsy_inpp_fwgt_t</t>
  </si>
  <si>
    <t>hsy_inpp_fwgt_ct</t>
  </si>
  <si>
    <t>hsy_inpp_slog_n</t>
  </si>
  <si>
    <t>hsy_inpp_slog_t</t>
  </si>
  <si>
    <t>hsy_inpp_slog_ct</t>
  </si>
  <si>
    <t>hsy_inpp_cran_t</t>
  </si>
  <si>
    <t>hsy_inpp_cran_ct</t>
  </si>
  <si>
    <t>hsy_inpp_rack_t</t>
  </si>
  <si>
    <t>hsy_inpp_rack_ct</t>
  </si>
  <si>
    <t>hsy_inpp_embp_t</t>
  </si>
  <si>
    <t>hsy_inpp_embp_ct</t>
  </si>
  <si>
    <t>maximum water level in the lower surge tank</t>
  </si>
  <si>
    <t>minimum water level in the lower surge tank</t>
  </si>
  <si>
    <t>diameter of the lower surge tank</t>
  </si>
  <si>
    <t>upstream elevation of the tailrace tunnel sill</t>
  </si>
  <si>
    <t>downstream elevation of the tailrace tunnel sill</t>
  </si>
  <si>
    <r>
      <t>Elevação de fundo da chaminé de equilíbrio (m) - El</t>
    </r>
    <r>
      <rPr>
        <vertAlign val="subscript"/>
        <sz val="11"/>
        <color theme="1"/>
        <rFont val="Calibri"/>
        <family val="2"/>
        <scheme val="minor"/>
      </rPr>
      <t>ch</t>
    </r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</si>
  <si>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ad</t>
    </r>
  </si>
  <si>
    <r>
      <t>Área do conduto associado à tomada de água (m) - D</t>
    </r>
    <r>
      <rPr>
        <vertAlign val="subscript"/>
        <sz val="11"/>
        <color theme="1"/>
        <rFont val="Calibri"/>
        <family val="2"/>
        <scheme val="minor"/>
      </rPr>
      <t>ab</t>
    </r>
  </si>
  <si>
    <t>ver F41 em hsrf2tunl</t>
  </si>
  <si>
    <t>ver D185 em hsrf2pwh</t>
  </si>
  <si>
    <t>Rotor (t)</t>
  </si>
  <si>
    <t>Estator (t)</t>
  </si>
  <si>
    <t>Fornecimento (t)</t>
  </si>
  <si>
    <t>CARACTERÍSTICAS DO MOTOR-GERADOR</t>
  </si>
  <si>
    <t>CARACTERÍSTICAS DOS EQUIPAMENTOS HIDROMECÂNICOS</t>
  </si>
  <si>
    <t>DADOS DE ENTRADA PARA COMPORTAS</t>
  </si>
  <si>
    <r>
      <t>Submergência mínima (m) - S, sendo S = c .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ta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</si>
  <si>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Perda de carga na entrada da tomada d'água (m), sendo dh = 0,2. v</t>
    </r>
    <r>
      <rPr>
        <vertAlign val="subscript"/>
        <sz val="11"/>
        <color theme="1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 xml:space="preserve"> / 2g</t>
    </r>
  </si>
  <si>
    <r>
      <t>Vazão turbinada máxima total (m³/s) - Q</t>
    </r>
    <r>
      <rPr>
        <vertAlign val="subscript"/>
        <sz val="11"/>
        <rFont val="Calibri"/>
        <family val="2"/>
        <scheme val="minor"/>
      </rPr>
      <t>t</t>
    </r>
  </si>
  <si>
    <r>
      <t>Velocidade média do escoamento na comporta (m/s) - v</t>
    </r>
    <r>
      <rPr>
        <vertAlign val="subscript"/>
        <sz val="11"/>
        <rFont val="Calibri"/>
        <family val="2"/>
        <scheme val="minor"/>
      </rPr>
      <t>1</t>
    </r>
  </si>
  <si>
    <r>
      <t>Velocidade média do escoamento no túnel de adução (m/s) - v</t>
    </r>
    <r>
      <rPr>
        <vertAlign val="subscript"/>
        <sz val="11"/>
        <rFont val="Calibri"/>
        <family val="2"/>
        <scheme val="minor"/>
      </rPr>
      <t>ad</t>
    </r>
  </si>
  <si>
    <r>
      <t>Comprimento no túnel de adução (m) - L</t>
    </r>
    <r>
      <rPr>
        <vertAlign val="subscript"/>
        <sz val="11"/>
        <rFont val="Calibri"/>
        <family val="2"/>
        <scheme val="minor"/>
      </rPr>
      <t>ad</t>
    </r>
  </si>
  <si>
    <r>
      <t>Submergência mínima (m) - S, sendo S = c . v</t>
    </r>
    <r>
      <rPr>
        <vertAlign val="subscript"/>
        <sz val="11"/>
        <color theme="1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</si>
  <si>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Largura / altura da base da seção arco-retangular (m) - B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= H</t>
    </r>
    <r>
      <rPr>
        <vertAlign val="subscript"/>
        <sz val="11"/>
        <color theme="1"/>
        <rFont val="Calibri"/>
        <family val="2"/>
        <scheme val="minor"/>
      </rPr>
      <t>fu</t>
    </r>
  </si>
  <si>
    <r>
      <t>Perda de carga no túnel de fuga (m), sendo dh = (6,35 . L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. n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eq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]</t>
    </r>
  </si>
  <si>
    <r>
      <t>Comprimento do túnel de fuga (m) - L</t>
    </r>
    <r>
      <rPr>
        <vertAlign val="subscript"/>
        <sz val="11"/>
        <rFont val="Calibri"/>
        <family val="2"/>
        <scheme val="minor"/>
      </rPr>
      <t>fu</t>
    </r>
  </si>
  <si>
    <r>
      <t>Vazão bombeada máxima total (m³/s) - Q</t>
    </r>
    <r>
      <rPr>
        <vertAlign val="subscript"/>
        <sz val="11"/>
        <rFont val="Calibri"/>
        <family val="2"/>
        <scheme val="minor"/>
      </rPr>
      <t>b</t>
    </r>
  </si>
  <si>
    <r>
      <t>Nível mínimo do túnel de fuga (m) - N</t>
    </r>
    <r>
      <rPr>
        <vertAlign val="subscript"/>
        <sz val="11"/>
        <rFont val="Calibri"/>
        <family val="2"/>
        <scheme val="minor"/>
      </rPr>
      <t>nfu</t>
    </r>
  </si>
  <si>
    <r>
      <t>Velocidade média do escoamento no túnel de fuga (m/s) - v</t>
    </r>
    <r>
      <rPr>
        <vertAlign val="subscript"/>
        <sz val="11"/>
        <rFont val="Calibri"/>
        <family val="2"/>
        <scheme val="minor"/>
      </rPr>
      <t>fu</t>
    </r>
  </si>
  <si>
    <r>
      <t>Velocidade média do escoamento na comporta (m/s) - v</t>
    </r>
    <r>
      <rPr>
        <vertAlign val="subscript"/>
        <sz val="11"/>
        <rFont val="Calibri"/>
        <family val="2"/>
        <scheme val="minor"/>
      </rPr>
      <t>cp</t>
    </r>
  </si>
  <si>
    <t>Infraestrutura (m³)</t>
  </si>
  <si>
    <t>Superestrutura (m³)</t>
  </si>
  <si>
    <t>Paredes em cada uma das extremidades (m³)</t>
  </si>
  <si>
    <t>Área de montagem (m³)</t>
  </si>
  <si>
    <t>pwh_strc_shot_m3</t>
  </si>
  <si>
    <t>hsy_trce_0000_l</t>
  </si>
  <si>
    <t>hydraulic system length comprising penstock branches and the underground powerhouse</t>
  </si>
  <si>
    <t>the shortest length between the upper and the lower reservoir</t>
  </si>
  <si>
    <t>shotcrete volume of the underground powerhouse</t>
  </si>
  <si>
    <t>height and widht of the tailrace tunnel</t>
  </si>
  <si>
    <t>total lenght of the tailrace tunnel section</t>
  </si>
  <si>
    <r>
      <t>CN1 = 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- S + 2.Hta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</si>
  <si>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</si>
  <si>
    <r>
      <t>NA</t>
    </r>
    <r>
      <rPr>
        <vertAlign val="subscript"/>
        <sz val="11"/>
        <color theme="1"/>
        <rFont val="Calibri"/>
        <family val="2"/>
        <scheme val="minor"/>
      </rPr>
      <t>xch</t>
    </r>
  </si>
  <si>
    <r>
      <t>A</t>
    </r>
    <r>
      <rPr>
        <vertAlign val="subscript"/>
        <sz val="11"/>
        <color theme="1"/>
        <rFont val="Calibri"/>
        <family val="2"/>
        <scheme val="minor"/>
      </rPr>
      <t>ch</t>
    </r>
  </si>
  <si>
    <r>
      <t>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</si>
  <si>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</t>
    </r>
    <r>
      <rPr>
        <vertAlign val="subscript"/>
        <sz val="11"/>
        <color theme="1"/>
        <rFont val="Calibri"/>
        <family val="2"/>
        <scheme val="minor"/>
      </rPr>
      <t>ad</t>
    </r>
  </si>
  <si>
    <r>
      <t>A</t>
    </r>
    <r>
      <rPr>
        <vertAlign val="subscript"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= 0,8927 . Hta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</si>
  <si>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</si>
  <si>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</si>
  <si>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</si>
  <si>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(s)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</si>
  <si>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(s)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</si>
  <si>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(i)</t>
    </r>
  </si>
  <si>
    <r>
      <t>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(i)</t>
    </r>
  </si>
  <si>
    <r>
      <t>Q</t>
    </r>
    <r>
      <rPr>
        <vertAlign val="subscript"/>
        <sz val="11"/>
        <color theme="1"/>
        <rFont val="Calibri"/>
        <family val="2"/>
        <scheme val="minor"/>
      </rPr>
      <t>t</t>
    </r>
  </si>
  <si>
    <r>
      <t>Hb = NA</t>
    </r>
    <r>
      <rPr>
        <vertAlign val="subscript"/>
        <sz val="11"/>
        <color rgb="FFFF0000"/>
        <rFont val="Calibri"/>
        <family val="2"/>
        <scheme val="minor"/>
      </rPr>
      <t>med</t>
    </r>
    <r>
      <rPr>
        <sz val="11"/>
        <color rgb="FFFF0000"/>
        <rFont val="Calibri"/>
        <family val="2"/>
        <scheme val="minor"/>
      </rPr>
      <t xml:space="preserve"> (s) - NA</t>
    </r>
    <r>
      <rPr>
        <vertAlign val="subscript"/>
        <sz val="11"/>
        <color rgb="FFFF0000"/>
        <rFont val="Calibri"/>
        <family val="2"/>
        <scheme val="minor"/>
      </rPr>
      <t>med</t>
    </r>
    <r>
      <rPr>
        <sz val="11"/>
        <color rgb="FFFF0000"/>
        <rFont val="Calibri"/>
        <family val="2"/>
        <scheme val="minor"/>
      </rPr>
      <t xml:space="preserve"> (i)</t>
    </r>
  </si>
  <si>
    <r>
      <t>Na</t>
    </r>
    <r>
      <rPr>
        <vertAlign val="subscript"/>
        <sz val="11"/>
        <color theme="1"/>
        <rFont val="Calibri"/>
        <family val="2"/>
        <scheme val="minor"/>
      </rPr>
      <t>xch</t>
    </r>
    <r>
      <rPr>
        <sz val="11"/>
        <color theme="1"/>
        <rFont val="Calibri"/>
        <family val="2"/>
        <scheme val="minor"/>
      </rPr>
      <t xml:space="preserve"> = 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- 2/3 . (h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+h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+ 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</si>
  <si>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comparar com NA</t>
    </r>
    <r>
      <rPr>
        <vertAlign val="subscript"/>
        <sz val="11"/>
        <color rgb="FFFF0000"/>
        <rFont val="Calibri"/>
        <family val="2"/>
        <scheme val="minor"/>
      </rPr>
      <t>min</t>
    </r>
    <r>
      <rPr>
        <sz val="11"/>
        <color rgb="FFFF0000"/>
        <rFont val="Calibri"/>
        <family val="2"/>
        <scheme val="minor"/>
      </rPr>
      <t xml:space="preserve"> (i)+ 2*N B51 em hsrf2pwh</t>
    </r>
  </si>
  <si>
    <t xml:space="preserve"> 2.Hb</t>
  </si>
  <si>
    <t>Extensão inicial entre os dois reservatórios (m)</t>
  </si>
  <si>
    <t>medida em linha reta antes da definição do traçado</t>
  </si>
  <si>
    <r>
      <t>CN2 = NA</t>
    </r>
    <r>
      <rPr>
        <vertAlign val="subscript"/>
        <sz val="11"/>
        <color theme="1"/>
        <rFont val="Calibri"/>
        <family val="2"/>
        <scheme val="minor"/>
      </rPr>
      <t>xch</t>
    </r>
    <r>
      <rPr>
        <sz val="11"/>
        <color theme="1"/>
        <rFont val="Calibri"/>
        <family val="2"/>
        <scheme val="minor"/>
      </rPr>
      <t xml:space="preserve"> + H</t>
    </r>
    <r>
      <rPr>
        <vertAlign val="subscript"/>
        <sz val="11"/>
        <color theme="1"/>
        <rFont val="Calibri"/>
        <family val="2"/>
        <scheme val="minor"/>
      </rPr>
      <t>bl</t>
    </r>
    <r>
      <rPr>
        <sz val="11"/>
        <color theme="1"/>
        <rFont val="Calibri"/>
        <family val="2"/>
        <scheme val="minor"/>
      </rPr>
      <t xml:space="preserve">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</si>
  <si>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H</t>
    </r>
    <r>
      <rPr>
        <vertAlign val="subscript"/>
        <sz val="11"/>
        <color theme="1"/>
        <rFont val="Calibri"/>
        <family val="2"/>
        <scheme val="minor"/>
      </rPr>
      <t>bl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</si>
  <si>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</si>
  <si>
    <r>
      <t>H</t>
    </r>
    <r>
      <rPr>
        <vertAlign val="subscript"/>
        <sz val="11"/>
        <color theme="1"/>
        <rFont val="Calibri"/>
        <family val="2"/>
        <scheme val="minor"/>
      </rPr>
      <t>fu</t>
    </r>
  </si>
  <si>
    <r>
      <t>NA</t>
    </r>
    <r>
      <rPr>
        <vertAlign val="subscript"/>
        <sz val="11"/>
        <color theme="4"/>
        <rFont val="Calibri"/>
        <family val="2"/>
        <scheme val="minor"/>
      </rPr>
      <t>min</t>
    </r>
    <r>
      <rPr>
        <sz val="11"/>
        <color theme="4"/>
        <rFont val="Calibri"/>
        <family val="2"/>
        <scheme val="minor"/>
      </rPr>
      <t xml:space="preserve"> (i) + 3.H</t>
    </r>
    <r>
      <rPr>
        <vertAlign val="subscript"/>
        <sz val="11"/>
        <color theme="4"/>
        <rFont val="Calibri"/>
        <family val="2"/>
        <scheme val="minor"/>
      </rPr>
      <t>fu</t>
    </r>
    <r>
      <rPr>
        <sz val="11"/>
        <color theme="4"/>
        <rFont val="Calibri"/>
        <family val="2"/>
        <scheme val="minor"/>
      </rPr>
      <t xml:space="preserve"> + esp</t>
    </r>
  </si>
  <si>
    <r>
      <t>CN3 = LC + 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>/2 + 2.H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+ e</t>
    </r>
    <r>
      <rPr>
        <vertAlign val="subscript"/>
        <sz val="11"/>
        <color theme="1"/>
        <rFont val="Calibri"/>
        <family val="2"/>
        <scheme val="minor"/>
      </rPr>
      <t>te</t>
    </r>
  </si>
  <si>
    <r>
      <t>H</t>
    </r>
    <r>
      <rPr>
        <vertAlign val="subscript"/>
        <sz val="11"/>
        <color theme="1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 xml:space="preserve"> =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2,4 m/s</t>
    </r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</si>
  <si>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= 1,20 +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3,6 m/s</t>
    </r>
  </si>
  <si>
    <r>
      <t xml:space="preserve">Altura de escavação do túnel </t>
    </r>
    <r>
      <rPr>
        <sz val="11"/>
        <color theme="1"/>
        <rFont val="Calibri"/>
        <family val="2"/>
        <scheme val="minor"/>
      </rPr>
      <t>forçado</t>
    </r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</si>
  <si>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</si>
  <si>
    <r>
      <t>H</t>
    </r>
    <r>
      <rPr>
        <vertAlign val="subscript"/>
        <sz val="11"/>
        <color theme="1"/>
        <rFont val="Calibri"/>
        <family val="2"/>
        <scheme val="minor"/>
      </rPr>
      <t>b</t>
    </r>
  </si>
  <si>
    <r>
      <t>h</t>
    </r>
    <r>
      <rPr>
        <vertAlign val="subscript"/>
        <sz val="11"/>
        <color theme="1"/>
        <rFont val="Calibri"/>
        <family val="2"/>
        <scheme val="minor"/>
      </rPr>
      <t>p%</t>
    </r>
  </si>
  <si>
    <r>
      <t>S = c .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H</t>
    </r>
    <r>
      <rPr>
        <vertAlign val="subscript"/>
        <sz val="11"/>
        <color theme="1"/>
        <rFont val="Calibri"/>
        <family val="2"/>
        <scheme val="minor"/>
      </rPr>
      <t>ta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c = 0,8;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1,76 m/s</t>
    </r>
  </si>
  <si>
    <r>
      <t xml:space="preserve">por simplificação, Hd =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(s) - ( NA</t>
    </r>
    <r>
      <rPr>
        <vertAlign val="subscript"/>
        <sz val="11"/>
        <color rgb="FF0070C0"/>
        <rFont val="Calibri"/>
        <family val="2"/>
        <scheme val="minor"/>
      </rPr>
      <t>max</t>
    </r>
    <r>
      <rPr>
        <sz val="11"/>
        <color rgb="FF0070C0"/>
        <rFont val="Calibri"/>
        <family val="2"/>
        <scheme val="minor"/>
      </rPr>
      <t xml:space="preserve"> (i) -</t>
    </r>
    <r>
      <rPr>
        <sz val="11"/>
        <color rgb="FFFF0000"/>
        <rFont val="Calibri"/>
        <family val="2"/>
        <scheme val="minor"/>
      </rPr>
      <t xml:space="preserve"> H</t>
    </r>
    <r>
      <rPr>
        <vertAlign val="subscript"/>
        <sz val="11"/>
        <color rgb="FFFF0000"/>
        <rFont val="Calibri"/>
        <family val="2"/>
        <scheme val="minor"/>
      </rPr>
      <t>fu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</t>
    </r>
    <r>
      <rPr>
        <sz val="11"/>
        <color rgb="FFFF0000"/>
        <rFont val="Calibri"/>
        <family val="2"/>
        <scheme val="minor"/>
      </rPr>
      <t xml:space="preserve"> a avaliar </t>
    </r>
  </si>
  <si>
    <r>
      <t>Q</t>
    </r>
    <r>
      <rPr>
        <vertAlign val="subscript"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 xml:space="preserve"> = P.1000 / (9,81 . 0,88 . (1-h</t>
    </r>
    <r>
      <rPr>
        <vertAlign val="subscript"/>
        <sz val="11"/>
        <color rgb="FFFF0000"/>
        <rFont val="Calibri"/>
        <family val="2"/>
        <scheme val="minor"/>
      </rPr>
      <t>p%</t>
    </r>
    <r>
      <rPr>
        <sz val="11"/>
        <color rgb="FFFF0000"/>
        <rFont val="Calibri"/>
        <family val="2"/>
        <scheme val="minor"/>
      </rPr>
      <t>). H</t>
    </r>
    <r>
      <rPr>
        <vertAlign val="subscript"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</si>
  <si>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( (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) / 0,8927 )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>;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1,76 m/s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</si>
  <si>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NA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(s) - 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(i)</t>
    </r>
  </si>
  <si>
    <r>
      <t>= El</t>
    </r>
    <r>
      <rPr>
        <vertAlign val="subscript"/>
        <sz val="11"/>
        <rFont val="Calibri"/>
        <family val="2"/>
        <scheme val="minor"/>
      </rPr>
      <t>ch</t>
    </r>
    <r>
      <rPr>
        <sz val="11"/>
        <rFont val="Calibri"/>
        <family val="2"/>
        <scheme val="minor"/>
      </rPr>
      <t xml:space="preserve"> - H</t>
    </r>
    <r>
      <rPr>
        <vertAlign val="subscript"/>
        <sz val="11"/>
        <rFont val="Calibri"/>
        <family val="2"/>
        <scheme val="minor"/>
      </rPr>
      <t>ta</t>
    </r>
    <r>
      <rPr>
        <sz val="11"/>
        <rFont val="Calibri"/>
        <family val="2"/>
        <scheme val="minor"/>
      </rPr>
      <t>, ou, sem chaminé, por simplificação, igual a 9.999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</si>
  <si>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( (Q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0,8927 )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</si>
  <si>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'</t>
    </r>
  </si>
  <si>
    <t>Rendimento</t>
  </si>
  <si>
    <t>ver critérios para bomba, estava como dado de entrada</t>
  </si>
  <si>
    <r>
      <t>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+ 1,20 (valor constante, </t>
    </r>
    <r>
      <rPr>
        <sz val="11"/>
        <color rgb="FFFF0000"/>
        <rFont val="Calibri"/>
        <family val="2"/>
        <scheme val="minor"/>
      </rPr>
      <t xml:space="preserve">a avaliar, </t>
    </r>
    <r>
      <rPr>
        <sz val="1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concreto)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</si>
  <si>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 xml:space="preserve"> &lt; 3, redimensionar conduto para 1,8m</t>
    </r>
  </si>
  <si>
    <r>
      <t>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 = ( 4 /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)</t>
    </r>
    <r>
      <rPr>
        <vertAlign val="superscript"/>
        <sz val="11"/>
        <color theme="1"/>
        <rFont val="Calibri"/>
        <family val="2"/>
        <scheme val="minor"/>
      </rPr>
      <t>0,5</t>
    </r>
  </si>
  <si>
    <r>
      <t>dh(cf) = 6,35 * L2B . n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cf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</si>
  <si>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Hd</t>
    </r>
    <r>
      <rPr>
        <vertAlign val="subscript"/>
        <sz val="11"/>
        <color theme="1"/>
        <rFont val="Calibri"/>
        <family val="2"/>
        <scheme val="minor"/>
      </rPr>
      <t>max</t>
    </r>
  </si>
  <si>
    <r>
      <t>= 0.30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</t>
    </r>
  </si>
  <si>
    <r>
      <t>Hd</t>
    </r>
    <r>
      <rPr>
        <vertAlign val="subscript"/>
        <sz val="11"/>
        <color theme="1"/>
        <rFont val="Calibri"/>
        <family val="2"/>
        <scheme val="minor"/>
      </rPr>
      <t>calc</t>
    </r>
  </si>
  <si>
    <r>
      <t>Hd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&gt; Hd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, aumentar D</t>
    </r>
    <r>
      <rPr>
        <vertAlign val="subscript"/>
        <sz val="11"/>
        <color theme="1"/>
        <rFont val="Calibri"/>
        <family val="2"/>
        <scheme val="minor"/>
      </rPr>
      <t>cf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</si>
  <si>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' = </t>
    </r>
  </si>
  <si>
    <r>
      <t>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</si>
  <si>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/ (nf</t>
    </r>
    <r>
      <rPr>
        <vertAlign val="superscript"/>
        <sz val="11"/>
        <color theme="1"/>
        <rFont val="Calibri"/>
        <family val="2"/>
        <scheme val="minor"/>
      </rPr>
      <t>3/8</t>
    </r>
    <r>
      <rPr>
        <sz val="11"/>
        <color theme="1"/>
        <rFont val="Calibri"/>
        <family val="2"/>
        <scheme val="minor"/>
      </rPr>
      <t>)</t>
    </r>
  </si>
  <si>
    <r>
      <t>dh (cd) = 6,35 * L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. n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v</t>
    </r>
    <r>
      <rPr>
        <vertAlign val="subscript"/>
        <sz val="11"/>
        <color theme="1"/>
        <rFont val="Calibri"/>
        <family val="2"/>
        <scheme val="minor"/>
      </rPr>
      <t>cd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D</t>
    </r>
    <r>
      <rPr>
        <vertAlign val="subscript"/>
        <sz val="11"/>
        <color theme="1"/>
        <rFont val="Calibri"/>
        <family val="2"/>
        <scheme val="minor"/>
      </rPr>
      <t>nf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</si>
  <si>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(condutos aparentes)</t>
    </r>
  </si>
  <si>
    <r>
      <t>dh/H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(total)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</si>
  <si>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(túnel blindado)</t>
    </r>
  </si>
  <si>
    <r>
      <t>dh/H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(túnel sem blindagem)</t>
    </r>
  </si>
  <si>
    <r>
      <t>D</t>
    </r>
    <r>
      <rPr>
        <vertAlign val="subscript"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= (4 /</t>
    </r>
    <r>
      <rPr>
        <sz val="11"/>
        <color theme="1"/>
        <rFont val="Symbol"/>
        <family val="1"/>
        <charset val="2"/>
      </rPr>
      <t xml:space="preserve"> p</t>
    </r>
    <r>
      <rPr>
        <sz val="11"/>
        <color theme="1"/>
        <rFont val="Calibri"/>
        <family val="2"/>
        <scheme val="minor"/>
      </rPr>
      <t xml:space="preserve"> . 0,8927)</t>
    </r>
    <r>
      <rPr>
        <vertAlign val="superscript"/>
        <sz val="11"/>
        <color theme="1"/>
        <rFont val="Calibri"/>
        <family val="2"/>
        <scheme val="minor"/>
      </rPr>
      <t>0,5</t>
    </r>
    <r>
      <rPr>
        <sz val="11"/>
        <color theme="1"/>
        <rFont val="Calibri"/>
        <family val="2"/>
        <scheme val="minor"/>
      </rPr>
      <t xml:space="preserve"> .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' (área equivalente)</t>
    </r>
  </si>
  <si>
    <r>
      <t>= El</t>
    </r>
    <r>
      <rPr>
        <vertAlign val="subscript"/>
        <sz val="11"/>
        <rFont val="Calibri"/>
        <family val="2"/>
        <scheme val="minor"/>
      </rPr>
      <t>sol</t>
    </r>
    <r>
      <rPr>
        <sz val="11"/>
        <rFont val="Calibri"/>
        <family val="2"/>
        <scheme val="minor"/>
      </rPr>
      <t xml:space="preserve"> da tomada d'água</t>
    </r>
  </si>
  <si>
    <r>
      <t>15,0 m &gt; = D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&gt; = 3,0 m</t>
    </r>
  </si>
  <si>
    <r>
      <t>Q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</si>
  <si>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&gt; 15, aumentar quantidade de túneis</t>
    </r>
  </si>
  <si>
    <r>
      <t>v (H</t>
    </r>
    <r>
      <rPr>
        <vertAlign val="subscript"/>
        <sz val="11"/>
        <rFont val="Calibri"/>
        <family val="2"/>
        <scheme val="minor"/>
      </rPr>
      <t>ta</t>
    </r>
    <r>
      <rPr>
        <sz val="11"/>
        <rFont val="Calibri"/>
        <family val="2"/>
        <scheme val="minor"/>
      </rPr>
      <t>) =</t>
    </r>
  </si>
  <si>
    <r>
      <t>Se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&lt; 3, diminuir velocidade e assumir 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= 3,0 m</t>
    </r>
  </si>
  <si>
    <r>
      <t>H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min = 3,0 </t>
    </r>
  </si>
  <si>
    <r>
      <t>dh (conc conven) =  6,35 . (LP + L2A) . n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 v</t>
    </r>
    <r>
      <rPr>
        <vertAlign val="subscript"/>
        <sz val="11"/>
        <color theme="1"/>
        <rFont val="Calibri"/>
        <family val="2"/>
        <scheme val="minor"/>
      </rPr>
      <t>Hta'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/ Deq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</si>
  <si>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Hx = Pressão (m), sendo Hx = 1,3.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LC); </t>
    </r>
  </si>
  <si>
    <r>
      <t>e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= máximo (e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</si>
  <si>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10 . (0,15 + (1,3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 /10) . (D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/2 . 100) / (3300/2))</t>
    </r>
  </si>
  <si>
    <r>
      <t>Pb = nf . (e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>/1000 . D</t>
    </r>
    <r>
      <rPr>
        <vertAlign val="subscript"/>
        <sz val="11"/>
        <color theme="1"/>
        <rFont val="Calibri"/>
        <family val="2"/>
        <scheme val="minor"/>
      </rPr>
      <t>nf</t>
    </r>
    <r>
      <rPr>
        <sz val="11"/>
        <color theme="1"/>
        <rFont val="Calibri"/>
        <family val="2"/>
        <scheme val="minor"/>
      </rPr>
      <t xml:space="preserve"> .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 L2C) * 7,84</t>
    </r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</si>
  <si>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Diâmetro (m), igual a dimensão "A", de D216, em 572fv.xls</t>
    </r>
  </si>
  <si>
    <r>
      <t>ver NA</t>
    </r>
    <r>
      <rPr>
        <vertAlign val="subscript"/>
        <sz val="11"/>
        <rFont val="Calibri"/>
        <family val="2"/>
        <scheme val="minor"/>
      </rPr>
      <t>max</t>
    </r>
    <r>
      <rPr>
        <sz val="11"/>
        <rFont val="Calibri"/>
        <family val="2"/>
        <scheme val="minor"/>
      </rPr>
      <t xml:space="preserve"> em D5, planilha hsrf2rout e LC em B32, planilha hsrf2pwh</t>
    </r>
  </si>
  <si>
    <r>
      <t>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(1000 .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+ 500)/400  </t>
    </r>
  </si>
  <si>
    <r>
      <t>e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= máximo (e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</si>
  <si>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(1000 . 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 + 500)/400  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</si>
  <si>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10 . (0,15 + (1,3 . (NA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LC) /10) . (D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/2 . 100) / (3300/2))</t>
    </r>
  </si>
  <si>
    <r>
      <t>Pb = ncf . (e</t>
    </r>
    <r>
      <rPr>
        <vertAlign val="subscript"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 xml:space="preserve">/1000 . Dcf .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.  L2B) * 7,84; ncf = 1</t>
    </r>
  </si>
  <si>
    <t>Pvb =</t>
  </si>
  <si>
    <r>
      <t>= LC - H</t>
    </r>
    <r>
      <rPr>
        <vertAlign val="subscript"/>
        <sz val="11"/>
        <rFont val="Calibri"/>
        <family val="2"/>
        <scheme val="minor"/>
      </rPr>
      <t>tf</t>
    </r>
    <r>
      <rPr>
        <sz val="11"/>
        <rFont val="Calibri"/>
        <family val="2"/>
        <scheme val="minor"/>
      </rPr>
      <t>/2</t>
    </r>
  </si>
  <si>
    <t>USBR 71</t>
  </si>
  <si>
    <t>manual de inventário</t>
  </si>
  <si>
    <t>Peso do rotor da turbina (t) - USBR, 77</t>
  </si>
  <si>
    <t>Peso do fornecimento da turbina (t) - USBR, 77</t>
  </si>
  <si>
    <t>= U</t>
  </si>
  <si>
    <t>= Z</t>
  </si>
  <si>
    <t>= 2.V</t>
  </si>
  <si>
    <t>psh/hpp</t>
  </si>
  <si>
    <t xml:space="preserve">critérios? </t>
  </si>
  <si>
    <t>mais longo?</t>
  </si>
  <si>
    <t>só grade?</t>
  </si>
  <si>
    <r>
      <t>(El</t>
    </r>
    <r>
      <rPr>
        <vertAlign val="subscript"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>) - (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(i)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H</t>
    </r>
    <r>
      <rPr>
        <vertAlign val="subscript"/>
        <sz val="11"/>
        <color rgb="FFFF0000"/>
        <rFont val="Calibri"/>
        <family val="2"/>
        <scheme val="minor"/>
      </rPr>
      <t>fu</t>
    </r>
    <r>
      <rPr>
        <sz val="11"/>
        <color theme="1"/>
        <rFont val="Calibri"/>
        <family val="2"/>
        <scheme val="minor"/>
      </rPr>
      <t>) + H</t>
    </r>
    <r>
      <rPr>
        <vertAlign val="subscript"/>
        <sz val="11"/>
        <color theme="1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>/2 &gt; 0,8.H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a avaliar</t>
    </r>
  </si>
  <si>
    <r>
      <t xml:space="preserve">soil thickness on the hydraulic circuit alignment </t>
    </r>
    <r>
      <rPr>
        <sz val="11"/>
        <color rgb="FFFF0000"/>
        <rFont val="Calibri"/>
        <family val="2"/>
        <scheme val="minor"/>
      </rPr>
      <t>ROUTE STNK, PWH</t>
    </r>
  </si>
  <si>
    <r>
      <t xml:space="preserve">soil thickness on the site of a reservoir </t>
    </r>
    <r>
      <rPr>
        <sz val="11"/>
        <color rgb="FFFF0000"/>
        <rFont val="Calibri"/>
        <family val="2"/>
        <scheme val="minor"/>
      </rPr>
      <t>INTK sup WATC 1, ROUTE INLET</t>
    </r>
  </si>
  <si>
    <r>
      <t>soil thickness on the left riverbank</t>
    </r>
    <r>
      <rPr>
        <sz val="11"/>
        <color rgb="FFFF0000"/>
        <rFont val="Calibri"/>
        <family val="2"/>
        <scheme val="minor"/>
      </rPr>
      <t xml:space="preserve"> INTK sup WATC 0, ROUTE INLET</t>
    </r>
  </si>
  <si>
    <r>
      <t xml:space="preserve">soil thickness on the right riverbank </t>
    </r>
    <r>
      <rPr>
        <sz val="11"/>
        <color rgb="FFFF0000"/>
        <rFont val="Calibri"/>
        <family val="2"/>
        <scheme val="minor"/>
      </rPr>
      <t>INTK sup WATC 0, ROUTE INLET</t>
    </r>
  </si>
  <si>
    <r>
      <t>Altura total (m) - H</t>
    </r>
    <r>
      <rPr>
        <vertAlign val="subscript"/>
        <sz val="11"/>
        <rFont val="Calibri"/>
        <family val="2"/>
        <scheme val="minor"/>
      </rPr>
      <t>cp</t>
    </r>
  </si>
  <si>
    <r>
      <t>Largura (m) - B</t>
    </r>
    <r>
      <rPr>
        <vertAlign val="subscript"/>
        <sz val="11"/>
        <rFont val="Calibri"/>
        <family val="2"/>
        <scheme val="minor"/>
      </rPr>
      <t>cp</t>
    </r>
  </si>
  <si>
    <r>
      <t>k = B</t>
    </r>
    <r>
      <rPr>
        <b/>
        <vertAlign val="subscript"/>
        <sz val="11"/>
        <rFont val="Calibri"/>
        <family val="2"/>
        <scheme val="minor"/>
      </rPr>
      <t>cp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x H</t>
    </r>
    <r>
      <rPr>
        <b/>
        <vertAlign val="subscript"/>
        <sz val="11"/>
        <rFont val="Calibri"/>
        <family val="2"/>
        <scheme val="minor"/>
      </rPr>
      <t>cp</t>
    </r>
    <r>
      <rPr>
        <b/>
        <sz val="11"/>
        <rFont val="Calibri"/>
        <family val="2"/>
        <scheme val="minor"/>
      </rPr>
      <t xml:space="preserve"> x H</t>
    </r>
    <r>
      <rPr>
        <b/>
        <vertAlign val="subscript"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 xml:space="preserve"> / 1000</t>
    </r>
  </si>
  <si>
    <t>Custo</t>
  </si>
  <si>
    <r>
      <t>k' = B</t>
    </r>
    <r>
      <rPr>
        <vertAlign val="subscript"/>
        <sz val="11"/>
        <rFont val="Calibri"/>
        <family val="2"/>
        <scheme val="minor"/>
      </rPr>
      <t>cp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x H</t>
    </r>
    <r>
      <rPr>
        <vertAlign val="subscript"/>
        <sz val="11"/>
        <rFont val="Calibri"/>
        <family val="2"/>
        <scheme val="minor"/>
      </rPr>
      <t>cp</t>
    </r>
    <r>
      <rPr>
        <sz val="11"/>
        <rFont val="Calibri"/>
        <family val="2"/>
        <scheme val="minor"/>
      </rPr>
      <t xml:space="preserve"> x H</t>
    </r>
    <r>
      <rPr>
        <vertAlign val="subscript"/>
        <sz val="11"/>
        <rFont val="Calibri"/>
        <family val="2"/>
        <scheme val="minor"/>
      </rPr>
      <t>x</t>
    </r>
    <r>
      <rPr>
        <sz val="11"/>
        <rFont val="Calibri"/>
        <family val="2"/>
        <scheme val="minor"/>
      </rPr>
      <t xml:space="preserve"> / 1000</t>
    </r>
  </si>
  <si>
    <t>Custo FOB  (MI, 2007) - R$</t>
  </si>
  <si>
    <t>Quantidade de divisões teóricas no vão da comporta</t>
  </si>
  <si>
    <t>Potência (kVA)</t>
  </si>
  <si>
    <t>validade para 1000</t>
  </si>
  <si>
    <t>Peças fixas (MI, 2007) - R$</t>
  </si>
  <si>
    <r>
      <t>Quantidade de Vãos do Tubo de Sucção (N</t>
    </r>
    <r>
      <rPr>
        <vertAlign val="subscript"/>
        <sz val="11"/>
        <rFont val="Calibri"/>
        <family val="2"/>
        <scheme val="minor"/>
      </rPr>
      <t>vs</t>
    </r>
    <r>
      <rPr>
        <sz val="11"/>
        <rFont val="Calibri"/>
        <family val="2"/>
        <scheme val="minor"/>
      </rPr>
      <t>)</t>
    </r>
  </si>
  <si>
    <r>
      <t>Largura do bloco da unidade (m) - B</t>
    </r>
    <r>
      <rPr>
        <vertAlign val="subscript"/>
        <sz val="11"/>
        <rFont val="Calibri"/>
        <family val="2"/>
        <scheme val="minor"/>
      </rPr>
      <t>1cf</t>
    </r>
  </si>
  <si>
    <r>
      <t>Largura total da casa de força (m) - B</t>
    </r>
    <r>
      <rPr>
        <vertAlign val="subscript"/>
        <sz val="11"/>
        <rFont val="Calibri"/>
        <family val="2"/>
        <scheme val="minor"/>
      </rPr>
      <t>cf</t>
    </r>
  </si>
  <si>
    <r>
      <t>Largura total da área de montagem (m) - B</t>
    </r>
    <r>
      <rPr>
        <vertAlign val="subscript"/>
        <sz val="11"/>
        <rFont val="Calibri"/>
        <family val="2"/>
        <scheme val="minor"/>
      </rPr>
      <t>am</t>
    </r>
  </si>
  <si>
    <r>
      <t>Comprimento da superestrutura (m) - L</t>
    </r>
    <r>
      <rPr>
        <vertAlign val="subscript"/>
        <sz val="11"/>
        <rFont val="Calibri"/>
        <family val="2"/>
        <scheme val="minor"/>
      </rPr>
      <t>cs</t>
    </r>
  </si>
  <si>
    <r>
      <t>Comprimento da casa de força (m) - L</t>
    </r>
    <r>
      <rPr>
        <vertAlign val="subscript"/>
        <sz val="11"/>
        <rFont val="Calibri"/>
        <family val="2"/>
        <scheme val="minor"/>
      </rPr>
      <t>cf</t>
    </r>
  </si>
  <si>
    <r>
      <t>Comprimento da área de montagem (m) - L</t>
    </r>
    <r>
      <rPr>
        <vertAlign val="subscript"/>
        <sz val="11"/>
        <rFont val="Calibri"/>
        <family val="2"/>
        <scheme val="minor"/>
      </rPr>
      <t>am</t>
    </r>
  </si>
  <si>
    <r>
      <t>Diâmetro centro do rotor (m) - D</t>
    </r>
    <r>
      <rPr>
        <vertAlign val="subscript"/>
        <sz val="11"/>
        <rFont val="Calibri"/>
        <family val="2"/>
        <scheme val="minor"/>
      </rPr>
      <t>1</t>
    </r>
  </si>
  <si>
    <r>
      <t>Diâmetro da Garganta do Rotor (D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</si>
  <si>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Diâmetro Máximo do Rotor (D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</si>
  <si>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Altura Superior do Rotor (H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)</t>
    </r>
  </si>
  <si>
    <r>
      <t>Altura Inferior do Rotor (H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</si>
  <si>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Número de Unidades - N</t>
    </r>
    <r>
      <rPr>
        <vertAlign val="subscript"/>
        <sz val="11"/>
        <rFont val="Calibri"/>
        <family val="2"/>
        <scheme val="minor"/>
      </rPr>
      <t>g</t>
    </r>
  </si>
  <si>
    <r>
      <t>Altura de Recalque Nominal (m) - H</t>
    </r>
    <r>
      <rPr>
        <vertAlign val="subscript"/>
        <sz val="11"/>
        <rFont val="Calibri"/>
        <family val="2"/>
        <scheme val="minor"/>
      </rPr>
      <t>p</t>
    </r>
  </si>
  <si>
    <r>
      <t>Altura de Recalque Mínima (m) - H</t>
    </r>
    <r>
      <rPr>
        <vertAlign val="subscript"/>
        <sz val="11"/>
        <rFont val="Calibri"/>
        <family val="2"/>
        <scheme val="minor"/>
      </rPr>
      <t>pm</t>
    </r>
  </si>
  <si>
    <r>
      <t>Altura de Recalque Máxima (m) - H</t>
    </r>
    <r>
      <rPr>
        <vertAlign val="subscript"/>
        <sz val="11"/>
        <rFont val="Calibri"/>
        <family val="2"/>
        <scheme val="minor"/>
      </rPr>
      <t>pM</t>
    </r>
  </si>
  <si>
    <r>
      <t>Queda Nominal (m) - H</t>
    </r>
    <r>
      <rPr>
        <vertAlign val="subscript"/>
        <sz val="11"/>
        <rFont val="Calibri"/>
        <family val="2"/>
        <scheme val="minor"/>
      </rPr>
      <t>t</t>
    </r>
  </si>
  <si>
    <r>
      <t>Potência Nominal (kW) - P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P</t>
    </r>
    <r>
      <rPr>
        <vertAlign val="subscript"/>
        <sz val="11"/>
        <rFont val="Calibri"/>
        <family val="2"/>
        <scheme val="minor"/>
      </rPr>
      <t>t</t>
    </r>
  </si>
  <si>
    <r>
      <t>Relação (P</t>
    </r>
    <r>
      <rPr>
        <vertAlign val="subscript"/>
        <sz val="11"/>
        <rFont val="Calibri"/>
        <family val="2"/>
        <scheme val="minor"/>
      </rPr>
      <t xml:space="preserve">p </t>
    </r>
    <r>
      <rPr>
        <sz val="11"/>
        <rFont val="Calibri"/>
        <family val="2"/>
        <scheme val="minor"/>
      </rPr>
      <t>/ P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</t>
    </r>
  </si>
  <si>
    <r>
      <t>Relação (H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H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</t>
    </r>
  </si>
  <si>
    <r>
      <t>Potência nominal (kW) - P</t>
    </r>
    <r>
      <rPr>
        <vertAlign val="subscript"/>
        <sz val="11"/>
        <rFont val="Calibri"/>
        <family val="2"/>
        <scheme val="minor"/>
      </rPr>
      <t>pc</t>
    </r>
  </si>
  <si>
    <r>
      <t>Relação P</t>
    </r>
    <r>
      <rPr>
        <vertAlign val="subscript"/>
        <sz val="11"/>
        <rFont val="Calibri"/>
        <family val="2"/>
        <scheme val="minor"/>
      </rPr>
      <t>pc</t>
    </r>
    <r>
      <rPr>
        <sz val="11"/>
        <rFont val="Calibri"/>
        <family val="2"/>
        <scheme val="minor"/>
      </rPr>
      <t xml:space="preserve"> / P</t>
    </r>
    <r>
      <rPr>
        <vertAlign val="subscript"/>
        <sz val="11"/>
        <rFont val="Calibri"/>
        <family val="2"/>
        <scheme val="minor"/>
      </rPr>
      <t>t</t>
    </r>
  </si>
  <si>
    <r>
      <t>Capacidade máxima (kW) - P</t>
    </r>
    <r>
      <rPr>
        <vertAlign val="subscript"/>
        <sz val="11"/>
        <rFont val="Calibri"/>
        <family val="2"/>
        <scheme val="minor"/>
      </rPr>
      <t>pm</t>
    </r>
  </si>
  <si>
    <r>
      <t>Coeficiente de velocidade de disparo - k</t>
    </r>
    <r>
      <rPr>
        <vertAlign val="subscript"/>
        <sz val="11"/>
        <rFont val="Calibri"/>
        <family val="2"/>
        <scheme val="minor"/>
      </rPr>
      <t>u</t>
    </r>
  </si>
  <si>
    <r>
      <t>Altura de sucção referente à LC do distribuidor (m) - H</t>
    </r>
    <r>
      <rPr>
        <vertAlign val="subscript"/>
        <sz val="11"/>
        <rFont val="Calibri"/>
        <family val="2"/>
        <scheme val="minor"/>
      </rPr>
      <t>s</t>
    </r>
  </si>
  <si>
    <r>
      <t>Velocidade de disparo (rpm) - n</t>
    </r>
    <r>
      <rPr>
        <vertAlign val="subscript"/>
        <sz val="11"/>
        <rFont val="Calibri"/>
        <family val="2"/>
        <scheme val="minor"/>
      </rPr>
      <t xml:space="preserve">f </t>
    </r>
  </si>
  <si>
    <r>
      <t>Velocidade específica (n</t>
    </r>
    <r>
      <rPr>
        <vertAlign val="subscript"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 xml:space="preserve"> / n</t>
    </r>
    <r>
      <rPr>
        <vertAlign val="sub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>)</t>
    </r>
  </si>
  <si>
    <r>
      <t>Velocidade específica estatística (n</t>
    </r>
    <r>
      <rPr>
        <vertAlign val="subscript"/>
        <sz val="11"/>
        <rFont val="Calibri"/>
        <family val="2"/>
        <scheme val="minor"/>
      </rPr>
      <t>spe</t>
    </r>
    <r>
      <rPr>
        <sz val="11"/>
        <rFont val="Calibri"/>
        <family val="2"/>
        <scheme val="minor"/>
      </rPr>
      <t xml:space="preserve"> / n</t>
    </r>
    <r>
      <rPr>
        <vertAlign val="subscript"/>
        <sz val="11"/>
        <rFont val="Calibri"/>
        <family val="2"/>
        <scheme val="minor"/>
      </rPr>
      <t>ste</t>
    </r>
    <r>
      <rPr>
        <sz val="11"/>
        <rFont val="Calibri"/>
        <family val="2"/>
        <scheme val="minor"/>
      </rPr>
      <t>)</t>
    </r>
  </si>
  <si>
    <r>
      <t>Velocidade de rotação preliminar (n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)</t>
    </r>
  </si>
  <si>
    <r>
      <t xml:space="preserve">Altura estática máxima (m) - </t>
    </r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p</t>
    </r>
  </si>
  <si>
    <r>
      <t xml:space="preserve">Coeficiente de cavitação teórico - </t>
    </r>
    <r>
      <rPr>
        <sz val="11"/>
        <rFont val="Symbol"/>
        <family val="1"/>
        <charset val="2"/>
      </rPr>
      <t>s</t>
    </r>
    <r>
      <rPr>
        <vertAlign val="subscript"/>
        <sz val="11"/>
        <rFont val="Calibri"/>
        <family val="2"/>
        <scheme val="minor"/>
      </rPr>
      <t>T</t>
    </r>
  </si>
  <si>
    <r>
      <t xml:space="preserve">Coeficiente de cavitação adotado - </t>
    </r>
    <r>
      <rPr>
        <sz val="11"/>
        <rFont val="Symbol"/>
        <family val="1"/>
        <charset val="2"/>
      </rPr>
      <t>s</t>
    </r>
  </si>
  <si>
    <r>
      <t xml:space="preserve">dam crest elevation </t>
    </r>
    <r>
      <rPr>
        <sz val="11"/>
        <color rgb="FFFF0000"/>
        <rFont val="Calibri"/>
        <family val="2"/>
        <scheme val="minor"/>
      </rPr>
      <t>INTK inf</t>
    </r>
  </si>
  <si>
    <r>
      <t>dam crest width</t>
    </r>
    <r>
      <rPr>
        <sz val="11"/>
        <color rgb="FFFF0000"/>
        <rFont val="Calibri"/>
        <family val="2"/>
        <scheme val="minor"/>
      </rPr>
      <t xml:space="preserve"> INTK inf</t>
    </r>
  </si>
  <si>
    <r>
      <t xml:space="preserve">soil thickness on the site of a reservoir </t>
    </r>
    <r>
      <rPr>
        <sz val="11"/>
        <color rgb="FFFF0000"/>
        <rFont val="Calibri"/>
        <family val="2"/>
        <scheme val="minor"/>
      </rPr>
      <t>INTK inf WATC 1, ROUTE OUTLET</t>
    </r>
  </si>
  <si>
    <r>
      <t xml:space="preserve">soil thickness on the left riverbank </t>
    </r>
    <r>
      <rPr>
        <sz val="11"/>
        <color rgb="FFFF0000"/>
        <rFont val="Calibri"/>
        <family val="2"/>
        <scheme val="minor"/>
      </rPr>
      <t>INTK inf WATC 0, ROUTE OUTLET</t>
    </r>
  </si>
  <si>
    <r>
      <t xml:space="preserve">soil thickness on the right riverbank </t>
    </r>
    <r>
      <rPr>
        <sz val="11"/>
        <color rgb="FFFF0000"/>
        <rFont val="Calibri"/>
        <family val="2"/>
        <scheme val="minor"/>
      </rPr>
      <t>INTK inf WATC 0,  ROUTE OUTLET</t>
    </r>
  </si>
  <si>
    <t>Benfeitorias na área da usina  (MI, 2007) - R$</t>
  </si>
  <si>
    <t>Instalações e acabamentos  (MI, 2007) - R$</t>
  </si>
  <si>
    <r>
      <t>Distância entre a face externa de montante e a LC (m) - d</t>
    </r>
    <r>
      <rPr>
        <vertAlign val="subscript"/>
        <sz val="11"/>
        <rFont val="Calibri"/>
        <family val="2"/>
        <scheme val="minor"/>
      </rPr>
      <t>1</t>
    </r>
  </si>
  <si>
    <r>
      <t>Distância entre a LC e a face externa de jusante (m) - d</t>
    </r>
    <r>
      <rPr>
        <vertAlign val="subscript"/>
        <sz val="11"/>
        <rFont val="Calibri"/>
        <family val="2"/>
        <scheme val="minor"/>
      </rPr>
      <t>2</t>
    </r>
  </si>
  <si>
    <r>
      <t>Total de concreto estrutural (m³) - V</t>
    </r>
    <r>
      <rPr>
        <b/>
        <vertAlign val="subscript"/>
        <sz val="11"/>
        <rFont val="Calibri"/>
        <family val="2"/>
        <scheme val="minor"/>
      </rPr>
      <t>ccf</t>
    </r>
  </si>
  <si>
    <r>
      <t>Total de concreto projetado (m³) - V</t>
    </r>
    <r>
      <rPr>
        <b/>
        <vertAlign val="subscript"/>
        <sz val="11"/>
        <rFont val="Calibri"/>
        <family val="2"/>
        <scheme val="minor"/>
      </rPr>
      <t>cp</t>
    </r>
  </si>
  <si>
    <t>pwh_strc_ugex_m3</t>
  </si>
  <si>
    <t>underground rock excavation volume of the powerhouse</t>
  </si>
  <si>
    <r>
      <t>Total de escavação subterrânea (m³) - V</t>
    </r>
    <r>
      <rPr>
        <b/>
        <vertAlign val="subscript"/>
        <sz val="11"/>
        <rFont val="Calibri"/>
        <family val="2"/>
        <scheme val="minor"/>
      </rPr>
      <t>scf</t>
    </r>
  </si>
  <si>
    <r>
      <t>Diametro do Poço (D</t>
    </r>
    <r>
      <rPr>
        <vertAlign val="subscript"/>
        <sz val="11"/>
        <rFont val="Calibri"/>
        <family val="2"/>
        <scheme val="minor"/>
      </rPr>
      <t>pg</t>
    </r>
    <r>
      <rPr>
        <sz val="11"/>
        <rFont val="Calibri"/>
        <family val="2"/>
        <scheme val="minor"/>
      </rPr>
      <t>)</t>
    </r>
  </si>
  <si>
    <t>Elevação do deck</t>
  </si>
  <si>
    <t>QUANTITATIVOS DA CASA DE FORÇA</t>
  </si>
  <si>
    <t>ver B24 em hsrf2stnk</t>
  </si>
  <si>
    <t>ver B16 em hsrf2intk</t>
  </si>
  <si>
    <t>ver B9 em hsrf2stnk</t>
  </si>
  <si>
    <t>ver B10 em hsrf2stnk</t>
  </si>
  <si>
    <t>ver B23 em hsrf2stnk</t>
  </si>
  <si>
    <t>ver B21 em hsrf2stnk</t>
  </si>
  <si>
    <t>ver B12-B13 em hsrf2stnk</t>
  </si>
  <si>
    <r>
      <t>Vazão (m³/s) - Q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/ Q</t>
    </r>
    <r>
      <rPr>
        <vertAlign val="subscript"/>
        <sz val="11"/>
        <rFont val="Calibri"/>
        <family val="2"/>
        <scheme val="minor"/>
      </rPr>
      <t>t</t>
    </r>
  </si>
  <si>
    <r>
      <t xml:space="preserve">Variação da capacidade relativa - </t>
    </r>
    <r>
      <rPr>
        <sz val="11"/>
        <rFont val="Symbol"/>
        <family val="1"/>
        <charset val="2"/>
      </rPr>
      <t>l</t>
    </r>
  </si>
  <si>
    <r>
      <t>Relação entre quedas (H</t>
    </r>
    <r>
      <rPr>
        <vertAlign val="subscript"/>
        <sz val="11"/>
        <rFont val="Calibri"/>
        <family val="2"/>
        <scheme val="minor"/>
      </rPr>
      <t xml:space="preserve">pm </t>
    </r>
    <r>
      <rPr>
        <sz val="11"/>
        <rFont val="Calibri"/>
        <family val="2"/>
        <scheme val="minor"/>
      </rPr>
      <t>/ 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)</t>
    </r>
  </si>
  <si>
    <r>
      <t>Diâmetro do poço do gerador (m) - D</t>
    </r>
    <r>
      <rPr>
        <vertAlign val="subscript"/>
        <sz val="11"/>
        <rFont val="Calibri"/>
        <family val="2"/>
        <scheme val="minor"/>
      </rPr>
      <t>pg</t>
    </r>
  </si>
  <si>
    <r>
      <t>Potência Unitária Máxima - P</t>
    </r>
    <r>
      <rPr>
        <vertAlign val="subscript"/>
        <sz val="11"/>
        <rFont val="Calibri"/>
        <family val="2"/>
        <scheme val="minor"/>
      </rPr>
      <t>1xt</t>
    </r>
  </si>
  <si>
    <r>
      <t>Potência Unitária Mínima - P</t>
    </r>
    <r>
      <rPr>
        <vertAlign val="subscript"/>
        <sz val="11"/>
        <rFont val="Calibri"/>
        <family val="2"/>
        <scheme val="minor"/>
      </rPr>
      <t>1nt</t>
    </r>
  </si>
  <si>
    <t>nf = número de unidades (B10, em hsrf2pwh)</t>
  </si>
  <si>
    <r>
      <t>Número Mínimo de Unidades - N</t>
    </r>
    <r>
      <rPr>
        <vertAlign val="subscript"/>
        <sz val="11"/>
        <rFont val="Calibri"/>
        <family val="2"/>
        <scheme val="minor"/>
      </rPr>
      <t>gnt</t>
    </r>
  </si>
  <si>
    <t>TOMADA D´ÁGUA DO BOMBEAMENTO</t>
  </si>
  <si>
    <t>psh_pump_flow_q</t>
  </si>
  <si>
    <r>
      <t xml:space="preserve">pumping time of the pumped storage hydro </t>
    </r>
    <r>
      <rPr>
        <sz val="11"/>
        <color rgb="FFFF0000"/>
        <rFont val="Calibri"/>
        <family val="2"/>
        <scheme val="minor"/>
      </rPr>
      <t>(dado de saída)</t>
    </r>
  </si>
  <si>
    <t>ku</t>
  </si>
  <si>
    <t>B3</t>
  </si>
  <si>
    <t>B5</t>
  </si>
  <si>
    <t>D1</t>
  </si>
  <si>
    <t>=(B31*60*((2*9,81*B3)^0,5))/(3,14*B35)</t>
  </si>
  <si>
    <t xml:space="preserve">B22 </t>
  </si>
  <si>
    <t>B31</t>
  </si>
  <si>
    <t>B35</t>
  </si>
  <si>
    <t>=SE(B22&lt;190;B36;(B36/(1,198-(0,00104*B22))))</t>
  </si>
  <si>
    <t>B36</t>
  </si>
  <si>
    <t>Diâmetro centro do rotor (m) - D1</t>
  </si>
  <si>
    <r>
      <t>Velocidade específica (n</t>
    </r>
    <r>
      <rPr>
        <vertAlign val="subscript"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>)</t>
    </r>
  </si>
  <si>
    <t>D2 = D3</t>
  </si>
  <si>
    <t>H1</t>
  </si>
  <si>
    <t>O</t>
  </si>
  <si>
    <t>T</t>
  </si>
  <si>
    <t>Z</t>
  </si>
  <si>
    <t>(N+H1)</t>
  </si>
  <si>
    <t>=(B36*(0,54+(0,0019*B22)))</t>
  </si>
  <si>
    <t>=B41*(1,54+203,5/B22)+0,4*B41 + B36*(-0,0438+(0,00121*B22))</t>
  </si>
  <si>
    <t>B41</t>
  </si>
  <si>
    <t>tubular</t>
  </si>
  <si>
    <t>convencional</t>
  </si>
  <si>
    <t>HELMAR</t>
  </si>
  <si>
    <t>AC</t>
  </si>
  <si>
    <t>=SE((B5/B3)&lt;1,15;(0,895+(1,07*0,001*B22));(0,915+(1,07*0,001*B22)))</t>
  </si>
  <si>
    <t>=(B36)*(-0,0438+(0,00121*B22))</t>
  </si>
  <si>
    <t>=(B36*(0,57+(0,00033*B22)))</t>
  </si>
  <si>
    <t>=(B36*(2,32+(0,0059*B22)))</t>
  </si>
  <si>
    <t>=(B36*(0,55+(0,0028*B22)))</t>
  </si>
  <si>
    <t>=(B36*(-0,083+(0,012*B22)))</t>
  </si>
  <si>
    <t xml:space="preserve">Quantidade </t>
  </si>
  <si>
    <t>grades: 1,0 m/s</t>
  </si>
  <si>
    <t>estrangulamento: 2,0 m/s</t>
  </si>
  <si>
    <t>comporta: 2,5 m/s</t>
  </si>
  <si>
    <t>Quantidade de circuitos de adução</t>
  </si>
  <si>
    <t xml:space="preserve">Vazão turbinada máxima por circuito (m³/s) </t>
  </si>
  <si>
    <t>0,8* Hcp</t>
  </si>
  <si>
    <t>restrição inserida nesta planilha</t>
  </si>
  <si>
    <t>Equipamento (t)</t>
  </si>
  <si>
    <t>Quantidade de tomadas</t>
  </si>
  <si>
    <t>* Velocidade Admissível = 80% Velocidade Máxima (manual) =&gt; sugestão do grupo = 70%</t>
  </si>
  <si>
    <t>1 por circuito</t>
  </si>
  <si>
    <t>para seção igual a do túnel, como no manual</t>
  </si>
  <si>
    <t>OUTROS ITENS</t>
  </si>
  <si>
    <t>hsy_tunn_0000_n</t>
  </si>
  <si>
    <t>bomba</t>
  </si>
  <si>
    <t>desconta TA</t>
  </si>
  <si>
    <t>variável de saída HTA max = 15</t>
  </si>
  <si>
    <r>
      <t xml:space="preserve">por simplificação, </t>
    </r>
    <r>
      <rPr>
        <sz val="11"/>
        <color rgb="FF0070C0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 xml:space="preserve"> . (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med</t>
    </r>
    <r>
      <rPr>
        <sz val="11"/>
        <color rgb="FF0070C0"/>
        <rFont val="Calibri"/>
        <family val="2"/>
        <scheme val="minor"/>
      </rPr>
      <t xml:space="preserve"> (s) - NA</t>
    </r>
    <r>
      <rPr>
        <vertAlign val="subscript"/>
        <sz val="11"/>
        <color rgb="FF0070C0"/>
        <rFont val="Calibri"/>
        <family val="2"/>
        <scheme val="minor"/>
      </rPr>
      <t>med</t>
    </r>
    <r>
      <rPr>
        <sz val="11"/>
        <color rgb="FF0070C0"/>
        <rFont val="Calibri"/>
        <family val="2"/>
        <scheme val="minor"/>
      </rPr>
      <t xml:space="preserve"> (i) </t>
    </r>
    <r>
      <rPr>
        <sz val="11"/>
        <color theme="1"/>
        <rFont val="Calibri"/>
        <family val="2"/>
        <scheme val="minor"/>
      </rPr>
      <t>)</t>
    </r>
  </si>
  <si>
    <t>number of hydraulic conveyances by tunnel</t>
  </si>
  <si>
    <t>NAmin + Hfu + ete</t>
  </si>
  <si>
    <r>
      <t xml:space="preserve">TRECHO BLINDADO </t>
    </r>
    <r>
      <rPr>
        <b/>
        <sz val="11"/>
        <color theme="4"/>
        <rFont val="Calibri"/>
        <family val="2"/>
        <scheme val="minor"/>
      </rPr>
      <t>E CASA DE FORÇA</t>
    </r>
    <r>
      <rPr>
        <b/>
        <sz val="11"/>
        <color theme="1"/>
        <rFont val="Calibri"/>
        <family val="2"/>
        <scheme val="minor"/>
      </rPr>
      <t xml:space="preserve"> - Parâmetros para definição da extensão e posicionamento</t>
    </r>
  </si>
  <si>
    <t>CARACTERÍSTICAS DA BOMBA-TURBINA</t>
  </si>
  <si>
    <r>
      <t>Vazão (m³/s) - Q</t>
    </r>
    <r>
      <rPr>
        <vertAlign val="subscript"/>
        <sz val="11"/>
        <rFont val="Calibri"/>
        <family val="2"/>
        <scheme val="minor"/>
      </rPr>
      <t>p</t>
    </r>
  </si>
  <si>
    <t>ver critérios: como manual, padrão como dado de entrada?</t>
  </si>
  <si>
    <t xml:space="preserve">pumping inflow </t>
  </si>
  <si>
    <t>???</t>
  </si>
  <si>
    <t>referência: Ewaldo</t>
  </si>
  <si>
    <t>referência: Bettarello</t>
  </si>
  <si>
    <t>Queda</t>
  </si>
  <si>
    <t>Bomba</t>
  </si>
  <si>
    <t>para não dar erro</t>
  </si>
  <si>
    <t>Tecnologia adotada quanto à velocidade do conjunto</t>
  </si>
  <si>
    <r>
      <t>Perda de carga na entrada da tomada d'água (m), sendo dh = 0,2. v</t>
    </r>
    <r>
      <rPr>
        <vertAlign val="subscript"/>
        <sz val="11"/>
        <color theme="1"/>
        <rFont val="Calibri"/>
        <family val="2"/>
        <scheme val="minor"/>
      </rPr>
      <t>cp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2g</t>
    </r>
  </si>
  <si>
    <r>
      <t>Perda de carga no orifício da chaminé (m) - dh = 0,85. v</t>
    </r>
    <r>
      <rPr>
        <vertAlign val="subscript"/>
        <sz val="11"/>
        <color theme="1"/>
        <rFont val="Calibri"/>
        <family val="2"/>
        <scheme val="minor"/>
      </rPr>
      <t>fu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2g</t>
    </r>
  </si>
  <si>
    <t xml:space="preserve">Declividade </t>
  </si>
  <si>
    <t>Elevação superior máxima da chaminé de equilíbrio (m)</t>
  </si>
  <si>
    <t>Elevação inferior mínima da chaminé de equilíbrio (m)</t>
  </si>
  <si>
    <t>hydraulic system length comprising the underground tailrace and the pumping intake (first value &lt;&gt; 0)</t>
  </si>
  <si>
    <t>Hs Water Power bomba</t>
  </si>
  <si>
    <t>Hs TOSHIBA bomba</t>
  </si>
  <si>
    <t>em verde, substituído por PROC</t>
  </si>
  <si>
    <t>I26: #REF!</t>
  </si>
  <si>
    <t>I27: #REF!</t>
  </si>
  <si>
    <t>I28: #REF!</t>
  </si>
  <si>
    <t>I29: #REF!</t>
  </si>
  <si>
    <t>I30: #REF!</t>
  </si>
  <si>
    <t>I33: #REF!</t>
  </si>
  <si>
    <t>I35: #REF!</t>
  </si>
  <si>
    <t>I36: #REF!</t>
  </si>
  <si>
    <t>I37: #REF!</t>
  </si>
  <si>
    <t>I38: #REF!</t>
  </si>
  <si>
    <t>I42: #REF!</t>
  </si>
  <si>
    <t>I44: #REF!</t>
  </si>
  <si>
    <t>I45: #REF!</t>
  </si>
  <si>
    <t>I46: #REF!</t>
  </si>
  <si>
    <t>I47: #REF!</t>
  </si>
  <si>
    <t>I48: #REF!</t>
  </si>
  <si>
    <t>I49: #REF!</t>
  </si>
  <si>
    <t>I50: #REF!</t>
  </si>
  <si>
    <t>I51: #REF!</t>
  </si>
  <si>
    <t>I52: #REF!</t>
  </si>
  <si>
    <t>I53: #REF!</t>
  </si>
  <si>
    <t>I54: #REF!</t>
  </si>
  <si>
    <t>I55: #REF!</t>
  </si>
  <si>
    <t>I56: #REF!</t>
  </si>
  <si>
    <t>I57: #REF!</t>
  </si>
  <si>
    <t>I58: #REF!</t>
  </si>
  <si>
    <t>I59: #REF!</t>
  </si>
  <si>
    <t>I60: #REF!</t>
  </si>
  <si>
    <t>I62: #REF!</t>
  </si>
  <si>
    <t>I63: #REF!</t>
  </si>
  <si>
    <t>I64: #REF!</t>
  </si>
  <si>
    <t>I65: #REF!</t>
  </si>
  <si>
    <t>I66: #REF!</t>
  </si>
  <si>
    <t>I80: #REF!</t>
  </si>
  <si>
    <t>I82: #REF!</t>
  </si>
  <si>
    <t>I83: #REF!</t>
  </si>
  <si>
    <t>I85: #REF!</t>
  </si>
  <si>
    <t>I86: #REF!</t>
  </si>
  <si>
    <t>I88: #REF!</t>
  </si>
  <si>
    <t>I89: #REF!</t>
  </si>
  <si>
    <t>I90: #REF!</t>
  </si>
  <si>
    <t>I91: #REF!</t>
  </si>
  <si>
    <t>I92: #REF!</t>
  </si>
  <si>
    <t>I93: #REF!</t>
  </si>
  <si>
    <t>I94: #REF!</t>
  </si>
  <si>
    <t>I95: #REF!</t>
  </si>
  <si>
    <t>I96: #REF!</t>
  </si>
  <si>
    <t>I97: #REF!</t>
  </si>
  <si>
    <t>I99: #REF!</t>
  </si>
  <si>
    <t>I100: #REF!</t>
  </si>
  <si>
    <t>I101: #REF!</t>
  </si>
  <si>
    <t>I102: #REF!</t>
  </si>
  <si>
    <t>I103: #REF!</t>
  </si>
  <si>
    <t>I104: #REF!</t>
  </si>
  <si>
    <t>I107: #REF!</t>
  </si>
  <si>
    <t>I109: #REF!</t>
  </si>
  <si>
    <t>I110: #REF!</t>
  </si>
  <si>
    <t>I111: #REF!</t>
  </si>
  <si>
    <t>total pumping flow for spillway design</t>
  </si>
  <si>
    <t>em azul, substituído por PROCV</t>
  </si>
  <si>
    <t>Vazão para "n" túneis (m³/s)</t>
  </si>
  <si>
    <t>Extensão até a casa de força (m)</t>
  </si>
  <si>
    <t>pwh_0000_cter_el</t>
  </si>
  <si>
    <t>teste para a segunda passada</t>
  </si>
  <si>
    <r>
      <t xml:space="preserve">por simplificação, LC = </t>
    </r>
    <r>
      <rPr>
        <sz val="11"/>
        <color rgb="FF0070C0"/>
        <rFont val="Calibri"/>
        <family val="2"/>
        <scheme val="minor"/>
      </rPr>
      <t>NA</t>
    </r>
    <r>
      <rPr>
        <vertAlign val="subscript"/>
        <sz val="11"/>
        <color rgb="FF0070C0"/>
        <rFont val="Calibri"/>
        <family val="2"/>
        <scheme val="minor"/>
      </rPr>
      <t>min</t>
    </r>
    <r>
      <rPr>
        <sz val="11"/>
        <color rgb="FF0070C0"/>
        <rFont val="Calibri"/>
        <family val="2"/>
        <scheme val="minor"/>
      </rPr>
      <t xml:space="preserve"> (i)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- 3Hfu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 xml:space="preserve">a avaliar </t>
    </r>
  </si>
  <si>
    <t>maximum water level in the lower surge tank (first value = 0) hsy_stlw_max0_wl</t>
  </si>
  <si>
    <t>minimum water level in the lower surge tank (first value = 0) hsy_stlw_min0_wl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</si>
</sst>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7" formatCode="#,##0.0"/>
    <numFmt numFmtId="168" formatCode="#,##0.000"/>
    <numFmt numFmtId="169" formatCode="#,##0.00_ ;[Red]\-#,##0.00\ "/>
    <numFmt numFmtId="170" formatCode="_-* #,##0.0_-;\-* #,##0.0_-;_-* &quot;-&quot;??_-;_-@_-"/>
    <numFmt numFmtId="171" formatCode="#,##0.0_ ;\-#,##0.0\ "/>
    <numFmt numFmtId="172" formatCode="0.0%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MS Sans Serif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bscript"/>
      <sz val="11"/>
      <color theme="4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4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3" tint="-0.249977111117893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9"/>
      <name val="Comic Sans MS"/>
      <family val="4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Symbol"/>
      <family val="1"/>
      <charset val="2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0"/>
    <xf numFmtId="0" fontId="15" fillId="9" borderId="0" applyNumberFormat="0" applyBorder="0" applyAlignment="0" applyProtection="0"/>
    <xf numFmtId="0" fontId="8" fillId="0" borderId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5" borderId="0" applyNumberFormat="0" applyBorder="0" applyAlignment="0" applyProtection="0"/>
    <xf numFmtId="0" fontId="37" fillId="13" borderId="0" applyNumberFormat="0" applyBorder="0" applyAlignment="0" applyProtection="0"/>
    <xf numFmtId="0" fontId="37" fillId="10" borderId="0" applyNumberFormat="0" applyBorder="0" applyAlignment="0" applyProtection="0"/>
    <xf numFmtId="0" fontId="38" fillId="13" borderId="0" applyNumberFormat="0" applyBorder="0" applyAlignment="0" applyProtection="0"/>
    <xf numFmtId="0" fontId="39" fillId="18" borderId="13" applyNumberFormat="0" applyAlignment="0" applyProtection="0"/>
    <xf numFmtId="0" fontId="40" fillId="19" borderId="14" applyNumberFormat="0" applyAlignment="0" applyProtection="0"/>
    <xf numFmtId="0" fontId="16" fillId="0" borderId="15" applyNumberFormat="0" applyFill="0" applyAlignment="0" applyProtection="0"/>
    <xf numFmtId="0" fontId="37" fillId="20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41" fillId="14" borderId="13" applyNumberFormat="0" applyAlignment="0" applyProtection="0"/>
    <xf numFmtId="0" fontId="43" fillId="24" borderId="0" applyNumberFormat="0" applyBorder="0" applyAlignment="0" applyProtection="0"/>
    <xf numFmtId="0" fontId="44" fillId="14" borderId="0" applyNumberFormat="0" applyBorder="0" applyAlignment="0" applyProtection="0"/>
    <xf numFmtId="0" fontId="8" fillId="11" borderId="16" applyNumberFormat="0" applyFont="0" applyAlignment="0" applyProtection="0"/>
    <xf numFmtId="0" fontId="45" fillId="18" borderId="17" applyNumberFormat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8" applyNumberFormat="0" applyFill="0" applyAlignment="0" applyProtection="0"/>
    <xf numFmtId="0" fontId="49" fillId="0" borderId="19" applyNumberFormat="0" applyFill="0" applyAlignment="0" applyProtection="0"/>
    <xf numFmtId="0" fontId="50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21" applyNumberFormat="0" applyFill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43" fillId="24" borderId="0" applyNumberFormat="0" applyBorder="0" applyAlignment="0" applyProtection="0"/>
    <xf numFmtId="0" fontId="44" fillId="1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40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7" fillId="0" borderId="0" xfId="0" applyFont="1"/>
    <xf numFmtId="0" fontId="2" fillId="0" borderId="0" xfId="0" quotePrefix="1" applyFont="1" applyAlignment="1">
      <alignment horizontal="center"/>
    </xf>
    <xf numFmtId="40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left" indent="3"/>
    </xf>
    <xf numFmtId="2" fontId="0" fillId="0" borderId="0" xfId="0" applyNumberForma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171" fontId="0" fillId="0" borderId="0" xfId="0" applyNumberFormat="1" applyAlignment="1">
      <alignment horizontal="left"/>
    </xf>
    <xf numFmtId="0" fontId="2" fillId="0" borderId="0" xfId="0" quotePrefix="1" applyFont="1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4" fontId="17" fillId="0" borderId="12" xfId="3" applyNumberFormat="1" applyFont="1" applyBorder="1" applyAlignment="1">
      <alignment horizontal="center" wrapText="1"/>
    </xf>
    <xf numFmtId="4" fontId="17" fillId="0" borderId="12" xfId="3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 applyAlignment="1">
      <alignment horizontal="left" indent="1"/>
    </xf>
    <xf numFmtId="0" fontId="18" fillId="7" borderId="0" xfId="0" applyFont="1" applyFill="1"/>
    <xf numFmtId="0" fontId="22" fillId="0" borderId="0" xfId="0" applyFont="1"/>
    <xf numFmtId="2" fontId="18" fillId="0" borderId="0" xfId="0" applyNumberFormat="1" applyFont="1"/>
    <xf numFmtId="0" fontId="20" fillId="0" borderId="0" xfId="0" quotePrefix="1" applyFont="1"/>
    <xf numFmtId="0" fontId="18" fillId="0" borderId="0" xfId="0" applyFont="1" applyAlignment="1">
      <alignment horizontal="left" indent="2"/>
    </xf>
    <xf numFmtId="0" fontId="19" fillId="0" borderId="0" xfId="0" applyFont="1" applyAlignment="1">
      <alignment horizontal="left" wrapText="1"/>
    </xf>
    <xf numFmtId="2" fontId="18" fillId="0" borderId="0" xfId="0" applyNumberFormat="1" applyFont="1" applyAlignment="1">
      <alignment horizontal="left" wrapText="1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19" fillId="3" borderId="0" xfId="0" applyFont="1" applyFill="1"/>
    <xf numFmtId="0" fontId="18" fillId="3" borderId="0" xfId="0" applyFont="1" applyFill="1"/>
    <xf numFmtId="0" fontId="23" fillId="3" borderId="0" xfId="0" applyFont="1" applyFill="1"/>
    <xf numFmtId="0" fontId="18" fillId="0" borderId="0" xfId="0" quotePrefix="1" applyFont="1"/>
    <xf numFmtId="2" fontId="18" fillId="4" borderId="0" xfId="0" applyNumberFormat="1" applyFont="1" applyFill="1"/>
    <xf numFmtId="0" fontId="18" fillId="3" borderId="0" xfId="0" applyFont="1" applyFill="1" applyAlignment="1">
      <alignment horizontal="left" indent="1"/>
    </xf>
    <xf numFmtId="166" fontId="18" fillId="0" borderId="0" xfId="1" applyNumberFormat="1" applyFont="1"/>
    <xf numFmtId="2" fontId="20" fillId="0" borderId="0" xfId="0" applyNumberFormat="1" applyFont="1"/>
    <xf numFmtId="170" fontId="18" fillId="0" borderId="0" xfId="1" applyNumberFormat="1" applyFont="1"/>
    <xf numFmtId="164" fontId="18" fillId="0" borderId="0" xfId="2" applyNumberFormat="1" applyFont="1"/>
    <xf numFmtId="0" fontId="20" fillId="3" borderId="0" xfId="0" applyFont="1" applyFill="1"/>
    <xf numFmtId="166" fontId="18" fillId="0" borderId="0" xfId="0" applyNumberFormat="1" applyFont="1"/>
    <xf numFmtId="3" fontId="18" fillId="0" borderId="0" xfId="0" applyNumberFormat="1" applyFont="1"/>
    <xf numFmtId="165" fontId="18" fillId="0" borderId="0" xfId="0" applyNumberFormat="1" applyFont="1"/>
    <xf numFmtId="3" fontId="28" fillId="0" borderId="0" xfId="0" applyNumberFormat="1" applyFont="1"/>
    <xf numFmtId="4" fontId="28" fillId="0" borderId="0" xfId="1" applyNumberFormat="1" applyFont="1"/>
    <xf numFmtId="3" fontId="28" fillId="0" borderId="0" xfId="1" applyNumberFormat="1" applyFont="1"/>
    <xf numFmtId="0" fontId="22" fillId="0" borderId="0" xfId="0" applyFont="1" applyAlignment="1">
      <alignment horizontal="left" indent="2"/>
    </xf>
    <xf numFmtId="4" fontId="18" fillId="0" borderId="0" xfId="0" applyNumberFormat="1" applyFont="1"/>
    <xf numFmtId="164" fontId="18" fillId="0" borderId="0" xfId="0" applyNumberFormat="1" applyFont="1"/>
    <xf numFmtId="2" fontId="18" fillId="3" borderId="0" xfId="0" applyNumberFormat="1" applyFont="1" applyFill="1"/>
    <xf numFmtId="0" fontId="18" fillId="0" borderId="0" xfId="0" applyFont="1" applyAlignment="1">
      <alignment horizontal="right"/>
    </xf>
    <xf numFmtId="3" fontId="20" fillId="0" borderId="0" xfId="0" applyNumberFormat="1" applyFont="1"/>
    <xf numFmtId="169" fontId="18" fillId="0" borderId="0" xfId="0" applyNumberFormat="1" applyFont="1"/>
    <xf numFmtId="4" fontId="25" fillId="0" borderId="0" xfId="0" applyNumberFormat="1" applyFont="1"/>
    <xf numFmtId="43" fontId="18" fillId="0" borderId="0" xfId="1" applyFont="1" applyAlignment="1">
      <alignment horizontal="left" indent="2"/>
    </xf>
    <xf numFmtId="3" fontId="25" fillId="0" borderId="0" xfId="0" applyNumberFormat="1" applyFont="1" applyAlignment="1">
      <alignment horizontal="left"/>
    </xf>
    <xf numFmtId="0" fontId="25" fillId="0" borderId="0" xfId="0" applyFont="1"/>
    <xf numFmtId="0" fontId="29" fillId="0" borderId="0" xfId="0" applyFont="1"/>
    <xf numFmtId="0" fontId="30" fillId="0" borderId="0" xfId="0" applyFont="1"/>
    <xf numFmtId="4" fontId="25" fillId="0" borderId="0" xfId="0" applyNumberFormat="1" applyFont="1" applyAlignment="1">
      <alignment horizontal="right"/>
    </xf>
    <xf numFmtId="0" fontId="27" fillId="0" borderId="0" xfId="4" applyFont="1"/>
    <xf numFmtId="2" fontId="18" fillId="8" borderId="0" xfId="0" applyNumberFormat="1" applyFont="1" applyFill="1"/>
    <xf numFmtId="0" fontId="18" fillId="8" borderId="0" xfId="0" applyFont="1" applyFill="1"/>
    <xf numFmtId="0" fontId="31" fillId="6" borderId="0" xfId="0" applyFont="1" applyFill="1"/>
    <xf numFmtId="0" fontId="32" fillId="0" borderId="0" xfId="0" applyFont="1"/>
    <xf numFmtId="0" fontId="33" fillId="0" borderId="0" xfId="0" applyFont="1"/>
    <xf numFmtId="0" fontId="31" fillId="3" borderId="0" xfId="0" applyFont="1" applyFill="1"/>
    <xf numFmtId="2" fontId="32" fillId="3" borderId="0" xfId="0" applyNumberFormat="1" applyFont="1" applyFill="1"/>
    <xf numFmtId="0" fontId="35" fillId="8" borderId="0" xfId="0" applyFont="1" applyFill="1"/>
    <xf numFmtId="0" fontId="35" fillId="0" borderId="0" xfId="0" applyFont="1"/>
    <xf numFmtId="1" fontId="32" fillId="3" borderId="0" xfId="0" applyNumberFormat="1" applyFont="1" applyFill="1"/>
    <xf numFmtId="165" fontId="32" fillId="3" borderId="0" xfId="0" applyNumberFormat="1" applyFont="1" applyFill="1"/>
    <xf numFmtId="164" fontId="32" fillId="3" borderId="0" xfId="0" applyNumberFormat="1" applyFont="1" applyFill="1"/>
    <xf numFmtId="3" fontId="32" fillId="3" borderId="0" xfId="0" applyNumberFormat="1" applyFont="1" applyFill="1"/>
    <xf numFmtId="2" fontId="1" fillId="3" borderId="0" xfId="0" applyNumberFormat="1" applyFont="1" applyFill="1"/>
    <xf numFmtId="0" fontId="1" fillId="0" borderId="0" xfId="0" applyFont="1"/>
    <xf numFmtId="3" fontId="1" fillId="3" borderId="0" xfId="0" applyNumberFormat="1" applyFont="1" applyFill="1"/>
    <xf numFmtId="165" fontId="1" fillId="3" borderId="0" xfId="0" applyNumberFormat="1" applyFont="1" applyFill="1"/>
    <xf numFmtId="0" fontId="7" fillId="8" borderId="0" xfId="0" applyFont="1" applyFill="1"/>
    <xf numFmtId="0" fontId="0" fillId="0" borderId="0" xfId="0" quotePrefix="1"/>
    <xf numFmtId="0" fontId="7" fillId="0" borderId="0" xfId="0" quotePrefix="1" applyFont="1"/>
    <xf numFmtId="0" fontId="7" fillId="2" borderId="0" xfId="0" applyFont="1" applyFill="1"/>
    <xf numFmtId="1" fontId="8" fillId="3" borderId="0" xfId="3" applyNumberFormat="1" applyFont="1" applyFill="1" applyAlignment="1">
      <alignment horizontal="center"/>
    </xf>
    <xf numFmtId="0" fontId="1" fillId="3" borderId="0" xfId="0" applyFont="1" applyFill="1"/>
    <xf numFmtId="0" fontId="0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 applyFont="1"/>
    <xf numFmtId="0" fontId="2" fillId="3" borderId="0" xfId="0" applyFont="1" applyFill="1"/>
    <xf numFmtId="164" fontId="1" fillId="0" borderId="0" xfId="2" applyNumberFormat="1"/>
    <xf numFmtId="2" fontId="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0" fillId="0" borderId="0" xfId="0" quotePrefix="1" applyFont="1" applyAlignment="1">
      <alignment horizontal="left" indent="2"/>
    </xf>
    <xf numFmtId="0" fontId="0" fillId="0" borderId="0" xfId="0" quotePrefix="1" applyAlignment="1">
      <alignment horizontal="left" indent="2"/>
    </xf>
    <xf numFmtId="2" fontId="7" fillId="0" borderId="0" xfId="0" applyNumberFormat="1" applyFont="1"/>
    <xf numFmtId="0" fontId="0" fillId="0" borderId="0" xfId="0" applyFill="1"/>
    <xf numFmtId="2" fontId="1" fillId="0" borderId="0" xfId="0" applyNumberFormat="1" applyFont="1" applyFill="1"/>
    <xf numFmtId="165" fontId="0" fillId="0" borderId="0" xfId="0" applyNumberFormat="1" applyFont="1"/>
    <xf numFmtId="2" fontId="18" fillId="0" borderId="0" xfId="0" applyNumberFormat="1" applyFont="1" applyFill="1"/>
    <xf numFmtId="164" fontId="32" fillId="0" borderId="0" xfId="0" applyNumberFormat="1" applyFont="1" applyFill="1"/>
    <xf numFmtId="0" fontId="7" fillId="0" borderId="0" xfId="0" applyFont="1" applyAlignment="1">
      <alignment horizontal="right"/>
    </xf>
    <xf numFmtId="0" fontId="15" fillId="0" borderId="0" xfId="4" quotePrefix="1" applyFont="1"/>
    <xf numFmtId="0" fontId="1" fillId="0" borderId="0" xfId="0" quotePrefix="1" applyFont="1" applyAlignment="1">
      <alignment horizontal="left" indent="2"/>
    </xf>
    <xf numFmtId="165" fontId="7" fillId="0" borderId="0" xfId="0" quotePrefix="1" applyNumberFormat="1" applyFont="1" applyAlignment="1">
      <alignment horizontal="right"/>
    </xf>
    <xf numFmtId="0" fontId="18" fillId="0" borderId="0" xfId="0" applyFont="1" applyFill="1"/>
    <xf numFmtId="2" fontId="1" fillId="3" borderId="0" xfId="0" applyNumberFormat="1" applyFont="1" applyFill="1" applyAlignment="1">
      <alignment horizontal="center"/>
    </xf>
    <xf numFmtId="2" fontId="7" fillId="0" borderId="0" xfId="0" quotePrefix="1" applyNumberFormat="1" applyFont="1" applyAlignment="1">
      <alignment horizontal="right"/>
    </xf>
    <xf numFmtId="1" fontId="1" fillId="3" borderId="0" xfId="0" applyNumberFormat="1" applyFont="1" applyFill="1"/>
    <xf numFmtId="1" fontId="8" fillId="3" borderId="0" xfId="81" applyNumberFormat="1" applyFont="1" applyFill="1" applyAlignment="1">
      <alignment horizontal="center"/>
    </xf>
    <xf numFmtId="1" fontId="0" fillId="3" borderId="0" xfId="0" applyNumberFormat="1" applyFill="1"/>
    <xf numFmtId="0" fontId="0" fillId="25" borderId="0" xfId="0" applyFill="1"/>
    <xf numFmtId="0" fontId="0" fillId="25" borderId="0" xfId="0" applyFill="1" applyAlignment="1">
      <alignment horizontal="center"/>
    </xf>
    <xf numFmtId="43" fontId="0" fillId="0" borderId="0" xfId="1" applyFont="1" applyAlignment="1">
      <alignment horizontal="left" indent="2"/>
    </xf>
    <xf numFmtId="0" fontId="0" fillId="2" borderId="0" xfId="0" applyFill="1"/>
    <xf numFmtId="0" fontId="53" fillId="0" borderId="0" xfId="0" applyFont="1"/>
    <xf numFmtId="2" fontId="8" fillId="2" borderId="0" xfId="3" quotePrefix="1" applyNumberFormat="1" applyFont="1" applyFill="1" applyAlignment="1">
      <alignment horizontal="left"/>
    </xf>
    <xf numFmtId="0" fontId="31" fillId="2" borderId="0" xfId="0" applyFont="1" applyFill="1"/>
    <xf numFmtId="0" fontId="35" fillId="27" borderId="0" xfId="0" applyFont="1" applyFill="1"/>
    <xf numFmtId="0" fontId="35" fillId="2" borderId="0" xfId="0" applyFont="1" applyFill="1"/>
    <xf numFmtId="2" fontId="0" fillId="2" borderId="0" xfId="0" applyNumberFormat="1" applyFill="1"/>
    <xf numFmtId="0" fontId="0" fillId="27" borderId="0" xfId="0" applyFill="1"/>
    <xf numFmtId="0" fontId="3" fillId="2" borderId="0" xfId="0" applyFont="1" applyFill="1"/>
    <xf numFmtId="0" fontId="32" fillId="0" borderId="0" xfId="0" applyFont="1" applyAlignment="1">
      <alignment horizontal="left"/>
    </xf>
    <xf numFmtId="0" fontId="3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35" fillId="2" borderId="0" xfId="0" applyFont="1" applyFill="1" applyAlignment="1">
      <alignment horizontal="left"/>
    </xf>
    <xf numFmtId="2" fontId="34" fillId="0" borderId="0" xfId="3" quotePrefix="1" applyNumberFormat="1" applyFont="1" applyFill="1" applyAlignment="1">
      <alignment horizontal="left"/>
    </xf>
    <xf numFmtId="2" fontId="8" fillId="0" borderId="0" xfId="3" quotePrefix="1" applyNumberFormat="1" applyFont="1" applyFill="1" applyAlignment="1">
      <alignment horizontal="left"/>
    </xf>
    <xf numFmtId="0" fontId="0" fillId="0" borderId="0" xfId="0" applyFont="1" applyAlignment="1">
      <alignment horizontal="left" indent="1"/>
    </xf>
    <xf numFmtId="0" fontId="7" fillId="6" borderId="0" xfId="0" applyFont="1" applyFill="1"/>
    <xf numFmtId="0" fontId="7" fillId="8" borderId="0" xfId="0" applyFont="1" applyFill="1" applyAlignment="1">
      <alignment vertical="center"/>
    </xf>
    <xf numFmtId="0" fontId="52" fillId="25" borderId="0" xfId="0" applyFont="1" applyFill="1" applyAlignment="1">
      <alignment vertical="center"/>
    </xf>
    <xf numFmtId="0" fontId="35" fillId="8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5" fillId="0" borderId="0" xfId="0" applyFont="1" applyFill="1"/>
    <xf numFmtId="0" fontId="7" fillId="0" borderId="0" xfId="0" applyFont="1" applyFill="1"/>
    <xf numFmtId="4" fontId="34" fillId="2" borderId="0" xfId="3" quotePrefix="1" applyNumberFormat="1" applyFont="1" applyFill="1" applyAlignment="1">
      <alignment horizontal="left"/>
    </xf>
    <xf numFmtId="165" fontId="0" fillId="2" borderId="0" xfId="0" applyNumberFormat="1" applyFill="1"/>
    <xf numFmtId="0" fontId="19" fillId="2" borderId="0" xfId="0" applyFont="1" applyFill="1"/>
    <xf numFmtId="0" fontId="7" fillId="28" borderId="0" xfId="0" applyFont="1" applyFill="1"/>
    <xf numFmtId="2" fontId="18" fillId="2" borderId="0" xfId="0" applyNumberFormat="1" applyFont="1" applyFill="1"/>
    <xf numFmtId="2" fontId="18" fillId="27" borderId="0" xfId="0" applyNumberFormat="1" applyFont="1" applyFill="1"/>
    <xf numFmtId="165" fontId="18" fillId="2" borderId="0" xfId="0" applyNumberFormat="1" applyFont="1" applyFill="1"/>
    <xf numFmtId="4" fontId="18" fillId="2" borderId="0" xfId="0" applyNumberFormat="1" applyFont="1" applyFill="1"/>
    <xf numFmtId="0" fontId="32" fillId="6" borderId="0" xfId="0" applyFont="1" applyFill="1"/>
    <xf numFmtId="0" fontId="0" fillId="6" borderId="0" xfId="0" applyFill="1"/>
    <xf numFmtId="0" fontId="11" fillId="0" borderId="0" xfId="0" applyFont="1" applyAlignment="1"/>
    <xf numFmtId="0" fontId="18" fillId="27" borderId="0" xfId="0" applyFont="1" applyFill="1"/>
    <xf numFmtId="0" fontId="22" fillId="27" borderId="0" xfId="0" applyFont="1" applyFill="1"/>
    <xf numFmtId="4" fontId="3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12" xfId="0" applyFont="1" applyBorder="1"/>
    <xf numFmtId="4" fontId="1" fillId="0" borderId="12" xfId="0" applyNumberFormat="1" applyFont="1" applyBorder="1" applyAlignment="1">
      <alignment horizontal="right"/>
    </xf>
    <xf numFmtId="0" fontId="1" fillId="0" borderId="12" xfId="0" applyFont="1" applyFill="1" applyBorder="1"/>
    <xf numFmtId="3" fontId="1" fillId="0" borderId="12" xfId="0" applyNumberFormat="1" applyFont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0" fontId="1" fillId="0" borderId="12" xfId="0" applyFont="1" applyBorder="1" applyAlignment="1">
      <alignment vertical="center"/>
    </xf>
    <xf numFmtId="165" fontId="1" fillId="0" borderId="12" xfId="0" applyNumberFormat="1" applyFont="1" applyBorder="1" applyAlignment="1">
      <alignment vertical="center"/>
    </xf>
    <xf numFmtId="0" fontId="23" fillId="3" borderId="12" xfId="11" applyFont="1" applyFill="1" applyBorder="1"/>
    <xf numFmtId="0" fontId="23" fillId="0" borderId="12" xfId="11" applyFont="1" applyBorder="1"/>
    <xf numFmtId="0" fontId="23" fillId="0" borderId="12" xfId="11" applyFont="1" applyBorder="1" applyAlignment="1"/>
    <xf numFmtId="0" fontId="23" fillId="0" borderId="12" xfId="11" applyFont="1" applyFill="1" applyBorder="1" applyAlignment="1"/>
    <xf numFmtId="0" fontId="23" fillId="0" borderId="12" xfId="11" applyFont="1" applyBorder="1" applyAlignment="1">
      <alignment horizontal="left" indent="1"/>
    </xf>
    <xf numFmtId="0" fontId="23" fillId="0" borderId="12" xfId="11" applyFont="1" applyFill="1" applyBorder="1" applyAlignment="1">
      <alignment horizontal="left" indent="1"/>
    </xf>
    <xf numFmtId="4" fontId="7" fillId="0" borderId="0" xfId="11" applyNumberFormat="1" applyFont="1" applyFill="1" applyAlignment="1">
      <alignment horizontal="right"/>
    </xf>
    <xf numFmtId="0" fontId="7" fillId="0" borderId="12" xfId="11" applyFont="1" applyFill="1" applyBorder="1" applyAlignment="1">
      <alignment horizontal="left" indent="2"/>
    </xf>
    <xf numFmtId="4" fontId="7" fillId="0" borderId="12" xfId="11" applyNumberFormat="1" applyFont="1" applyFill="1" applyBorder="1" applyAlignment="1">
      <alignment horizontal="right"/>
    </xf>
    <xf numFmtId="4" fontId="7" fillId="0" borderId="0" xfId="0" applyNumberFormat="1" applyFont="1" applyFill="1" applyAlignment="1">
      <alignment horizontal="right" vertical="center"/>
    </xf>
    <xf numFmtId="3" fontId="7" fillId="0" borderId="12" xfId="11" applyNumberFormat="1" applyFont="1" applyFill="1" applyBorder="1" applyAlignment="1">
      <alignment horizontal="right"/>
    </xf>
    <xf numFmtId="0" fontId="7" fillId="0" borderId="0" xfId="11" applyFont="1" applyFill="1"/>
    <xf numFmtId="0" fontId="23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164" fontId="7" fillId="0" borderId="12" xfId="0" applyNumberFormat="1" applyFont="1" applyBorder="1" applyAlignment="1">
      <alignment vertical="center"/>
    </xf>
    <xf numFmtId="165" fontId="7" fillId="0" borderId="12" xfId="0" applyNumberFormat="1" applyFont="1" applyBorder="1" applyAlignment="1">
      <alignment vertical="center"/>
    </xf>
    <xf numFmtId="0" fontId="7" fillId="0" borderId="0" xfId="11" applyFont="1"/>
    <xf numFmtId="1" fontId="7" fillId="0" borderId="12" xfId="0" applyNumberFormat="1" applyFont="1" applyFill="1" applyBorder="1" applyAlignment="1">
      <alignment vertical="center"/>
    </xf>
    <xf numFmtId="1" fontId="7" fillId="0" borderId="12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4" fontId="1" fillId="0" borderId="0" xfId="0" applyNumberFormat="1" applyFont="1" applyBorder="1"/>
    <xf numFmtId="4" fontId="1" fillId="0" borderId="12" xfId="0" applyNumberFormat="1" applyFont="1" applyBorder="1"/>
    <xf numFmtId="0" fontId="1" fillId="0" borderId="10" xfId="0" applyFont="1" applyBorder="1"/>
    <xf numFmtId="168" fontId="1" fillId="0" borderId="12" xfId="0" applyNumberFormat="1" applyFont="1" applyBorder="1"/>
    <xf numFmtId="4" fontId="7" fillId="0" borderId="12" xfId="3" applyNumberFormat="1" applyFont="1" applyBorder="1" applyAlignment="1">
      <alignment horizontal="center" wrapText="1"/>
    </xf>
    <xf numFmtId="3" fontId="7" fillId="0" borderId="12" xfId="3" applyNumberFormat="1" applyFont="1" applyBorder="1" applyAlignment="1">
      <alignment horizontal="center" wrapText="1"/>
    </xf>
    <xf numFmtId="168" fontId="7" fillId="0" borderId="12" xfId="3" applyNumberFormat="1" applyFont="1" applyBorder="1" applyAlignment="1">
      <alignment horizontal="center" wrapText="1"/>
    </xf>
    <xf numFmtId="0" fontId="23" fillId="0" borderId="10" xfId="11" applyFont="1" applyBorder="1" applyAlignment="1"/>
    <xf numFmtId="0" fontId="7" fillId="0" borderId="12" xfId="11" applyFont="1" applyBorder="1"/>
    <xf numFmtId="2" fontId="7" fillId="0" borderId="12" xfId="11" applyNumberFormat="1" applyFont="1" applyBorder="1"/>
    <xf numFmtId="0" fontId="3" fillId="0" borderId="0" xfId="11" applyFont="1"/>
    <xf numFmtId="2" fontId="7" fillId="0" borderId="0" xfId="11" applyNumberFormat="1" applyFont="1"/>
    <xf numFmtId="0" fontId="7" fillId="0" borderId="0" xfId="11" applyFont="1" applyAlignment="1">
      <alignment horizontal="right"/>
    </xf>
    <xf numFmtId="3" fontId="7" fillId="2" borderId="12" xfId="11" applyNumberFormat="1" applyFont="1" applyFill="1" applyBorder="1"/>
    <xf numFmtId="3" fontId="7" fillId="0" borderId="12" xfId="11" applyNumberFormat="1" applyFont="1" applyBorder="1"/>
    <xf numFmtId="0" fontId="7" fillId="0" borderId="0" xfId="11" applyFont="1" applyBorder="1" applyAlignment="1"/>
    <xf numFmtId="0" fontId="7" fillId="0" borderId="0" xfId="11" applyFont="1" applyBorder="1" applyAlignment="1">
      <alignment horizontal="right"/>
    </xf>
    <xf numFmtId="0" fontId="7" fillId="0" borderId="0" xfId="11" applyFont="1" applyBorder="1"/>
    <xf numFmtId="0" fontId="7" fillId="0" borderId="22" xfId="11" applyFont="1" applyBorder="1" applyAlignment="1">
      <alignment horizontal="center" vertical="center" wrapText="1"/>
    </xf>
    <xf numFmtId="2" fontId="7" fillId="0" borderId="0" xfId="11" applyNumberFormat="1" applyFont="1" applyBorder="1"/>
    <xf numFmtId="2" fontId="3" fillId="0" borderId="0" xfId="11" applyNumberFormat="1" applyFont="1"/>
    <xf numFmtId="2" fontId="7" fillId="0" borderId="22" xfId="11" applyNumberFormat="1" applyFont="1" applyBorder="1"/>
    <xf numFmtId="2" fontId="7" fillId="0" borderId="0" xfId="11" applyNumberFormat="1" applyFont="1" applyAlignment="1">
      <alignment horizontal="center"/>
    </xf>
    <xf numFmtId="2" fontId="7" fillId="0" borderId="0" xfId="11" applyNumberFormat="1" applyFont="1" applyFill="1"/>
    <xf numFmtId="0" fontId="7" fillId="0" borderId="12" xfId="11" applyFont="1" applyFill="1" applyBorder="1" applyAlignment="1"/>
    <xf numFmtId="3" fontId="7" fillId="0" borderId="12" xfId="11" applyNumberFormat="1" applyFont="1" applyFill="1" applyBorder="1"/>
    <xf numFmtId="0" fontId="7" fillId="0" borderId="12" xfId="11" applyFont="1" applyFill="1" applyBorder="1" applyAlignment="1">
      <alignment horizontal="left" vertical="center" indent="2"/>
    </xf>
    <xf numFmtId="0" fontId="3" fillId="0" borderId="0" xfId="11" applyFont="1" applyFill="1"/>
    <xf numFmtId="3" fontId="7" fillId="0" borderId="0" xfId="11" applyNumberFormat="1" applyFont="1" applyFill="1" applyBorder="1" applyAlignment="1">
      <alignment horizontal="center"/>
    </xf>
    <xf numFmtId="0" fontId="7" fillId="0" borderId="0" xfId="11" applyFont="1" applyFill="1" applyAlignment="1">
      <alignment vertical="center"/>
    </xf>
    <xf numFmtId="0" fontId="3" fillId="0" borderId="0" xfId="0" applyFont="1" applyAlignment="1">
      <alignment vertical="center"/>
    </xf>
    <xf numFmtId="2" fontId="7" fillId="0" borderId="0" xfId="0" applyNumberFormat="1" applyFont="1" applyFill="1" applyAlignment="1">
      <alignment vertical="center"/>
    </xf>
    <xf numFmtId="2" fontId="1" fillId="0" borderId="12" xfId="0" applyNumberFormat="1" applyFont="1" applyBorder="1"/>
    <xf numFmtId="0" fontId="1" fillId="0" borderId="10" xfId="0" applyFont="1" applyFill="1" applyBorder="1"/>
    <xf numFmtId="3" fontId="1" fillId="0" borderId="12" xfId="0" applyNumberFormat="1" applyFont="1" applyBorder="1"/>
    <xf numFmtId="0" fontId="23" fillId="3" borderId="10" xfId="11" applyFont="1" applyFill="1" applyBorder="1"/>
    <xf numFmtId="0" fontId="7" fillId="0" borderId="0" xfId="11" applyFont="1" applyFill="1" applyBorder="1"/>
    <xf numFmtId="2" fontId="7" fillId="0" borderId="0" xfId="11" applyNumberFormat="1" applyFont="1" applyFill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7" fillId="0" borderId="12" xfId="11" applyFont="1" applyBorder="1" applyAlignment="1">
      <alignment horizontal="left" indent="1"/>
    </xf>
    <xf numFmtId="2" fontId="7" fillId="0" borderId="12" xfId="11" applyNumberFormat="1" applyFont="1" applyBorder="1" applyAlignment="1">
      <alignment horizontal="left" indent="1"/>
    </xf>
    <xf numFmtId="0" fontId="7" fillId="0" borderId="0" xfId="11" applyFont="1" applyAlignment="1">
      <alignment horizontal="left" indent="1"/>
    </xf>
    <xf numFmtId="0" fontId="7" fillId="0" borderId="12" xfId="11" applyFont="1" applyFill="1" applyBorder="1" applyAlignment="1">
      <alignment horizontal="left" inden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left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7" fillId="0" borderId="0" xfId="0" applyFont="1" applyAlignment="1">
      <alignment horizontal="left" indent="5"/>
    </xf>
    <xf numFmtId="166" fontId="7" fillId="0" borderId="0" xfId="1" applyNumberFormat="1" applyFont="1"/>
    <xf numFmtId="0" fontId="7" fillId="0" borderId="0" xfId="11" applyFont="1" applyAlignment="1">
      <alignment horizontal="center"/>
    </xf>
    <xf numFmtId="43" fontId="7" fillId="0" borderId="0" xfId="11" applyNumberFormat="1" applyFont="1" applyAlignment="1">
      <alignment horizontal="center"/>
    </xf>
    <xf numFmtId="0" fontId="7" fillId="0" borderId="0" xfId="11" quotePrefix="1" applyFont="1" applyAlignment="1">
      <alignment horizontal="left"/>
    </xf>
    <xf numFmtId="3" fontId="7" fillId="0" borderId="12" xfId="11" applyNumberFormat="1" applyFont="1" applyFill="1" applyBorder="1" applyAlignment="1">
      <alignment horizontal="right"/>
    </xf>
    <xf numFmtId="167" fontId="7" fillId="0" borderId="12" xfId="11" applyNumberFormat="1" applyFont="1" applyFill="1" applyBorder="1" applyAlignment="1">
      <alignment horizontal="right"/>
    </xf>
    <xf numFmtId="0" fontId="7" fillId="0" borderId="0" xfId="11" applyFont="1" applyFill="1" applyBorder="1" applyAlignment="1">
      <alignment horizontal="left" vertical="center" indent="2"/>
    </xf>
    <xf numFmtId="4" fontId="7" fillId="0" borderId="0" xfId="11" applyNumberFormat="1" applyFont="1" applyFill="1" applyBorder="1" applyAlignment="1">
      <alignment horizontal="right"/>
    </xf>
    <xf numFmtId="3" fontId="7" fillId="0" borderId="12" xfId="11" applyNumberFormat="1" applyFont="1" applyFill="1" applyBorder="1" applyAlignment="1">
      <alignment horizontal="right"/>
    </xf>
    <xf numFmtId="0" fontId="3" fillId="27" borderId="0" xfId="0" applyFont="1" applyFill="1"/>
    <xf numFmtId="0" fontId="23" fillId="0" borderId="12" xfId="11" applyFont="1" applyFill="1" applyBorder="1" applyAlignment="1">
      <alignment horizontal="left"/>
    </xf>
    <xf numFmtId="0" fontId="7" fillId="0" borderId="12" xfId="11" applyFont="1" applyFill="1" applyBorder="1" applyAlignment="1">
      <alignment horizontal="left" vertical="center" indent="1"/>
    </xf>
    <xf numFmtId="0" fontId="23" fillId="0" borderId="0" xfId="11" applyFont="1" applyFill="1" applyBorder="1" applyAlignment="1">
      <alignment horizontal="left" indent="1"/>
    </xf>
    <xf numFmtId="167" fontId="7" fillId="0" borderId="0" xfId="11" applyNumberFormat="1" applyFont="1" applyFill="1" applyBorder="1" applyAlignment="1">
      <alignment horizontal="right"/>
    </xf>
    <xf numFmtId="3" fontId="7" fillId="0" borderId="0" xfId="11" applyNumberFormat="1" applyFont="1" applyFill="1" applyBorder="1" applyAlignment="1">
      <alignment horizontal="right"/>
    </xf>
    <xf numFmtId="167" fontId="7" fillId="0" borderId="0" xfId="11" applyNumberFormat="1" applyFont="1" applyFill="1" applyBorder="1" applyAlignment="1">
      <alignment horizontal="center"/>
    </xf>
    <xf numFmtId="3" fontId="7" fillId="2" borderId="12" xfId="11" applyNumberFormat="1" applyFont="1" applyFill="1" applyBorder="1" applyAlignment="1">
      <alignment horizontal="right"/>
    </xf>
    <xf numFmtId="43" fontId="32" fillId="0" borderId="0" xfId="1" applyFont="1" applyAlignment="1">
      <alignment horizontal="left" vertical="center"/>
    </xf>
    <xf numFmtId="2" fontId="7" fillId="0" borderId="12" xfId="11" applyNumberFormat="1" applyFont="1" applyBorder="1" applyAlignment="1">
      <alignment horizontal="left" vertical="center" indent="1"/>
    </xf>
    <xf numFmtId="2" fontId="7" fillId="26" borderId="12" xfId="11" applyNumberFormat="1" applyFont="1" applyFill="1" applyBorder="1" applyAlignment="1">
      <alignment horizontal="left" indent="1"/>
    </xf>
    <xf numFmtId="0" fontId="23" fillId="26" borderId="12" xfId="11" applyFont="1" applyFill="1" applyBorder="1" applyAlignment="1">
      <alignment horizontal="left"/>
    </xf>
    <xf numFmtId="0" fontId="7" fillId="26" borderId="12" xfId="11" applyFont="1" applyFill="1" applyBorder="1" applyAlignment="1">
      <alignment horizontal="left" indent="1"/>
    </xf>
    <xf numFmtId="0" fontId="7" fillId="0" borderId="10" xfId="11" applyFont="1" applyBorder="1"/>
    <xf numFmtId="0" fontId="7" fillId="0" borderId="12" xfId="11" applyFont="1" applyBorder="1" applyAlignment="1">
      <alignment horizontal="left" vertical="center" indent="1"/>
    </xf>
    <xf numFmtId="2" fontId="7" fillId="26" borderId="12" xfId="11" applyNumberFormat="1" applyFont="1" applyFill="1" applyBorder="1"/>
    <xf numFmtId="0" fontId="7" fillId="0" borderId="0" xfId="11" quotePrefix="1" applyFont="1"/>
    <xf numFmtId="0" fontId="7" fillId="0" borderId="0" xfId="11" applyFont="1" applyBorder="1" applyAlignment="1">
      <alignment horizontal="left" indent="1"/>
    </xf>
    <xf numFmtId="0" fontId="7" fillId="0" borderId="0" xfId="11" applyFont="1" applyAlignment="1">
      <alignment horizontal="center" vertical="center"/>
    </xf>
    <xf numFmtId="2" fontId="7" fillId="4" borderId="0" xfId="11" applyNumberFormat="1" applyFont="1" applyFill="1"/>
    <xf numFmtId="0" fontId="7" fillId="2" borderId="0" xfId="11" applyFont="1" applyFill="1" applyAlignment="1">
      <alignment horizontal="right"/>
    </xf>
    <xf numFmtId="2" fontId="7" fillId="4" borderId="0" xfId="0" applyNumberFormat="1" applyFont="1" applyFill="1"/>
    <xf numFmtId="0" fontId="7" fillId="2" borderId="0" xfId="11" quotePrefix="1" applyFont="1" applyFill="1"/>
    <xf numFmtId="0" fontId="7" fillId="2" borderId="0" xfId="11" applyFont="1" applyFill="1"/>
    <xf numFmtId="0" fontId="7" fillId="2" borderId="0" xfId="11" applyFont="1" applyFill="1" applyBorder="1" applyAlignment="1">
      <alignment horizontal="left" indent="1"/>
    </xf>
    <xf numFmtId="43" fontId="7" fillId="0" borderId="0" xfId="1" applyFont="1"/>
    <xf numFmtId="1" fontId="20" fillId="0" borderId="0" xfId="0" applyNumberFormat="1" applyFont="1"/>
    <xf numFmtId="0" fontId="18" fillId="29" borderId="0" xfId="0" applyFont="1" applyFill="1"/>
    <xf numFmtId="0" fontId="0" fillId="29" borderId="0" xfId="0" applyFill="1"/>
    <xf numFmtId="0" fontId="63" fillId="29" borderId="0" xfId="11" applyFont="1" applyFill="1"/>
    <xf numFmtId="0" fontId="63" fillId="29" borderId="0" xfId="0" applyFont="1" applyFill="1"/>
    <xf numFmtId="0" fontId="3" fillId="29" borderId="0" xfId="0" applyFont="1" applyFill="1"/>
    <xf numFmtId="0" fontId="64" fillId="0" borderId="0" xfId="0" applyFont="1"/>
    <xf numFmtId="0" fontId="0" fillId="0" borderId="12" xfId="0" applyFont="1" applyBorder="1"/>
    <xf numFmtId="0" fontId="7" fillId="0" borderId="12" xfId="11" applyFont="1" applyFill="1" applyBorder="1" applyAlignment="1">
      <alignment horizontal="left"/>
    </xf>
    <xf numFmtId="0" fontId="7" fillId="29" borderId="0" xfId="0" applyFont="1" applyFill="1"/>
    <xf numFmtId="40" fontId="3" fillId="0" borderId="0" xfId="0" applyNumberFormat="1" applyFont="1" applyFill="1"/>
    <xf numFmtId="0" fontId="0" fillId="27" borderId="0" xfId="0" applyFill="1" applyAlignment="1">
      <alignment horizontal="left" indent="1"/>
    </xf>
    <xf numFmtId="4" fontId="7" fillId="2" borderId="12" xfId="11" applyNumberFormat="1" applyFont="1" applyFill="1" applyBorder="1"/>
    <xf numFmtId="0" fontId="1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165" fontId="0" fillId="0" borderId="12" xfId="0" applyNumberFormat="1" applyFont="1" applyBorder="1" applyAlignment="1">
      <alignment vertical="center"/>
    </xf>
    <xf numFmtId="0" fontId="65" fillId="29" borderId="0" xfId="0" applyFont="1" applyFill="1" applyAlignment="1">
      <alignment horizontal="center"/>
    </xf>
    <xf numFmtId="0" fontId="23" fillId="0" borderId="0" xfId="11" applyFont="1" applyAlignment="1">
      <alignment horizontal="right"/>
    </xf>
    <xf numFmtId="0" fontId="7" fillId="0" borderId="12" xfId="11" applyFont="1" applyBorder="1" applyAlignment="1">
      <alignment horizontal="center"/>
    </xf>
    <xf numFmtId="0" fontId="7" fillId="0" borderId="0" xfId="11" applyFont="1" applyFill="1" applyBorder="1" applyAlignment="1">
      <alignment horizontal="left" indent="1"/>
    </xf>
    <xf numFmtId="1" fontId="7" fillId="0" borderId="12" xfId="11" applyNumberFormat="1" applyFont="1" applyBorder="1"/>
    <xf numFmtId="0" fontId="0" fillId="0" borderId="12" xfId="0" applyFont="1" applyFill="1" applyBorder="1"/>
    <xf numFmtId="4" fontId="1" fillId="5" borderId="12" xfId="0" applyNumberFormat="1" applyFont="1" applyFill="1" applyBorder="1"/>
    <xf numFmtId="172" fontId="1" fillId="0" borderId="12" xfId="2" applyNumberFormat="1" applyFont="1" applyBorder="1"/>
    <xf numFmtId="165" fontId="7" fillId="0" borderId="12" xfId="11" applyNumberFormat="1" applyFont="1" applyBorder="1" applyAlignment="1">
      <alignment horizontal="center"/>
    </xf>
    <xf numFmtId="2" fontId="7" fillId="0" borderId="12" xfId="11" applyNumberFormat="1" applyFont="1" applyBorder="1" applyAlignment="1">
      <alignment horizontal="center"/>
    </xf>
    <xf numFmtId="0" fontId="7" fillId="0" borderId="12" xfId="11" applyFont="1" applyBorder="1" applyAlignment="1">
      <alignment horizontal="center"/>
    </xf>
    <xf numFmtId="2" fontId="7" fillId="0" borderId="0" xfId="11" quotePrefix="1" applyNumberFormat="1" applyFont="1"/>
    <xf numFmtId="2" fontId="23" fillId="5" borderId="12" xfId="11" applyNumberFormat="1" applyFont="1" applyFill="1" applyBorder="1"/>
    <xf numFmtId="0" fontId="23" fillId="5" borderId="0" xfId="11" applyFont="1" applyFill="1"/>
    <xf numFmtId="3" fontId="23" fillId="5" borderId="23" xfId="11" applyNumberFormat="1" applyFont="1" applyFill="1" applyBorder="1"/>
    <xf numFmtId="0" fontId="66" fillId="0" borderId="0" xfId="0" applyFont="1"/>
    <xf numFmtId="0" fontId="23" fillId="31" borderId="0" xfId="11" applyFont="1" applyFill="1"/>
    <xf numFmtId="166" fontId="23" fillId="5" borderId="0" xfId="1" applyNumberFormat="1" applyFont="1" applyFill="1"/>
    <xf numFmtId="0" fontId="35" fillId="5" borderId="0" xfId="0" applyFont="1" applyFill="1"/>
    <xf numFmtId="0" fontId="7" fillId="5" borderId="0" xfId="0" applyFont="1" applyFill="1"/>
    <xf numFmtId="0" fontId="35" fillId="32" borderId="0" xfId="0" applyFont="1" applyFill="1"/>
    <xf numFmtId="0" fontId="32" fillId="0" borderId="0" xfId="0" applyFont="1" applyFill="1"/>
    <xf numFmtId="0" fontId="3" fillId="5" borderId="0" xfId="0" applyFont="1" applyFill="1"/>
    <xf numFmtId="40" fontId="0" fillId="0" borderId="0" xfId="0" applyNumberFormat="1"/>
    <xf numFmtId="2" fontId="33" fillId="0" borderId="0" xfId="0" applyNumberFormat="1" applyFont="1" applyAlignment="1">
      <alignment horizontal="left"/>
    </xf>
    <xf numFmtId="0" fontId="32" fillId="27" borderId="0" xfId="0" applyFont="1" applyFill="1"/>
    <xf numFmtId="0" fontId="11" fillId="0" borderId="0" xfId="0" applyFont="1" applyAlignment="1">
      <alignment horizontal="left"/>
    </xf>
    <xf numFmtId="4" fontId="17" fillId="0" borderId="12" xfId="3" applyNumberFormat="1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3" fontId="7" fillId="26" borderId="10" xfId="11" applyNumberFormat="1" applyFont="1" applyFill="1" applyBorder="1" applyAlignment="1">
      <alignment horizontal="center"/>
    </xf>
    <xf numFmtId="0" fontId="7" fillId="26" borderId="1" xfId="11" applyFont="1" applyFill="1" applyBorder="1" applyAlignment="1">
      <alignment horizontal="center"/>
    </xf>
    <xf numFmtId="2" fontId="7" fillId="0" borderId="10" xfId="11" applyNumberFormat="1" applyFont="1" applyBorder="1" applyAlignment="1">
      <alignment horizontal="center"/>
    </xf>
    <xf numFmtId="2" fontId="7" fillId="0" borderId="1" xfId="11" applyNumberFormat="1" applyFont="1" applyBorder="1" applyAlignment="1">
      <alignment horizontal="center"/>
    </xf>
    <xf numFmtId="165" fontId="7" fillId="0" borderId="10" xfId="11" applyNumberFormat="1" applyFont="1" applyBorder="1" applyAlignment="1">
      <alignment horizontal="center"/>
    </xf>
    <xf numFmtId="165" fontId="7" fillId="0" borderId="1" xfId="11" applyNumberFormat="1" applyFont="1" applyBorder="1" applyAlignment="1">
      <alignment horizontal="center"/>
    </xf>
    <xf numFmtId="3" fontId="23" fillId="0" borderId="12" xfId="11" applyNumberFormat="1" applyFont="1" applyFill="1" applyBorder="1" applyAlignment="1">
      <alignment horizontal="right"/>
    </xf>
    <xf numFmtId="3" fontId="7" fillId="0" borderId="12" xfId="11" applyNumberFormat="1" applyFont="1" applyFill="1" applyBorder="1" applyAlignment="1">
      <alignment horizontal="right"/>
    </xf>
    <xf numFmtId="1" fontId="7" fillId="0" borderId="10" xfId="11" applyNumberFormat="1" applyFont="1" applyBorder="1" applyAlignment="1">
      <alignment horizontal="center"/>
    </xf>
    <xf numFmtId="1" fontId="7" fillId="0" borderId="1" xfId="11" applyNumberFormat="1" applyFont="1" applyBorder="1" applyAlignment="1">
      <alignment horizontal="center"/>
    </xf>
    <xf numFmtId="0" fontId="7" fillId="0" borderId="12" xfId="11" applyFont="1" applyBorder="1" applyAlignment="1">
      <alignment horizontal="center"/>
    </xf>
    <xf numFmtId="2" fontId="23" fillId="5" borderId="10" xfId="11" applyNumberFormat="1" applyFont="1" applyFill="1" applyBorder="1" applyAlignment="1">
      <alignment horizontal="center"/>
    </xf>
    <xf numFmtId="2" fontId="23" fillId="5" borderId="1" xfId="11" applyNumberFormat="1" applyFont="1" applyFill="1" applyBorder="1" applyAlignment="1">
      <alignment horizontal="center"/>
    </xf>
    <xf numFmtId="4" fontId="7" fillId="30" borderId="10" xfId="11" applyNumberFormat="1" applyFont="1" applyFill="1" applyBorder="1" applyAlignment="1">
      <alignment horizontal="center"/>
    </xf>
    <xf numFmtId="4" fontId="7" fillId="30" borderId="1" xfId="11" applyNumberFormat="1" applyFont="1" applyFill="1" applyBorder="1" applyAlignment="1">
      <alignment horizontal="center"/>
    </xf>
    <xf numFmtId="165" fontId="7" fillId="26" borderId="10" xfId="11" applyNumberFormat="1" applyFont="1" applyFill="1" applyBorder="1" applyAlignment="1">
      <alignment horizontal="center"/>
    </xf>
    <xf numFmtId="165" fontId="7" fillId="26" borderId="1" xfId="11" applyNumberFormat="1" applyFont="1" applyFill="1" applyBorder="1" applyAlignment="1">
      <alignment horizontal="center"/>
    </xf>
    <xf numFmtId="2" fontId="7" fillId="0" borderId="10" xfId="11" applyNumberFormat="1" applyFont="1" applyFill="1" applyBorder="1" applyAlignment="1">
      <alignment horizontal="center"/>
    </xf>
    <xf numFmtId="2" fontId="7" fillId="0" borderId="1" xfId="11" applyNumberFormat="1" applyFont="1" applyFill="1" applyBorder="1" applyAlignment="1">
      <alignment horizontal="center"/>
    </xf>
    <xf numFmtId="2" fontId="7" fillId="0" borderId="12" xfId="11" applyNumberFormat="1" applyFont="1" applyFill="1" applyBorder="1" applyAlignment="1">
      <alignment horizontal="center"/>
    </xf>
    <xf numFmtId="3" fontId="7" fillId="0" borderId="12" xfId="11" applyNumberFormat="1" applyFont="1" applyFill="1" applyBorder="1" applyAlignment="1">
      <alignment horizontal="center"/>
    </xf>
    <xf numFmtId="167" fontId="7" fillId="0" borderId="10" xfId="11" applyNumberFormat="1" applyFont="1" applyFill="1" applyBorder="1" applyAlignment="1">
      <alignment horizontal="center"/>
    </xf>
    <xf numFmtId="167" fontId="7" fillId="0" borderId="1" xfId="11" applyNumberFormat="1" applyFont="1" applyFill="1" applyBorder="1" applyAlignment="1">
      <alignment horizontal="center"/>
    </xf>
    <xf numFmtId="1" fontId="7" fillId="31" borderId="12" xfId="11" applyNumberFormat="1" applyFont="1" applyFill="1" applyBorder="1" applyAlignment="1">
      <alignment horizontal="center"/>
    </xf>
    <xf numFmtId="165" fontId="7" fillId="0" borderId="12" xfId="11" applyNumberFormat="1" applyFont="1" applyFill="1" applyBorder="1" applyAlignment="1">
      <alignment horizontal="center"/>
    </xf>
    <xf numFmtId="1" fontId="7" fillId="0" borderId="12" xfId="11" applyNumberFormat="1" applyFont="1" applyFill="1" applyBorder="1" applyAlignment="1">
      <alignment horizontal="center"/>
    </xf>
    <xf numFmtId="167" fontId="7" fillId="0" borderId="12" xfId="11" applyNumberFormat="1" applyFont="1" applyFill="1" applyBorder="1" applyAlignment="1">
      <alignment horizontal="center"/>
    </xf>
    <xf numFmtId="3" fontId="7" fillId="2" borderId="12" xfId="11" applyNumberFormat="1" applyFont="1" applyFill="1" applyBorder="1" applyAlignment="1">
      <alignment horizontal="center"/>
    </xf>
    <xf numFmtId="1" fontId="7" fillId="0" borderId="12" xfId="11" applyNumberFormat="1" applyFont="1" applyBorder="1" applyAlignment="1">
      <alignment horizontal="center"/>
    </xf>
    <xf numFmtId="2" fontId="7" fillId="2" borderId="12" xfId="11" applyNumberFormat="1" applyFont="1" applyFill="1" applyBorder="1" applyAlignment="1">
      <alignment horizontal="center"/>
    </xf>
    <xf numFmtId="165" fontId="7" fillId="2" borderId="10" xfId="11" applyNumberFormat="1" applyFont="1" applyFill="1" applyBorder="1" applyAlignment="1">
      <alignment horizontal="center"/>
    </xf>
    <xf numFmtId="165" fontId="7" fillId="2" borderId="1" xfId="11" applyNumberFormat="1" applyFont="1" applyFill="1" applyBorder="1" applyAlignment="1">
      <alignment horizontal="center"/>
    </xf>
    <xf numFmtId="165" fontId="7" fillId="0" borderId="12" xfId="11" applyNumberFormat="1" applyFont="1" applyBorder="1" applyAlignment="1">
      <alignment horizontal="center"/>
    </xf>
    <xf numFmtId="2" fontId="7" fillId="0" borderId="12" xfId="11" applyNumberFormat="1" applyFont="1" applyBorder="1" applyAlignment="1">
      <alignment horizontal="center"/>
    </xf>
    <xf numFmtId="165" fontId="23" fillId="31" borderId="10" xfId="11" applyNumberFormat="1" applyFont="1" applyFill="1" applyBorder="1" applyAlignment="1">
      <alignment horizontal="center"/>
    </xf>
    <xf numFmtId="165" fontId="23" fillId="31" borderId="1" xfId="11" applyNumberFormat="1" applyFont="1" applyFill="1" applyBorder="1" applyAlignment="1">
      <alignment horizontal="center"/>
    </xf>
    <xf numFmtId="167" fontId="7" fillId="26" borderId="10" xfId="11" applyNumberFormat="1" applyFont="1" applyFill="1" applyBorder="1" applyAlignment="1">
      <alignment horizontal="center"/>
    </xf>
    <xf numFmtId="167" fontId="7" fillId="26" borderId="1" xfId="11" applyNumberFormat="1" applyFont="1" applyFill="1" applyBorder="1" applyAlignment="1">
      <alignment horizontal="center"/>
    </xf>
    <xf numFmtId="4" fontId="7" fillId="2" borderId="10" xfId="11" applyNumberFormat="1" applyFont="1" applyFill="1" applyBorder="1" applyAlignment="1">
      <alignment horizontal="center"/>
    </xf>
    <xf numFmtId="4" fontId="7" fillId="2" borderId="1" xfId="11" applyNumberFormat="1" applyFont="1" applyFill="1" applyBorder="1" applyAlignment="1">
      <alignment horizontal="center"/>
    </xf>
    <xf numFmtId="3" fontId="7" fillId="30" borderId="10" xfId="11" applyNumberFormat="1" applyFont="1" applyFill="1" applyBorder="1" applyAlignment="1">
      <alignment horizontal="center"/>
    </xf>
    <xf numFmtId="3" fontId="7" fillId="30" borderId="1" xfId="11" applyNumberFormat="1" applyFont="1" applyFill="1" applyBorder="1" applyAlignment="1">
      <alignment horizontal="center"/>
    </xf>
    <xf numFmtId="3" fontId="7" fillId="2" borderId="10" xfId="11" applyNumberFormat="1" applyFont="1" applyFill="1" applyBorder="1" applyAlignment="1">
      <alignment horizontal="center"/>
    </xf>
    <xf numFmtId="3" fontId="7" fillId="2" borderId="1" xfId="11" applyNumberFormat="1" applyFont="1" applyFill="1" applyBorder="1" applyAlignment="1">
      <alignment horizontal="center"/>
    </xf>
    <xf numFmtId="167" fontId="7" fillId="2" borderId="10" xfId="11" applyNumberFormat="1" applyFont="1" applyFill="1" applyBorder="1" applyAlignment="1">
      <alignment horizontal="center"/>
    </xf>
    <xf numFmtId="167" fontId="7" fillId="2" borderId="1" xfId="11" applyNumberFormat="1" applyFont="1" applyFill="1" applyBorder="1" applyAlignment="1">
      <alignment horizontal="center"/>
    </xf>
    <xf numFmtId="165" fontId="7" fillId="31" borderId="12" xfId="11" applyNumberFormat="1" applyFont="1" applyFill="1" applyBorder="1" applyAlignment="1">
      <alignment horizontal="center"/>
    </xf>
    <xf numFmtId="0" fontId="7" fillId="0" borderId="12" xfId="11" applyFont="1" applyBorder="1" applyAlignment="1">
      <alignment horizontal="center" textRotation="90"/>
    </xf>
    <xf numFmtId="0" fontId="7" fillId="0" borderId="23" xfId="11" applyFont="1" applyBorder="1" applyAlignment="1">
      <alignment horizontal="center" textRotation="90"/>
    </xf>
    <xf numFmtId="0" fontId="7" fillId="0" borderId="11" xfId="11" applyFont="1" applyBorder="1" applyAlignment="1">
      <alignment horizontal="center" textRotation="90"/>
    </xf>
    <xf numFmtId="0" fontId="7" fillId="0" borderId="22" xfId="11" applyFont="1" applyBorder="1" applyAlignment="1">
      <alignment horizontal="center" textRotation="90"/>
    </xf>
    <xf numFmtId="0" fontId="7" fillId="0" borderId="12" xfId="11" applyFont="1" applyBorder="1" applyAlignment="1">
      <alignment horizontal="center" vertical="center"/>
    </xf>
    <xf numFmtId="3" fontId="7" fillId="0" borderId="10" xfId="11" applyNumberFormat="1" applyFont="1" applyBorder="1" applyAlignment="1">
      <alignment horizontal="center"/>
    </xf>
    <xf numFmtId="3" fontId="7" fillId="0" borderId="1" xfId="11" applyNumberFormat="1" applyFont="1" applyBorder="1" applyAlignment="1">
      <alignment horizontal="center"/>
    </xf>
    <xf numFmtId="1" fontId="7" fillId="26" borderId="12" xfId="11" applyNumberFormat="1" applyFont="1" applyFill="1" applyBorder="1" applyAlignment="1">
      <alignment horizontal="center"/>
    </xf>
    <xf numFmtId="0" fontId="7" fillId="0" borderId="23" xfId="11" applyFont="1" applyBorder="1" applyAlignment="1">
      <alignment horizontal="center" vertical="center" wrapText="1"/>
    </xf>
    <xf numFmtId="0" fontId="7" fillId="0" borderId="11" xfId="11" applyFont="1" applyBorder="1" applyAlignment="1">
      <alignment horizontal="center" vertical="center" wrapText="1"/>
    </xf>
    <xf numFmtId="0" fontId="7" fillId="0" borderId="22" xfId="11" applyFont="1" applyBorder="1" applyAlignment="1">
      <alignment horizontal="center" vertical="center" wrapText="1"/>
    </xf>
    <xf numFmtId="0" fontId="7" fillId="0" borderId="2" xfId="11" applyFont="1" applyBorder="1" applyAlignment="1">
      <alignment horizontal="center" vertical="center" wrapText="1"/>
    </xf>
    <xf numFmtId="0" fontId="7" fillId="0" borderId="3" xfId="11" applyFont="1" applyBorder="1" applyAlignment="1">
      <alignment horizontal="center" vertical="center" wrapText="1"/>
    </xf>
    <xf numFmtId="0" fontId="7" fillId="0" borderId="5" xfId="11" applyFont="1" applyBorder="1" applyAlignment="1">
      <alignment horizontal="center" vertical="center" wrapText="1"/>
    </xf>
    <xf numFmtId="0" fontId="7" fillId="0" borderId="6" xfId="11" applyFont="1" applyBorder="1" applyAlignment="1">
      <alignment horizontal="center" vertical="center" wrapText="1"/>
    </xf>
    <xf numFmtId="0" fontId="7" fillId="0" borderId="0" xfId="11" applyFont="1" applyBorder="1" applyAlignment="1">
      <alignment horizontal="center" vertical="center" wrapText="1"/>
    </xf>
    <xf numFmtId="0" fontId="7" fillId="0" borderId="4" xfId="11" applyFont="1" applyBorder="1" applyAlignment="1">
      <alignment horizontal="center" vertical="center" wrapText="1"/>
    </xf>
    <xf numFmtId="0" fontId="7" fillId="0" borderId="9" xfId="11" applyFont="1" applyBorder="1" applyAlignment="1">
      <alignment horizontal="center" vertical="center" wrapText="1"/>
    </xf>
    <xf numFmtId="0" fontId="7" fillId="0" borderId="7" xfId="11" applyFont="1" applyBorder="1" applyAlignment="1">
      <alignment horizontal="center" vertical="center" wrapText="1"/>
    </xf>
    <xf numFmtId="0" fontId="7" fillId="0" borderId="8" xfId="11" applyFont="1" applyBorder="1" applyAlignment="1">
      <alignment horizontal="center" vertical="center" wrapText="1"/>
    </xf>
    <xf numFmtId="0" fontId="7" fillId="0" borderId="10" xfId="11" applyFont="1" applyBorder="1" applyAlignment="1">
      <alignment horizontal="center"/>
    </xf>
    <xf numFmtId="0" fontId="7" fillId="0" borderId="1" xfId="11" applyFont="1" applyBorder="1" applyAlignment="1">
      <alignment horizontal="center"/>
    </xf>
  </cellXfs>
  <cellStyles count="82">
    <cellStyle name="20% - Ênfase1 2" xfId="10" xr:uid="{00000000-0005-0000-0000-000000000000}"/>
    <cellStyle name="20% - Ênfase2 2" xfId="12" xr:uid="{00000000-0005-0000-0000-000001000000}"/>
    <cellStyle name="20% - Ênfase3 2" xfId="13" xr:uid="{00000000-0005-0000-0000-000002000000}"/>
    <cellStyle name="20% - Ênfase4 2" xfId="14" xr:uid="{00000000-0005-0000-0000-000003000000}"/>
    <cellStyle name="20% - Ênfase5 2" xfId="15" xr:uid="{00000000-0005-0000-0000-000004000000}"/>
    <cellStyle name="20% - Ênfase6 2" xfId="16" xr:uid="{00000000-0005-0000-0000-000005000000}"/>
    <cellStyle name="40% - Ênfase1 2" xfId="17" xr:uid="{00000000-0005-0000-0000-000006000000}"/>
    <cellStyle name="40% - Ênfase2 2" xfId="18" xr:uid="{00000000-0005-0000-0000-000007000000}"/>
    <cellStyle name="40% - Ênfase3 2" xfId="19" xr:uid="{00000000-0005-0000-0000-000008000000}"/>
    <cellStyle name="40% - Ênfase4 2" xfId="20" xr:uid="{00000000-0005-0000-0000-000009000000}"/>
    <cellStyle name="40% - Ênfase5 2" xfId="21" xr:uid="{00000000-0005-0000-0000-00000A000000}"/>
    <cellStyle name="40% - Ênfase6 2" xfId="22" xr:uid="{00000000-0005-0000-0000-00000B000000}"/>
    <cellStyle name="60% - Ênfase1 2" xfId="23" xr:uid="{00000000-0005-0000-0000-00000C000000}"/>
    <cellStyle name="60% - Ênfase2 2" xfId="24" xr:uid="{00000000-0005-0000-0000-00000D000000}"/>
    <cellStyle name="60% - Ênfase3 2" xfId="25" xr:uid="{00000000-0005-0000-0000-00000E000000}"/>
    <cellStyle name="60% - Ênfase4 2" xfId="26" xr:uid="{00000000-0005-0000-0000-00000F000000}"/>
    <cellStyle name="60% - Ênfase5 2" xfId="27" xr:uid="{00000000-0005-0000-0000-000010000000}"/>
    <cellStyle name="60% - Ênfase6 2" xfId="28" xr:uid="{00000000-0005-0000-0000-000011000000}"/>
    <cellStyle name="Bom 2" xfId="29" xr:uid="{00000000-0005-0000-0000-000012000000}"/>
    <cellStyle name="Cálculo 2" xfId="30" xr:uid="{00000000-0005-0000-0000-000013000000}"/>
    <cellStyle name="Célula de Verificação 2" xfId="31" xr:uid="{00000000-0005-0000-0000-000014000000}"/>
    <cellStyle name="Célula Vinculada 2" xfId="32" xr:uid="{00000000-0005-0000-0000-000015000000}"/>
    <cellStyle name="Ênfase1 2" xfId="33" xr:uid="{00000000-0005-0000-0000-000016000000}"/>
    <cellStyle name="Ênfase2 2" xfId="34" xr:uid="{00000000-0005-0000-0000-000017000000}"/>
    <cellStyle name="Ênfase3 2" xfId="35" xr:uid="{00000000-0005-0000-0000-000018000000}"/>
    <cellStyle name="Ênfase4 2" xfId="36" xr:uid="{00000000-0005-0000-0000-000019000000}"/>
    <cellStyle name="Ênfase5 2" xfId="37" xr:uid="{00000000-0005-0000-0000-00001A000000}"/>
    <cellStyle name="Ênfase6 2" xfId="38" xr:uid="{00000000-0005-0000-0000-00001B000000}"/>
    <cellStyle name="Entrada 2" xfId="39" xr:uid="{00000000-0005-0000-0000-00001C000000}"/>
    <cellStyle name="Estilo 1" xfId="9" xr:uid="{00000000-0005-0000-0000-00001D000000}"/>
    <cellStyle name="Incorreto 2" xfId="40" xr:uid="{00000000-0005-0000-0000-00001E000000}"/>
    <cellStyle name="Moeda 2" xfId="6" xr:uid="{00000000-0005-0000-0000-000050000000}"/>
    <cellStyle name="Neutra 2" xfId="41" xr:uid="{00000000-0005-0000-0000-00001F000000}"/>
    <cellStyle name="Neutro 2" xfId="59" xr:uid="{00000000-0005-0000-0000-000060000000}"/>
    <cellStyle name="Normal" xfId="0" builtinId="0"/>
    <cellStyle name="Normal 2" xfId="54" xr:uid="{00000000-0005-0000-0000-000021000000}"/>
    <cellStyle name="Normal 2 2" xfId="63" xr:uid="{00000000-0005-0000-0000-000021000000}"/>
    <cellStyle name="Normal 3" xfId="55" xr:uid="{00000000-0005-0000-0000-000022000000}"/>
    <cellStyle name="Normal 3 2" xfId="64" xr:uid="{00000000-0005-0000-0000-000022000000}"/>
    <cellStyle name="Normal 4" xfId="53" xr:uid="{00000000-0005-0000-0000-000023000000}"/>
    <cellStyle name="Normal 4 2" xfId="62" xr:uid="{00000000-0005-0000-0000-000023000000}"/>
    <cellStyle name="Normal 5" xfId="11" xr:uid="{00000000-0005-0000-0000-000024000000}"/>
    <cellStyle name="Normal 5 2" xfId="61" xr:uid="{00000000-0005-0000-0000-000035000000}"/>
    <cellStyle name="Normal 6" xfId="57" xr:uid="{00000000-0005-0000-0000-000061000000}"/>
    <cellStyle name="Normal_Dim_Arranjo_Derivativo_R4_11mar" xfId="4" xr:uid="{00000000-0005-0000-0000-000002000000}"/>
    <cellStyle name="Normal_VERTEDOR" xfId="3" xr:uid="{00000000-0005-0000-0000-000003000000}"/>
    <cellStyle name="Normal_VERTEDOR 2" xfId="81" xr:uid="{2A0DBD20-7EDB-4127-A8A0-BAA85A104250}"/>
    <cellStyle name="Nota 2" xfId="42" xr:uid="{00000000-0005-0000-0000-000026000000}"/>
    <cellStyle name="Porcentagem" xfId="2" builtinId="5"/>
    <cellStyle name="Porcentagem 2" xfId="52" xr:uid="{00000000-0005-0000-0000-000027000000}"/>
    <cellStyle name="Ruim 2" xfId="58" xr:uid="{00000000-0005-0000-0000-000067000000}"/>
    <cellStyle name="Saída 2" xfId="43" xr:uid="{00000000-0005-0000-0000-000028000000}"/>
    <cellStyle name="Separador de milhares 2" xfId="56" xr:uid="{00000000-0005-0000-0000-000029000000}"/>
    <cellStyle name="Separador de milhares 2 2" xfId="69" xr:uid="{00000000-0005-0000-0000-000029000000}"/>
    <cellStyle name="Separador de milhares 2 3" xfId="76" xr:uid="{00000000-0005-0000-0000-000029000000}"/>
    <cellStyle name="Texto de Aviso 2" xfId="44" xr:uid="{00000000-0005-0000-0000-00002A000000}"/>
    <cellStyle name="Texto Explicativo 2" xfId="45" xr:uid="{00000000-0005-0000-0000-00002B000000}"/>
    <cellStyle name="Título 1 2" xfId="47" xr:uid="{00000000-0005-0000-0000-00002C000000}"/>
    <cellStyle name="Título 2 2" xfId="48" xr:uid="{00000000-0005-0000-0000-00002D000000}"/>
    <cellStyle name="Título 3 2" xfId="49" xr:uid="{00000000-0005-0000-0000-00002E000000}"/>
    <cellStyle name="Título 4 2" xfId="50" xr:uid="{00000000-0005-0000-0000-00002F000000}"/>
    <cellStyle name="Título 5" xfId="46" xr:uid="{00000000-0005-0000-0000-000030000000}"/>
    <cellStyle name="Total 2" xfId="51" xr:uid="{00000000-0005-0000-0000-000031000000}"/>
    <cellStyle name="Vírgula" xfId="1" builtinId="3"/>
    <cellStyle name="Vírgula 2" xfId="8" xr:uid="{00000000-0005-0000-0000-000030000000}"/>
    <cellStyle name="Vírgula 2 2" xfId="65" xr:uid="{00000000-0005-0000-0000-000039000000}"/>
    <cellStyle name="Vírgula 2 2 2" xfId="71" xr:uid="{00000000-0005-0000-0000-000039000000}"/>
    <cellStyle name="Vírgula 2 2 3" xfId="78" xr:uid="{00000000-0005-0000-0000-000039000000}"/>
    <cellStyle name="Vírgula 2 3" xfId="68" xr:uid="{00000000-0005-0000-0000-000030000000}"/>
    <cellStyle name="Vírgula 2 4" xfId="75" xr:uid="{00000000-0005-0000-0000-000030000000}"/>
    <cellStyle name="Vírgula 3" xfId="60" xr:uid="{00000000-0005-0000-0000-000068000000}"/>
    <cellStyle name="Vírgula 3 2" xfId="70" xr:uid="{00000000-0005-0000-0000-000068000000}"/>
    <cellStyle name="Vírgula 3 3" xfId="77" xr:uid="{00000000-0005-0000-0000-000068000000}"/>
    <cellStyle name="Vírgula 4" xfId="66" xr:uid="{00000000-0005-0000-0000-000069000000}"/>
    <cellStyle name="Vírgula 4 2" xfId="72" xr:uid="{00000000-0005-0000-0000-000069000000}"/>
    <cellStyle name="Vírgula 4 3" xfId="79" xr:uid="{00000000-0005-0000-0000-000069000000}"/>
    <cellStyle name="Vírgula 5" xfId="7" xr:uid="{00000000-0005-0000-0000-000068000000}"/>
    <cellStyle name="Vírgula 5 2" xfId="73" xr:uid="{00000000-0005-0000-0000-00006C000000}"/>
    <cellStyle name="Vírgula 5 3" xfId="80" xr:uid="{00000000-0005-0000-0000-00006C000000}"/>
    <cellStyle name="Vírgula 6" xfId="5" xr:uid="{00000000-0005-0000-0000-000069000000}"/>
    <cellStyle name="Vírgula 7" xfId="67" xr:uid="{00000000-0005-0000-0000-000070000000}"/>
    <cellStyle name="Vírgula 8" xfId="74" xr:uid="{00000000-0005-0000-0000-00007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18" Type="http://schemas.openxmlformats.org/officeDocument/2006/relationships/image" Target="../media/image33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17" Type="http://schemas.openxmlformats.org/officeDocument/2006/relationships/image" Target="../media/image32.emf"/><Relationship Id="rId2" Type="http://schemas.openxmlformats.org/officeDocument/2006/relationships/image" Target="../media/image17.emf"/><Relationship Id="rId16" Type="http://schemas.openxmlformats.org/officeDocument/2006/relationships/image" Target="../media/image31.emf"/><Relationship Id="rId20" Type="http://schemas.openxmlformats.org/officeDocument/2006/relationships/image" Target="../media/image35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5" Type="http://schemas.openxmlformats.org/officeDocument/2006/relationships/image" Target="../media/image30.emf"/><Relationship Id="rId10" Type="http://schemas.openxmlformats.org/officeDocument/2006/relationships/image" Target="../media/image25.emf"/><Relationship Id="rId19" Type="http://schemas.openxmlformats.org/officeDocument/2006/relationships/image" Target="../media/image34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Relationship Id="rId14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2909892</xdr:colOff>
      <xdr:row>20</xdr:row>
      <xdr:rowOff>52386</xdr:rowOff>
    </xdr:from>
    <xdr:to>
      <xdr:col>4</xdr:col>
      <xdr:colOff>0</xdr:colOff>
      <xdr:row>27</xdr:row>
      <xdr:rowOff>66678</xdr:rowOff>
    </xdr:to>
    <xdr:sp macro="" textlink="">
      <xdr:nvSpPr>
        <xdr:cNvPr id="48" name="Forma Livre: Form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 rot="5400000">
          <a:off x="6200775" y="4476753"/>
          <a:ext cx="1347792" cy="271458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361950</xdr:colOff>
      <xdr:row>25</xdr:row>
      <xdr:rowOff>27991</xdr:rowOff>
    </xdr:from>
    <xdr:to>
      <xdr:col>6</xdr:col>
      <xdr:colOff>19058</xdr:colOff>
      <xdr:row>29</xdr:row>
      <xdr:rowOff>28575</xdr:rowOff>
    </xdr:to>
    <xdr:sp macro="" textlink="">
      <xdr:nvSpPr>
        <xdr:cNvPr id="47" name="Forma Livre: Form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7372350" y="4866691"/>
          <a:ext cx="647708" cy="762584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145676</xdr:colOff>
      <xdr:row>22</xdr:row>
      <xdr:rowOff>133902</xdr:rowOff>
    </xdr:from>
    <xdr:to>
      <xdr:col>3</xdr:col>
      <xdr:colOff>798266</xdr:colOff>
      <xdr:row>27</xdr:row>
      <xdr:rowOff>51301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3344816">
          <a:off x="3866071" y="4509757"/>
          <a:ext cx="869899" cy="652590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287938</xdr:colOff>
      <xdr:row>19</xdr:row>
      <xdr:rowOff>123824</xdr:rowOff>
    </xdr:from>
    <xdr:to>
      <xdr:col>6</xdr:col>
      <xdr:colOff>2524127</xdr:colOff>
      <xdr:row>28</xdr:row>
      <xdr:rowOff>122575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7473598" y="3705224"/>
          <a:ext cx="3257269" cy="1644671"/>
          <a:chOff x="3988169" y="2105024"/>
          <a:chExt cx="4074504" cy="2474694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 rot="20010756">
            <a:off x="5821196" y="3352235"/>
            <a:ext cx="396056" cy="3661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L1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3988169" y="2975486"/>
            <a:ext cx="610630" cy="3329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CN1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6" name="Forma Livre: Forma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327623" y="3312193"/>
            <a:ext cx="2219605" cy="1267525"/>
          </a:xfrm>
          <a:custGeom>
            <a:avLst/>
            <a:gdLst>
              <a:gd name="connsiteX0" fmla="*/ 0 w 2628900"/>
              <a:gd name="connsiteY0" fmla="*/ 0 h 762000"/>
              <a:gd name="connsiteX1" fmla="*/ 76200 w 2628900"/>
              <a:gd name="connsiteY1" fmla="*/ 76200 h 762000"/>
              <a:gd name="connsiteX2" fmla="*/ 104775 w 2628900"/>
              <a:gd name="connsiteY2" fmla="*/ 104775 h 762000"/>
              <a:gd name="connsiteX3" fmla="*/ 133350 w 2628900"/>
              <a:gd name="connsiteY3" fmla="*/ 123825 h 762000"/>
              <a:gd name="connsiteX4" fmla="*/ 180975 w 2628900"/>
              <a:gd name="connsiteY4" fmla="*/ 161925 h 762000"/>
              <a:gd name="connsiteX5" fmla="*/ 238125 w 2628900"/>
              <a:gd name="connsiteY5" fmla="*/ 209550 h 762000"/>
              <a:gd name="connsiteX6" fmla="*/ 285750 w 2628900"/>
              <a:gd name="connsiteY6" fmla="*/ 219075 h 762000"/>
              <a:gd name="connsiteX7" fmla="*/ 342900 w 2628900"/>
              <a:gd name="connsiteY7" fmla="*/ 257175 h 762000"/>
              <a:gd name="connsiteX8" fmla="*/ 371475 w 2628900"/>
              <a:gd name="connsiteY8" fmla="*/ 276225 h 762000"/>
              <a:gd name="connsiteX9" fmla="*/ 400050 w 2628900"/>
              <a:gd name="connsiteY9" fmla="*/ 304800 h 762000"/>
              <a:gd name="connsiteX10" fmla="*/ 428625 w 2628900"/>
              <a:gd name="connsiteY10" fmla="*/ 314325 h 762000"/>
              <a:gd name="connsiteX11" fmla="*/ 457200 w 2628900"/>
              <a:gd name="connsiteY11" fmla="*/ 333375 h 762000"/>
              <a:gd name="connsiteX12" fmla="*/ 514350 w 2628900"/>
              <a:gd name="connsiteY12" fmla="*/ 361950 h 762000"/>
              <a:gd name="connsiteX13" fmla="*/ 542925 w 2628900"/>
              <a:gd name="connsiteY13" fmla="*/ 390525 h 762000"/>
              <a:gd name="connsiteX14" fmla="*/ 600075 w 2628900"/>
              <a:gd name="connsiteY14" fmla="*/ 428625 h 762000"/>
              <a:gd name="connsiteX15" fmla="*/ 638175 w 2628900"/>
              <a:gd name="connsiteY15" fmla="*/ 457200 h 762000"/>
              <a:gd name="connsiteX16" fmla="*/ 695325 w 2628900"/>
              <a:gd name="connsiteY16" fmla="*/ 476250 h 762000"/>
              <a:gd name="connsiteX17" fmla="*/ 752475 w 2628900"/>
              <a:gd name="connsiteY17" fmla="*/ 514350 h 762000"/>
              <a:gd name="connsiteX18" fmla="*/ 781050 w 2628900"/>
              <a:gd name="connsiteY18" fmla="*/ 533400 h 762000"/>
              <a:gd name="connsiteX19" fmla="*/ 838200 w 2628900"/>
              <a:gd name="connsiteY19" fmla="*/ 552450 h 762000"/>
              <a:gd name="connsiteX20" fmla="*/ 866775 w 2628900"/>
              <a:gd name="connsiteY20" fmla="*/ 561975 h 762000"/>
              <a:gd name="connsiteX21" fmla="*/ 981075 w 2628900"/>
              <a:gd name="connsiteY21" fmla="*/ 533400 h 762000"/>
              <a:gd name="connsiteX22" fmla="*/ 1000125 w 2628900"/>
              <a:gd name="connsiteY22" fmla="*/ 504825 h 762000"/>
              <a:gd name="connsiteX23" fmla="*/ 1019175 w 2628900"/>
              <a:gd name="connsiteY23" fmla="*/ 438150 h 762000"/>
              <a:gd name="connsiteX24" fmla="*/ 1038225 w 2628900"/>
              <a:gd name="connsiteY24" fmla="*/ 381000 h 762000"/>
              <a:gd name="connsiteX25" fmla="*/ 1047750 w 2628900"/>
              <a:gd name="connsiteY25" fmla="*/ 266700 h 762000"/>
              <a:gd name="connsiteX26" fmla="*/ 1076325 w 2628900"/>
              <a:gd name="connsiteY26" fmla="*/ 238125 h 762000"/>
              <a:gd name="connsiteX27" fmla="*/ 1143000 w 2628900"/>
              <a:gd name="connsiteY27" fmla="*/ 200025 h 762000"/>
              <a:gd name="connsiteX28" fmla="*/ 1171575 w 2628900"/>
              <a:gd name="connsiteY28" fmla="*/ 171450 h 762000"/>
              <a:gd name="connsiteX29" fmla="*/ 1266825 w 2628900"/>
              <a:gd name="connsiteY29" fmla="*/ 123825 h 762000"/>
              <a:gd name="connsiteX30" fmla="*/ 1304925 w 2628900"/>
              <a:gd name="connsiteY30" fmla="*/ 152400 h 762000"/>
              <a:gd name="connsiteX31" fmla="*/ 1333500 w 2628900"/>
              <a:gd name="connsiteY31" fmla="*/ 161925 h 762000"/>
              <a:gd name="connsiteX32" fmla="*/ 1390650 w 2628900"/>
              <a:gd name="connsiteY32" fmla="*/ 219075 h 762000"/>
              <a:gd name="connsiteX33" fmla="*/ 1409700 w 2628900"/>
              <a:gd name="connsiteY33" fmla="*/ 276225 h 762000"/>
              <a:gd name="connsiteX34" fmla="*/ 1428750 w 2628900"/>
              <a:gd name="connsiteY34" fmla="*/ 304800 h 762000"/>
              <a:gd name="connsiteX35" fmla="*/ 1457325 w 2628900"/>
              <a:gd name="connsiteY35" fmla="*/ 361950 h 762000"/>
              <a:gd name="connsiteX36" fmla="*/ 1466850 w 2628900"/>
              <a:gd name="connsiteY36" fmla="*/ 438150 h 762000"/>
              <a:gd name="connsiteX37" fmla="*/ 1533525 w 2628900"/>
              <a:gd name="connsiteY37" fmla="*/ 523875 h 762000"/>
              <a:gd name="connsiteX38" fmla="*/ 1543050 w 2628900"/>
              <a:gd name="connsiteY38" fmla="*/ 552450 h 762000"/>
              <a:gd name="connsiteX39" fmla="*/ 1590675 w 2628900"/>
              <a:gd name="connsiteY39" fmla="*/ 609600 h 762000"/>
              <a:gd name="connsiteX40" fmla="*/ 1619250 w 2628900"/>
              <a:gd name="connsiteY40" fmla="*/ 619125 h 762000"/>
              <a:gd name="connsiteX41" fmla="*/ 1647825 w 2628900"/>
              <a:gd name="connsiteY41" fmla="*/ 638175 h 762000"/>
              <a:gd name="connsiteX42" fmla="*/ 1695450 w 2628900"/>
              <a:gd name="connsiteY42" fmla="*/ 676275 h 762000"/>
              <a:gd name="connsiteX43" fmla="*/ 1752600 w 2628900"/>
              <a:gd name="connsiteY43" fmla="*/ 714375 h 762000"/>
              <a:gd name="connsiteX44" fmla="*/ 1790700 w 2628900"/>
              <a:gd name="connsiteY44" fmla="*/ 723900 h 762000"/>
              <a:gd name="connsiteX45" fmla="*/ 1819275 w 2628900"/>
              <a:gd name="connsiteY45" fmla="*/ 733425 h 762000"/>
              <a:gd name="connsiteX46" fmla="*/ 1866900 w 2628900"/>
              <a:gd name="connsiteY46" fmla="*/ 742950 h 762000"/>
              <a:gd name="connsiteX47" fmla="*/ 2019300 w 2628900"/>
              <a:gd name="connsiteY47" fmla="*/ 762000 h 762000"/>
              <a:gd name="connsiteX48" fmla="*/ 2114550 w 2628900"/>
              <a:gd name="connsiteY48" fmla="*/ 752475 h 762000"/>
              <a:gd name="connsiteX49" fmla="*/ 2181225 w 2628900"/>
              <a:gd name="connsiteY49" fmla="*/ 733425 h 762000"/>
              <a:gd name="connsiteX50" fmla="*/ 2228850 w 2628900"/>
              <a:gd name="connsiteY50" fmla="*/ 723900 h 762000"/>
              <a:gd name="connsiteX51" fmla="*/ 2257425 w 2628900"/>
              <a:gd name="connsiteY51" fmla="*/ 695325 h 762000"/>
              <a:gd name="connsiteX52" fmla="*/ 2428875 w 2628900"/>
              <a:gd name="connsiteY52" fmla="*/ 666750 h 762000"/>
              <a:gd name="connsiteX53" fmla="*/ 2486025 w 2628900"/>
              <a:gd name="connsiteY53" fmla="*/ 647700 h 762000"/>
              <a:gd name="connsiteX54" fmla="*/ 2552700 w 2628900"/>
              <a:gd name="connsiteY54" fmla="*/ 628650 h 762000"/>
              <a:gd name="connsiteX55" fmla="*/ 2609850 w 2628900"/>
              <a:gd name="connsiteY55" fmla="*/ 590550 h 762000"/>
              <a:gd name="connsiteX56" fmla="*/ 2628900 w 2628900"/>
              <a:gd name="connsiteY56" fmla="*/ 581025 h 762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</a:cxnLst>
            <a:rect l="l" t="t" r="r" b="b"/>
            <a:pathLst>
              <a:path w="2628900" h="762000">
                <a:moveTo>
                  <a:pt x="0" y="0"/>
                </a:moveTo>
                <a:lnTo>
                  <a:pt x="76200" y="76200"/>
                </a:lnTo>
                <a:cubicBezTo>
                  <a:pt x="85725" y="85725"/>
                  <a:pt x="93567" y="97303"/>
                  <a:pt x="104775" y="104775"/>
                </a:cubicBezTo>
                <a:lnTo>
                  <a:pt x="133350" y="123825"/>
                </a:lnTo>
                <a:cubicBezTo>
                  <a:pt x="175955" y="187732"/>
                  <a:pt x="125766" y="125119"/>
                  <a:pt x="180975" y="161925"/>
                </a:cubicBezTo>
                <a:cubicBezTo>
                  <a:pt x="212740" y="183102"/>
                  <a:pt x="202510" y="196194"/>
                  <a:pt x="238125" y="209550"/>
                </a:cubicBezTo>
                <a:cubicBezTo>
                  <a:pt x="253284" y="215234"/>
                  <a:pt x="269875" y="215900"/>
                  <a:pt x="285750" y="219075"/>
                </a:cubicBezTo>
                <a:lnTo>
                  <a:pt x="342900" y="257175"/>
                </a:lnTo>
                <a:cubicBezTo>
                  <a:pt x="352425" y="263525"/>
                  <a:pt x="363380" y="268130"/>
                  <a:pt x="371475" y="276225"/>
                </a:cubicBezTo>
                <a:cubicBezTo>
                  <a:pt x="381000" y="285750"/>
                  <a:pt x="388842" y="297328"/>
                  <a:pt x="400050" y="304800"/>
                </a:cubicBezTo>
                <a:cubicBezTo>
                  <a:pt x="408404" y="310369"/>
                  <a:pt x="419645" y="309835"/>
                  <a:pt x="428625" y="314325"/>
                </a:cubicBezTo>
                <a:cubicBezTo>
                  <a:pt x="438864" y="319445"/>
                  <a:pt x="446961" y="328255"/>
                  <a:pt x="457200" y="333375"/>
                </a:cubicBezTo>
                <a:cubicBezTo>
                  <a:pt x="500158" y="354854"/>
                  <a:pt x="473404" y="327828"/>
                  <a:pt x="514350" y="361950"/>
                </a:cubicBezTo>
                <a:cubicBezTo>
                  <a:pt x="524698" y="370574"/>
                  <a:pt x="532292" y="382255"/>
                  <a:pt x="542925" y="390525"/>
                </a:cubicBezTo>
                <a:cubicBezTo>
                  <a:pt x="560997" y="404581"/>
                  <a:pt x="581759" y="414888"/>
                  <a:pt x="600075" y="428625"/>
                </a:cubicBezTo>
                <a:cubicBezTo>
                  <a:pt x="612775" y="438150"/>
                  <a:pt x="623976" y="450100"/>
                  <a:pt x="638175" y="457200"/>
                </a:cubicBezTo>
                <a:cubicBezTo>
                  <a:pt x="656136" y="466180"/>
                  <a:pt x="678617" y="465111"/>
                  <a:pt x="695325" y="476250"/>
                </a:cubicBezTo>
                <a:lnTo>
                  <a:pt x="752475" y="514350"/>
                </a:lnTo>
                <a:cubicBezTo>
                  <a:pt x="762000" y="520700"/>
                  <a:pt x="770190" y="529780"/>
                  <a:pt x="781050" y="533400"/>
                </a:cubicBezTo>
                <a:lnTo>
                  <a:pt x="838200" y="552450"/>
                </a:lnTo>
                <a:lnTo>
                  <a:pt x="866775" y="561975"/>
                </a:lnTo>
                <a:cubicBezTo>
                  <a:pt x="914435" y="556679"/>
                  <a:pt x="948264" y="566211"/>
                  <a:pt x="981075" y="533400"/>
                </a:cubicBezTo>
                <a:cubicBezTo>
                  <a:pt x="989170" y="525305"/>
                  <a:pt x="995005" y="515064"/>
                  <a:pt x="1000125" y="504825"/>
                </a:cubicBezTo>
                <a:cubicBezTo>
                  <a:pt x="1008128" y="488820"/>
                  <a:pt x="1014597" y="453409"/>
                  <a:pt x="1019175" y="438150"/>
                </a:cubicBezTo>
                <a:cubicBezTo>
                  <a:pt x="1024945" y="418916"/>
                  <a:pt x="1038225" y="381000"/>
                  <a:pt x="1038225" y="381000"/>
                </a:cubicBezTo>
                <a:cubicBezTo>
                  <a:pt x="1041400" y="342900"/>
                  <a:pt x="1037899" y="303641"/>
                  <a:pt x="1047750" y="266700"/>
                </a:cubicBezTo>
                <a:cubicBezTo>
                  <a:pt x="1051221" y="253684"/>
                  <a:pt x="1065977" y="246749"/>
                  <a:pt x="1076325" y="238125"/>
                </a:cubicBezTo>
                <a:cubicBezTo>
                  <a:pt x="1130319" y="193130"/>
                  <a:pt x="1077786" y="246606"/>
                  <a:pt x="1143000" y="200025"/>
                </a:cubicBezTo>
                <a:cubicBezTo>
                  <a:pt x="1153961" y="192195"/>
                  <a:pt x="1160942" y="179720"/>
                  <a:pt x="1171575" y="171450"/>
                </a:cubicBezTo>
                <a:cubicBezTo>
                  <a:pt x="1225293" y="129670"/>
                  <a:pt x="1214704" y="136855"/>
                  <a:pt x="1266825" y="123825"/>
                </a:cubicBezTo>
                <a:cubicBezTo>
                  <a:pt x="1279525" y="133350"/>
                  <a:pt x="1291142" y="144524"/>
                  <a:pt x="1304925" y="152400"/>
                </a:cubicBezTo>
                <a:cubicBezTo>
                  <a:pt x="1313642" y="157381"/>
                  <a:pt x="1325575" y="155761"/>
                  <a:pt x="1333500" y="161925"/>
                </a:cubicBezTo>
                <a:cubicBezTo>
                  <a:pt x="1354766" y="178465"/>
                  <a:pt x="1390650" y="219075"/>
                  <a:pt x="1390650" y="219075"/>
                </a:cubicBezTo>
                <a:cubicBezTo>
                  <a:pt x="1397000" y="238125"/>
                  <a:pt x="1398561" y="259517"/>
                  <a:pt x="1409700" y="276225"/>
                </a:cubicBezTo>
                <a:cubicBezTo>
                  <a:pt x="1416050" y="285750"/>
                  <a:pt x="1423630" y="294561"/>
                  <a:pt x="1428750" y="304800"/>
                </a:cubicBezTo>
                <a:cubicBezTo>
                  <a:pt x="1468185" y="383670"/>
                  <a:pt x="1402730" y="280058"/>
                  <a:pt x="1457325" y="361950"/>
                </a:cubicBezTo>
                <a:cubicBezTo>
                  <a:pt x="1460500" y="387350"/>
                  <a:pt x="1458241" y="414044"/>
                  <a:pt x="1466850" y="438150"/>
                </a:cubicBezTo>
                <a:cubicBezTo>
                  <a:pt x="1479509" y="473595"/>
                  <a:pt x="1508125" y="498475"/>
                  <a:pt x="1533525" y="523875"/>
                </a:cubicBezTo>
                <a:cubicBezTo>
                  <a:pt x="1536700" y="533400"/>
                  <a:pt x="1538560" y="543470"/>
                  <a:pt x="1543050" y="552450"/>
                </a:cubicBezTo>
                <a:cubicBezTo>
                  <a:pt x="1551835" y="570021"/>
                  <a:pt x="1574876" y="599067"/>
                  <a:pt x="1590675" y="609600"/>
                </a:cubicBezTo>
                <a:cubicBezTo>
                  <a:pt x="1599029" y="615169"/>
                  <a:pt x="1610270" y="614635"/>
                  <a:pt x="1619250" y="619125"/>
                </a:cubicBezTo>
                <a:cubicBezTo>
                  <a:pt x="1629489" y="624245"/>
                  <a:pt x="1638300" y="631825"/>
                  <a:pt x="1647825" y="638175"/>
                </a:cubicBezTo>
                <a:cubicBezTo>
                  <a:pt x="1683024" y="690973"/>
                  <a:pt x="1646736" y="649212"/>
                  <a:pt x="1695450" y="676275"/>
                </a:cubicBezTo>
                <a:cubicBezTo>
                  <a:pt x="1715464" y="687394"/>
                  <a:pt x="1730388" y="708822"/>
                  <a:pt x="1752600" y="714375"/>
                </a:cubicBezTo>
                <a:cubicBezTo>
                  <a:pt x="1765300" y="717550"/>
                  <a:pt x="1778113" y="720304"/>
                  <a:pt x="1790700" y="723900"/>
                </a:cubicBezTo>
                <a:cubicBezTo>
                  <a:pt x="1800354" y="726658"/>
                  <a:pt x="1809535" y="730990"/>
                  <a:pt x="1819275" y="733425"/>
                </a:cubicBezTo>
                <a:cubicBezTo>
                  <a:pt x="1834981" y="737352"/>
                  <a:pt x="1850972" y="740054"/>
                  <a:pt x="1866900" y="742950"/>
                </a:cubicBezTo>
                <a:cubicBezTo>
                  <a:pt x="1939112" y="756080"/>
                  <a:pt x="1931949" y="753265"/>
                  <a:pt x="2019300" y="762000"/>
                </a:cubicBezTo>
                <a:cubicBezTo>
                  <a:pt x="2051050" y="758825"/>
                  <a:pt x="2082962" y="756988"/>
                  <a:pt x="2114550" y="752475"/>
                </a:cubicBezTo>
                <a:cubicBezTo>
                  <a:pt x="2156122" y="746536"/>
                  <a:pt x="2145039" y="742472"/>
                  <a:pt x="2181225" y="733425"/>
                </a:cubicBezTo>
                <a:cubicBezTo>
                  <a:pt x="2196931" y="729498"/>
                  <a:pt x="2212975" y="727075"/>
                  <a:pt x="2228850" y="723900"/>
                </a:cubicBezTo>
                <a:cubicBezTo>
                  <a:pt x="2238375" y="714375"/>
                  <a:pt x="2247077" y="703949"/>
                  <a:pt x="2257425" y="695325"/>
                </a:cubicBezTo>
                <a:cubicBezTo>
                  <a:pt x="2310869" y="650788"/>
                  <a:pt x="2336476" y="672910"/>
                  <a:pt x="2428875" y="666750"/>
                </a:cubicBezTo>
                <a:cubicBezTo>
                  <a:pt x="2447925" y="660400"/>
                  <a:pt x="2466544" y="652570"/>
                  <a:pt x="2486025" y="647700"/>
                </a:cubicBezTo>
                <a:cubicBezTo>
                  <a:pt x="2494993" y="645458"/>
                  <a:pt x="2541520" y="634861"/>
                  <a:pt x="2552700" y="628650"/>
                </a:cubicBezTo>
                <a:cubicBezTo>
                  <a:pt x="2572714" y="617531"/>
                  <a:pt x="2589372" y="600789"/>
                  <a:pt x="2609850" y="590550"/>
                </a:cubicBezTo>
                <a:lnTo>
                  <a:pt x="2628900" y="581025"/>
                </a:ln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6" idx="12"/>
            <a:endCxn id="8" idx="3"/>
          </xdr:cNvCxnSpPr>
        </xdr:nvCxnSpPr>
        <xdr:spPr>
          <a:xfrm flipV="1">
            <a:off x="4761893" y="2829327"/>
            <a:ext cx="1528201" cy="1084940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to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4786020" y="3946512"/>
            <a:ext cx="2844758" cy="221320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>
            <a:endCxn id="8" idx="8"/>
          </xdr:cNvCxnSpPr>
        </xdr:nvCxnSpPr>
        <xdr:spPr>
          <a:xfrm flipV="1">
            <a:off x="4787455" y="2919863"/>
            <a:ext cx="1863309" cy="971017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Forma Livre: Forma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6056719" y="2165384"/>
            <a:ext cx="1071403" cy="764540"/>
          </a:xfrm>
          <a:custGeom>
            <a:avLst/>
            <a:gdLst>
              <a:gd name="connsiteX0" fmla="*/ 0 w 962025"/>
              <a:gd name="connsiteY0" fmla="*/ 504825 h 723900"/>
              <a:gd name="connsiteX1" fmla="*/ 57150 w 962025"/>
              <a:gd name="connsiteY1" fmla="*/ 542925 h 723900"/>
              <a:gd name="connsiteX2" fmla="*/ 152400 w 962025"/>
              <a:gd name="connsiteY2" fmla="*/ 590550 h 723900"/>
              <a:gd name="connsiteX3" fmla="*/ 209550 w 962025"/>
              <a:gd name="connsiteY3" fmla="*/ 628650 h 723900"/>
              <a:gd name="connsiteX4" fmla="*/ 304800 w 962025"/>
              <a:gd name="connsiteY4" fmla="*/ 666750 h 723900"/>
              <a:gd name="connsiteX5" fmla="*/ 333375 w 962025"/>
              <a:gd name="connsiteY5" fmla="*/ 676275 h 723900"/>
              <a:gd name="connsiteX6" fmla="*/ 361950 w 962025"/>
              <a:gd name="connsiteY6" fmla="*/ 695325 h 723900"/>
              <a:gd name="connsiteX7" fmla="*/ 419100 w 962025"/>
              <a:gd name="connsiteY7" fmla="*/ 723900 h 723900"/>
              <a:gd name="connsiteX8" fmla="*/ 533400 w 962025"/>
              <a:gd name="connsiteY8" fmla="*/ 714375 h 723900"/>
              <a:gd name="connsiteX9" fmla="*/ 590550 w 962025"/>
              <a:gd name="connsiteY9" fmla="*/ 657225 h 723900"/>
              <a:gd name="connsiteX10" fmla="*/ 619125 w 962025"/>
              <a:gd name="connsiteY10" fmla="*/ 628650 h 723900"/>
              <a:gd name="connsiteX11" fmla="*/ 647700 w 962025"/>
              <a:gd name="connsiteY11" fmla="*/ 600075 h 723900"/>
              <a:gd name="connsiteX12" fmla="*/ 704850 w 962025"/>
              <a:gd name="connsiteY12" fmla="*/ 561975 h 723900"/>
              <a:gd name="connsiteX13" fmla="*/ 762000 w 962025"/>
              <a:gd name="connsiteY13" fmla="*/ 514350 h 723900"/>
              <a:gd name="connsiteX14" fmla="*/ 790575 w 962025"/>
              <a:gd name="connsiteY14" fmla="*/ 457200 h 723900"/>
              <a:gd name="connsiteX15" fmla="*/ 800100 w 962025"/>
              <a:gd name="connsiteY15" fmla="*/ 123825 h 723900"/>
              <a:gd name="connsiteX16" fmla="*/ 828675 w 962025"/>
              <a:gd name="connsiteY16" fmla="*/ 104775 h 723900"/>
              <a:gd name="connsiteX17" fmla="*/ 885825 w 962025"/>
              <a:gd name="connsiteY17" fmla="*/ 66675 h 723900"/>
              <a:gd name="connsiteX18" fmla="*/ 962025 w 962025"/>
              <a:gd name="connsiteY18" fmla="*/ 0 h 723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962025" h="723900">
                <a:moveTo>
                  <a:pt x="0" y="504825"/>
                </a:moveTo>
                <a:cubicBezTo>
                  <a:pt x="19050" y="517525"/>
                  <a:pt x="37050" y="531962"/>
                  <a:pt x="57150" y="542925"/>
                </a:cubicBezTo>
                <a:cubicBezTo>
                  <a:pt x="202657" y="622292"/>
                  <a:pt x="2741" y="495312"/>
                  <a:pt x="152400" y="590550"/>
                </a:cubicBezTo>
                <a:cubicBezTo>
                  <a:pt x="171716" y="602842"/>
                  <a:pt x="187830" y="621410"/>
                  <a:pt x="209550" y="628650"/>
                </a:cubicBezTo>
                <a:cubicBezTo>
                  <a:pt x="339632" y="672011"/>
                  <a:pt x="206694" y="624705"/>
                  <a:pt x="304800" y="666750"/>
                </a:cubicBezTo>
                <a:cubicBezTo>
                  <a:pt x="314028" y="670705"/>
                  <a:pt x="324395" y="671785"/>
                  <a:pt x="333375" y="676275"/>
                </a:cubicBezTo>
                <a:cubicBezTo>
                  <a:pt x="343614" y="681395"/>
                  <a:pt x="351711" y="690205"/>
                  <a:pt x="361950" y="695325"/>
                </a:cubicBezTo>
                <a:cubicBezTo>
                  <a:pt x="440820" y="734760"/>
                  <a:pt x="337208" y="669305"/>
                  <a:pt x="419100" y="723900"/>
                </a:cubicBezTo>
                <a:cubicBezTo>
                  <a:pt x="457200" y="720725"/>
                  <a:pt x="497768" y="728232"/>
                  <a:pt x="533400" y="714375"/>
                </a:cubicBezTo>
                <a:cubicBezTo>
                  <a:pt x="558509" y="704610"/>
                  <a:pt x="571500" y="676275"/>
                  <a:pt x="590550" y="657225"/>
                </a:cubicBezTo>
                <a:lnTo>
                  <a:pt x="619125" y="628650"/>
                </a:lnTo>
                <a:cubicBezTo>
                  <a:pt x="628650" y="619125"/>
                  <a:pt x="636492" y="607547"/>
                  <a:pt x="647700" y="600075"/>
                </a:cubicBezTo>
                <a:lnTo>
                  <a:pt x="704850" y="561975"/>
                </a:lnTo>
                <a:cubicBezTo>
                  <a:pt x="732947" y="543244"/>
                  <a:pt x="739081" y="541852"/>
                  <a:pt x="762000" y="514350"/>
                </a:cubicBezTo>
                <a:cubicBezTo>
                  <a:pt x="782516" y="489731"/>
                  <a:pt x="781029" y="485839"/>
                  <a:pt x="790575" y="457200"/>
                </a:cubicBezTo>
                <a:cubicBezTo>
                  <a:pt x="793750" y="346075"/>
                  <a:pt x="788151" y="234351"/>
                  <a:pt x="800100" y="123825"/>
                </a:cubicBezTo>
                <a:cubicBezTo>
                  <a:pt x="801330" y="112444"/>
                  <a:pt x="819881" y="112104"/>
                  <a:pt x="828675" y="104775"/>
                </a:cubicBezTo>
                <a:cubicBezTo>
                  <a:pt x="876241" y="65137"/>
                  <a:pt x="835607" y="83414"/>
                  <a:pt x="885825" y="66675"/>
                </a:cubicBezTo>
                <a:cubicBezTo>
                  <a:pt x="947995" y="4505"/>
                  <a:pt x="918878" y="21573"/>
                  <a:pt x="962025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7128122" y="2105024"/>
            <a:ext cx="573728" cy="370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CN2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49" idx="18"/>
          </xdr:cNvCxnSpPr>
        </xdr:nvCxnSpPr>
        <xdr:spPr>
          <a:xfrm flipH="1" flipV="1">
            <a:off x="6629552" y="2960975"/>
            <a:ext cx="1001227" cy="1222144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6534150" y="2838949"/>
            <a:ext cx="161211" cy="180776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664179">
            <a:off x="7173467" y="3620313"/>
            <a:ext cx="129980" cy="22737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 rot="2960453">
            <a:off x="6524400" y="3328520"/>
            <a:ext cx="472958" cy="3076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ysClr val="windowText" lastClr="000000"/>
                </a:solidFill>
              </a:rPr>
              <a:t>L2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6868574" y="3555147"/>
            <a:ext cx="895426" cy="719428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7461306" y="3241207"/>
            <a:ext cx="601367" cy="31791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0000"/>
                </a:solidFill>
              </a:rPr>
              <a:t>CN3</a:t>
            </a:r>
          </a:p>
          <a:p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>
            <a:endCxn id="8" idx="1"/>
          </xdr:cNvCxnSpPr>
        </xdr:nvCxnSpPr>
        <xdr:spPr>
          <a:xfrm flipV="1">
            <a:off x="4813653" y="2738789"/>
            <a:ext cx="1306714" cy="1134369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 rot="268446">
            <a:off x="6066134" y="4127499"/>
            <a:ext cx="591438" cy="3880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Lad</a:t>
            </a:r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>
            <a:stCxn id="6" idx="14"/>
            <a:endCxn id="6" idx="9"/>
          </xdr:cNvCxnSpPr>
        </xdr:nvCxnSpPr>
        <xdr:spPr>
          <a:xfrm flipH="1" flipV="1">
            <a:off x="4665389" y="3819203"/>
            <a:ext cx="168883" cy="20597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195813</xdr:colOff>
      <xdr:row>19</xdr:row>
      <xdr:rowOff>152401</xdr:rowOff>
    </xdr:from>
    <xdr:to>
      <xdr:col>3</xdr:col>
      <xdr:colOff>3119339</xdr:colOff>
      <xdr:row>25</xdr:row>
      <xdr:rowOff>144730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4112493" y="3733801"/>
          <a:ext cx="2923526" cy="1089609"/>
          <a:chOff x="4121517" y="3030520"/>
          <a:chExt cx="3889011" cy="1347936"/>
        </a:xfrm>
      </xdr:grpSpPr>
      <xdr:cxnSp macro="">
        <xdr:nvCxnSpPr>
          <xdr:cNvPr id="43" name="Conector reto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>
            <a:cxnSpLocks/>
            <a:endCxn id="48" idx="17"/>
          </xdr:cNvCxnSpPr>
        </xdr:nvCxnSpPr>
        <xdr:spPr>
          <a:xfrm flipV="1">
            <a:off x="4680362" y="3898427"/>
            <a:ext cx="3096654" cy="262044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to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>
            <a:stCxn id="48" idx="17"/>
            <a:endCxn id="41" idx="12"/>
          </xdr:cNvCxnSpPr>
        </xdr:nvCxnSpPr>
        <xdr:spPr>
          <a:xfrm flipH="1">
            <a:off x="4950652" y="3898427"/>
            <a:ext cx="2826363" cy="29312"/>
          </a:xfrm>
          <a:prstGeom prst="line">
            <a:avLst/>
          </a:prstGeom>
          <a:ln w="1905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6958973" y="3771655"/>
            <a:ext cx="129980" cy="227372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6008837" y="3434286"/>
            <a:ext cx="437002" cy="3076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L2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37" name="Forma Livre: Forma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6991350" y="3305174"/>
            <a:ext cx="704850" cy="981075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383463" y="3049570"/>
            <a:ext cx="627065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FF0000"/>
                </a:solidFill>
              </a:rPr>
              <a:t>CN3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41" name="Forma Livre: Forma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4909796">
            <a:off x="4469204" y="3289094"/>
            <a:ext cx="909892" cy="697473"/>
          </a:xfrm>
          <a:custGeom>
            <a:avLst/>
            <a:gdLst>
              <a:gd name="connsiteX0" fmla="*/ 0 w 895426"/>
              <a:gd name="connsiteY0" fmla="*/ 666750 h 666750"/>
              <a:gd name="connsiteX1" fmla="*/ 66675 w 895426"/>
              <a:gd name="connsiteY1" fmla="*/ 638175 h 666750"/>
              <a:gd name="connsiteX2" fmla="*/ 152400 w 895426"/>
              <a:gd name="connsiteY2" fmla="*/ 619125 h 666750"/>
              <a:gd name="connsiteX3" fmla="*/ 228600 w 895426"/>
              <a:gd name="connsiteY3" fmla="*/ 600075 h 666750"/>
              <a:gd name="connsiteX4" fmla="*/ 276225 w 895426"/>
              <a:gd name="connsiteY4" fmla="*/ 590550 h 666750"/>
              <a:gd name="connsiteX5" fmla="*/ 333375 w 895426"/>
              <a:gd name="connsiteY5" fmla="*/ 571500 h 666750"/>
              <a:gd name="connsiteX6" fmla="*/ 390525 w 895426"/>
              <a:gd name="connsiteY6" fmla="*/ 561975 h 666750"/>
              <a:gd name="connsiteX7" fmla="*/ 447675 w 895426"/>
              <a:gd name="connsiteY7" fmla="*/ 542925 h 666750"/>
              <a:gd name="connsiteX8" fmla="*/ 504825 w 895426"/>
              <a:gd name="connsiteY8" fmla="*/ 504825 h 666750"/>
              <a:gd name="connsiteX9" fmla="*/ 600075 w 895426"/>
              <a:gd name="connsiteY9" fmla="*/ 495300 h 666750"/>
              <a:gd name="connsiteX10" fmla="*/ 657225 w 895426"/>
              <a:gd name="connsiteY10" fmla="*/ 447675 h 666750"/>
              <a:gd name="connsiteX11" fmla="*/ 676275 w 895426"/>
              <a:gd name="connsiteY11" fmla="*/ 409575 h 666750"/>
              <a:gd name="connsiteX12" fmla="*/ 733425 w 895426"/>
              <a:gd name="connsiteY12" fmla="*/ 352425 h 666750"/>
              <a:gd name="connsiteX13" fmla="*/ 752475 w 895426"/>
              <a:gd name="connsiteY13" fmla="*/ 323850 h 666750"/>
              <a:gd name="connsiteX14" fmla="*/ 809625 w 895426"/>
              <a:gd name="connsiteY14" fmla="*/ 285750 h 666750"/>
              <a:gd name="connsiteX15" fmla="*/ 838200 w 895426"/>
              <a:gd name="connsiteY15" fmla="*/ 228600 h 666750"/>
              <a:gd name="connsiteX16" fmla="*/ 847725 w 895426"/>
              <a:gd name="connsiteY16" fmla="*/ 200025 h 666750"/>
              <a:gd name="connsiteX17" fmla="*/ 866775 w 895426"/>
              <a:gd name="connsiteY17" fmla="*/ 171450 h 666750"/>
              <a:gd name="connsiteX18" fmla="*/ 885825 w 895426"/>
              <a:gd name="connsiteY18" fmla="*/ 114300 h 666750"/>
              <a:gd name="connsiteX19" fmla="*/ 895350 w 895426"/>
              <a:gd name="connsiteY19" fmla="*/ 0 h 666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895426" h="666750">
                <a:moveTo>
                  <a:pt x="0" y="666750"/>
                </a:moveTo>
                <a:cubicBezTo>
                  <a:pt x="22225" y="657225"/>
                  <a:pt x="43951" y="646438"/>
                  <a:pt x="66675" y="638175"/>
                </a:cubicBezTo>
                <a:cubicBezTo>
                  <a:pt x="85785" y="631226"/>
                  <a:pt x="134847" y="623176"/>
                  <a:pt x="152400" y="619125"/>
                </a:cubicBezTo>
                <a:cubicBezTo>
                  <a:pt x="177911" y="613238"/>
                  <a:pt x="203089" y="605962"/>
                  <a:pt x="228600" y="600075"/>
                </a:cubicBezTo>
                <a:cubicBezTo>
                  <a:pt x="244375" y="596435"/>
                  <a:pt x="260606" y="594810"/>
                  <a:pt x="276225" y="590550"/>
                </a:cubicBezTo>
                <a:cubicBezTo>
                  <a:pt x="295598" y="585266"/>
                  <a:pt x="313894" y="576370"/>
                  <a:pt x="333375" y="571500"/>
                </a:cubicBezTo>
                <a:cubicBezTo>
                  <a:pt x="352111" y="566816"/>
                  <a:pt x="371789" y="566659"/>
                  <a:pt x="390525" y="561975"/>
                </a:cubicBezTo>
                <a:cubicBezTo>
                  <a:pt x="410006" y="557105"/>
                  <a:pt x="430967" y="554064"/>
                  <a:pt x="447675" y="542925"/>
                </a:cubicBezTo>
                <a:cubicBezTo>
                  <a:pt x="466725" y="530225"/>
                  <a:pt x="482043" y="507103"/>
                  <a:pt x="504825" y="504825"/>
                </a:cubicBezTo>
                <a:lnTo>
                  <a:pt x="600075" y="495300"/>
                </a:lnTo>
                <a:cubicBezTo>
                  <a:pt x="622860" y="480110"/>
                  <a:pt x="640557" y="471010"/>
                  <a:pt x="657225" y="447675"/>
                </a:cubicBezTo>
                <a:cubicBezTo>
                  <a:pt x="665478" y="436121"/>
                  <a:pt x="667405" y="420663"/>
                  <a:pt x="676275" y="409575"/>
                </a:cubicBezTo>
                <a:cubicBezTo>
                  <a:pt x="693105" y="388538"/>
                  <a:pt x="718481" y="374841"/>
                  <a:pt x="733425" y="352425"/>
                </a:cubicBezTo>
                <a:cubicBezTo>
                  <a:pt x="739775" y="342900"/>
                  <a:pt x="743860" y="331388"/>
                  <a:pt x="752475" y="323850"/>
                </a:cubicBezTo>
                <a:cubicBezTo>
                  <a:pt x="769705" y="308773"/>
                  <a:pt x="809625" y="285750"/>
                  <a:pt x="809625" y="285750"/>
                </a:cubicBezTo>
                <a:cubicBezTo>
                  <a:pt x="833566" y="213926"/>
                  <a:pt x="801271" y="302458"/>
                  <a:pt x="838200" y="228600"/>
                </a:cubicBezTo>
                <a:cubicBezTo>
                  <a:pt x="842690" y="219620"/>
                  <a:pt x="843235" y="209005"/>
                  <a:pt x="847725" y="200025"/>
                </a:cubicBezTo>
                <a:cubicBezTo>
                  <a:pt x="852845" y="189786"/>
                  <a:pt x="862126" y="181911"/>
                  <a:pt x="866775" y="171450"/>
                </a:cubicBezTo>
                <a:cubicBezTo>
                  <a:pt x="874930" y="153100"/>
                  <a:pt x="885825" y="114300"/>
                  <a:pt x="885825" y="114300"/>
                </a:cubicBezTo>
                <a:cubicBezTo>
                  <a:pt x="896925" y="25498"/>
                  <a:pt x="895350" y="63698"/>
                  <a:pt x="895350" y="0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4121517" y="3030520"/>
            <a:ext cx="613792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FF0000"/>
                </a:solidFill>
              </a:rPr>
              <a:t>CN1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 rot="21257934">
            <a:off x="6154597" y="4086724"/>
            <a:ext cx="529069" cy="2917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ysClr val="windowText" lastClr="000000"/>
                </a:solidFill>
              </a:rPr>
              <a:t>Lad</a:t>
            </a:r>
          </a:p>
          <a:p>
            <a:pPr algn="ctr"/>
            <a:endParaRPr lang="pt-BR" sz="1100">
              <a:solidFill>
                <a:srgbClr val="FF0000"/>
              </a:solidFill>
            </a:endParaRPr>
          </a:p>
        </xdr:txBody>
      </xdr:sp>
      <xdr:cxnSp macro="">
        <xdr:nvCxnSpPr>
          <xdr:cNvPr id="40" name="Conector reto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/>
        </xdr:nvCxnSpPr>
        <xdr:spPr>
          <a:xfrm flipH="1" flipV="1">
            <a:off x="4886325" y="4026927"/>
            <a:ext cx="26372" cy="23624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364788</xdr:colOff>
      <xdr:row>19</xdr:row>
      <xdr:rowOff>0</xdr:rowOff>
    </xdr:from>
    <xdr:to>
      <xdr:col>10</xdr:col>
      <xdr:colOff>819150</xdr:colOff>
      <xdr:row>20</xdr:row>
      <xdr:rowOff>66277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13871238" y="3238500"/>
          <a:ext cx="454362" cy="25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CN2</a:t>
          </a: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1127760</xdr:colOff>
          <xdr:row>48</xdr:row>
          <xdr:rowOff>7620</xdr:rowOff>
        </xdr:from>
        <xdr:to>
          <xdr:col>3</xdr:col>
          <xdr:colOff>2651760</xdr:colOff>
          <xdr:row>49</xdr:row>
          <xdr:rowOff>160020</xdr:rowOff>
        </xdr:to>
        <xdr:sp macro="" textlink="">
          <xdr:nvSpPr>
            <xdr:cNvPr id="1027" name="Figura 167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213360</xdr:rowOff>
        </xdr:from>
        <xdr:to>
          <xdr:col>3</xdr:col>
          <xdr:colOff>2613660</xdr:colOff>
          <xdr:row>53</xdr:row>
          <xdr:rowOff>121920</xdr:rowOff>
        </xdr:to>
        <xdr:sp macro="" textlink="">
          <xdr:nvSpPr>
            <xdr:cNvPr id="1028" name="Figura 16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1685633</xdr:colOff>
      <xdr:row>26</xdr:row>
      <xdr:rowOff>116930</xdr:rowOff>
    </xdr:from>
    <xdr:to>
      <xdr:col>7</xdr:col>
      <xdr:colOff>128716</xdr:colOff>
      <xdr:row>28</xdr:row>
      <xdr:rowOff>51075</xdr:rowOff>
    </xdr:to>
    <xdr:sp macro="" textlink="">
      <xdr:nvSpPr>
        <xdr:cNvPr id="49" name="Forma Livre: Forma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 rot="8204128">
          <a:off x="9686633" y="5146130"/>
          <a:ext cx="1310108" cy="315145"/>
        </a:xfrm>
        <a:custGeom>
          <a:avLst/>
          <a:gdLst>
            <a:gd name="connsiteX0" fmla="*/ 504825 w 962033"/>
            <a:gd name="connsiteY0" fmla="*/ 29159 h 762584"/>
            <a:gd name="connsiteX1" fmla="*/ 457200 w 962033"/>
            <a:gd name="connsiteY1" fmla="*/ 10109 h 762584"/>
            <a:gd name="connsiteX2" fmla="*/ 171450 w 962033"/>
            <a:gd name="connsiteY2" fmla="*/ 10109 h 762584"/>
            <a:gd name="connsiteX3" fmla="*/ 142875 w 962033"/>
            <a:gd name="connsiteY3" fmla="*/ 38684 h 762584"/>
            <a:gd name="connsiteX4" fmla="*/ 133350 w 962033"/>
            <a:gd name="connsiteY4" fmla="*/ 76784 h 762584"/>
            <a:gd name="connsiteX5" fmla="*/ 123825 w 962033"/>
            <a:gd name="connsiteY5" fmla="*/ 105359 h 762584"/>
            <a:gd name="connsiteX6" fmla="*/ 95250 w 962033"/>
            <a:gd name="connsiteY6" fmla="*/ 172034 h 762584"/>
            <a:gd name="connsiteX7" fmla="*/ 85725 w 962033"/>
            <a:gd name="connsiteY7" fmla="*/ 210134 h 762584"/>
            <a:gd name="connsiteX8" fmla="*/ 47625 w 962033"/>
            <a:gd name="connsiteY8" fmla="*/ 267284 h 762584"/>
            <a:gd name="connsiteX9" fmla="*/ 0 w 962033"/>
            <a:gd name="connsiteY9" fmla="*/ 333959 h 762584"/>
            <a:gd name="connsiteX10" fmla="*/ 19050 w 962033"/>
            <a:gd name="connsiteY10" fmla="*/ 438734 h 762584"/>
            <a:gd name="connsiteX11" fmla="*/ 57150 w 962033"/>
            <a:gd name="connsiteY11" fmla="*/ 495884 h 762584"/>
            <a:gd name="connsiteX12" fmla="*/ 76200 w 962033"/>
            <a:gd name="connsiteY12" fmla="*/ 524459 h 762584"/>
            <a:gd name="connsiteX13" fmla="*/ 123825 w 962033"/>
            <a:gd name="connsiteY13" fmla="*/ 610184 h 762584"/>
            <a:gd name="connsiteX14" fmla="*/ 161925 w 962033"/>
            <a:gd name="connsiteY14" fmla="*/ 629234 h 762584"/>
            <a:gd name="connsiteX15" fmla="*/ 266700 w 962033"/>
            <a:gd name="connsiteY15" fmla="*/ 648284 h 762584"/>
            <a:gd name="connsiteX16" fmla="*/ 409575 w 962033"/>
            <a:gd name="connsiteY16" fmla="*/ 657809 h 762584"/>
            <a:gd name="connsiteX17" fmla="*/ 457200 w 962033"/>
            <a:gd name="connsiteY17" fmla="*/ 667334 h 762584"/>
            <a:gd name="connsiteX18" fmla="*/ 542925 w 962033"/>
            <a:gd name="connsiteY18" fmla="*/ 724484 h 762584"/>
            <a:gd name="connsiteX19" fmla="*/ 571500 w 962033"/>
            <a:gd name="connsiteY19" fmla="*/ 743534 h 762584"/>
            <a:gd name="connsiteX20" fmla="*/ 600075 w 962033"/>
            <a:gd name="connsiteY20" fmla="*/ 762584 h 762584"/>
            <a:gd name="connsiteX21" fmla="*/ 714375 w 962033"/>
            <a:gd name="connsiteY21" fmla="*/ 743534 h 762584"/>
            <a:gd name="connsiteX22" fmla="*/ 742950 w 962033"/>
            <a:gd name="connsiteY22" fmla="*/ 724484 h 762584"/>
            <a:gd name="connsiteX23" fmla="*/ 781050 w 962033"/>
            <a:gd name="connsiteY23" fmla="*/ 695909 h 762584"/>
            <a:gd name="connsiteX24" fmla="*/ 838200 w 962033"/>
            <a:gd name="connsiteY24" fmla="*/ 676859 h 762584"/>
            <a:gd name="connsiteX25" fmla="*/ 895350 w 962033"/>
            <a:gd name="connsiteY25" fmla="*/ 638759 h 762584"/>
            <a:gd name="connsiteX26" fmla="*/ 923925 w 962033"/>
            <a:gd name="connsiteY26" fmla="*/ 553034 h 762584"/>
            <a:gd name="connsiteX27" fmla="*/ 933450 w 962033"/>
            <a:gd name="connsiteY27" fmla="*/ 524459 h 762584"/>
            <a:gd name="connsiteX28" fmla="*/ 942975 w 962033"/>
            <a:gd name="connsiteY28" fmla="*/ 495884 h 762584"/>
            <a:gd name="connsiteX29" fmla="*/ 962025 w 962033"/>
            <a:gd name="connsiteY29" fmla="*/ 457784 h 762584"/>
            <a:gd name="connsiteX30" fmla="*/ 923925 w 962033"/>
            <a:gd name="connsiteY30" fmla="*/ 276809 h 762584"/>
            <a:gd name="connsiteX31" fmla="*/ 885825 w 962033"/>
            <a:gd name="connsiteY31" fmla="*/ 219659 h 762584"/>
            <a:gd name="connsiteX32" fmla="*/ 857250 w 962033"/>
            <a:gd name="connsiteY32" fmla="*/ 191084 h 762584"/>
            <a:gd name="connsiteX33" fmla="*/ 809625 w 962033"/>
            <a:gd name="connsiteY33" fmla="*/ 143459 h 762584"/>
            <a:gd name="connsiteX34" fmla="*/ 752475 w 962033"/>
            <a:gd name="connsiteY34" fmla="*/ 114884 h 762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962033" h="762584">
              <a:moveTo>
                <a:pt x="504825" y="29159"/>
              </a:moveTo>
              <a:cubicBezTo>
                <a:pt x="488950" y="22809"/>
                <a:pt x="473860" y="13954"/>
                <a:pt x="457200" y="10109"/>
              </a:cubicBezTo>
              <a:cubicBezTo>
                <a:pt x="367363" y="-10623"/>
                <a:pt x="254299" y="6343"/>
                <a:pt x="171450" y="10109"/>
              </a:cubicBezTo>
              <a:cubicBezTo>
                <a:pt x="161925" y="19634"/>
                <a:pt x="149558" y="26988"/>
                <a:pt x="142875" y="38684"/>
              </a:cubicBezTo>
              <a:cubicBezTo>
                <a:pt x="136380" y="50050"/>
                <a:pt x="136946" y="64197"/>
                <a:pt x="133350" y="76784"/>
              </a:cubicBezTo>
              <a:cubicBezTo>
                <a:pt x="130592" y="86438"/>
                <a:pt x="127780" y="96131"/>
                <a:pt x="123825" y="105359"/>
              </a:cubicBezTo>
              <a:cubicBezTo>
                <a:pt x="102054" y="156159"/>
                <a:pt x="108014" y="127358"/>
                <a:pt x="95250" y="172034"/>
              </a:cubicBezTo>
              <a:cubicBezTo>
                <a:pt x="91654" y="184621"/>
                <a:pt x="91579" y="198425"/>
                <a:pt x="85725" y="210134"/>
              </a:cubicBezTo>
              <a:cubicBezTo>
                <a:pt x="75486" y="230612"/>
                <a:pt x="61362" y="248968"/>
                <a:pt x="47625" y="267284"/>
              </a:cubicBezTo>
              <a:cubicBezTo>
                <a:pt x="12181" y="314542"/>
                <a:pt x="27856" y="292175"/>
                <a:pt x="0" y="333959"/>
              </a:cubicBezTo>
              <a:cubicBezTo>
                <a:pt x="2076" y="350566"/>
                <a:pt x="4841" y="413157"/>
                <a:pt x="19050" y="438734"/>
              </a:cubicBezTo>
              <a:cubicBezTo>
                <a:pt x="30169" y="458748"/>
                <a:pt x="44450" y="476834"/>
                <a:pt x="57150" y="495884"/>
              </a:cubicBezTo>
              <a:cubicBezTo>
                <a:pt x="63500" y="505409"/>
                <a:pt x="72580" y="513599"/>
                <a:pt x="76200" y="524459"/>
              </a:cubicBezTo>
              <a:cubicBezTo>
                <a:pt x="85305" y="551774"/>
                <a:pt x="97623" y="597083"/>
                <a:pt x="123825" y="610184"/>
              </a:cubicBezTo>
              <a:cubicBezTo>
                <a:pt x="136525" y="616534"/>
                <a:pt x="148630" y="624248"/>
                <a:pt x="161925" y="629234"/>
              </a:cubicBezTo>
              <a:cubicBezTo>
                <a:pt x="186967" y="638625"/>
                <a:pt x="246813" y="646476"/>
                <a:pt x="266700" y="648284"/>
              </a:cubicBezTo>
              <a:cubicBezTo>
                <a:pt x="314235" y="652605"/>
                <a:pt x="361950" y="654634"/>
                <a:pt x="409575" y="657809"/>
              </a:cubicBezTo>
              <a:cubicBezTo>
                <a:pt x="425450" y="660984"/>
                <a:pt x="442462" y="660635"/>
                <a:pt x="457200" y="667334"/>
              </a:cubicBezTo>
              <a:lnTo>
                <a:pt x="542925" y="724484"/>
              </a:lnTo>
              <a:lnTo>
                <a:pt x="571500" y="743534"/>
              </a:lnTo>
              <a:lnTo>
                <a:pt x="600075" y="762584"/>
              </a:lnTo>
              <a:cubicBezTo>
                <a:pt x="627237" y="759566"/>
                <a:pt x="682460" y="759491"/>
                <a:pt x="714375" y="743534"/>
              </a:cubicBezTo>
              <a:cubicBezTo>
                <a:pt x="724614" y="738414"/>
                <a:pt x="733635" y="731138"/>
                <a:pt x="742950" y="724484"/>
              </a:cubicBezTo>
              <a:cubicBezTo>
                <a:pt x="755868" y="715257"/>
                <a:pt x="766851" y="703009"/>
                <a:pt x="781050" y="695909"/>
              </a:cubicBezTo>
              <a:cubicBezTo>
                <a:pt x="799011" y="686929"/>
                <a:pt x="821492" y="687998"/>
                <a:pt x="838200" y="676859"/>
              </a:cubicBezTo>
              <a:lnTo>
                <a:pt x="895350" y="638759"/>
              </a:lnTo>
              <a:lnTo>
                <a:pt x="923925" y="553034"/>
              </a:lnTo>
              <a:lnTo>
                <a:pt x="933450" y="524459"/>
              </a:lnTo>
              <a:cubicBezTo>
                <a:pt x="936625" y="514934"/>
                <a:pt x="938485" y="504864"/>
                <a:pt x="942975" y="495884"/>
              </a:cubicBezTo>
              <a:lnTo>
                <a:pt x="962025" y="457784"/>
              </a:lnTo>
              <a:cubicBezTo>
                <a:pt x="946922" y="216144"/>
                <a:pt x="989745" y="361434"/>
                <a:pt x="923925" y="276809"/>
              </a:cubicBezTo>
              <a:cubicBezTo>
                <a:pt x="909869" y="258737"/>
                <a:pt x="902014" y="235848"/>
                <a:pt x="885825" y="219659"/>
              </a:cubicBezTo>
              <a:cubicBezTo>
                <a:pt x="876300" y="210134"/>
                <a:pt x="865874" y="201432"/>
                <a:pt x="857250" y="191084"/>
              </a:cubicBezTo>
              <a:cubicBezTo>
                <a:pt x="832971" y="161949"/>
                <a:pt x="846604" y="159894"/>
                <a:pt x="809625" y="143459"/>
              </a:cubicBezTo>
              <a:cubicBezTo>
                <a:pt x="749463" y="116720"/>
                <a:pt x="752475" y="145546"/>
                <a:pt x="752475" y="114884"/>
              </a:cubicBezTo>
            </a:path>
          </a:pathLst>
        </a:custGeom>
        <a:solidFill>
          <a:schemeClr val="accent5">
            <a:lumMod val="20000"/>
            <a:lumOff val="80000"/>
          </a:schemeClr>
        </a:solidFill>
        <a:ln w="12700">
          <a:solidFill>
            <a:schemeClr val="accent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8</xdr:row>
      <xdr:rowOff>11430</xdr:rowOff>
    </xdr:from>
    <xdr:to>
      <xdr:col>12</xdr:col>
      <xdr:colOff>158115</xdr:colOff>
      <xdr:row>25</xdr:row>
      <xdr:rowOff>135255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519" t="35682" r="34325" b="13530"/>
        <a:stretch/>
      </xdr:blipFill>
      <xdr:spPr>
        <a:xfrm>
          <a:off x="8656320" y="1504950"/>
          <a:ext cx="2017395" cy="33851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51</xdr:row>
          <xdr:rowOff>7620</xdr:rowOff>
        </xdr:from>
        <xdr:to>
          <xdr:col>7</xdr:col>
          <xdr:colOff>76200</xdr:colOff>
          <xdr:row>52</xdr:row>
          <xdr:rowOff>15240</xdr:rowOff>
        </xdr:to>
        <xdr:sp macro="" textlink="">
          <xdr:nvSpPr>
            <xdr:cNvPr id="2049" name="Figura 14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109</xdr:row>
      <xdr:rowOff>76206</xdr:rowOff>
    </xdr:from>
    <xdr:to>
      <xdr:col>9</xdr:col>
      <xdr:colOff>962026</xdr:colOff>
      <xdr:row>113</xdr:row>
      <xdr:rowOff>66676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0791826" y="20878806"/>
          <a:ext cx="762000" cy="752470"/>
          <a:chOff x="7267575" y="11944355"/>
          <a:chExt cx="837525" cy="895357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7277100" y="12382500"/>
            <a:ext cx="800100" cy="43815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8" name="Arco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>
            <a:spLocks/>
          </xdr:cNvSpPr>
        </xdr:nvSpPr>
        <xdr:spPr>
          <a:xfrm>
            <a:off x="7267575" y="11944355"/>
            <a:ext cx="828000" cy="874085"/>
          </a:xfrm>
          <a:prstGeom prst="arc">
            <a:avLst>
              <a:gd name="adj1" fmla="val 10557175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  <a:ln w="25400">
            <a:rou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59" name="Conector reto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7267575" y="12402290"/>
            <a:ext cx="9525" cy="431775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reto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>
            <a:stCxn id="58" idx="2"/>
          </xdr:cNvCxnSpPr>
        </xdr:nvCxnSpPr>
        <xdr:spPr>
          <a:xfrm>
            <a:off x="8095575" y="12386672"/>
            <a:ext cx="675" cy="453040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to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CxnSpPr/>
        </xdr:nvCxnSpPr>
        <xdr:spPr>
          <a:xfrm flipV="1">
            <a:off x="7277100" y="12829354"/>
            <a:ext cx="828000" cy="0"/>
          </a:xfrm>
          <a:prstGeom prst="line">
            <a:avLst/>
          </a:prstGeom>
          <a:solidFill>
            <a:schemeClr val="accent5">
              <a:lumMod val="20000"/>
              <a:lumOff val="80000"/>
            </a:schemeClr>
          </a:solidFill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7467600" y="12208941"/>
            <a:ext cx="432000" cy="451007"/>
          </a:xfrm>
          <a:prstGeom prst="ellipse">
            <a:avLst/>
          </a:prstGeom>
          <a:solidFill>
            <a:schemeClr val="bg1"/>
          </a:solidFill>
          <a:ln w="254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12</xdr:col>
      <xdr:colOff>542925</xdr:colOff>
      <xdr:row>132</xdr:row>
      <xdr:rowOff>104124</xdr:rowOff>
    </xdr:from>
    <xdr:to>
      <xdr:col>16</xdr:col>
      <xdr:colOff>809625</xdr:colOff>
      <xdr:row>142</xdr:row>
      <xdr:rowOff>71075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5815" t="32035" r="36961" b="20043"/>
        <a:stretch/>
      </xdr:blipFill>
      <xdr:spPr>
        <a:xfrm>
          <a:off x="10353675" y="30260274"/>
          <a:ext cx="3514725" cy="2005301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145</xdr:row>
      <xdr:rowOff>46071</xdr:rowOff>
    </xdr:from>
    <xdr:to>
      <xdr:col>16</xdr:col>
      <xdr:colOff>748364</xdr:colOff>
      <xdr:row>154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4423" t="36072" r="38499" b="20172"/>
        <a:stretch/>
      </xdr:blipFill>
      <xdr:spPr>
        <a:xfrm>
          <a:off x="16487775" y="26982771"/>
          <a:ext cx="3539189" cy="1849404"/>
        </a:xfrm>
        <a:prstGeom prst="rect">
          <a:avLst/>
        </a:prstGeom>
      </xdr:spPr>
    </xdr:pic>
    <xdr:clientData/>
  </xdr:twoCellAnchor>
  <xdr:twoCellAnchor>
    <xdr:from>
      <xdr:col>9</xdr:col>
      <xdr:colOff>200025</xdr:colOff>
      <xdr:row>146</xdr:row>
      <xdr:rowOff>86852</xdr:rowOff>
    </xdr:from>
    <xdr:to>
      <xdr:col>9</xdr:col>
      <xdr:colOff>552450</xdr:colOff>
      <xdr:row>148</xdr:row>
      <xdr:rowOff>47625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0372725" y="28566602"/>
          <a:ext cx="352425" cy="341773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781050</xdr:colOff>
      <xdr:row>146</xdr:row>
      <xdr:rowOff>85725</xdr:rowOff>
    </xdr:from>
    <xdr:to>
      <xdr:col>9</xdr:col>
      <xdr:colOff>1133475</xdr:colOff>
      <xdr:row>148</xdr:row>
      <xdr:rowOff>46498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0953750" y="28565475"/>
          <a:ext cx="352425" cy="341773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899160</xdr:colOff>
          <xdr:row>127</xdr:row>
          <xdr:rowOff>7620</xdr:rowOff>
        </xdr:from>
        <xdr:to>
          <xdr:col>7</xdr:col>
          <xdr:colOff>1516380</xdr:colOff>
          <xdr:row>128</xdr:row>
          <xdr:rowOff>7620</xdr:rowOff>
        </xdr:to>
        <xdr:sp macro="" textlink="">
          <xdr:nvSpPr>
            <xdr:cNvPr id="14339" name="Figura 212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3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899160</xdr:colOff>
          <xdr:row>128</xdr:row>
          <xdr:rowOff>22860</xdr:rowOff>
        </xdr:from>
        <xdr:to>
          <xdr:col>7</xdr:col>
          <xdr:colOff>1516380</xdr:colOff>
          <xdr:row>128</xdr:row>
          <xdr:rowOff>213360</xdr:rowOff>
        </xdr:to>
        <xdr:sp macro="" textlink="">
          <xdr:nvSpPr>
            <xdr:cNvPr id="14340" name="Figura 213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3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815340</xdr:colOff>
      <xdr:row>29</xdr:row>
      <xdr:rowOff>7621</xdr:rowOff>
    </xdr:from>
    <xdr:to>
      <xdr:col>9</xdr:col>
      <xdr:colOff>3520440</xdr:colOff>
      <xdr:row>40</xdr:row>
      <xdr:rowOff>93237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918" t="22003" r="33200" b="22731"/>
        <a:stretch/>
      </xdr:blipFill>
      <xdr:spPr>
        <a:xfrm>
          <a:off x="10492740" y="5387341"/>
          <a:ext cx="3619500" cy="2127776"/>
        </a:xfrm>
        <a:prstGeom prst="rect">
          <a:avLst/>
        </a:prstGeom>
      </xdr:spPr>
    </xdr:pic>
    <xdr:clientData/>
  </xdr:twoCellAnchor>
  <xdr:twoCellAnchor editAs="oneCell">
    <xdr:from>
      <xdr:col>8</xdr:col>
      <xdr:colOff>433144</xdr:colOff>
      <xdr:row>40</xdr:row>
      <xdr:rowOff>144780</xdr:rowOff>
    </xdr:from>
    <xdr:to>
      <xdr:col>9</xdr:col>
      <xdr:colOff>3703320</xdr:colOff>
      <xdr:row>51</xdr:row>
      <xdr:rowOff>160020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3835" t="36153" r="32658" b="15693"/>
        <a:stretch/>
      </xdr:blipFill>
      <xdr:spPr>
        <a:xfrm>
          <a:off x="10110544" y="7566660"/>
          <a:ext cx="4184576" cy="21183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53340</xdr:rowOff>
        </xdr:from>
        <xdr:to>
          <xdr:col>9</xdr:col>
          <xdr:colOff>640080</xdr:colOff>
          <xdr:row>13</xdr:row>
          <xdr:rowOff>76200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3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60960</xdr:rowOff>
        </xdr:from>
        <xdr:to>
          <xdr:col>9</xdr:col>
          <xdr:colOff>2194560</xdr:colOff>
          <xdr:row>27</xdr:row>
          <xdr:rowOff>15240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3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16</xdr:row>
          <xdr:rowOff>182880</xdr:rowOff>
        </xdr:from>
        <xdr:to>
          <xdr:col>8</xdr:col>
          <xdr:colOff>45720</xdr:colOff>
          <xdr:row>19</xdr:row>
          <xdr:rowOff>0</xdr:rowOff>
        </xdr:to>
        <xdr:sp macro="" textlink="">
          <xdr:nvSpPr>
            <xdr:cNvPr id="25601" name="Figura 164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</xdr:colOff>
          <xdr:row>19</xdr:row>
          <xdr:rowOff>38100</xdr:rowOff>
        </xdr:from>
        <xdr:to>
          <xdr:col>5</xdr:col>
          <xdr:colOff>571500</xdr:colOff>
          <xdr:row>21</xdr:row>
          <xdr:rowOff>0</xdr:rowOff>
        </xdr:to>
        <xdr:sp macro="" textlink="">
          <xdr:nvSpPr>
            <xdr:cNvPr id="25602" name="Figura 167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731520</xdr:colOff>
          <xdr:row>19</xdr:row>
          <xdr:rowOff>38100</xdr:rowOff>
        </xdr:from>
        <xdr:to>
          <xdr:col>9</xdr:col>
          <xdr:colOff>0</xdr:colOff>
          <xdr:row>20</xdr:row>
          <xdr:rowOff>144780</xdr:rowOff>
        </xdr:to>
        <xdr:sp macro="" textlink="">
          <xdr:nvSpPr>
            <xdr:cNvPr id="25603" name="Figura 168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708660</xdr:colOff>
          <xdr:row>20</xdr:row>
          <xdr:rowOff>137160</xdr:rowOff>
        </xdr:from>
        <xdr:to>
          <xdr:col>8</xdr:col>
          <xdr:colOff>449580</xdr:colOff>
          <xdr:row>21</xdr:row>
          <xdr:rowOff>137160</xdr:rowOff>
        </xdr:to>
        <xdr:sp macro="" textlink="">
          <xdr:nvSpPr>
            <xdr:cNvPr id="25604" name="Figura 169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4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1430</xdr:colOff>
      <xdr:row>1</xdr:row>
      <xdr:rowOff>180974</xdr:rowOff>
    </xdr:from>
    <xdr:to>
      <xdr:col>13</xdr:col>
      <xdr:colOff>396240</xdr:colOff>
      <xdr:row>19</xdr:row>
      <xdr:rowOff>105013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95" t="34249" r="61049" b="11969"/>
        <a:stretch/>
      </xdr:blipFill>
      <xdr:spPr>
        <a:xfrm>
          <a:off x="9069230" y="363854"/>
          <a:ext cx="2894170" cy="33377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16065</xdr:colOff>
      <xdr:row>39</xdr:row>
      <xdr:rowOff>9525</xdr:rowOff>
    </xdr:from>
    <xdr:to>
      <xdr:col>3</xdr:col>
      <xdr:colOff>3561351</xdr:colOff>
      <xdr:row>69</xdr:row>
      <xdr:rowOff>161925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083365" y="7568565"/>
          <a:ext cx="3545286" cy="5760720"/>
          <a:chOff x="5207190" y="4981575"/>
          <a:chExt cx="3545286" cy="569594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57" name="Object 1" hidden="1">
                <a:extLst>
                  <a:ext uri="{63B3BB69-23CF-44E3-9099-C40C66FF867C}">
                    <a14:compatExt spid="_x0000_s19457"/>
                  </a:ext>
                  <a:ext uri="{FF2B5EF4-FFF2-40B4-BE49-F238E27FC236}">
                    <a16:creationId xmlns:a16="http://schemas.microsoft.com/office/drawing/2014/main" id="{00000000-0008-0000-0500-0000014C0000}"/>
                  </a:ext>
                </a:extLst>
              </xdr:cNvPr>
              <xdr:cNvSpPr/>
            </xdr:nvSpPr>
            <xdr:spPr bwMode="auto">
              <a:xfrm>
                <a:off x="5241849" y="6362705"/>
                <a:ext cx="3483050" cy="431481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58" name="Object 2" hidden="1">
                <a:extLst>
                  <a:ext uri="{63B3BB69-23CF-44E3-9099-C40C66FF867C}">
                    <a14:compatExt spid="_x0000_s19458"/>
                  </a:ext>
                  <a:ext uri="{FF2B5EF4-FFF2-40B4-BE49-F238E27FC236}">
                    <a16:creationId xmlns:a16="http://schemas.microsoft.com/office/drawing/2014/main" id="{00000000-0008-0000-0500-0000024C0000}"/>
                  </a:ext>
                </a:extLst>
              </xdr:cNvPr>
              <xdr:cNvSpPr/>
            </xdr:nvSpPr>
            <xdr:spPr bwMode="auto">
              <a:xfrm>
                <a:off x="6943724" y="5275428"/>
                <a:ext cx="1808752" cy="1115847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59" name="Object 3" hidden="1">
                <a:extLst>
                  <a:ext uri="{63B3BB69-23CF-44E3-9099-C40C66FF867C}">
                    <a14:compatExt spid="_x0000_s19459"/>
                  </a:ext>
                  <a:ext uri="{FF2B5EF4-FFF2-40B4-BE49-F238E27FC236}">
                    <a16:creationId xmlns:a16="http://schemas.microsoft.com/office/drawing/2014/main" id="{00000000-0008-0000-0500-0000034C0000}"/>
                  </a:ext>
                </a:extLst>
              </xdr:cNvPr>
              <xdr:cNvSpPr/>
            </xdr:nvSpPr>
            <xdr:spPr bwMode="auto">
              <a:xfrm>
                <a:off x="5207190" y="5206892"/>
                <a:ext cx="1803210" cy="134238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/>
        </xdr:nvSpPr>
        <xdr:spPr>
          <a:xfrm>
            <a:off x="5467350" y="4981575"/>
            <a:ext cx="139065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latin typeface="Arial" panose="020B0604020202020204" pitchFamily="34" charset="0"/>
                <a:cs typeface="Arial" panose="020B0604020202020204" pitchFamily="34" charset="0"/>
              </a:rPr>
              <a:t>Rotor para 50&lt;ns&lt;110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7051599" y="4991100"/>
            <a:ext cx="139065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latin typeface="Arial" panose="020B0604020202020204" pitchFamily="34" charset="0"/>
                <a:cs typeface="Arial" panose="020B0604020202020204" pitchFamily="34" charset="0"/>
              </a:rPr>
              <a:t>Rotor para 110&lt;ns&lt;350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80</xdr:row>
          <xdr:rowOff>45720</xdr:rowOff>
        </xdr:from>
        <xdr:to>
          <xdr:col>3</xdr:col>
          <xdr:colOff>2171700</xdr:colOff>
          <xdr:row>81</xdr:row>
          <xdr:rowOff>144780</xdr:rowOff>
        </xdr:to>
        <xdr:sp macro="" textlink="">
          <xdr:nvSpPr>
            <xdr:cNvPr id="19460" name="Figura 11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5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82</xdr:row>
          <xdr:rowOff>7620</xdr:rowOff>
        </xdr:from>
        <xdr:to>
          <xdr:col>3</xdr:col>
          <xdr:colOff>1432560</xdr:colOff>
          <xdr:row>83</xdr:row>
          <xdr:rowOff>0</xdr:rowOff>
        </xdr:to>
        <xdr:sp macro="" textlink="">
          <xdr:nvSpPr>
            <xdr:cNvPr id="19461" name="Figura 11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5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1508760</xdr:colOff>
          <xdr:row>81</xdr:row>
          <xdr:rowOff>99060</xdr:rowOff>
        </xdr:from>
        <xdr:to>
          <xdr:col>3</xdr:col>
          <xdr:colOff>3459480</xdr:colOff>
          <xdr:row>83</xdr:row>
          <xdr:rowOff>45720</xdr:rowOff>
        </xdr:to>
        <xdr:sp macro="" textlink="">
          <xdr:nvSpPr>
            <xdr:cNvPr id="19462" name="Figura 121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5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2266949</xdr:colOff>
      <xdr:row>81</xdr:row>
      <xdr:rowOff>19050</xdr:rowOff>
    </xdr:from>
    <xdr:to>
      <xdr:col>3</xdr:col>
      <xdr:colOff>3514724</xdr:colOff>
      <xdr:row>83</xdr:row>
      <xdr:rowOff>171450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124699" y="11715750"/>
          <a:ext cx="1247775" cy="5334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84</xdr:row>
          <xdr:rowOff>0</xdr:rowOff>
        </xdr:from>
        <xdr:to>
          <xdr:col>3</xdr:col>
          <xdr:colOff>1783080</xdr:colOff>
          <xdr:row>85</xdr:row>
          <xdr:rowOff>106680</xdr:rowOff>
        </xdr:to>
        <xdr:sp macro="" textlink="">
          <xdr:nvSpPr>
            <xdr:cNvPr id="19463" name="Figura 116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5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1859280</xdr:colOff>
          <xdr:row>84</xdr:row>
          <xdr:rowOff>68580</xdr:rowOff>
        </xdr:from>
        <xdr:to>
          <xdr:col>3</xdr:col>
          <xdr:colOff>3429000</xdr:colOff>
          <xdr:row>85</xdr:row>
          <xdr:rowOff>30480</xdr:rowOff>
        </xdr:to>
        <xdr:sp macro="" textlink="">
          <xdr:nvSpPr>
            <xdr:cNvPr id="19464" name="Figura 11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5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733425</xdr:colOff>
      <xdr:row>84</xdr:row>
      <xdr:rowOff>38100</xdr:rowOff>
    </xdr:from>
    <xdr:to>
      <xdr:col>3</xdr:col>
      <xdr:colOff>1771651</xdr:colOff>
      <xdr:row>85</xdr:row>
      <xdr:rowOff>133350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5591175" y="12306300"/>
          <a:ext cx="1038226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2381250</xdr:colOff>
      <xdr:row>84</xdr:row>
      <xdr:rowOff>28574</xdr:rowOff>
    </xdr:from>
    <xdr:to>
      <xdr:col>3</xdr:col>
      <xdr:colOff>3438526</xdr:colOff>
      <xdr:row>85</xdr:row>
      <xdr:rowOff>104775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7239000" y="12296774"/>
          <a:ext cx="1057276" cy="2667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86</xdr:row>
          <xdr:rowOff>7620</xdr:rowOff>
        </xdr:from>
        <xdr:to>
          <xdr:col>3</xdr:col>
          <xdr:colOff>975360</xdr:colOff>
          <xdr:row>86</xdr:row>
          <xdr:rowOff>190500</xdr:rowOff>
        </xdr:to>
        <xdr:sp macro="" textlink="">
          <xdr:nvSpPr>
            <xdr:cNvPr id="19465" name="Figura 11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5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87</xdr:row>
          <xdr:rowOff>30480</xdr:rowOff>
        </xdr:from>
        <xdr:to>
          <xdr:col>3</xdr:col>
          <xdr:colOff>838200</xdr:colOff>
          <xdr:row>87</xdr:row>
          <xdr:rowOff>190500</xdr:rowOff>
        </xdr:to>
        <xdr:sp macro="" textlink="">
          <xdr:nvSpPr>
            <xdr:cNvPr id="19466" name="Figura 12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5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88</xdr:row>
          <xdr:rowOff>7620</xdr:rowOff>
        </xdr:from>
        <xdr:to>
          <xdr:col>3</xdr:col>
          <xdr:colOff>769620</xdr:colOff>
          <xdr:row>88</xdr:row>
          <xdr:rowOff>182880</xdr:rowOff>
        </xdr:to>
        <xdr:sp macro="" textlink="">
          <xdr:nvSpPr>
            <xdr:cNvPr id="19467" name="Figura 222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5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563880</xdr:colOff>
          <xdr:row>143</xdr:row>
          <xdr:rowOff>30480</xdr:rowOff>
        </xdr:from>
        <xdr:to>
          <xdr:col>3</xdr:col>
          <xdr:colOff>2179320</xdr:colOff>
          <xdr:row>145</xdr:row>
          <xdr:rowOff>99060</xdr:rowOff>
        </xdr:to>
        <xdr:sp macro="" textlink="">
          <xdr:nvSpPr>
            <xdr:cNvPr id="19468" name="Figura 207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5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114301</xdr:colOff>
      <xdr:row>66</xdr:row>
      <xdr:rowOff>19050</xdr:rowOff>
    </xdr:from>
    <xdr:to>
      <xdr:col>2</xdr:col>
      <xdr:colOff>504826</xdr:colOff>
      <xdr:row>67</xdr:row>
      <xdr:rowOff>171450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752851" y="11830050"/>
          <a:ext cx="1000125" cy="342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92</xdr:row>
          <xdr:rowOff>7620</xdr:rowOff>
        </xdr:from>
        <xdr:to>
          <xdr:col>3</xdr:col>
          <xdr:colOff>1280160</xdr:colOff>
          <xdr:row>93</xdr:row>
          <xdr:rowOff>0</xdr:rowOff>
        </xdr:to>
        <xdr:sp macro="" textlink="">
          <xdr:nvSpPr>
            <xdr:cNvPr id="19469" name="Figura 16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5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93</xdr:row>
          <xdr:rowOff>7620</xdr:rowOff>
        </xdr:from>
        <xdr:to>
          <xdr:col>3</xdr:col>
          <xdr:colOff>1264920</xdr:colOff>
          <xdr:row>94</xdr:row>
          <xdr:rowOff>0</xdr:rowOff>
        </xdr:to>
        <xdr:sp macro="" textlink="">
          <xdr:nvSpPr>
            <xdr:cNvPr id="19470" name="Figura 16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5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94</xdr:row>
          <xdr:rowOff>7620</xdr:rowOff>
        </xdr:from>
        <xdr:to>
          <xdr:col>3</xdr:col>
          <xdr:colOff>1287780</xdr:colOff>
          <xdr:row>95</xdr:row>
          <xdr:rowOff>0</xdr:rowOff>
        </xdr:to>
        <xdr:sp macro="" textlink="">
          <xdr:nvSpPr>
            <xdr:cNvPr id="19471" name="Figura 16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5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1440180</xdr:colOff>
          <xdr:row>94</xdr:row>
          <xdr:rowOff>45720</xdr:rowOff>
        </xdr:from>
        <xdr:to>
          <xdr:col>3</xdr:col>
          <xdr:colOff>2895600</xdr:colOff>
          <xdr:row>96</xdr:row>
          <xdr:rowOff>83820</xdr:rowOff>
        </xdr:to>
        <xdr:sp macro="" textlink="">
          <xdr:nvSpPr>
            <xdr:cNvPr id="19472" name="Figura 16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5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97</xdr:row>
          <xdr:rowOff>7620</xdr:rowOff>
        </xdr:from>
        <xdr:to>
          <xdr:col>3</xdr:col>
          <xdr:colOff>2583180</xdr:colOff>
          <xdr:row>98</xdr:row>
          <xdr:rowOff>0</xdr:rowOff>
        </xdr:to>
        <xdr:sp macro="" textlink="">
          <xdr:nvSpPr>
            <xdr:cNvPr id="19473" name="Figura 172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5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1028701</xdr:colOff>
      <xdr:row>80</xdr:row>
      <xdr:rowOff>38100</xdr:rowOff>
    </xdr:from>
    <xdr:to>
      <xdr:col>3</xdr:col>
      <xdr:colOff>2133601</xdr:colOff>
      <xdr:row>81</xdr:row>
      <xdr:rowOff>104775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886451" y="11544300"/>
          <a:ext cx="1104900" cy="2571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140</xdr:row>
          <xdr:rowOff>0</xdr:rowOff>
        </xdr:from>
        <xdr:to>
          <xdr:col>3</xdr:col>
          <xdr:colOff>2232660</xdr:colOff>
          <xdr:row>141</xdr:row>
          <xdr:rowOff>7620</xdr:rowOff>
        </xdr:to>
        <xdr:sp macro="" textlink="">
          <xdr:nvSpPr>
            <xdr:cNvPr id="19474" name="Figura 186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5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177</xdr:row>
          <xdr:rowOff>22860</xdr:rowOff>
        </xdr:from>
        <xdr:to>
          <xdr:col>3</xdr:col>
          <xdr:colOff>2125980</xdr:colOff>
          <xdr:row>178</xdr:row>
          <xdr:rowOff>0</xdr:rowOff>
        </xdr:to>
        <xdr:sp macro="" textlink="">
          <xdr:nvSpPr>
            <xdr:cNvPr id="19477" name="Objeto 9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5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177</xdr:row>
          <xdr:rowOff>182880</xdr:rowOff>
        </xdr:from>
        <xdr:to>
          <xdr:col>3</xdr:col>
          <xdr:colOff>2278380</xdr:colOff>
          <xdr:row>179</xdr:row>
          <xdr:rowOff>0</xdr:rowOff>
        </xdr:to>
        <xdr:sp macro="" textlink="">
          <xdr:nvSpPr>
            <xdr:cNvPr id="19478" name="Objeto 9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5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205084</xdr:colOff>
      <xdr:row>23</xdr:row>
      <xdr:rowOff>182880</xdr:rowOff>
    </xdr:from>
    <xdr:to>
      <xdr:col>5</xdr:col>
      <xdr:colOff>1447799</xdr:colOff>
      <xdr:row>36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42" t="26151" r="22324" b="7469"/>
        <a:stretch/>
      </xdr:blipFill>
      <xdr:spPr>
        <a:xfrm>
          <a:off x="5272384" y="4434840"/>
          <a:ext cx="5205115" cy="25527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243840</xdr:colOff>
      <xdr:row>15</xdr:row>
      <xdr:rowOff>174356</xdr:rowOff>
    </xdr:from>
    <xdr:to>
      <xdr:col>19</xdr:col>
      <xdr:colOff>487680</xdr:colOff>
      <xdr:row>18</xdr:row>
      <xdr:rowOff>17104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01" t="55562" r="42367" b="32659"/>
        <a:stretch/>
      </xdr:blipFill>
      <xdr:spPr>
        <a:xfrm>
          <a:off x="16017240" y="4799696"/>
          <a:ext cx="3406140" cy="437108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29</xdr:row>
      <xdr:rowOff>60960</xdr:rowOff>
    </xdr:from>
    <xdr:to>
      <xdr:col>15</xdr:col>
      <xdr:colOff>320040</xdr:colOff>
      <xdr:row>35</xdr:row>
      <xdr:rowOff>127792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667" t="59850" r="57409" b="6803"/>
        <a:stretch/>
      </xdr:blipFill>
      <xdr:spPr>
        <a:xfrm>
          <a:off x="14455140" y="5882640"/>
          <a:ext cx="2270760" cy="1255552"/>
        </a:xfrm>
        <a:prstGeom prst="rect">
          <a:avLst/>
        </a:prstGeom>
      </xdr:spPr>
    </xdr:pic>
    <xdr:clientData/>
  </xdr:twoCellAnchor>
  <xdr:twoCellAnchor editAs="oneCell">
    <xdr:from>
      <xdr:col>11</xdr:col>
      <xdr:colOff>556261</xdr:colOff>
      <xdr:row>36</xdr:row>
      <xdr:rowOff>22860</xdr:rowOff>
    </xdr:from>
    <xdr:to>
      <xdr:col>14</xdr:col>
      <xdr:colOff>475515</xdr:colOff>
      <xdr:row>43</xdr:row>
      <xdr:rowOff>121920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210" t="39330" r="62453" b="24583"/>
        <a:stretch/>
      </xdr:blipFill>
      <xdr:spPr>
        <a:xfrm>
          <a:off x="14432281" y="7200900"/>
          <a:ext cx="1816634" cy="1455420"/>
        </a:xfrm>
        <a:prstGeom prst="rect">
          <a:avLst/>
        </a:prstGeom>
      </xdr:spPr>
    </xdr:pic>
    <xdr:clientData/>
  </xdr:twoCellAnchor>
  <xdr:twoCellAnchor editAs="oneCell">
    <xdr:from>
      <xdr:col>13</xdr:col>
      <xdr:colOff>109617</xdr:colOff>
      <xdr:row>59</xdr:row>
      <xdr:rowOff>7620</xdr:rowOff>
    </xdr:from>
    <xdr:to>
      <xdr:col>17</xdr:col>
      <xdr:colOff>411479</xdr:colOff>
      <xdr:row>68</xdr:row>
      <xdr:rowOff>22860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210" t="28819" r="28366" b="9692"/>
        <a:stretch/>
      </xdr:blipFill>
      <xdr:spPr>
        <a:xfrm>
          <a:off x="16370697" y="11315700"/>
          <a:ext cx="2831702" cy="1676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51</xdr:row>
      <xdr:rowOff>90300</xdr:rowOff>
    </xdr:from>
    <xdr:to>
      <xdr:col>16</xdr:col>
      <xdr:colOff>243840</xdr:colOff>
      <xdr:row>59</xdr:row>
      <xdr:rowOff>78593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254" t="14891" r="45911" b="42983"/>
        <a:stretch/>
      </xdr:blipFill>
      <xdr:spPr>
        <a:xfrm>
          <a:off x="16268700" y="9935340"/>
          <a:ext cx="2133600" cy="1451333"/>
        </a:xfrm>
        <a:prstGeom prst="rect">
          <a:avLst/>
        </a:prstGeom>
      </xdr:spPr>
    </xdr:pic>
    <xdr:clientData/>
  </xdr:twoCellAnchor>
  <xdr:twoCellAnchor editAs="oneCell">
    <xdr:from>
      <xdr:col>22</xdr:col>
      <xdr:colOff>373380</xdr:colOff>
      <xdr:row>29</xdr:row>
      <xdr:rowOff>190860</xdr:rowOff>
    </xdr:from>
    <xdr:to>
      <xdr:col>35</xdr:col>
      <xdr:colOff>259080</xdr:colOff>
      <xdr:row>50</xdr:row>
      <xdr:rowOff>53339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458" t="25411" r="21115" b="7470"/>
        <a:stretch/>
      </xdr:blipFill>
      <xdr:spPr>
        <a:xfrm>
          <a:off x="23393400" y="5814420"/>
          <a:ext cx="8031480" cy="3916319"/>
        </a:xfrm>
        <a:prstGeom prst="rect">
          <a:avLst/>
        </a:prstGeom>
      </xdr:spPr>
    </xdr:pic>
    <xdr:clientData/>
  </xdr:twoCellAnchor>
  <xdr:twoCellAnchor editAs="oneCell">
    <xdr:from>
      <xdr:col>22</xdr:col>
      <xdr:colOff>502920</xdr:colOff>
      <xdr:row>7</xdr:row>
      <xdr:rowOff>30481</xdr:rowOff>
    </xdr:from>
    <xdr:to>
      <xdr:col>35</xdr:col>
      <xdr:colOff>251338</xdr:colOff>
      <xdr:row>30</xdr:row>
      <xdr:rowOff>15241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584" t="16202" r="21990" b="7470"/>
        <a:stretch/>
      </xdr:blipFill>
      <xdr:spPr>
        <a:xfrm>
          <a:off x="23522940" y="1386841"/>
          <a:ext cx="7894198" cy="443484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75</xdr:row>
      <xdr:rowOff>68580</xdr:rowOff>
    </xdr:from>
    <xdr:to>
      <xdr:col>3</xdr:col>
      <xdr:colOff>2720340</xdr:colOff>
      <xdr:row>77</xdr:row>
      <xdr:rowOff>171580</xdr:rowOff>
    </xdr:to>
    <xdr:pic>
      <xdr:nvPicPr>
        <xdr:cNvPr id="38" name="Imagem 37" descr="Diagrama&#10;&#10;Descrição gerada automaticamente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2921" t="81066" r="46590" b="9515"/>
        <a:stretch/>
      </xdr:blipFill>
      <xdr:spPr bwMode="auto">
        <a:xfrm>
          <a:off x="5090160" y="14333220"/>
          <a:ext cx="2697480" cy="4687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43</xdr:row>
          <xdr:rowOff>7620</xdr:rowOff>
        </xdr:from>
        <xdr:to>
          <xdr:col>13</xdr:col>
          <xdr:colOff>381000</xdr:colOff>
          <xdr:row>44</xdr:row>
          <xdr:rowOff>182880</xdr:rowOff>
        </xdr:to>
        <xdr:sp macro="" textlink="">
          <xdr:nvSpPr>
            <xdr:cNvPr id="23553" name="Figura 164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129540</xdr:colOff>
          <xdr:row>45</xdr:row>
          <xdr:rowOff>7620</xdr:rowOff>
        </xdr:from>
        <xdr:to>
          <xdr:col>11</xdr:col>
          <xdr:colOff>365760</xdr:colOff>
          <xdr:row>46</xdr:row>
          <xdr:rowOff>160020</xdr:rowOff>
        </xdr:to>
        <xdr:sp macro="" textlink="">
          <xdr:nvSpPr>
            <xdr:cNvPr id="23554" name="Figura 167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47</xdr:row>
          <xdr:rowOff>0</xdr:rowOff>
        </xdr:from>
        <xdr:to>
          <xdr:col>13</xdr:col>
          <xdr:colOff>7620</xdr:colOff>
          <xdr:row>48</xdr:row>
          <xdr:rowOff>60960</xdr:rowOff>
        </xdr:to>
        <xdr:sp macro="" textlink="">
          <xdr:nvSpPr>
            <xdr:cNvPr id="23555" name="Figura 168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48</xdr:row>
          <xdr:rowOff>45720</xdr:rowOff>
        </xdr:from>
        <xdr:to>
          <xdr:col>12</xdr:col>
          <xdr:colOff>472440</xdr:colOff>
          <xdr:row>49</xdr:row>
          <xdr:rowOff>45720</xdr:rowOff>
        </xdr:to>
        <xdr:sp macro="" textlink="">
          <xdr:nvSpPr>
            <xdr:cNvPr id="23556" name="Figura 169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899160</xdr:colOff>
      <xdr:row>4</xdr:row>
      <xdr:rowOff>30480</xdr:rowOff>
    </xdr:from>
    <xdr:to>
      <xdr:col>17</xdr:col>
      <xdr:colOff>182880</xdr:colOff>
      <xdr:row>15</xdr:row>
      <xdr:rowOff>11956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918" t="22003" r="33200" b="22731"/>
        <a:stretch/>
      </xdr:blipFill>
      <xdr:spPr>
        <a:xfrm>
          <a:off x="14317980" y="762000"/>
          <a:ext cx="3619500" cy="2127776"/>
        </a:xfrm>
        <a:prstGeom prst="rect">
          <a:avLst/>
        </a:prstGeom>
      </xdr:spPr>
    </xdr:pic>
    <xdr:clientData/>
  </xdr:twoCellAnchor>
  <xdr:twoCellAnchor editAs="oneCell">
    <xdr:from>
      <xdr:col>33</xdr:col>
      <xdr:colOff>83820</xdr:colOff>
      <xdr:row>17</xdr:row>
      <xdr:rowOff>190500</xdr:rowOff>
    </xdr:from>
    <xdr:to>
      <xdr:col>43</xdr:col>
      <xdr:colOff>126154</xdr:colOff>
      <xdr:row>36</xdr:row>
      <xdr:rowOff>190077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74" t="24202" r="20303" b="13507"/>
        <a:stretch>
          <a:fillRect/>
        </a:stretch>
      </xdr:blipFill>
      <xdr:spPr bwMode="auto">
        <a:xfrm>
          <a:off x="27881580" y="3467100"/>
          <a:ext cx="6290734" cy="374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9.bin"/><Relationship Id="rId11" Type="http://schemas.openxmlformats.org/officeDocument/2006/relationships/image" Target="../media/image14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8.bin"/><Relationship Id="rId9" Type="http://schemas.openxmlformats.org/officeDocument/2006/relationships/image" Target="../media/image13.emf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0.emf"/><Relationship Id="rId18" Type="http://schemas.openxmlformats.org/officeDocument/2006/relationships/oleObject" Target="../embeddings/oleObject19.bin"/><Relationship Id="rId26" Type="http://schemas.openxmlformats.org/officeDocument/2006/relationships/oleObject" Target="../embeddings/oleObject23.bin"/><Relationship Id="rId39" Type="http://schemas.openxmlformats.org/officeDocument/2006/relationships/image" Target="../media/image33.emf"/><Relationship Id="rId21" Type="http://schemas.openxmlformats.org/officeDocument/2006/relationships/image" Target="../media/image24.emf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1.bin"/><Relationship Id="rId7" Type="http://schemas.openxmlformats.org/officeDocument/2006/relationships/image" Target="../media/image17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18.bin"/><Relationship Id="rId20" Type="http://schemas.openxmlformats.org/officeDocument/2006/relationships/oleObject" Target="../embeddings/oleObject20.bin"/><Relationship Id="rId29" Type="http://schemas.openxmlformats.org/officeDocument/2006/relationships/image" Target="../media/image28.emf"/><Relationship Id="rId41" Type="http://schemas.openxmlformats.org/officeDocument/2006/relationships/image" Target="../media/image34.emf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22.bin"/><Relationship Id="rId32" Type="http://schemas.openxmlformats.org/officeDocument/2006/relationships/oleObject" Target="../embeddings/oleObject26.bin"/><Relationship Id="rId37" Type="http://schemas.openxmlformats.org/officeDocument/2006/relationships/image" Target="../media/image32.emf"/><Relationship Id="rId40" Type="http://schemas.openxmlformats.org/officeDocument/2006/relationships/oleObject" Target="../embeddings/oleObject30.bin"/><Relationship Id="rId5" Type="http://schemas.openxmlformats.org/officeDocument/2006/relationships/image" Target="../media/image16.emf"/><Relationship Id="rId15" Type="http://schemas.openxmlformats.org/officeDocument/2006/relationships/image" Target="../media/image21.emf"/><Relationship Id="rId23" Type="http://schemas.openxmlformats.org/officeDocument/2006/relationships/image" Target="../media/image25.emf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28.bin"/><Relationship Id="rId10" Type="http://schemas.openxmlformats.org/officeDocument/2006/relationships/oleObject" Target="../embeddings/oleObject15.bin"/><Relationship Id="rId19" Type="http://schemas.openxmlformats.org/officeDocument/2006/relationships/image" Target="../media/image23.emf"/><Relationship Id="rId31" Type="http://schemas.openxmlformats.org/officeDocument/2006/relationships/image" Target="../media/image29.emf"/><Relationship Id="rId4" Type="http://schemas.openxmlformats.org/officeDocument/2006/relationships/oleObject" Target="../embeddings/oleObject12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17.bin"/><Relationship Id="rId22" Type="http://schemas.openxmlformats.org/officeDocument/2006/relationships/oleObject" Target="../embeddings/oleObject21.bin"/><Relationship Id="rId27" Type="http://schemas.openxmlformats.org/officeDocument/2006/relationships/image" Target="../media/image27.emf"/><Relationship Id="rId30" Type="http://schemas.openxmlformats.org/officeDocument/2006/relationships/oleObject" Target="../embeddings/oleObject25.bin"/><Relationship Id="rId35" Type="http://schemas.openxmlformats.org/officeDocument/2006/relationships/image" Target="../media/image31.emf"/><Relationship Id="rId43" Type="http://schemas.openxmlformats.org/officeDocument/2006/relationships/image" Target="../media/image35.emf"/><Relationship Id="rId8" Type="http://schemas.openxmlformats.org/officeDocument/2006/relationships/oleObject" Target="../embeddings/oleObject14.bin"/><Relationship Id="rId3" Type="http://schemas.openxmlformats.org/officeDocument/2006/relationships/vmlDrawing" Target="../drawings/vmlDrawing5.vml"/><Relationship Id="rId12" Type="http://schemas.openxmlformats.org/officeDocument/2006/relationships/oleObject" Target="../embeddings/oleObject16.bin"/><Relationship Id="rId17" Type="http://schemas.openxmlformats.org/officeDocument/2006/relationships/image" Target="../media/image22.emf"/><Relationship Id="rId25" Type="http://schemas.openxmlformats.org/officeDocument/2006/relationships/image" Target="../media/image26.emf"/><Relationship Id="rId33" Type="http://schemas.openxmlformats.org/officeDocument/2006/relationships/image" Target="../media/image30.emf"/><Relationship Id="rId38" Type="http://schemas.openxmlformats.org/officeDocument/2006/relationships/oleObject" Target="../embeddings/oleObject29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14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35.bin"/><Relationship Id="rId4" Type="http://schemas.openxmlformats.org/officeDocument/2006/relationships/oleObject" Target="../embeddings/oleObject32.bin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"/>
  <sheetViews>
    <sheetView topLeftCell="A88" zoomScaleNormal="100" workbookViewId="0">
      <selection activeCell="I111" sqref="I111"/>
    </sheetView>
  </sheetViews>
  <sheetFormatPr defaultColWidth="9.109375" defaultRowHeight="15" customHeight="1" x14ac:dyDescent="0.3"/>
  <cols>
    <col min="1" max="1" width="22.33203125" style="81" bestFit="1" customWidth="1"/>
    <col min="2" max="2" width="7.5546875" style="81" bestFit="1" customWidth="1"/>
    <col min="3" max="3" width="4.6640625" style="81" customWidth="1"/>
    <col min="4" max="4" width="2" style="81" customWidth="1"/>
    <col min="5" max="5" width="6.109375" style="82" customWidth="1"/>
    <col min="6" max="6" width="83.77734375" style="150" bestFit="1" customWidth="1"/>
    <col min="7" max="7" width="6" style="81" bestFit="1" customWidth="1"/>
    <col min="8" max="8" width="22.33203125" style="81" bestFit="1" customWidth="1"/>
    <col min="9" max="9" width="12.6640625" style="81" bestFit="1" customWidth="1"/>
    <col min="10" max="10" width="4.77734375" style="81" bestFit="1" customWidth="1"/>
    <col min="11" max="11" width="2.6640625" style="81" customWidth="1"/>
    <col min="12" max="12" width="5.5546875" style="82" customWidth="1"/>
    <col min="13" max="13" width="75" style="81" bestFit="1" customWidth="1"/>
    <col min="14" max="14" width="49.44140625" style="139" bestFit="1" customWidth="1"/>
    <col min="15" max="16384" width="9.109375" style="81"/>
  </cols>
  <sheetData>
    <row r="1" spans="1:13" ht="15" customHeight="1" x14ac:dyDescent="0.3">
      <c r="A1" s="80" t="s">
        <v>122</v>
      </c>
      <c r="F1" s="148" t="s">
        <v>379</v>
      </c>
      <c r="H1" s="80" t="s">
        <v>123</v>
      </c>
    </row>
    <row r="2" spans="1:13" ht="15" customHeight="1" x14ac:dyDescent="0.3">
      <c r="A2" s="83" t="s">
        <v>151</v>
      </c>
      <c r="B2" s="100">
        <v>1</v>
      </c>
      <c r="D2" s="99">
        <v>1</v>
      </c>
      <c r="E2" s="86"/>
      <c r="F2" s="149" t="s">
        <v>289</v>
      </c>
      <c r="H2" s="133" t="s">
        <v>631</v>
      </c>
      <c r="I2" s="94">
        <f>B6*hsrf2pwh!B18</f>
        <v>8.4549014468382104</v>
      </c>
      <c r="J2" s="101" t="s">
        <v>632</v>
      </c>
      <c r="K2" s="99"/>
      <c r="L2" s="302" t="s">
        <v>951</v>
      </c>
      <c r="M2" s="147" t="s">
        <v>893</v>
      </c>
    </row>
    <row r="3" spans="1:13" ht="15" customHeight="1" x14ac:dyDescent="0.35">
      <c r="A3" s="133" t="s">
        <v>615</v>
      </c>
      <c r="B3" s="91">
        <v>0.5</v>
      </c>
      <c r="C3" s="92" t="s">
        <v>1</v>
      </c>
      <c r="D3" s="99">
        <v>1</v>
      </c>
      <c r="E3" s="132" t="s">
        <v>229</v>
      </c>
      <c r="F3" s="147" t="s">
        <v>813</v>
      </c>
      <c r="H3" s="133" t="s">
        <v>892</v>
      </c>
      <c r="I3" s="94">
        <f>hsrf2pwh!B10*hsrf2pwh!B29</f>
        <v>135.43602142889227</v>
      </c>
      <c r="J3" s="101" t="s">
        <v>0</v>
      </c>
      <c r="K3" s="99"/>
      <c r="L3" s="295"/>
      <c r="M3" s="147" t="s">
        <v>950</v>
      </c>
    </row>
    <row r="4" spans="1:13" ht="15" customHeight="1" x14ac:dyDescent="0.3">
      <c r="A4" s="83" t="s">
        <v>154</v>
      </c>
      <c r="B4" s="100">
        <v>150</v>
      </c>
      <c r="C4" s="81" t="s">
        <v>2</v>
      </c>
      <c r="D4" s="99">
        <v>1</v>
      </c>
      <c r="E4" s="86" t="s">
        <v>124</v>
      </c>
      <c r="F4" s="149" t="s">
        <v>287</v>
      </c>
      <c r="H4" s="83" t="s">
        <v>162</v>
      </c>
      <c r="I4" s="84">
        <f>hsrf2rout!D34</f>
        <v>738</v>
      </c>
      <c r="J4" s="81" t="s">
        <v>1</v>
      </c>
      <c r="K4" s="99">
        <v>1</v>
      </c>
      <c r="L4" s="86"/>
      <c r="M4" s="85" t="s">
        <v>323</v>
      </c>
    </row>
    <row r="5" spans="1:13" ht="15" customHeight="1" x14ac:dyDescent="0.35">
      <c r="A5" s="83" t="s">
        <v>155</v>
      </c>
      <c r="B5" s="100">
        <v>0.05</v>
      </c>
      <c r="C5" s="92"/>
      <c r="D5" s="99">
        <v>1</v>
      </c>
      <c r="E5" s="12" t="s">
        <v>387</v>
      </c>
      <c r="F5" s="147" t="s">
        <v>288</v>
      </c>
      <c r="H5" s="83" t="s">
        <v>163</v>
      </c>
      <c r="I5" s="84">
        <f>hsrf2rout!D44</f>
        <v>736</v>
      </c>
      <c r="J5" s="81" t="s">
        <v>1</v>
      </c>
      <c r="K5" s="99">
        <v>1</v>
      </c>
      <c r="L5" s="86"/>
      <c r="M5" s="85" t="s">
        <v>313</v>
      </c>
    </row>
    <row r="6" spans="1:13" ht="15" customHeight="1" x14ac:dyDescent="0.3">
      <c r="A6" s="133" t="s">
        <v>630</v>
      </c>
      <c r="B6" s="100">
        <v>8</v>
      </c>
      <c r="C6" s="92" t="s">
        <v>632</v>
      </c>
      <c r="D6" s="99"/>
      <c r="E6" s="98"/>
      <c r="F6" s="147" t="s">
        <v>633</v>
      </c>
      <c r="H6" s="83" t="s">
        <v>164</v>
      </c>
      <c r="I6" s="84">
        <f>hsrf2rout!D63</f>
        <v>594.78180454784297</v>
      </c>
      <c r="J6" s="81" t="s">
        <v>1</v>
      </c>
      <c r="K6" s="99">
        <v>1</v>
      </c>
      <c r="L6" s="86"/>
      <c r="M6" s="85" t="s">
        <v>326</v>
      </c>
    </row>
    <row r="7" spans="1:13" ht="15" customHeight="1" x14ac:dyDescent="0.3">
      <c r="A7" s="133" t="s">
        <v>560</v>
      </c>
      <c r="B7" s="94">
        <v>2000</v>
      </c>
      <c r="C7" s="81" t="s">
        <v>1</v>
      </c>
      <c r="D7" s="99">
        <v>1</v>
      </c>
      <c r="E7" s="157"/>
      <c r="F7" s="147" t="s">
        <v>716</v>
      </c>
      <c r="H7" s="83" t="s">
        <v>280</v>
      </c>
      <c r="I7" s="84">
        <f>hsrf2rout!E72</f>
        <v>646.12479046784847</v>
      </c>
      <c r="J7" s="81" t="s">
        <v>1</v>
      </c>
      <c r="K7" s="99">
        <v>1</v>
      </c>
      <c r="L7" s="86"/>
      <c r="M7" s="85" t="s">
        <v>328</v>
      </c>
    </row>
    <row r="8" spans="1:13" ht="15" customHeight="1" x14ac:dyDescent="0.3">
      <c r="A8" s="83" t="s">
        <v>158</v>
      </c>
      <c r="B8" s="94">
        <v>0</v>
      </c>
      <c r="C8" s="81" t="s">
        <v>1</v>
      </c>
      <c r="D8" s="99">
        <v>2</v>
      </c>
      <c r="E8" s="86"/>
      <c r="F8" s="147" t="s">
        <v>380</v>
      </c>
      <c r="H8" s="83" t="s">
        <v>279</v>
      </c>
      <c r="I8" s="84">
        <f>hsrf2rout!E71</f>
        <v>200</v>
      </c>
      <c r="J8" t="s">
        <v>1</v>
      </c>
      <c r="K8" s="99">
        <v>1</v>
      </c>
      <c r="L8" s="86"/>
      <c r="M8" s="85" t="s">
        <v>329</v>
      </c>
    </row>
    <row r="9" spans="1:13" ht="15" customHeight="1" x14ac:dyDescent="0.3">
      <c r="A9" s="83" t="s">
        <v>159</v>
      </c>
      <c r="B9" s="94">
        <v>1000</v>
      </c>
      <c r="C9" s="81" t="s">
        <v>1</v>
      </c>
      <c r="D9" s="99">
        <v>2</v>
      </c>
      <c r="E9" s="86"/>
      <c r="F9" s="147" t="s">
        <v>407</v>
      </c>
      <c r="H9" s="133" t="s">
        <v>1029</v>
      </c>
      <c r="I9" s="84">
        <f>hsrf2rout!E73</f>
        <v>609.8454136435289</v>
      </c>
      <c r="J9" t="s">
        <v>1</v>
      </c>
      <c r="K9" s="99">
        <v>1</v>
      </c>
      <c r="L9" s="135"/>
      <c r="M9" s="95" t="s">
        <v>472</v>
      </c>
    </row>
    <row r="10" spans="1:13" ht="15" customHeight="1" x14ac:dyDescent="0.35">
      <c r="A10" s="83" t="s">
        <v>160</v>
      </c>
      <c r="B10" s="94">
        <v>400</v>
      </c>
      <c r="C10" s="81" t="s">
        <v>1</v>
      </c>
      <c r="D10" s="99">
        <v>2</v>
      </c>
      <c r="E10" s="86"/>
      <c r="F10" s="147" t="s">
        <v>408</v>
      </c>
      <c r="H10" s="83" t="s">
        <v>255</v>
      </c>
      <c r="I10" s="84">
        <f>hsrf2intk!B32</f>
        <v>17.741081264742345</v>
      </c>
      <c r="J10" s="81" t="s">
        <v>1</v>
      </c>
      <c r="K10" s="99">
        <v>2</v>
      </c>
      <c r="L10" s="86" t="s">
        <v>228</v>
      </c>
      <c r="M10" s="85" t="s">
        <v>291</v>
      </c>
    </row>
    <row r="11" spans="1:13" ht="15" customHeight="1" x14ac:dyDescent="0.35">
      <c r="A11" s="83" t="s">
        <v>161</v>
      </c>
      <c r="B11" s="94">
        <v>0</v>
      </c>
      <c r="C11" s="81" t="s">
        <v>1</v>
      </c>
      <c r="D11" s="99">
        <v>2</v>
      </c>
      <c r="E11" s="86"/>
      <c r="F11" s="147" t="s">
        <v>331</v>
      </c>
      <c r="H11" s="83" t="s">
        <v>165</v>
      </c>
      <c r="I11" s="84">
        <f>hsrf2intk!B26</f>
        <v>663.55666239458458</v>
      </c>
      <c r="J11" s="81" t="s">
        <v>1</v>
      </c>
      <c r="K11" s="99">
        <v>2</v>
      </c>
      <c r="L11" s="86" t="s">
        <v>230</v>
      </c>
      <c r="M11" s="85" t="s">
        <v>290</v>
      </c>
    </row>
    <row r="12" spans="1:13" ht="15" customHeight="1" x14ac:dyDescent="0.35">
      <c r="A12" s="133" t="s">
        <v>471</v>
      </c>
      <c r="B12" s="94">
        <v>0</v>
      </c>
      <c r="C12" s="81" t="s">
        <v>1</v>
      </c>
      <c r="D12" s="99">
        <v>2</v>
      </c>
      <c r="E12" s="135"/>
      <c r="F12" s="147" t="s">
        <v>715</v>
      </c>
      <c r="H12" s="83" t="s">
        <v>166</v>
      </c>
      <c r="I12" s="87">
        <f>hsrf2intk!B28</f>
        <v>2</v>
      </c>
      <c r="K12" s="99">
        <v>2</v>
      </c>
      <c r="L12" s="86" t="s">
        <v>231</v>
      </c>
      <c r="M12" s="85" t="s">
        <v>297</v>
      </c>
    </row>
    <row r="13" spans="1:13" ht="15" customHeight="1" x14ac:dyDescent="0.35">
      <c r="A13" s="133" t="s">
        <v>549</v>
      </c>
      <c r="B13" s="94">
        <v>130</v>
      </c>
      <c r="C13" s="81" t="s">
        <v>1</v>
      </c>
      <c r="D13" s="99">
        <v>2</v>
      </c>
      <c r="E13" s="135"/>
      <c r="F13" s="147" t="s">
        <v>963</v>
      </c>
      <c r="H13" s="83" t="s">
        <v>167</v>
      </c>
      <c r="I13" s="84">
        <f>hsrf2intk!B24</f>
        <v>9.6175677206186219</v>
      </c>
      <c r="J13" s="81" t="s">
        <v>1</v>
      </c>
      <c r="K13" s="99">
        <v>2</v>
      </c>
      <c r="L13" s="86" t="s">
        <v>232</v>
      </c>
      <c r="M13" s="85" t="s">
        <v>298</v>
      </c>
    </row>
    <row r="14" spans="1:13" ht="15" customHeight="1" x14ac:dyDescent="0.35">
      <c r="A14" s="83" t="s">
        <v>182</v>
      </c>
      <c r="B14" s="91">
        <v>0</v>
      </c>
      <c r="C14" s="92" t="s">
        <v>1</v>
      </c>
      <c r="D14" s="99">
        <v>2</v>
      </c>
      <c r="E14" s="12"/>
      <c r="F14" s="147" t="s">
        <v>399</v>
      </c>
      <c r="H14" s="83" t="s">
        <v>168</v>
      </c>
      <c r="I14" s="84">
        <f>hsrf2intk!B25</f>
        <v>12.021959650773274</v>
      </c>
      <c r="J14" s="81" t="s">
        <v>1</v>
      </c>
      <c r="K14" s="99">
        <v>2</v>
      </c>
      <c r="L14" s="86" t="s">
        <v>233</v>
      </c>
      <c r="M14" s="85" t="s">
        <v>296</v>
      </c>
    </row>
    <row r="15" spans="1:13" ht="15" customHeight="1" x14ac:dyDescent="0.35">
      <c r="A15" s="83" t="s">
        <v>183</v>
      </c>
      <c r="B15" s="91">
        <v>0</v>
      </c>
      <c r="C15" s="101" t="s">
        <v>1</v>
      </c>
      <c r="D15" s="99">
        <v>2</v>
      </c>
      <c r="E15" s="12"/>
      <c r="F15" s="147" t="s">
        <v>389</v>
      </c>
      <c r="H15" s="83" t="s">
        <v>169</v>
      </c>
      <c r="I15" s="84">
        <f>hsrf2intk!B26</f>
        <v>663.55666239458458</v>
      </c>
      <c r="J15" s="81" t="s">
        <v>1</v>
      </c>
      <c r="K15" s="99">
        <v>2</v>
      </c>
      <c r="L15" s="86" t="s">
        <v>235</v>
      </c>
      <c r="M15" s="85" t="s">
        <v>300</v>
      </c>
    </row>
    <row r="16" spans="1:13" ht="15" customHeight="1" x14ac:dyDescent="0.35">
      <c r="A16" s="83" t="s">
        <v>401</v>
      </c>
      <c r="B16" s="124">
        <v>0</v>
      </c>
      <c r="C16" s="92"/>
      <c r="D16" s="125">
        <v>2</v>
      </c>
      <c r="E16" s="12"/>
      <c r="F16" s="147" t="s">
        <v>406</v>
      </c>
      <c r="H16" s="83" t="s">
        <v>170</v>
      </c>
      <c r="I16" s="84">
        <f>hsrf2intk!B32</f>
        <v>17.741081264742345</v>
      </c>
      <c r="J16" s="81" t="s">
        <v>1</v>
      </c>
      <c r="K16" s="99">
        <v>2</v>
      </c>
      <c r="L16" s="86" t="s">
        <v>236</v>
      </c>
      <c r="M16" s="85" t="s">
        <v>306</v>
      </c>
    </row>
    <row r="17" spans="1:15" ht="15" customHeight="1" x14ac:dyDescent="0.35">
      <c r="A17" s="83" t="s">
        <v>450</v>
      </c>
      <c r="B17" s="124">
        <v>50</v>
      </c>
      <c r="C17" s="92" t="s">
        <v>451</v>
      </c>
      <c r="D17" s="125">
        <v>1</v>
      </c>
      <c r="E17" s="12"/>
      <c r="F17" s="147" t="s">
        <v>452</v>
      </c>
      <c r="H17" s="83" t="s">
        <v>171</v>
      </c>
      <c r="I17" s="84">
        <f>hsrf2intk!B33</f>
        <v>16.188667521083083</v>
      </c>
      <c r="J17" s="81" t="s">
        <v>1</v>
      </c>
      <c r="K17" s="99">
        <v>2</v>
      </c>
      <c r="L17" s="86" t="s">
        <v>237</v>
      </c>
      <c r="M17" s="85" t="s">
        <v>305</v>
      </c>
    </row>
    <row r="18" spans="1:15" ht="15" customHeight="1" x14ac:dyDescent="0.35">
      <c r="A18" s="133" t="s">
        <v>637</v>
      </c>
      <c r="B18" s="124">
        <v>0</v>
      </c>
      <c r="C18" s="92"/>
      <c r="D18" s="125">
        <v>1</v>
      </c>
      <c r="E18" s="98"/>
      <c r="F18" s="147" t="s">
        <v>638</v>
      </c>
      <c r="H18" s="83" t="s">
        <v>273</v>
      </c>
      <c r="I18" s="94">
        <f>hsrf2intk!B30</f>
        <v>60.943337605415422</v>
      </c>
      <c r="J18" t="s">
        <v>1</v>
      </c>
      <c r="K18" s="99">
        <v>2</v>
      </c>
      <c r="L18" s="12" t="s">
        <v>274</v>
      </c>
      <c r="M18" s="85" t="s">
        <v>304</v>
      </c>
    </row>
    <row r="19" spans="1:15" ht="15" customHeight="1" x14ac:dyDescent="0.35">
      <c r="A19" s="83" t="s">
        <v>381</v>
      </c>
      <c r="B19" s="91">
        <v>0.42735042735042739</v>
      </c>
      <c r="C19"/>
      <c r="D19" s="99">
        <v>1</v>
      </c>
      <c r="E19" s="166"/>
      <c r="F19" s="147" t="s">
        <v>456</v>
      </c>
      <c r="H19" s="83" t="s">
        <v>275</v>
      </c>
      <c r="I19" s="94">
        <f>hsrf2intk!B18</f>
        <v>4.4213779546421259</v>
      </c>
      <c r="J19" t="s">
        <v>1</v>
      </c>
      <c r="K19" s="99">
        <v>2</v>
      </c>
      <c r="L19" s="12" t="s">
        <v>276</v>
      </c>
      <c r="M19" s="85" t="s">
        <v>303</v>
      </c>
    </row>
    <row r="20" spans="1:15" ht="15" customHeight="1" x14ac:dyDescent="0.3">
      <c r="A20" s="83" t="s">
        <v>382</v>
      </c>
      <c r="B20" s="91">
        <v>1.1772503980700835</v>
      </c>
      <c r="C20"/>
      <c r="D20" s="99">
        <v>1</v>
      </c>
      <c r="E20" s="166"/>
      <c r="F20" s="147" t="s">
        <v>457</v>
      </c>
      <c r="H20" s="133" t="s">
        <v>939</v>
      </c>
      <c r="I20" s="124">
        <f>hsrf2tunl!F36</f>
        <v>1</v>
      </c>
      <c r="J20"/>
      <c r="K20" s="99"/>
      <c r="L20" s="98"/>
      <c r="M20" s="95" t="s">
        <v>944</v>
      </c>
    </row>
    <row r="21" spans="1:15" ht="15" customHeight="1" x14ac:dyDescent="0.3">
      <c r="A21" s="133"/>
      <c r="B21" s="84">
        <v>317.03301438524306</v>
      </c>
      <c r="C21" s="81" t="s">
        <v>1</v>
      </c>
      <c r="D21" s="99">
        <v>2</v>
      </c>
      <c r="E21" s="98"/>
      <c r="F21" s="95" t="s">
        <v>1032</v>
      </c>
      <c r="H21" s="83" t="s">
        <v>159</v>
      </c>
      <c r="I21" s="84">
        <f>hsrf2tunl!F35</f>
        <v>1000</v>
      </c>
      <c r="J21" s="81" t="s">
        <v>1</v>
      </c>
      <c r="K21" s="99">
        <v>2</v>
      </c>
      <c r="L21" s="86"/>
      <c r="M21" s="85" t="s">
        <v>321</v>
      </c>
    </row>
    <row r="22" spans="1:15" ht="15" customHeight="1" x14ac:dyDescent="0.3">
      <c r="A22" s="133"/>
      <c r="B22" s="84">
        <v>279.27950698538007</v>
      </c>
      <c r="C22" s="81" t="s">
        <v>1</v>
      </c>
      <c r="D22" s="99">
        <v>2</v>
      </c>
      <c r="E22" s="98"/>
      <c r="F22" s="95" t="s">
        <v>1033</v>
      </c>
      <c r="H22" s="83" t="s">
        <v>172</v>
      </c>
      <c r="I22" s="84">
        <f>VLOOKUP(hsrf2tunl!D26,hsrf2tunl!B29:D31,2)*I21</f>
        <v>200</v>
      </c>
      <c r="J22" s="81" t="s">
        <v>1</v>
      </c>
      <c r="K22" s="99">
        <v>2</v>
      </c>
      <c r="L22" s="86"/>
      <c r="M22" s="85" t="s">
        <v>320</v>
      </c>
    </row>
    <row r="23" spans="1:15" ht="15" customHeight="1" x14ac:dyDescent="0.3">
      <c r="F23" s="326"/>
      <c r="H23" s="83" t="s">
        <v>173</v>
      </c>
      <c r="I23" s="84">
        <f>VLOOKUP(hsrf2tunl!D26,hsrf2tunl!B29:D31,3)*I21</f>
        <v>0</v>
      </c>
      <c r="J23" s="81" t="s">
        <v>1</v>
      </c>
      <c r="K23" s="99">
        <v>2</v>
      </c>
      <c r="L23" s="86"/>
      <c r="M23" s="85" t="s">
        <v>318</v>
      </c>
    </row>
    <row r="24" spans="1:15" ht="15" customHeight="1" x14ac:dyDescent="0.3">
      <c r="A24" s="80" t="s">
        <v>550</v>
      </c>
      <c r="H24" s="83" t="s">
        <v>174</v>
      </c>
      <c r="I24" s="84">
        <f>hsrf2tunl!F38</f>
        <v>10.752767600755471</v>
      </c>
      <c r="J24" s="81" t="s">
        <v>1</v>
      </c>
      <c r="K24" s="99">
        <v>2</v>
      </c>
      <c r="L24" s="86"/>
      <c r="M24" s="85" t="s">
        <v>317</v>
      </c>
    </row>
    <row r="25" spans="1:15" ht="15" customHeight="1" x14ac:dyDescent="0.35">
      <c r="A25" s="83" t="s">
        <v>551</v>
      </c>
      <c r="B25" s="91">
        <v>720</v>
      </c>
      <c r="C25" s="81" t="s">
        <v>1</v>
      </c>
      <c r="D25" s="99">
        <v>1</v>
      </c>
      <c r="E25" s="143" t="s">
        <v>227</v>
      </c>
      <c r="F25" s="147" t="s">
        <v>458</v>
      </c>
      <c r="H25" s="83" t="s">
        <v>175</v>
      </c>
      <c r="I25" s="84">
        <f>hsrf2tunl!C12</f>
        <v>663.55666239458458</v>
      </c>
      <c r="J25" s="81" t="s">
        <v>1</v>
      </c>
      <c r="K25" s="99">
        <v>2</v>
      </c>
      <c r="L25" s="86"/>
      <c r="M25" s="85" t="s">
        <v>322</v>
      </c>
    </row>
    <row r="26" spans="1:15" ht="15" customHeight="1" x14ac:dyDescent="0.35">
      <c r="A26" s="83" t="s">
        <v>552</v>
      </c>
      <c r="B26" s="91">
        <v>680</v>
      </c>
      <c r="C26" s="81" t="s">
        <v>1</v>
      </c>
      <c r="D26" s="99">
        <v>1</v>
      </c>
      <c r="E26" s="144" t="s">
        <v>554</v>
      </c>
      <c r="F26" s="147" t="s">
        <v>459</v>
      </c>
      <c r="H26" s="83" t="s">
        <v>176</v>
      </c>
      <c r="I26" s="84">
        <f>hsrf2tunl!C13</f>
        <v>654.98001307272409</v>
      </c>
      <c r="J26" s="81" t="s">
        <v>1</v>
      </c>
      <c r="K26" s="99">
        <v>2</v>
      </c>
      <c r="L26" s="86"/>
      <c r="M26" s="85" t="s">
        <v>319</v>
      </c>
      <c r="O26" s="317" t="s">
        <v>967</v>
      </c>
    </row>
    <row r="27" spans="1:15" ht="15" customHeight="1" x14ac:dyDescent="0.3">
      <c r="A27" s="83" t="s">
        <v>156</v>
      </c>
      <c r="B27" s="91">
        <f>B25+2</f>
        <v>722</v>
      </c>
      <c r="C27" s="81" t="s">
        <v>1</v>
      </c>
      <c r="D27" s="99">
        <v>1</v>
      </c>
      <c r="E27" s="86"/>
      <c r="F27" s="147" t="s">
        <v>558</v>
      </c>
      <c r="H27" s="83" t="s">
        <v>177</v>
      </c>
      <c r="I27" s="84">
        <f>IF(hsrf2rout!D44=0,0,hsrf2stnk!B22)</f>
        <v>734.95403118076001</v>
      </c>
      <c r="J27" s="81" t="s">
        <v>1</v>
      </c>
      <c r="K27" s="99">
        <v>2</v>
      </c>
      <c r="L27" s="320"/>
      <c r="M27" s="85" t="s">
        <v>314</v>
      </c>
      <c r="O27" s="317" t="s">
        <v>968</v>
      </c>
    </row>
    <row r="28" spans="1:15" ht="15" customHeight="1" x14ac:dyDescent="0.3">
      <c r="A28" s="83" t="s">
        <v>285</v>
      </c>
      <c r="B28" s="91">
        <v>4</v>
      </c>
      <c r="C28" s="92" t="s">
        <v>1</v>
      </c>
      <c r="D28" s="99">
        <v>2</v>
      </c>
      <c r="E28" s="12"/>
      <c r="F28" s="147" t="s">
        <v>559</v>
      </c>
      <c r="H28" s="83" t="s">
        <v>178</v>
      </c>
      <c r="I28" s="84">
        <f>hsrf2stnk!B23</f>
        <v>666.73278067347951</v>
      </c>
      <c r="J28" s="81" t="s">
        <v>1</v>
      </c>
      <c r="K28" s="99">
        <v>2</v>
      </c>
      <c r="L28" s="320"/>
      <c r="M28" s="85" t="s">
        <v>315</v>
      </c>
      <c r="O28" s="317" t="s">
        <v>969</v>
      </c>
    </row>
    <row r="29" spans="1:15" ht="15" customHeight="1" x14ac:dyDescent="0.3">
      <c r="A29" s="83" t="s">
        <v>513</v>
      </c>
      <c r="B29" s="124">
        <v>1</v>
      </c>
      <c r="D29" s="99">
        <v>2</v>
      </c>
      <c r="E29" s="138"/>
      <c r="F29" s="147" t="s">
        <v>514</v>
      </c>
      <c r="H29" s="83" t="s">
        <v>179</v>
      </c>
      <c r="I29" s="84">
        <f>hsrf2stnk!B20</f>
        <v>15.72</v>
      </c>
      <c r="J29" s="81" t="s">
        <v>1</v>
      </c>
      <c r="K29" s="99">
        <v>2</v>
      </c>
      <c r="L29" s="320"/>
      <c r="M29" s="85" t="s">
        <v>312</v>
      </c>
      <c r="O29" s="317" t="s">
        <v>970</v>
      </c>
    </row>
    <row r="30" spans="1:15" ht="15" customHeight="1" x14ac:dyDescent="0.35">
      <c r="A30" s="83" t="s">
        <v>557</v>
      </c>
      <c r="B30" s="91">
        <v>1</v>
      </c>
      <c r="C30" s="92" t="s">
        <v>1</v>
      </c>
      <c r="D30" s="99">
        <v>1</v>
      </c>
      <c r="E30" s="132" t="s">
        <v>229</v>
      </c>
      <c r="F30" s="147" t="s">
        <v>814</v>
      </c>
      <c r="H30" s="83" t="s">
        <v>180</v>
      </c>
      <c r="I30" s="84">
        <f>hsrf2tunl!F53</f>
        <v>112.76713714908581</v>
      </c>
      <c r="J30" s="81" t="s">
        <v>1</v>
      </c>
      <c r="K30" s="99">
        <v>3</v>
      </c>
      <c r="L30" s="86"/>
      <c r="M30" s="85" t="s">
        <v>335</v>
      </c>
      <c r="O30" s="317" t="s">
        <v>971</v>
      </c>
    </row>
    <row r="31" spans="1:15" ht="15" customHeight="1" x14ac:dyDescent="0.35">
      <c r="A31" s="83" t="s">
        <v>152</v>
      </c>
      <c r="B31" s="91">
        <v>2</v>
      </c>
      <c r="C31" s="81" t="s">
        <v>1</v>
      </c>
      <c r="D31" s="99">
        <v>1</v>
      </c>
      <c r="E31" s="143" t="s">
        <v>229</v>
      </c>
      <c r="F31" s="147" t="s">
        <v>815</v>
      </c>
      <c r="H31" s="83" t="s">
        <v>181</v>
      </c>
      <c r="I31" s="84">
        <f>hsrf2tunl!F56</f>
        <v>11.463786420594227</v>
      </c>
      <c r="J31" s="81" t="s">
        <v>1</v>
      </c>
      <c r="K31" s="99">
        <v>2</v>
      </c>
      <c r="L31" s="86"/>
      <c r="M31" s="85" t="s">
        <v>334</v>
      </c>
      <c r="O31" s="317"/>
    </row>
    <row r="32" spans="1:15" ht="15" customHeight="1" x14ac:dyDescent="0.35">
      <c r="A32" s="83" t="s">
        <v>153</v>
      </c>
      <c r="B32" s="91">
        <v>3</v>
      </c>
      <c r="C32" s="81" t="s">
        <v>1</v>
      </c>
      <c r="D32" s="99">
        <v>1</v>
      </c>
      <c r="E32" s="143" t="s">
        <v>229</v>
      </c>
      <c r="F32" s="147" t="s">
        <v>816</v>
      </c>
      <c r="H32" s="83" t="s">
        <v>160</v>
      </c>
      <c r="I32" s="84">
        <f>hsrf2tunl!F60</f>
        <v>400</v>
      </c>
      <c r="J32" s="81" t="s">
        <v>1</v>
      </c>
      <c r="K32" s="99">
        <v>2</v>
      </c>
      <c r="L32" s="86"/>
      <c r="M32" s="85" t="s">
        <v>325</v>
      </c>
      <c r="O32" s="317"/>
    </row>
    <row r="33" spans="1:15" ht="15" customHeight="1" x14ac:dyDescent="0.3">
      <c r="A33" s="83" t="s">
        <v>157</v>
      </c>
      <c r="B33" s="122" t="s">
        <v>149</v>
      </c>
      <c r="D33" s="99">
        <v>2</v>
      </c>
      <c r="E33" s="86"/>
      <c r="F33" s="147" t="s">
        <v>374</v>
      </c>
      <c r="H33" s="83" t="s">
        <v>182</v>
      </c>
      <c r="I33" s="84">
        <f>MAX(hsrf2tunl!D129,hsrf2tunl!F62)</f>
        <v>10.752767600755471</v>
      </c>
      <c r="J33" s="81" t="s">
        <v>1</v>
      </c>
      <c r="K33" s="99">
        <v>3</v>
      </c>
      <c r="L33" s="86"/>
      <c r="M33" s="85" t="s">
        <v>324</v>
      </c>
      <c r="O33" s="317" t="s">
        <v>972</v>
      </c>
    </row>
    <row r="34" spans="1:15" ht="15" customHeight="1" x14ac:dyDescent="0.3">
      <c r="A34" s="12"/>
      <c r="B34" s="111"/>
      <c r="C34" s="12"/>
      <c r="D34" s="12"/>
      <c r="E34" s="12"/>
      <c r="F34" s="151"/>
      <c r="H34" s="83" t="s">
        <v>161</v>
      </c>
      <c r="I34" s="84">
        <f>hsrf2tunl!F104</f>
        <v>0</v>
      </c>
      <c r="J34" s="81" t="s">
        <v>1</v>
      </c>
      <c r="K34" s="99">
        <v>2</v>
      </c>
      <c r="L34" s="86"/>
      <c r="M34" s="85" t="s">
        <v>331</v>
      </c>
      <c r="O34" s="317"/>
    </row>
    <row r="35" spans="1:15" ht="15" customHeight="1" x14ac:dyDescent="0.3">
      <c r="A35" s="80" t="s">
        <v>553</v>
      </c>
      <c r="H35" s="83" t="s">
        <v>183</v>
      </c>
      <c r="I35" s="84">
        <f>MAX(hsrf2tunl!F107,hsrf2tunl!D130)</f>
        <v>6.6563334165817656</v>
      </c>
      <c r="J35" s="81" t="s">
        <v>1</v>
      </c>
      <c r="K35" s="99">
        <v>2</v>
      </c>
      <c r="L35" s="86"/>
      <c r="M35" s="85" t="s">
        <v>330</v>
      </c>
      <c r="O35" s="317" t="s">
        <v>973</v>
      </c>
    </row>
    <row r="36" spans="1:15" ht="15" customHeight="1" x14ac:dyDescent="0.35">
      <c r="A36" s="83" t="s">
        <v>551</v>
      </c>
      <c r="B36" s="91">
        <v>620</v>
      </c>
      <c r="C36" s="81" t="s">
        <v>1</v>
      </c>
      <c r="D36" s="99"/>
      <c r="E36" s="143" t="s">
        <v>227</v>
      </c>
      <c r="F36" s="147" t="s">
        <v>460</v>
      </c>
      <c r="H36" s="83" t="s">
        <v>272</v>
      </c>
      <c r="I36" s="94">
        <f>hsrf2tunl!K105</f>
        <v>44.649324133067871</v>
      </c>
      <c r="J36" t="s">
        <v>39</v>
      </c>
      <c r="K36" s="99">
        <v>3</v>
      </c>
      <c r="L36" s="12"/>
      <c r="M36" s="85" t="s">
        <v>332</v>
      </c>
      <c r="O36" s="317" t="s">
        <v>974</v>
      </c>
    </row>
    <row r="37" spans="1:15" ht="15" customHeight="1" x14ac:dyDescent="0.35">
      <c r="A37" s="83" t="s">
        <v>552</v>
      </c>
      <c r="B37" s="91">
        <v>580</v>
      </c>
      <c r="C37" s="81" t="s">
        <v>1</v>
      </c>
      <c r="D37" s="99"/>
      <c r="E37" s="144" t="s">
        <v>554</v>
      </c>
      <c r="F37" s="147" t="s">
        <v>461</v>
      </c>
      <c r="H37" s="83" t="s">
        <v>184</v>
      </c>
      <c r="I37" s="84">
        <f>hsrf2tunl!C16</f>
        <v>551.51742643230693</v>
      </c>
      <c r="J37" s="81" t="s">
        <v>1</v>
      </c>
      <c r="K37" s="99">
        <v>3</v>
      </c>
      <c r="L37" s="86"/>
      <c r="M37" s="85" t="s">
        <v>333</v>
      </c>
      <c r="O37" s="317" t="s">
        <v>975</v>
      </c>
    </row>
    <row r="38" spans="1:15" ht="15" customHeight="1" x14ac:dyDescent="0.3">
      <c r="A38" s="83" t="s">
        <v>156</v>
      </c>
      <c r="B38" s="91">
        <f>B36+2</f>
        <v>622</v>
      </c>
      <c r="C38" s="81" t="s">
        <v>1</v>
      </c>
      <c r="D38" s="99">
        <v>1</v>
      </c>
      <c r="E38" s="155"/>
      <c r="F38" s="147" t="s">
        <v>859</v>
      </c>
      <c r="H38" s="83" t="s">
        <v>185</v>
      </c>
      <c r="I38" s="84">
        <f>hsrf2tunl!C17</f>
        <v>551.51742643230693</v>
      </c>
      <c r="J38" s="81" t="s">
        <v>1</v>
      </c>
      <c r="K38" s="99">
        <v>3</v>
      </c>
      <c r="L38" s="86"/>
      <c r="M38" s="85" t="s">
        <v>327</v>
      </c>
      <c r="O38" s="317" t="s">
        <v>976</v>
      </c>
    </row>
    <row r="39" spans="1:15" ht="15" customHeight="1" x14ac:dyDescent="0.35">
      <c r="A39" s="83" t="s">
        <v>285</v>
      </c>
      <c r="B39" s="91">
        <v>4</v>
      </c>
      <c r="C39" s="92" t="s">
        <v>1</v>
      </c>
      <c r="D39" s="99">
        <v>2</v>
      </c>
      <c r="E39" s="156"/>
      <c r="F39" s="147" t="s">
        <v>860</v>
      </c>
      <c r="H39" s="83" t="s">
        <v>186</v>
      </c>
      <c r="I39" s="87">
        <f>hsrf2tunl!F137</f>
        <v>2</v>
      </c>
      <c r="K39" s="99">
        <v>2</v>
      </c>
      <c r="L39" s="86" t="s">
        <v>238</v>
      </c>
      <c r="M39" s="85" t="s">
        <v>309</v>
      </c>
      <c r="O39" s="317"/>
    </row>
    <row r="40" spans="1:15" ht="15" customHeight="1" x14ac:dyDescent="0.35">
      <c r="A40" s="83" t="s">
        <v>513</v>
      </c>
      <c r="B40" s="124">
        <v>0</v>
      </c>
      <c r="D40" s="99">
        <v>2</v>
      </c>
      <c r="E40" s="138"/>
      <c r="F40" s="147" t="s">
        <v>514</v>
      </c>
      <c r="H40" s="83" t="s">
        <v>187</v>
      </c>
      <c r="I40" s="84">
        <f>hsrf2tunl!F136</f>
        <v>5.1327347262885121</v>
      </c>
      <c r="J40" s="81" t="s">
        <v>1</v>
      </c>
      <c r="K40" s="99">
        <v>3</v>
      </c>
      <c r="L40" s="86" t="s">
        <v>239</v>
      </c>
      <c r="M40" s="85" t="s">
        <v>307</v>
      </c>
      <c r="O40" s="317"/>
    </row>
    <row r="41" spans="1:15" ht="15" customHeight="1" x14ac:dyDescent="0.35">
      <c r="A41" s="83" t="s">
        <v>557</v>
      </c>
      <c r="B41" s="91">
        <v>4</v>
      </c>
      <c r="C41" s="92" t="s">
        <v>1</v>
      </c>
      <c r="D41" s="99">
        <v>1</v>
      </c>
      <c r="E41" s="132" t="s">
        <v>229</v>
      </c>
      <c r="F41" s="147" t="s">
        <v>861</v>
      </c>
      <c r="H41" s="83" t="s">
        <v>188</v>
      </c>
      <c r="I41" s="88">
        <f>hsrf2tunl!F134</f>
        <v>27</v>
      </c>
      <c r="J41" s="81" t="s">
        <v>1</v>
      </c>
      <c r="K41" s="99">
        <v>2</v>
      </c>
      <c r="L41" s="86" t="s">
        <v>240</v>
      </c>
      <c r="M41" s="85" t="s">
        <v>308</v>
      </c>
      <c r="O41" s="317"/>
    </row>
    <row r="42" spans="1:15" ht="15" customHeight="1" x14ac:dyDescent="0.35">
      <c r="A42" s="83" t="s">
        <v>152</v>
      </c>
      <c r="B42" s="91">
        <v>5</v>
      </c>
      <c r="C42" s="81" t="s">
        <v>1</v>
      </c>
      <c r="D42" s="99">
        <v>1</v>
      </c>
      <c r="E42" s="143" t="s">
        <v>229</v>
      </c>
      <c r="F42" s="147" t="s">
        <v>862</v>
      </c>
      <c r="H42" s="83" t="s">
        <v>271</v>
      </c>
      <c r="I42" s="94">
        <f>hsrf2tunl!K135</f>
        <v>34.772677393526685</v>
      </c>
      <c r="J42" t="s">
        <v>39</v>
      </c>
      <c r="K42" s="99">
        <v>3</v>
      </c>
      <c r="L42" s="12"/>
      <c r="M42" s="85" t="s">
        <v>311</v>
      </c>
      <c r="O42" s="317" t="s">
        <v>977</v>
      </c>
    </row>
    <row r="43" spans="1:15" ht="15" customHeight="1" x14ac:dyDescent="0.35">
      <c r="A43" s="83" t="s">
        <v>153</v>
      </c>
      <c r="B43" s="91">
        <v>6</v>
      </c>
      <c r="C43" s="81" t="s">
        <v>1</v>
      </c>
      <c r="D43" s="99">
        <v>1</v>
      </c>
      <c r="E43" s="143" t="s">
        <v>229</v>
      </c>
      <c r="F43" s="147" t="s">
        <v>863</v>
      </c>
      <c r="H43" s="83" t="s">
        <v>189</v>
      </c>
      <c r="I43" s="87">
        <f>hsrf2pwh!B10</f>
        <v>2</v>
      </c>
      <c r="K43" s="99">
        <v>2</v>
      </c>
      <c r="L43" s="320" t="s">
        <v>241</v>
      </c>
      <c r="M43" s="85" t="s">
        <v>351</v>
      </c>
      <c r="O43" s="317"/>
    </row>
    <row r="44" spans="1:15" ht="15" customHeight="1" x14ac:dyDescent="0.35">
      <c r="A44" s="83" t="s">
        <v>157</v>
      </c>
      <c r="B44" s="122" t="s">
        <v>149</v>
      </c>
      <c r="D44" s="99">
        <v>2</v>
      </c>
      <c r="E44" s="86"/>
      <c r="F44" s="147" t="s">
        <v>374</v>
      </c>
      <c r="H44" s="83" t="s">
        <v>190</v>
      </c>
      <c r="I44" s="84">
        <f>hsrf2pwh!B43</f>
        <v>3.9842447486730319</v>
      </c>
      <c r="J44" s="81" t="s">
        <v>1</v>
      </c>
      <c r="K44" s="99">
        <v>2</v>
      </c>
      <c r="L44" s="86" t="s">
        <v>242</v>
      </c>
      <c r="M44" s="85" t="s">
        <v>368</v>
      </c>
      <c r="O44" s="317" t="s">
        <v>978</v>
      </c>
    </row>
    <row r="45" spans="1:15" ht="15" customHeight="1" x14ac:dyDescent="0.35">
      <c r="A45" s="12"/>
      <c r="B45" s="12"/>
      <c r="C45" s="12"/>
      <c r="D45" s="12"/>
      <c r="E45" s="12"/>
      <c r="F45" s="151"/>
      <c r="H45" s="83" t="s">
        <v>453</v>
      </c>
      <c r="I45" s="91">
        <f>hsrf2pwh!C23</f>
        <v>230.84269386727848</v>
      </c>
      <c r="J45" s="92"/>
      <c r="K45" s="99">
        <v>2</v>
      </c>
      <c r="L45" s="12" t="s">
        <v>454</v>
      </c>
      <c r="M45" s="95" t="s">
        <v>455</v>
      </c>
      <c r="O45" s="317" t="s">
        <v>979</v>
      </c>
    </row>
    <row r="46" spans="1:15" ht="15" customHeight="1" x14ac:dyDescent="0.35">
      <c r="D46" s="99">
        <v>1</v>
      </c>
      <c r="E46" s="5"/>
      <c r="F46" s="152" t="s">
        <v>375</v>
      </c>
      <c r="H46" s="83" t="s">
        <v>263</v>
      </c>
      <c r="I46" s="91">
        <f>hsrf2pwh!B105</f>
        <v>9.2965963307719033</v>
      </c>
      <c r="J46" t="s">
        <v>1</v>
      </c>
      <c r="K46" s="99">
        <v>2</v>
      </c>
      <c r="L46" s="12" t="s">
        <v>256</v>
      </c>
      <c r="M46" s="85" t="s">
        <v>347</v>
      </c>
      <c r="O46" s="317" t="s">
        <v>980</v>
      </c>
    </row>
    <row r="47" spans="1:15" ht="15" customHeight="1" x14ac:dyDescent="0.35">
      <c r="D47" s="5"/>
      <c r="E47" s="5"/>
      <c r="F47" s="152" t="s">
        <v>376</v>
      </c>
      <c r="H47" s="83" t="s">
        <v>191</v>
      </c>
      <c r="I47" s="84">
        <f>hsrf2pwh!B36</f>
        <v>555.44559314059779</v>
      </c>
      <c r="J47" s="81" t="s">
        <v>1</v>
      </c>
      <c r="K47" s="99">
        <v>2</v>
      </c>
      <c r="L47" s="86" t="s">
        <v>243</v>
      </c>
      <c r="M47" s="85" t="s">
        <v>364</v>
      </c>
      <c r="O47" s="317" t="s">
        <v>981</v>
      </c>
    </row>
    <row r="48" spans="1:15" ht="15" customHeight="1" x14ac:dyDescent="0.35">
      <c r="D48" s="100">
        <v>2</v>
      </c>
      <c r="E48" s="5"/>
      <c r="F48" s="153" t="s">
        <v>377</v>
      </c>
      <c r="H48" s="83" t="s">
        <v>192</v>
      </c>
      <c r="I48" s="84">
        <f>hsrf2pwh!B83</f>
        <v>31.2969544069067</v>
      </c>
      <c r="J48" s="81" t="s">
        <v>1</v>
      </c>
      <c r="K48" s="99">
        <v>2</v>
      </c>
      <c r="L48" s="86" t="s">
        <v>244</v>
      </c>
      <c r="M48" s="85" t="s">
        <v>361</v>
      </c>
      <c r="O48" s="317" t="s">
        <v>982</v>
      </c>
    </row>
    <row r="49" spans="1:15" ht="15" customHeight="1" x14ac:dyDescent="0.35">
      <c r="D49" s="92"/>
      <c r="E49" s="5"/>
      <c r="F49" s="154" t="s">
        <v>390</v>
      </c>
      <c r="H49" s="83" t="s">
        <v>264</v>
      </c>
      <c r="I49" s="91">
        <f>hsrf2pwh!B82</f>
        <v>14.64847720345335</v>
      </c>
      <c r="J49" s="92" t="s">
        <v>1</v>
      </c>
      <c r="K49" s="99">
        <v>2</v>
      </c>
      <c r="L49" s="12" t="s">
        <v>257</v>
      </c>
      <c r="M49" s="85" t="s">
        <v>352</v>
      </c>
      <c r="O49" s="317" t="s">
        <v>983</v>
      </c>
    </row>
    <row r="50" spans="1:15" ht="15" customHeight="1" x14ac:dyDescent="0.35">
      <c r="D50" s="100">
        <v>3</v>
      </c>
      <c r="E50" s="5"/>
      <c r="F50" s="153" t="s">
        <v>378</v>
      </c>
      <c r="H50" s="83" t="s">
        <v>193</v>
      </c>
      <c r="I50" s="84">
        <f>hsrf2pwh!B84</f>
        <v>21.972715805180023</v>
      </c>
      <c r="J50" s="81" t="s">
        <v>1</v>
      </c>
      <c r="K50" s="99">
        <v>2</v>
      </c>
      <c r="L50" s="86" t="s">
        <v>245</v>
      </c>
      <c r="M50" s="85" t="s">
        <v>337</v>
      </c>
      <c r="O50" s="317" t="s">
        <v>984</v>
      </c>
    </row>
    <row r="51" spans="1:15" ht="15" customHeight="1" x14ac:dyDescent="0.35">
      <c r="C51"/>
      <c r="D51" s="92"/>
      <c r="E51" s="5"/>
      <c r="H51" s="83" t="s">
        <v>194</v>
      </c>
      <c r="I51" s="84">
        <f>hsrf2pwh!B88</f>
        <v>21.381181662360955</v>
      </c>
      <c r="J51" s="81" t="s">
        <v>1</v>
      </c>
      <c r="K51" s="99">
        <v>2</v>
      </c>
      <c r="L51" s="86" t="s">
        <v>246</v>
      </c>
      <c r="M51" s="85" t="s">
        <v>360</v>
      </c>
      <c r="O51" s="317" t="s">
        <v>985</v>
      </c>
    </row>
    <row r="52" spans="1:15" ht="15" customHeight="1" x14ac:dyDescent="0.3">
      <c r="C52"/>
      <c r="D52" s="92"/>
      <c r="E52" s="5"/>
      <c r="H52" s="83" t="s">
        <v>195</v>
      </c>
      <c r="I52" s="84">
        <f>hsrf2pwh!B70</f>
        <v>559.05864136679918</v>
      </c>
      <c r="J52" s="81" t="s">
        <v>1</v>
      </c>
      <c r="K52" s="99">
        <v>2</v>
      </c>
      <c r="L52" s="320"/>
      <c r="M52" s="85" t="s">
        <v>356</v>
      </c>
      <c r="N52" s="140" t="s">
        <v>513</v>
      </c>
      <c r="O52" s="317" t="s">
        <v>986</v>
      </c>
    </row>
    <row r="53" spans="1:15" ht="15" customHeight="1" x14ac:dyDescent="0.35">
      <c r="A53" s="83" t="s">
        <v>284</v>
      </c>
      <c r="B53" s="100">
        <v>205.64236461739407</v>
      </c>
      <c r="C53" s="81" t="s">
        <v>0</v>
      </c>
      <c r="D53" s="99">
        <v>1</v>
      </c>
      <c r="E53" s="134"/>
      <c r="F53" s="149" t="s">
        <v>338</v>
      </c>
      <c r="H53" s="83" t="s">
        <v>196</v>
      </c>
      <c r="I53" s="84">
        <f>hsrf2pwh!B89</f>
        <v>16.09763011844953</v>
      </c>
      <c r="J53" s="81" t="s">
        <v>1</v>
      </c>
      <c r="K53" s="99">
        <v>2</v>
      </c>
      <c r="L53" s="86" t="s">
        <v>247</v>
      </c>
      <c r="M53" s="85" t="s">
        <v>336</v>
      </c>
      <c r="O53" s="317" t="s">
        <v>987</v>
      </c>
    </row>
    <row r="54" spans="1:15" ht="15" customHeight="1" x14ac:dyDescent="0.35">
      <c r="C54"/>
      <c r="D54" s="92"/>
      <c r="E54" s="5"/>
      <c r="H54" s="83" t="s">
        <v>197</v>
      </c>
      <c r="I54" s="84">
        <f>hsrf2pwh!B85</f>
        <v>7.5451471151205585</v>
      </c>
      <c r="J54" s="81" t="s">
        <v>1</v>
      </c>
      <c r="K54" s="99">
        <v>2</v>
      </c>
      <c r="L54" s="86" t="s">
        <v>248</v>
      </c>
      <c r="M54" s="85" t="s">
        <v>362</v>
      </c>
      <c r="O54" s="317" t="s">
        <v>988</v>
      </c>
    </row>
    <row r="55" spans="1:15" ht="15" customHeight="1" x14ac:dyDescent="0.35">
      <c r="C55"/>
      <c r="D55" s="92"/>
      <c r="E55" s="5"/>
      <c r="H55" s="83" t="s">
        <v>265</v>
      </c>
      <c r="I55" s="91">
        <f>hsrf2pwh!B86</f>
        <v>8.5524830033289714</v>
      </c>
      <c r="J55" t="s">
        <v>1</v>
      </c>
      <c r="K55" s="99">
        <v>2</v>
      </c>
      <c r="L55" s="12" t="s">
        <v>258</v>
      </c>
      <c r="M55" s="85" t="s">
        <v>354</v>
      </c>
      <c r="O55" s="317" t="s">
        <v>989</v>
      </c>
    </row>
    <row r="56" spans="1:15" ht="15" customHeight="1" x14ac:dyDescent="0.3">
      <c r="C56"/>
      <c r="D56" s="92"/>
      <c r="E56" s="5"/>
      <c r="H56" s="83" t="s">
        <v>266</v>
      </c>
      <c r="I56" s="91">
        <f>hsrf2pwh!B46</f>
        <v>3.2260964524026883</v>
      </c>
      <c r="J56" t="s">
        <v>1</v>
      </c>
      <c r="K56" s="99">
        <v>2</v>
      </c>
      <c r="L56" s="12" t="s">
        <v>259</v>
      </c>
      <c r="M56" s="85" t="s">
        <v>367</v>
      </c>
      <c r="O56" s="317" t="s">
        <v>990</v>
      </c>
    </row>
    <row r="57" spans="1:15" ht="15" customHeight="1" x14ac:dyDescent="0.3">
      <c r="C57"/>
      <c r="D57" s="92"/>
      <c r="E57" s="5"/>
      <c r="H57" s="83" t="s">
        <v>267</v>
      </c>
      <c r="I57" s="91">
        <f>hsrf2pwh!B47</f>
        <v>4.5807305998787626</v>
      </c>
      <c r="J57" t="s">
        <v>1</v>
      </c>
      <c r="K57" s="99">
        <v>2</v>
      </c>
      <c r="L57" s="12" t="s">
        <v>260</v>
      </c>
      <c r="M57" s="85" t="s">
        <v>369</v>
      </c>
      <c r="O57" s="317" t="s">
        <v>991</v>
      </c>
    </row>
    <row r="58" spans="1:15" ht="15" customHeight="1" x14ac:dyDescent="0.3">
      <c r="C58"/>
      <c r="D58" s="92"/>
      <c r="E58" s="5"/>
      <c r="H58" s="83" t="s">
        <v>268</v>
      </c>
      <c r="I58" s="91">
        <f>hsrf2pwh!B48</f>
        <v>5.0578494276386374</v>
      </c>
      <c r="J58" t="s">
        <v>1</v>
      </c>
      <c r="K58" s="99">
        <v>2</v>
      </c>
      <c r="L58" s="12" t="s">
        <v>261</v>
      </c>
      <c r="M58" s="85" t="s">
        <v>370</v>
      </c>
      <c r="O58" s="317" t="s">
        <v>992</v>
      </c>
    </row>
    <row r="59" spans="1:15" ht="15" customHeight="1" x14ac:dyDescent="0.3">
      <c r="C59"/>
      <c r="D59" s="92"/>
      <c r="E59" s="5"/>
      <c r="H59" s="83" t="s">
        <v>269</v>
      </c>
      <c r="I59" s="91">
        <f>hsrf2pwh!B58</f>
        <v>8.3796620356312754</v>
      </c>
      <c r="J59" t="s">
        <v>1</v>
      </c>
      <c r="K59" s="99">
        <v>2</v>
      </c>
      <c r="L59" s="321" t="s">
        <v>517</v>
      </c>
      <c r="M59" s="85" t="s">
        <v>365</v>
      </c>
      <c r="N59" s="141" t="s">
        <v>262</v>
      </c>
      <c r="O59" s="317" t="s">
        <v>993</v>
      </c>
    </row>
    <row r="60" spans="1:15" ht="15" customHeight="1" x14ac:dyDescent="0.3">
      <c r="C60"/>
      <c r="D60" s="92"/>
      <c r="E60" s="5"/>
      <c r="H60" s="83" t="s">
        <v>198</v>
      </c>
      <c r="I60" s="84">
        <f>hsrf2pwh!B63</f>
        <v>13.836034547240397</v>
      </c>
      <c r="J60" s="81" t="s">
        <v>1</v>
      </c>
      <c r="K60" s="99">
        <v>2</v>
      </c>
      <c r="L60" s="86" t="s">
        <v>125</v>
      </c>
      <c r="M60" s="85" t="s">
        <v>366</v>
      </c>
      <c r="O60" s="317" t="s">
        <v>994</v>
      </c>
    </row>
    <row r="61" spans="1:15" ht="15" customHeight="1" x14ac:dyDescent="0.35">
      <c r="H61" s="83" t="s">
        <v>199</v>
      </c>
      <c r="I61" s="87">
        <f>hsrf2pwh!B65</f>
        <v>2</v>
      </c>
      <c r="K61" s="99">
        <v>2</v>
      </c>
      <c r="L61" s="320" t="s">
        <v>249</v>
      </c>
      <c r="M61" s="85" t="s">
        <v>341</v>
      </c>
      <c r="N61" s="141" t="s">
        <v>516</v>
      </c>
      <c r="O61" s="317"/>
    </row>
    <row r="62" spans="1:15" ht="15" customHeight="1" x14ac:dyDescent="0.35">
      <c r="H62" s="83" t="s">
        <v>200</v>
      </c>
      <c r="I62" s="84">
        <f>hsrf2pwh!B67</f>
        <v>5.4338997484172191</v>
      </c>
      <c r="J62" s="81" t="s">
        <v>1</v>
      </c>
      <c r="K62" s="99">
        <v>2</v>
      </c>
      <c r="L62" s="321" t="s">
        <v>515</v>
      </c>
      <c r="M62" s="85" t="s">
        <v>342</v>
      </c>
      <c r="N62" s="142" t="s">
        <v>250</v>
      </c>
      <c r="O62" s="317" t="s">
        <v>995</v>
      </c>
    </row>
    <row r="63" spans="1:15" ht="15" customHeight="1" x14ac:dyDescent="0.3">
      <c r="H63" s="83" t="s">
        <v>201</v>
      </c>
      <c r="I63" s="84">
        <f>hsrf2pwh!B62</f>
        <v>3.6417399481737327</v>
      </c>
      <c r="J63" s="81" t="s">
        <v>1</v>
      </c>
      <c r="K63" s="99">
        <v>2</v>
      </c>
      <c r="L63" s="86" t="s">
        <v>126</v>
      </c>
      <c r="M63" s="85" t="s">
        <v>340</v>
      </c>
      <c r="O63" s="317" t="s">
        <v>996</v>
      </c>
    </row>
    <row r="64" spans="1:15" ht="15" customHeight="1" x14ac:dyDescent="0.3">
      <c r="H64" s="83" t="s">
        <v>203</v>
      </c>
      <c r="I64" s="84">
        <f>I47-I56/2-2</f>
        <v>551.83254491439641</v>
      </c>
      <c r="J64" s="81" t="s">
        <v>1</v>
      </c>
      <c r="K64" s="99">
        <v>2</v>
      </c>
      <c r="L64" s="320"/>
      <c r="M64" s="85" t="s">
        <v>357</v>
      </c>
      <c r="O64" s="317" t="s">
        <v>997</v>
      </c>
    </row>
    <row r="65" spans="8:15" ht="15" customHeight="1" x14ac:dyDescent="0.3">
      <c r="H65" s="83" t="s">
        <v>202</v>
      </c>
      <c r="I65" s="84">
        <f>I47-I59-2</f>
        <v>545.06593110496647</v>
      </c>
      <c r="J65" s="81" t="s">
        <v>1</v>
      </c>
      <c r="K65" s="99">
        <v>2</v>
      </c>
      <c r="L65" s="320"/>
      <c r="M65" s="85" t="s">
        <v>358</v>
      </c>
      <c r="O65" s="317" t="s">
        <v>998</v>
      </c>
    </row>
    <row r="66" spans="8:15" ht="15" customHeight="1" x14ac:dyDescent="0.3">
      <c r="H66" s="83" t="s">
        <v>204</v>
      </c>
      <c r="I66" s="84">
        <f>I65+hsrf2pwh!B63/6</f>
        <v>547.3719368628399</v>
      </c>
      <c r="J66" s="81" t="s">
        <v>1</v>
      </c>
      <c r="K66" s="99">
        <v>2</v>
      </c>
      <c r="L66" s="320"/>
      <c r="M66" s="85" t="s">
        <v>359</v>
      </c>
      <c r="O66" s="317" t="s">
        <v>999</v>
      </c>
    </row>
    <row r="67" spans="8:15" ht="15" customHeight="1" x14ac:dyDescent="0.3">
      <c r="H67" s="83" t="s">
        <v>205</v>
      </c>
      <c r="I67" s="90">
        <f>hsrf2intk!B55</f>
        <v>1</v>
      </c>
      <c r="K67" s="99">
        <v>2</v>
      </c>
      <c r="L67" s="86"/>
      <c r="M67" s="85" t="s">
        <v>295</v>
      </c>
      <c r="O67" s="317"/>
    </row>
    <row r="68" spans="8:15" ht="15" customHeight="1" x14ac:dyDescent="0.3">
      <c r="H68" s="83" t="s">
        <v>426</v>
      </c>
      <c r="I68" s="93">
        <f>hsrf2intk!B67</f>
        <v>165.63475614657327</v>
      </c>
      <c r="J68" t="s">
        <v>40</v>
      </c>
      <c r="K68" s="99">
        <v>2</v>
      </c>
      <c r="L68" s="98"/>
      <c r="M68" s="95" t="s">
        <v>427</v>
      </c>
      <c r="O68" s="317"/>
    </row>
    <row r="69" spans="8:15" ht="15" customHeight="1" x14ac:dyDescent="0.3">
      <c r="H69" s="83" t="s">
        <v>206</v>
      </c>
      <c r="I69" s="90">
        <f>ROUND(hsrf2intk!B71*B19*B20,-3)</f>
        <v>1742000</v>
      </c>
      <c r="J69" s="165" t="s">
        <v>281</v>
      </c>
      <c r="K69" s="99">
        <v>2</v>
      </c>
      <c r="L69" s="86"/>
      <c r="M69" s="85" t="s">
        <v>294</v>
      </c>
      <c r="O69" s="317"/>
    </row>
    <row r="70" spans="8:15" ht="15" customHeight="1" x14ac:dyDescent="0.3">
      <c r="H70" s="83" t="s">
        <v>207</v>
      </c>
      <c r="I70" s="90">
        <f>hsrf2intk!B74</f>
        <v>1</v>
      </c>
      <c r="K70" s="99">
        <v>2</v>
      </c>
      <c r="L70" s="86"/>
      <c r="M70" s="85" t="s">
        <v>302</v>
      </c>
      <c r="O70" s="317"/>
    </row>
    <row r="71" spans="8:15" ht="15" customHeight="1" x14ac:dyDescent="0.3">
      <c r="H71" s="83" t="s">
        <v>428</v>
      </c>
      <c r="I71" s="93">
        <f>hsrf2intk!B88</f>
        <v>118.89936846310617</v>
      </c>
      <c r="J71" t="s">
        <v>40</v>
      </c>
      <c r="K71" s="99">
        <v>2</v>
      </c>
      <c r="L71" s="98"/>
      <c r="M71" s="95" t="s">
        <v>429</v>
      </c>
      <c r="O71" s="317"/>
    </row>
    <row r="72" spans="8:15" ht="15" customHeight="1" x14ac:dyDescent="0.3">
      <c r="H72" s="83" t="s">
        <v>208</v>
      </c>
      <c r="I72" s="90">
        <f>ROUND(hsrf2intk!B93*B19*B20,-3)</f>
        <v>865000</v>
      </c>
      <c r="J72" s="165" t="s">
        <v>281</v>
      </c>
      <c r="K72" s="99">
        <v>2</v>
      </c>
      <c r="L72" s="86"/>
      <c r="M72" s="85" t="s">
        <v>301</v>
      </c>
      <c r="O72" s="317"/>
    </row>
    <row r="73" spans="8:15" ht="15" customHeight="1" x14ac:dyDescent="0.3">
      <c r="H73" s="83" t="s">
        <v>430</v>
      </c>
      <c r="I73" s="93">
        <f>hsrf2intk!B101+hsrf2intk!B102</f>
        <v>144.97956225989321</v>
      </c>
      <c r="J73" t="s">
        <v>40</v>
      </c>
      <c r="K73" s="99">
        <v>2</v>
      </c>
      <c r="L73" s="98"/>
      <c r="M73" s="95" t="s">
        <v>431</v>
      </c>
      <c r="O73" s="317"/>
    </row>
    <row r="74" spans="8:15" ht="15" customHeight="1" x14ac:dyDescent="0.3">
      <c r="H74" s="83" t="s">
        <v>209</v>
      </c>
      <c r="I74" s="90">
        <f>ROUND(hsrf2intk!B106*B19*B20,-3)</f>
        <v>2427000</v>
      </c>
      <c r="J74" s="165" t="s">
        <v>281</v>
      </c>
      <c r="K74" s="99">
        <v>2</v>
      </c>
      <c r="L74" s="86"/>
      <c r="M74" s="85" t="s">
        <v>292</v>
      </c>
      <c r="O74" s="317"/>
    </row>
    <row r="75" spans="8:15" ht="15" customHeight="1" x14ac:dyDescent="0.3">
      <c r="H75" s="83" t="s">
        <v>432</v>
      </c>
      <c r="I75" s="93">
        <f>hsrf2intk!B126</f>
        <v>20.81196199365418</v>
      </c>
      <c r="J75" t="s">
        <v>40</v>
      </c>
      <c r="K75" s="99">
        <v>2</v>
      </c>
      <c r="L75" s="98"/>
      <c r="M75" s="95" t="s">
        <v>433</v>
      </c>
      <c r="O75" s="317"/>
    </row>
    <row r="76" spans="8:15" ht="15" customHeight="1" x14ac:dyDescent="0.3">
      <c r="H76" s="83" t="s">
        <v>210</v>
      </c>
      <c r="I76" s="90">
        <f>ROUND(hsrf2intk!B128*B19*B20,-3)</f>
        <v>525000</v>
      </c>
      <c r="J76" s="165" t="s">
        <v>281</v>
      </c>
      <c r="K76" s="99">
        <v>2</v>
      </c>
      <c r="L76" s="86"/>
      <c r="M76" s="85" t="s">
        <v>299</v>
      </c>
      <c r="O76" s="317"/>
    </row>
    <row r="77" spans="8:15" ht="15" customHeight="1" x14ac:dyDescent="0.3">
      <c r="H77" s="83" t="s">
        <v>434</v>
      </c>
      <c r="I77" s="93">
        <f>(hsrf2intk!B66+hsrf2intk!B87+hsrf2intk!B125)*iohsrf2!I67</f>
        <v>92.835543520630353</v>
      </c>
      <c r="J77" t="s">
        <v>40</v>
      </c>
      <c r="K77" s="99">
        <v>2</v>
      </c>
      <c r="L77" s="98"/>
      <c r="M77" s="95" t="s">
        <v>435</v>
      </c>
      <c r="O77" s="317"/>
    </row>
    <row r="78" spans="8:15" ht="15" customHeight="1" x14ac:dyDescent="0.3">
      <c r="H78" s="83" t="s">
        <v>211</v>
      </c>
      <c r="I78" s="90">
        <f>ROUND(hsrf2intk!$B$52*B19*B20,-3)</f>
        <v>251000</v>
      </c>
      <c r="J78" s="165" t="s">
        <v>281</v>
      </c>
      <c r="K78" s="99">
        <v>2</v>
      </c>
      <c r="L78" s="86"/>
      <c r="M78" s="85" t="s">
        <v>293</v>
      </c>
      <c r="O78" s="317"/>
    </row>
    <row r="79" spans="8:15" ht="15" customHeight="1" x14ac:dyDescent="0.3">
      <c r="H79" s="83" t="s">
        <v>212</v>
      </c>
      <c r="I79" s="90"/>
      <c r="J79" s="323" t="s">
        <v>40</v>
      </c>
      <c r="K79" s="99">
        <v>2</v>
      </c>
      <c r="L79" s="322"/>
      <c r="M79" s="85" t="s">
        <v>316</v>
      </c>
      <c r="O79" s="317"/>
    </row>
    <row r="80" spans="8:15" ht="15" customHeight="1" x14ac:dyDescent="0.3">
      <c r="H80" s="83" t="s">
        <v>213</v>
      </c>
      <c r="I80" s="90">
        <f>hsrf2tunl!K109+hsrf2tunl!K139</f>
        <v>237.38137761223484</v>
      </c>
      <c r="J80" s="81" t="s">
        <v>40</v>
      </c>
      <c r="K80" s="99">
        <v>2</v>
      </c>
      <c r="L80" s="86"/>
      <c r="M80" s="85" t="s">
        <v>310</v>
      </c>
      <c r="O80" s="317" t="s">
        <v>1000</v>
      </c>
    </row>
    <row r="81" spans="8:15" ht="15" customHeight="1" x14ac:dyDescent="0.3">
      <c r="H81" s="83" t="s">
        <v>214</v>
      </c>
      <c r="I81" s="90">
        <f>hsrf2pwh!B10</f>
        <v>2</v>
      </c>
      <c r="J81" s="323"/>
      <c r="K81" s="99">
        <v>2</v>
      </c>
      <c r="L81" s="320"/>
      <c r="M81" s="85" t="s">
        <v>371</v>
      </c>
      <c r="O81" s="317"/>
    </row>
    <row r="82" spans="8:15" ht="15" customHeight="1" x14ac:dyDescent="0.3">
      <c r="H82" s="83" t="s">
        <v>436</v>
      </c>
      <c r="I82" s="93">
        <f>hsrf2pwh!B73</f>
        <v>281.25030425935262</v>
      </c>
      <c r="J82" t="s">
        <v>40</v>
      </c>
      <c r="K82" s="99">
        <v>2</v>
      </c>
      <c r="L82" s="98"/>
      <c r="M82" s="95" t="s">
        <v>437</v>
      </c>
      <c r="O82" s="317" t="s">
        <v>1001</v>
      </c>
    </row>
    <row r="83" spans="8:15" ht="15" customHeight="1" x14ac:dyDescent="0.3">
      <c r="H83" s="83" t="s">
        <v>215</v>
      </c>
      <c r="I83" s="90">
        <f>ROUND(hsrf2pwh!B76*B19*B20,-4)</f>
        <v>4490000</v>
      </c>
      <c r="J83" s="165" t="s">
        <v>281</v>
      </c>
      <c r="K83" s="99">
        <v>2</v>
      </c>
      <c r="L83" s="86"/>
      <c r="M83" s="85" t="s">
        <v>363</v>
      </c>
      <c r="O83" s="317" t="s">
        <v>1002</v>
      </c>
    </row>
    <row r="84" spans="8:15" ht="15" customHeight="1" x14ac:dyDescent="0.3">
      <c r="H84" s="83" t="s">
        <v>216</v>
      </c>
      <c r="I84" s="90">
        <f>I81</f>
        <v>2</v>
      </c>
      <c r="J84" s="323"/>
      <c r="K84" s="99">
        <v>2</v>
      </c>
      <c r="L84" s="320"/>
      <c r="M84" s="85" t="s">
        <v>348</v>
      </c>
      <c r="O84" s="317"/>
    </row>
    <row r="85" spans="8:15" ht="15" customHeight="1" x14ac:dyDescent="0.3">
      <c r="H85" s="83" t="s">
        <v>438</v>
      </c>
      <c r="I85" s="93">
        <f>hsrf2pwh!B111</f>
        <v>334.35831548854765</v>
      </c>
      <c r="J85" t="s">
        <v>40</v>
      </c>
      <c r="K85" s="99">
        <v>2</v>
      </c>
      <c r="L85" s="98"/>
      <c r="M85" s="95" t="s">
        <v>439</v>
      </c>
      <c r="O85" s="317" t="s">
        <v>1003</v>
      </c>
    </row>
    <row r="86" spans="8:15" ht="15" customHeight="1" x14ac:dyDescent="0.3">
      <c r="H86" s="83" t="s">
        <v>217</v>
      </c>
      <c r="I86" s="90">
        <f>ROUND(hsrf2pwh!B113*B19*B20,-4)</f>
        <v>8370000</v>
      </c>
      <c r="J86" s="165" t="s">
        <v>281</v>
      </c>
      <c r="K86" s="99">
        <v>2</v>
      </c>
      <c r="L86" s="86"/>
      <c r="M86" s="85" t="s">
        <v>346</v>
      </c>
      <c r="O86" s="317" t="s">
        <v>1004</v>
      </c>
    </row>
    <row r="87" spans="8:15" ht="15" customHeight="1" x14ac:dyDescent="0.3">
      <c r="H87" s="83" t="s">
        <v>218</v>
      </c>
      <c r="I87" s="90">
        <f>hsrf2pwh!B144</f>
        <v>4</v>
      </c>
      <c r="J87" s="323"/>
      <c r="K87" s="99">
        <v>2</v>
      </c>
      <c r="L87" s="320"/>
      <c r="M87" s="85" t="s">
        <v>345</v>
      </c>
      <c r="O87" s="317"/>
    </row>
    <row r="88" spans="8:15" ht="15" customHeight="1" x14ac:dyDescent="0.3">
      <c r="H88" s="83" t="s">
        <v>440</v>
      </c>
      <c r="I88" s="93">
        <f>hsrf2pwh!B158</f>
        <v>19.590350951066092</v>
      </c>
      <c r="J88" t="s">
        <v>40</v>
      </c>
      <c r="K88" s="99">
        <v>2</v>
      </c>
      <c r="L88" s="98"/>
      <c r="M88" s="95" t="s">
        <v>441</v>
      </c>
      <c r="O88" s="317" t="s">
        <v>1005</v>
      </c>
    </row>
    <row r="89" spans="8:15" ht="15" customHeight="1" x14ac:dyDescent="0.3">
      <c r="H89" s="83" t="s">
        <v>219</v>
      </c>
      <c r="I89" s="90">
        <f>ROUND(hsrf2pwh!B163*B19*B20,-3)</f>
        <v>157000</v>
      </c>
      <c r="J89" s="165" t="s">
        <v>281</v>
      </c>
      <c r="K89" s="99">
        <v>2</v>
      </c>
      <c r="L89" s="86"/>
      <c r="M89" s="85" t="s">
        <v>344</v>
      </c>
      <c r="O89" s="317" t="s">
        <v>1006</v>
      </c>
    </row>
    <row r="90" spans="8:15" ht="15" customHeight="1" x14ac:dyDescent="0.3">
      <c r="H90" s="83" t="s">
        <v>442</v>
      </c>
      <c r="I90" s="93">
        <f>hsrf2pwh!B122</f>
        <v>109.37377959040444</v>
      </c>
      <c r="J90" t="s">
        <v>40</v>
      </c>
      <c r="K90" s="99">
        <v>2</v>
      </c>
      <c r="L90" s="98"/>
      <c r="M90" s="95" t="s">
        <v>443</v>
      </c>
      <c r="O90" s="317" t="s">
        <v>1007</v>
      </c>
    </row>
    <row r="91" spans="8:15" ht="15" customHeight="1" x14ac:dyDescent="0.3">
      <c r="H91" s="83" t="s">
        <v>220</v>
      </c>
      <c r="I91" s="90">
        <f>ROUND(hsrf2pwh!B124*B19*B20,-3)</f>
        <v>706000</v>
      </c>
      <c r="J91" s="165" t="s">
        <v>281</v>
      </c>
      <c r="K91" s="99">
        <v>2</v>
      </c>
      <c r="L91" s="86"/>
      <c r="M91" s="85" t="s">
        <v>353</v>
      </c>
      <c r="O91" s="317" t="s">
        <v>1008</v>
      </c>
    </row>
    <row r="92" spans="8:15" ht="15" customHeight="1" x14ac:dyDescent="0.3">
      <c r="H92" s="83" t="s">
        <v>444</v>
      </c>
      <c r="I92" s="93">
        <f>hsrf2pwh!B171+hsrf2pwh!B172</f>
        <v>16.133631747415851</v>
      </c>
      <c r="J92" t="s">
        <v>40</v>
      </c>
      <c r="K92" s="99">
        <v>2</v>
      </c>
      <c r="L92" s="98"/>
      <c r="M92" s="95" t="s">
        <v>445</v>
      </c>
      <c r="O92" s="317" t="s">
        <v>1009</v>
      </c>
    </row>
    <row r="93" spans="8:15" ht="15" customHeight="1" x14ac:dyDescent="0.3">
      <c r="H93" s="83" t="s">
        <v>221</v>
      </c>
      <c r="I93" s="90">
        <f>ROUND(hsrf2pwh!B174*B19*B20,-3)</f>
        <v>1374000</v>
      </c>
      <c r="J93" s="165" t="s">
        <v>281</v>
      </c>
      <c r="K93" s="99">
        <v>2</v>
      </c>
      <c r="L93" s="86"/>
      <c r="M93" s="85" t="s">
        <v>343</v>
      </c>
      <c r="O93" s="317" t="s">
        <v>1010</v>
      </c>
    </row>
    <row r="94" spans="8:15" ht="15" customHeight="1" x14ac:dyDescent="0.3">
      <c r="H94" s="83" t="s">
        <v>446</v>
      </c>
      <c r="I94" s="93">
        <f>hsrf2pwh!B157</f>
        <v>11.995395866046445</v>
      </c>
      <c r="J94" t="s">
        <v>40</v>
      </c>
      <c r="K94" s="99">
        <v>2</v>
      </c>
      <c r="L94" s="98"/>
      <c r="M94" s="95" t="s">
        <v>447</v>
      </c>
      <c r="O94" s="317" t="s">
        <v>1011</v>
      </c>
    </row>
    <row r="95" spans="8:15" ht="15" customHeight="1" x14ac:dyDescent="0.3">
      <c r="H95" s="83" t="s">
        <v>222</v>
      </c>
      <c r="I95" s="90">
        <f>ROUND(hsrf2pwh!B141*B19*B20,-3)</f>
        <v>609000</v>
      </c>
      <c r="J95" s="165" t="s">
        <v>281</v>
      </c>
      <c r="K95" s="99">
        <v>2</v>
      </c>
      <c r="L95" s="86"/>
      <c r="M95" s="85" t="s">
        <v>339</v>
      </c>
      <c r="O95" s="317" t="s">
        <v>1012</v>
      </c>
    </row>
    <row r="96" spans="8:15" ht="15" customHeight="1" x14ac:dyDescent="0.3">
      <c r="H96" s="83" t="s">
        <v>223</v>
      </c>
      <c r="I96" s="90">
        <f>ROUND(hsrf2pwh!B178*B19*B20,-3)</f>
        <v>507000</v>
      </c>
      <c r="J96" s="165" t="s">
        <v>281</v>
      </c>
      <c r="K96" s="99">
        <v>2</v>
      </c>
      <c r="L96" s="86"/>
      <c r="M96" s="85" t="s">
        <v>350</v>
      </c>
      <c r="O96" s="317" t="s">
        <v>1013</v>
      </c>
    </row>
    <row r="97" spans="6:15" ht="15" customHeight="1" x14ac:dyDescent="0.3">
      <c r="H97" s="83" t="s">
        <v>224</v>
      </c>
      <c r="I97" s="90">
        <f>ROUND(hsrf2pwh!B179*B19*B20,-4)</f>
        <v>780000</v>
      </c>
      <c r="J97" s="165" t="s">
        <v>281</v>
      </c>
      <c r="K97" s="99">
        <v>2</v>
      </c>
      <c r="L97" s="86"/>
      <c r="M97" s="85" t="s">
        <v>349</v>
      </c>
      <c r="O97" s="317" t="s">
        <v>1014</v>
      </c>
    </row>
    <row r="98" spans="6:15" ht="15" customHeight="1" x14ac:dyDescent="0.3">
      <c r="H98" s="83" t="s">
        <v>225</v>
      </c>
      <c r="I98" s="90">
        <f>iohsrf2!I39</f>
        <v>2</v>
      </c>
      <c r="K98" s="99">
        <v>2</v>
      </c>
      <c r="L98" s="86"/>
      <c r="M98" s="85" t="s">
        <v>373</v>
      </c>
      <c r="O98" s="317"/>
    </row>
    <row r="99" spans="6:15" ht="15" customHeight="1" x14ac:dyDescent="0.3">
      <c r="F99" s="268"/>
      <c r="H99" s="83" t="s">
        <v>448</v>
      </c>
      <c r="I99" s="90">
        <f>hsrf2tunl!L145</f>
        <v>92.967530632104669</v>
      </c>
      <c r="J99" s="101" t="s">
        <v>40</v>
      </c>
      <c r="K99" s="99">
        <v>2</v>
      </c>
      <c r="L99" s="86"/>
      <c r="M99" s="95" t="s">
        <v>449</v>
      </c>
      <c r="O99" s="317" t="s">
        <v>1015</v>
      </c>
    </row>
    <row r="100" spans="6:15" ht="15" customHeight="1" x14ac:dyDescent="0.3">
      <c r="H100" s="83" t="s">
        <v>226</v>
      </c>
      <c r="I100" s="90">
        <f>ROUND(hsrf2tunl!L151/I98*B19*B20,-4)</f>
        <v>560000</v>
      </c>
      <c r="J100" s="165" t="s">
        <v>281</v>
      </c>
      <c r="K100" s="99">
        <v>2</v>
      </c>
      <c r="L100" s="86"/>
      <c r="M100" s="85" t="s">
        <v>372</v>
      </c>
      <c r="O100" s="317" t="s">
        <v>1016</v>
      </c>
    </row>
    <row r="101" spans="6:15" ht="15" customHeight="1" x14ac:dyDescent="0.35">
      <c r="F101" s="240"/>
      <c r="H101" s="83" t="s">
        <v>155</v>
      </c>
      <c r="I101" s="89">
        <f>MAX(hsrf2tunl!F150:F151)</f>
        <v>3.1262266868234717E-2</v>
      </c>
      <c r="K101" s="99">
        <v>2</v>
      </c>
      <c r="L101" s="86" t="s">
        <v>234</v>
      </c>
      <c r="M101" s="85" t="s">
        <v>288</v>
      </c>
      <c r="O101" s="317" t="s">
        <v>1017</v>
      </c>
    </row>
    <row r="102" spans="6:15" ht="15" customHeight="1" x14ac:dyDescent="0.3">
      <c r="H102" s="83" t="s">
        <v>270</v>
      </c>
      <c r="I102" s="93">
        <f>hsrf2pwh!B97</f>
        <v>6688.5808597514806</v>
      </c>
      <c r="J102" s="112" t="s">
        <v>37</v>
      </c>
      <c r="K102" s="99">
        <v>2</v>
      </c>
      <c r="L102" s="324"/>
      <c r="M102" s="85" t="s">
        <v>355</v>
      </c>
      <c r="O102" s="317" t="s">
        <v>1018</v>
      </c>
    </row>
    <row r="103" spans="6:15" ht="15" customHeight="1" x14ac:dyDescent="0.3">
      <c r="H103" s="133" t="s">
        <v>713</v>
      </c>
      <c r="I103" s="93">
        <f>hsrf2pwh!B98</f>
        <v>309.08137336787098</v>
      </c>
      <c r="J103" s="112" t="s">
        <v>37</v>
      </c>
      <c r="K103" s="99"/>
      <c r="L103" s="98"/>
      <c r="M103" s="95" t="s">
        <v>717</v>
      </c>
      <c r="O103" s="317" t="s">
        <v>1019</v>
      </c>
    </row>
    <row r="104" spans="6:15" ht="15" customHeight="1" x14ac:dyDescent="0.3">
      <c r="H104" s="83" t="s">
        <v>870</v>
      </c>
      <c r="I104" s="93">
        <f>hsrf2pwh!B99</f>
        <v>14178.726593992029</v>
      </c>
      <c r="J104" s="112" t="s">
        <v>37</v>
      </c>
      <c r="K104" s="99"/>
      <c r="L104" s="324"/>
      <c r="M104" s="95" t="s">
        <v>871</v>
      </c>
      <c r="O104" s="317" t="s">
        <v>1020</v>
      </c>
    </row>
    <row r="105" spans="6:15" ht="15" customHeight="1" x14ac:dyDescent="0.3">
      <c r="H105" s="133" t="s">
        <v>634</v>
      </c>
      <c r="I105" s="84">
        <f>hsrf2new!G20</f>
        <v>7.7339155254844769</v>
      </c>
      <c r="J105" s="81" t="s">
        <v>1</v>
      </c>
      <c r="K105" s="99">
        <v>2</v>
      </c>
      <c r="L105" s="98"/>
      <c r="M105" s="95" t="s">
        <v>718</v>
      </c>
      <c r="O105" s="317"/>
    </row>
    <row r="106" spans="6:15" ht="15" customHeight="1" x14ac:dyDescent="0.3">
      <c r="H106" s="133" t="s">
        <v>714</v>
      </c>
      <c r="I106" s="84">
        <f>hsrf2new!G5</f>
        <v>114.39815504260594</v>
      </c>
      <c r="J106" s="81" t="s">
        <v>1</v>
      </c>
      <c r="K106" s="99">
        <v>2</v>
      </c>
      <c r="L106" s="98"/>
      <c r="M106" s="95" t="s">
        <v>719</v>
      </c>
      <c r="O106" s="317"/>
    </row>
    <row r="107" spans="6:15" ht="15" customHeight="1" x14ac:dyDescent="0.3">
      <c r="H107" s="133" t="s">
        <v>635</v>
      </c>
      <c r="I107" s="84">
        <f>hsrf2new!G10</f>
        <v>549.3719368628399</v>
      </c>
      <c r="J107" s="81" t="s">
        <v>1</v>
      </c>
      <c r="K107" s="99">
        <v>2</v>
      </c>
      <c r="L107" s="98"/>
      <c r="M107" s="95" t="s">
        <v>682</v>
      </c>
      <c r="O107" s="317" t="s">
        <v>1021</v>
      </c>
    </row>
    <row r="108" spans="6:15" ht="15" customHeight="1" x14ac:dyDescent="0.3">
      <c r="H108" s="133" t="s">
        <v>636</v>
      </c>
      <c r="I108" s="84">
        <f>hsrf2new!G9</f>
        <v>566.49077521302968</v>
      </c>
      <c r="J108" s="81" t="s">
        <v>1</v>
      </c>
      <c r="K108" s="99">
        <v>2</v>
      </c>
      <c r="L108" s="98"/>
      <c r="M108" s="95" t="s">
        <v>683</v>
      </c>
      <c r="O108" s="317"/>
    </row>
    <row r="109" spans="6:15" ht="15" customHeight="1" x14ac:dyDescent="0.3">
      <c r="G109" s="327"/>
      <c r="H109" s="133" t="s">
        <v>625</v>
      </c>
      <c r="I109" s="84">
        <f>hsrf2new!G47</f>
        <v>0</v>
      </c>
      <c r="J109" s="81" t="s">
        <v>1</v>
      </c>
      <c r="K109" s="99">
        <v>2</v>
      </c>
      <c r="L109" s="321"/>
      <c r="M109" s="95" t="s">
        <v>679</v>
      </c>
      <c r="O109" s="317" t="s">
        <v>1022</v>
      </c>
    </row>
    <row r="110" spans="6:15" ht="15" customHeight="1" x14ac:dyDescent="0.3">
      <c r="G110" s="327"/>
      <c r="H110" s="133" t="s">
        <v>626</v>
      </c>
      <c r="I110" s="84">
        <f>hsrf2new!G48</f>
        <v>0</v>
      </c>
      <c r="J110" s="81" t="s">
        <v>1</v>
      </c>
      <c r="K110" s="99">
        <v>2</v>
      </c>
      <c r="L110" s="321"/>
      <c r="M110" s="95" t="s">
        <v>680</v>
      </c>
      <c r="O110" s="317" t="s">
        <v>1023</v>
      </c>
    </row>
    <row r="111" spans="6:15" ht="15" customHeight="1" x14ac:dyDescent="0.3">
      <c r="H111" s="133" t="s">
        <v>627</v>
      </c>
      <c r="I111" s="84">
        <f>hsrf2new!G45</f>
        <v>0</v>
      </c>
      <c r="J111" s="81" t="s">
        <v>1</v>
      </c>
      <c r="K111" s="99">
        <v>2</v>
      </c>
      <c r="L111" s="98"/>
      <c r="M111" s="95" t="s">
        <v>681</v>
      </c>
      <c r="O111" s="317" t="s">
        <v>1024</v>
      </c>
    </row>
    <row r="112" spans="6:15" ht="15" customHeight="1" x14ac:dyDescent="0.35">
      <c r="H112" s="133" t="s">
        <v>659</v>
      </c>
      <c r="I112" s="87">
        <f>hsrf2new!B27</f>
        <v>2</v>
      </c>
      <c r="K112" s="99">
        <v>2</v>
      </c>
      <c r="L112" s="320" t="s">
        <v>231</v>
      </c>
      <c r="M112" s="85" t="s">
        <v>639</v>
      </c>
      <c r="O112" s="317"/>
    </row>
    <row r="113" spans="8:15" ht="15" customHeight="1" x14ac:dyDescent="0.35">
      <c r="H113" s="133" t="s">
        <v>660</v>
      </c>
      <c r="I113" s="84">
        <f>hsrf2new!B23</f>
        <v>6.5357763878212936</v>
      </c>
      <c r="J113" s="81" t="s">
        <v>1</v>
      </c>
      <c r="K113" s="99">
        <v>2</v>
      </c>
      <c r="L113" s="135" t="s">
        <v>232</v>
      </c>
      <c r="M113" s="85" t="s">
        <v>640</v>
      </c>
      <c r="O113" s="317"/>
    </row>
    <row r="114" spans="8:15" ht="15" customHeight="1" x14ac:dyDescent="0.35">
      <c r="H114" s="133" t="s">
        <v>661</v>
      </c>
      <c r="I114" s="84">
        <f>hsrf2new!B24</f>
        <v>8.1697204847766169</v>
      </c>
      <c r="J114" s="81" t="s">
        <v>1</v>
      </c>
      <c r="K114" s="99">
        <v>2</v>
      </c>
      <c r="L114" s="135" t="s">
        <v>233</v>
      </c>
      <c r="M114" s="85" t="s">
        <v>641</v>
      </c>
      <c r="O114" s="317"/>
    </row>
    <row r="115" spans="8:15" ht="15" customHeight="1" x14ac:dyDescent="0.35">
      <c r="H115" s="133" t="s">
        <v>662</v>
      </c>
      <c r="I115" s="84">
        <f>hsrf2new!B25</f>
        <v>566.49077521302968</v>
      </c>
      <c r="J115" s="81" t="s">
        <v>1</v>
      </c>
      <c r="K115" s="99">
        <v>2</v>
      </c>
      <c r="L115" s="135" t="s">
        <v>235</v>
      </c>
      <c r="M115" s="85" t="s">
        <v>642</v>
      </c>
      <c r="O115" s="317"/>
    </row>
    <row r="116" spans="8:15" ht="15" customHeight="1" x14ac:dyDescent="0.35">
      <c r="H116" s="133" t="s">
        <v>663</v>
      </c>
      <c r="I116" s="84">
        <f>hsrf2new!B31</f>
        <v>22.085863330771105</v>
      </c>
      <c r="J116" s="81" t="s">
        <v>1</v>
      </c>
      <c r="K116" s="99">
        <v>2</v>
      </c>
      <c r="L116" s="135" t="s">
        <v>236</v>
      </c>
      <c r="M116" s="85" t="s">
        <v>643</v>
      </c>
      <c r="O116" s="317"/>
    </row>
    <row r="117" spans="8:15" ht="15" customHeight="1" x14ac:dyDescent="0.35">
      <c r="H117" s="133" t="s">
        <v>664</v>
      </c>
      <c r="I117" s="84">
        <f>hsrf2new!B32</f>
        <v>15.601844957394064</v>
      </c>
      <c r="J117" s="81" t="s">
        <v>1</v>
      </c>
      <c r="K117" s="99">
        <v>2</v>
      </c>
      <c r="L117" s="135" t="s">
        <v>237</v>
      </c>
      <c r="M117" s="85" t="s">
        <v>644</v>
      </c>
      <c r="O117" s="317"/>
    </row>
    <row r="118" spans="8:15" ht="15" customHeight="1" x14ac:dyDescent="0.35">
      <c r="H118" s="133" t="s">
        <v>665</v>
      </c>
      <c r="I118" s="94">
        <f>hsrf2new!B29</f>
        <v>58.009224786970321</v>
      </c>
      <c r="J118" t="s">
        <v>1</v>
      </c>
      <c r="K118" s="99">
        <v>2</v>
      </c>
      <c r="L118" s="98" t="s">
        <v>274</v>
      </c>
      <c r="M118" s="85" t="s">
        <v>645</v>
      </c>
      <c r="O118" s="317"/>
    </row>
    <row r="119" spans="8:15" ht="15" customHeight="1" x14ac:dyDescent="0.35">
      <c r="H119" s="133" t="s">
        <v>666</v>
      </c>
      <c r="I119" s="94">
        <f>hsrf2new!B17</f>
        <v>5.339504302193788</v>
      </c>
      <c r="J119" t="s">
        <v>1</v>
      </c>
      <c r="K119" s="99">
        <v>2</v>
      </c>
      <c r="L119" s="98" t="s">
        <v>276</v>
      </c>
      <c r="M119" s="85" t="s">
        <v>646</v>
      </c>
      <c r="O119" s="317"/>
    </row>
    <row r="120" spans="8:15" ht="15" customHeight="1" x14ac:dyDescent="0.3">
      <c r="H120" s="133" t="s">
        <v>667</v>
      </c>
      <c r="I120" s="90">
        <f>hsrf2new!B54</f>
        <v>2</v>
      </c>
      <c r="K120" s="99">
        <v>2</v>
      </c>
      <c r="L120" s="320"/>
      <c r="M120" s="85" t="s">
        <v>647</v>
      </c>
      <c r="O120" s="317"/>
    </row>
    <row r="121" spans="8:15" ht="15" customHeight="1" x14ac:dyDescent="0.3">
      <c r="H121" s="133" t="s">
        <v>668</v>
      </c>
      <c r="I121" s="93">
        <f>hsrf2new!B66</f>
        <v>71.182153131325521</v>
      </c>
      <c r="J121" t="s">
        <v>40</v>
      </c>
      <c r="K121" s="99">
        <v>2</v>
      </c>
      <c r="L121" s="98"/>
      <c r="M121" s="95" t="s">
        <v>648</v>
      </c>
      <c r="O121" s="317"/>
    </row>
    <row r="122" spans="8:15" ht="15" customHeight="1" x14ac:dyDescent="0.3">
      <c r="H122" s="133" t="s">
        <v>669</v>
      </c>
      <c r="I122" s="90">
        <f>ROUND(hsrf2new!B70*B19*B20,-3)</f>
        <v>702000</v>
      </c>
      <c r="J122" s="165" t="s">
        <v>281</v>
      </c>
      <c r="K122" s="99">
        <v>2</v>
      </c>
      <c r="L122" s="155"/>
      <c r="M122" s="85" t="s">
        <v>649</v>
      </c>
      <c r="O122" s="317"/>
    </row>
    <row r="123" spans="8:15" ht="15" customHeight="1" x14ac:dyDescent="0.3">
      <c r="H123" s="133" t="s">
        <v>670</v>
      </c>
      <c r="I123" s="90">
        <f>hsrf2new!B73</f>
        <v>1</v>
      </c>
      <c r="K123" s="99">
        <v>2</v>
      </c>
      <c r="L123" s="320"/>
      <c r="M123" s="85" t="s">
        <v>650</v>
      </c>
      <c r="O123" s="317"/>
    </row>
    <row r="124" spans="8:15" ht="15" customHeight="1" x14ac:dyDescent="0.3">
      <c r="H124" s="133" t="s">
        <v>671</v>
      </c>
      <c r="I124" s="93">
        <f>hsrf2new!B87</f>
        <v>42.173326986844486</v>
      </c>
      <c r="J124" t="s">
        <v>40</v>
      </c>
      <c r="K124" s="99">
        <v>2</v>
      </c>
      <c r="L124" s="98"/>
      <c r="M124" s="95" t="s">
        <v>651</v>
      </c>
      <c r="O124" s="317"/>
    </row>
    <row r="125" spans="8:15" ht="15" customHeight="1" x14ac:dyDescent="0.3">
      <c r="H125" s="133" t="s">
        <v>672</v>
      </c>
      <c r="I125" s="90">
        <f>ROUND(hsrf2new!B92*B19*B20,-3)</f>
        <v>298000</v>
      </c>
      <c r="J125" s="165" t="s">
        <v>281</v>
      </c>
      <c r="K125" s="99">
        <v>2</v>
      </c>
      <c r="L125" s="155"/>
      <c r="M125" s="85" t="s">
        <v>652</v>
      </c>
      <c r="O125" s="317"/>
    </row>
    <row r="126" spans="8:15" ht="15" customHeight="1" x14ac:dyDescent="0.3">
      <c r="H126" s="133" t="s">
        <v>673</v>
      </c>
      <c r="I126" s="93">
        <f>hsrf2new!B100+hsrf2new!B101</f>
        <v>14.374812398102188</v>
      </c>
      <c r="J126" t="s">
        <v>40</v>
      </c>
      <c r="K126" s="99">
        <v>2</v>
      </c>
      <c r="L126" s="98"/>
      <c r="M126" s="95" t="s">
        <v>653</v>
      </c>
      <c r="O126" s="317"/>
    </row>
    <row r="127" spans="8:15" ht="15" customHeight="1" x14ac:dyDescent="0.3">
      <c r="H127" s="133" t="s">
        <v>674</v>
      </c>
      <c r="I127" s="90">
        <f>ROUND(hsrf2new!B105*B19*B20,-3)</f>
        <v>819000</v>
      </c>
      <c r="J127" s="165" t="s">
        <v>281</v>
      </c>
      <c r="K127" s="99">
        <v>2</v>
      </c>
      <c r="L127" s="155"/>
      <c r="M127" s="85" t="s">
        <v>654</v>
      </c>
      <c r="O127" s="317"/>
    </row>
    <row r="128" spans="8:15" ht="15" customHeight="1" x14ac:dyDescent="0.3">
      <c r="H128" s="133" t="s">
        <v>675</v>
      </c>
      <c r="I128" s="93">
        <f>hsrf2new!B113</f>
        <v>2</v>
      </c>
      <c r="J128" t="s">
        <v>40</v>
      </c>
      <c r="K128" s="99">
        <v>2</v>
      </c>
      <c r="L128" s="135"/>
      <c r="M128" s="95" t="s">
        <v>655</v>
      </c>
      <c r="O128" s="317"/>
    </row>
    <row r="129" spans="8:15" ht="15" customHeight="1" x14ac:dyDescent="0.3">
      <c r="H129" s="133" t="s">
        <v>676</v>
      </c>
      <c r="I129" s="90">
        <f>ROUND(hsrf2new!B127*B19*B20,-3)</f>
        <v>345000</v>
      </c>
      <c r="J129" s="165" t="s">
        <v>281</v>
      </c>
      <c r="K129" s="99">
        <v>2</v>
      </c>
      <c r="L129" s="155"/>
      <c r="M129" s="85" t="s">
        <v>656</v>
      </c>
      <c r="O129" s="317"/>
    </row>
    <row r="130" spans="8:15" ht="15" customHeight="1" x14ac:dyDescent="0.3">
      <c r="H130" s="133" t="s">
        <v>677</v>
      </c>
      <c r="I130" s="93">
        <f>(hsrf2new!B65+hsrf2new!B82+hsrf2new!B112)*iohsrf2!I67</f>
        <v>73.862395352153783</v>
      </c>
      <c r="J130" t="s">
        <v>40</v>
      </c>
      <c r="K130" s="99">
        <v>2</v>
      </c>
      <c r="L130" s="98"/>
      <c r="M130" s="95" t="s">
        <v>657</v>
      </c>
      <c r="O130" s="317"/>
    </row>
    <row r="131" spans="8:15" ht="15" customHeight="1" x14ac:dyDescent="0.3">
      <c r="H131" s="133" t="s">
        <v>678</v>
      </c>
      <c r="I131" s="90">
        <f>ROUND(hsrf2new!B51*B19*B20,-3)</f>
        <v>239000</v>
      </c>
      <c r="J131" s="165" t="s">
        <v>281</v>
      </c>
      <c r="K131" s="99">
        <v>2</v>
      </c>
      <c r="L131" s="155"/>
      <c r="M131" s="85" t="s">
        <v>658</v>
      </c>
      <c r="O131" s="317"/>
    </row>
    <row r="132" spans="8:15" ht="15" customHeight="1" x14ac:dyDescent="0.3">
      <c r="H132" s="133" t="s">
        <v>892</v>
      </c>
      <c r="I132" s="90">
        <f>hsrf2pwh!C17*hsrf2pwh!B10</f>
        <v>194.87137241464364</v>
      </c>
      <c r="J132" s="101" t="s">
        <v>0</v>
      </c>
      <c r="K132" s="99"/>
      <c r="L132" s="135"/>
      <c r="M132" s="98" t="s">
        <v>1025</v>
      </c>
      <c r="O132" s="317"/>
    </row>
    <row r="133" spans="8:15" ht="15" customHeight="1" x14ac:dyDescent="0.3">
      <c r="H133" s="83" t="s">
        <v>402</v>
      </c>
      <c r="I133" s="90">
        <f>IF(ABS(B15/I35-1)&gt;0.001,1,0)</f>
        <v>1</v>
      </c>
      <c r="J133" s="92"/>
      <c r="K133" s="125">
        <v>2</v>
      </c>
      <c r="L133" s="5"/>
      <c r="M133" s="85" t="s">
        <v>403</v>
      </c>
    </row>
    <row r="134" spans="8:15" ht="15" customHeight="1" x14ac:dyDescent="0.3">
      <c r="H134" s="83" t="s">
        <v>404</v>
      </c>
      <c r="I134" s="126" t="str">
        <f>VLOOKUP(1,L137:M139,2,FALSE)</f>
        <v/>
      </c>
      <c r="J134" s="92"/>
      <c r="K134" s="125">
        <v>2</v>
      </c>
      <c r="L134" s="5"/>
      <c r="M134" s="85" t="s">
        <v>405</v>
      </c>
    </row>
    <row r="136" spans="8:15" ht="15" customHeight="1" x14ac:dyDescent="0.3">
      <c r="L136" s="127" t="s">
        <v>409</v>
      </c>
      <c r="M136" s="127"/>
    </row>
    <row r="137" spans="8:15" ht="15" customHeight="1" x14ac:dyDescent="0.3">
      <c r="L137" s="9" cm="1">
        <f t="array" ref="L137">IFERROR(MIN(ABS(I4:I133),0),1)</f>
        <v>0</v>
      </c>
      <c r="M137" t="s">
        <v>411</v>
      </c>
    </row>
    <row r="138" spans="8:15" ht="15" customHeight="1" x14ac:dyDescent="0.3">
      <c r="L138" s="9">
        <f>IF(B16&gt;50,1,0)</f>
        <v>0</v>
      </c>
      <c r="M138" t="s">
        <v>410</v>
      </c>
    </row>
    <row r="139" spans="8:15" ht="15" customHeight="1" x14ac:dyDescent="0.3">
      <c r="L139" s="128">
        <v>1</v>
      </c>
      <c r="M139" s="92" t="str">
        <f>""</f>
        <v/>
      </c>
    </row>
  </sheetData>
  <phoneticPr fontId="5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topLeftCell="A64" zoomScaleNormal="100" workbookViewId="0">
      <selection activeCell="D73" sqref="D73"/>
    </sheetView>
  </sheetViews>
  <sheetFormatPr defaultRowHeight="14.4" x14ac:dyDescent="0.3"/>
  <cols>
    <col min="1" max="1" width="3.5546875" bestFit="1" customWidth="1"/>
    <col min="3" max="3" width="44.6640625" customWidth="1"/>
    <col min="4" max="4" width="47.6640625" customWidth="1"/>
    <col min="5" max="5" width="8" customWidth="1"/>
    <col min="6" max="6" width="6.88671875" customWidth="1"/>
    <col min="7" max="7" width="43" bestFit="1" customWidth="1"/>
    <col min="8" max="8" width="8.88671875" bestFit="1" customWidth="1"/>
    <col min="9" max="10" width="16.88671875" bestFit="1" customWidth="1"/>
    <col min="11" max="11" width="16.33203125" bestFit="1" customWidth="1"/>
  </cols>
  <sheetData>
    <row r="1" spans="1:11" x14ac:dyDescent="0.3">
      <c r="A1" s="1">
        <v>1</v>
      </c>
      <c r="B1" s="1" t="s">
        <v>13</v>
      </c>
      <c r="J1" s="329" t="s">
        <v>148</v>
      </c>
      <c r="K1" s="329"/>
    </row>
    <row r="2" spans="1:11" x14ac:dyDescent="0.3">
      <c r="A2" s="1"/>
      <c r="B2" s="1"/>
      <c r="I2" s="25" t="s">
        <v>147</v>
      </c>
      <c r="J2" s="25" t="s">
        <v>561</v>
      </c>
      <c r="K2" s="25" t="s">
        <v>562</v>
      </c>
    </row>
    <row r="3" spans="1:11" x14ac:dyDescent="0.3">
      <c r="B3" s="1" t="s">
        <v>54</v>
      </c>
      <c r="H3" s="137"/>
      <c r="I3" s="26" t="s">
        <v>149</v>
      </c>
      <c r="J3" s="26">
        <f>iohsrf2!B31</f>
        <v>2</v>
      </c>
      <c r="K3" s="26">
        <f>iohsrf2!B42</f>
        <v>5</v>
      </c>
    </row>
    <row r="4" spans="1:11" x14ac:dyDescent="0.3">
      <c r="H4" s="137"/>
      <c r="I4" s="26"/>
      <c r="J4" s="26"/>
      <c r="K4" s="26"/>
    </row>
    <row r="5" spans="1:11" ht="15.6" x14ac:dyDescent="0.35">
      <c r="A5" s="130"/>
      <c r="B5" t="s">
        <v>730</v>
      </c>
      <c r="C5" t="s">
        <v>462</v>
      </c>
      <c r="D5" s="247">
        <f>iohsrf2!B25</f>
        <v>720</v>
      </c>
      <c r="H5" s="137"/>
      <c r="I5" s="26" t="s">
        <v>150</v>
      </c>
      <c r="J5" s="26">
        <f>iohsrf2!B32</f>
        <v>3</v>
      </c>
      <c r="K5" s="26">
        <f>iohsrf2!B43</f>
        <v>6</v>
      </c>
    </row>
    <row r="6" spans="1:11" ht="15.6" x14ac:dyDescent="0.35">
      <c r="A6" s="130"/>
      <c r="B6" t="s">
        <v>731</v>
      </c>
      <c r="C6" t="s">
        <v>463</v>
      </c>
      <c r="D6" s="247">
        <f>iohsrf2!B26</f>
        <v>680</v>
      </c>
    </row>
    <row r="7" spans="1:11" ht="15.6" x14ac:dyDescent="0.35">
      <c r="A7" s="130"/>
      <c r="B7" t="s">
        <v>732</v>
      </c>
      <c r="C7" t="s">
        <v>464</v>
      </c>
      <c r="D7" s="247">
        <f>iohsrf2!B36</f>
        <v>620</v>
      </c>
    </row>
    <row r="8" spans="1:11" ht="15.6" x14ac:dyDescent="0.35">
      <c r="A8" s="130"/>
      <c r="B8" t="s">
        <v>733</v>
      </c>
      <c r="C8" t="s">
        <v>465</v>
      </c>
      <c r="D8" s="247">
        <f>iohsrf2!B37</f>
        <v>580</v>
      </c>
    </row>
    <row r="9" spans="1:11" x14ac:dyDescent="0.3">
      <c r="B9" t="s">
        <v>61</v>
      </c>
      <c r="C9" t="s">
        <v>739</v>
      </c>
      <c r="D9" s="23">
        <f>iohsrf2!B7</f>
        <v>2000</v>
      </c>
      <c r="E9" s="5" t="s">
        <v>740</v>
      </c>
    </row>
    <row r="10" spans="1:11" x14ac:dyDescent="0.3">
      <c r="C10" t="s">
        <v>1028</v>
      </c>
      <c r="D10" s="23">
        <f>SUM(iohsrf2!B8:B12)</f>
        <v>1400</v>
      </c>
      <c r="E10" s="5" t="s">
        <v>1030</v>
      </c>
      <c r="H10" s="325"/>
    </row>
    <row r="12" spans="1:11" x14ac:dyDescent="0.3">
      <c r="B12" t="s">
        <v>66</v>
      </c>
      <c r="C12" t="s">
        <v>73</v>
      </c>
      <c r="D12" s="2">
        <f>iohsrf2!B4</f>
        <v>150</v>
      </c>
    </row>
    <row r="13" spans="1:11" ht="15.6" x14ac:dyDescent="0.35">
      <c r="B13" t="s">
        <v>752</v>
      </c>
      <c r="C13" t="s">
        <v>71</v>
      </c>
      <c r="D13" s="24">
        <f>iohsrf2!B5</f>
        <v>0.05</v>
      </c>
      <c r="E13" s="5"/>
    </row>
    <row r="14" spans="1:11" ht="15.6" x14ac:dyDescent="0.35">
      <c r="A14" s="130"/>
      <c r="B14" t="s">
        <v>751</v>
      </c>
      <c r="C14" t="s">
        <v>72</v>
      </c>
      <c r="D14" s="17">
        <f>(D5+D6)/2-(D7+D8)/2</f>
        <v>100</v>
      </c>
      <c r="E14" s="5" t="s">
        <v>735</v>
      </c>
    </row>
    <row r="15" spans="1:11" ht="15.6" x14ac:dyDescent="0.35">
      <c r="B15" t="s">
        <v>734</v>
      </c>
      <c r="C15" t="s">
        <v>55</v>
      </c>
      <c r="D15" s="17">
        <f>D12/(9.81*0.92*0.97*(1-D13)*D14)*1000</f>
        <v>180.35952579296324</v>
      </c>
      <c r="E15" s="5" t="s">
        <v>755</v>
      </c>
    </row>
    <row r="16" spans="1:11" x14ac:dyDescent="0.3">
      <c r="C16" t="s">
        <v>1027</v>
      </c>
      <c r="D16" s="17">
        <f>IF(E38&lt;15,D15,IF(E38&lt;21,D15/3,D15/2))</f>
        <v>180.35952579296324</v>
      </c>
      <c r="E16" s="288"/>
    </row>
    <row r="17" spans="1:8" x14ac:dyDescent="0.3">
      <c r="D17" s="17"/>
    </row>
    <row r="18" spans="1:8" x14ac:dyDescent="0.3">
      <c r="A18" s="1"/>
      <c r="B18" s="1" t="s">
        <v>35</v>
      </c>
      <c r="D18" s="1" t="s">
        <v>109</v>
      </c>
    </row>
    <row r="19" spans="1:8" x14ac:dyDescent="0.3">
      <c r="A19" s="1"/>
      <c r="B19" t="s">
        <v>36</v>
      </c>
      <c r="D19" s="19" t="s">
        <v>105</v>
      </c>
      <c r="E19" s="19" t="s">
        <v>106</v>
      </c>
    </row>
    <row r="20" spans="1:8" x14ac:dyDescent="0.3">
      <c r="A20" s="1"/>
      <c r="B20" t="s">
        <v>80</v>
      </c>
    </row>
    <row r="21" spans="1:8" x14ac:dyDescent="0.3">
      <c r="A21" s="1"/>
      <c r="B21" t="s">
        <v>79</v>
      </c>
    </row>
    <row r="22" spans="1:8" x14ac:dyDescent="0.3">
      <c r="A22" s="1"/>
    </row>
    <row r="23" spans="1:8" x14ac:dyDescent="0.3">
      <c r="B23" s="1" t="s">
        <v>74</v>
      </c>
      <c r="D23" s="13"/>
    </row>
    <row r="24" spans="1:8" x14ac:dyDescent="0.3">
      <c r="B24" t="s">
        <v>107</v>
      </c>
    </row>
    <row r="25" spans="1:8" x14ac:dyDescent="0.3">
      <c r="B25" t="s">
        <v>70</v>
      </c>
      <c r="C25" s="21">
        <f>IF(iohsrf2!B9=0,D10/D14,D9/D14)</f>
        <v>20</v>
      </c>
    </row>
    <row r="26" spans="1:8" x14ac:dyDescent="0.3">
      <c r="B26" s="4" t="s">
        <v>61</v>
      </c>
      <c r="C26" t="s">
        <v>110</v>
      </c>
    </row>
    <row r="27" spans="1:8" x14ac:dyDescent="0.3">
      <c r="B27" s="4" t="s">
        <v>67</v>
      </c>
      <c r="C27" t="s">
        <v>108</v>
      </c>
    </row>
    <row r="28" spans="1:8" x14ac:dyDescent="0.3">
      <c r="B28" s="22" t="s">
        <v>111</v>
      </c>
      <c r="C28" s="1" t="str">
        <f>IF(AND(D12&gt;=100,hsrf2rout!C25&gt;6),"circuito com chamine",IF(AND(D12&lt;100,hsrf2rout!C25&gt;4),"circuito com chamine","circuito sem chamine"))</f>
        <v>circuito com chamine</v>
      </c>
    </row>
    <row r="32" spans="1:8" x14ac:dyDescent="0.3">
      <c r="A32" s="1" t="s">
        <v>14</v>
      </c>
      <c r="B32" s="1" t="s">
        <v>95</v>
      </c>
      <c r="G32" s="328" t="s">
        <v>65</v>
      </c>
      <c r="H32" s="328"/>
    </row>
    <row r="33" spans="1:10" x14ac:dyDescent="0.3">
      <c r="F33" s="131" t="s">
        <v>467</v>
      </c>
    </row>
    <row r="34" spans="1:10" ht="15.6" x14ac:dyDescent="0.35">
      <c r="A34" s="130"/>
      <c r="B34" t="s">
        <v>720</v>
      </c>
      <c r="D34" s="6">
        <f>ROUNDUP(D5-E37+2*IF(E38=E39,E38,E39)+E40,0)</f>
        <v>738</v>
      </c>
      <c r="E34" s="290" t="s">
        <v>1</v>
      </c>
      <c r="F34" s="5" t="s">
        <v>52</v>
      </c>
    </row>
    <row r="35" spans="1:10" x14ac:dyDescent="0.3">
      <c r="D35" s="6"/>
      <c r="F35" s="5" t="s">
        <v>112</v>
      </c>
    </row>
    <row r="36" spans="1:10" ht="15.6" x14ac:dyDescent="0.35">
      <c r="A36" s="130"/>
      <c r="B36" s="4" t="s">
        <v>721</v>
      </c>
      <c r="C36" t="s">
        <v>510</v>
      </c>
      <c r="J36" s="3"/>
    </row>
    <row r="37" spans="1:10" ht="16.8" x14ac:dyDescent="0.35">
      <c r="B37" s="4" t="s">
        <v>9</v>
      </c>
      <c r="C37" t="s">
        <v>10</v>
      </c>
      <c r="D37" t="s">
        <v>753</v>
      </c>
      <c r="E37" s="6">
        <f>0.8*1.76*IF(E38=E39,E38,E39)^0.5</f>
        <v>4.608747078917145</v>
      </c>
      <c r="F37" s="290" t="s">
        <v>1</v>
      </c>
      <c r="G37" s="5" t="s">
        <v>877</v>
      </c>
      <c r="H37" s="14">
        <f>hsrf2intk!B18</f>
        <v>4.4213779546421259</v>
      </c>
      <c r="I37" s="5" t="s">
        <v>1</v>
      </c>
    </row>
    <row r="38" spans="1:10" ht="16.8" x14ac:dyDescent="0.35">
      <c r="B38" s="4" t="s">
        <v>743</v>
      </c>
      <c r="C38" t="s">
        <v>30</v>
      </c>
      <c r="D38" t="s">
        <v>756</v>
      </c>
      <c r="E38" s="6">
        <f>((D15/1.76)/0.8927)^0.5</f>
        <v>10.71421707401865</v>
      </c>
      <c r="F38" t="s">
        <v>1</v>
      </c>
      <c r="G38" s="5" t="s">
        <v>687</v>
      </c>
      <c r="H38" s="14">
        <f>hsrf2tunl!F38</f>
        <v>10.752767600755471</v>
      </c>
      <c r="I38" s="5" t="s">
        <v>1</v>
      </c>
    </row>
    <row r="39" spans="1:10" x14ac:dyDescent="0.3">
      <c r="B39" s="4"/>
      <c r="E39" s="6">
        <f>((D16/1.76)/0.8927)^0.5</f>
        <v>10.71421707401865</v>
      </c>
      <c r="F39" s="290" t="s">
        <v>1</v>
      </c>
      <c r="G39" s="5"/>
      <c r="H39" s="14"/>
      <c r="I39" s="5"/>
    </row>
    <row r="40" spans="1:10" ht="15.6" x14ac:dyDescent="0.35">
      <c r="A40" s="130"/>
      <c r="B40" s="4" t="s">
        <v>229</v>
      </c>
      <c r="C40" t="s">
        <v>11</v>
      </c>
      <c r="D40" t="s">
        <v>127</v>
      </c>
      <c r="E40" s="136">
        <f>IF(iohsrf2!B29=1,iohsrf2!B30,VLOOKUP(iohsrf2!B33,I3:K5,2,FALSE))</f>
        <v>1</v>
      </c>
      <c r="F40" t="s">
        <v>1</v>
      </c>
    </row>
    <row r="42" spans="1:10" x14ac:dyDescent="0.3">
      <c r="A42" s="1" t="s">
        <v>32</v>
      </c>
      <c r="B42" s="1" t="s">
        <v>96</v>
      </c>
      <c r="F42" s="131" t="s">
        <v>467</v>
      </c>
    </row>
    <row r="43" spans="1:10" x14ac:dyDescent="0.3">
      <c r="F43" s="5" t="s">
        <v>52</v>
      </c>
    </row>
    <row r="44" spans="1:10" ht="15.6" x14ac:dyDescent="0.35">
      <c r="B44" t="s">
        <v>741</v>
      </c>
      <c r="D44" s="6">
        <f>IF(C28="circuito com chamine",ROUNDUP(E46+E57+E58,0),0)</f>
        <v>736</v>
      </c>
      <c r="E44" t="s">
        <v>1</v>
      </c>
      <c r="F44" s="12" t="str">
        <f>IF(D44=0,"Definir traçado mais curto entre CN1 e CN2","Definir ponto de inflexão do traçado com elevação CN2")</f>
        <v>Definir ponto de inflexão do traçado com elevação CN2</v>
      </c>
    </row>
    <row r="46" spans="1:10" ht="15.6" x14ac:dyDescent="0.35">
      <c r="B46" s="4" t="s">
        <v>722</v>
      </c>
      <c r="C46" t="s">
        <v>57</v>
      </c>
      <c r="D46" t="s">
        <v>736</v>
      </c>
      <c r="E46" s="7">
        <f>D5-2/3*(E47+E48)+E49</f>
        <v>732.62778888161859</v>
      </c>
      <c r="F46" t="s">
        <v>1</v>
      </c>
      <c r="G46" s="5" t="s">
        <v>876</v>
      </c>
      <c r="H46" s="14">
        <f>hsrf2stnk!B22</f>
        <v>734.95403118076001</v>
      </c>
      <c r="I46" s="5" t="s">
        <v>1</v>
      </c>
      <c r="J46" s="5"/>
    </row>
    <row r="47" spans="1:10" ht="16.8" x14ac:dyDescent="0.35">
      <c r="B47" s="4" t="s">
        <v>727</v>
      </c>
      <c r="C47" t="s">
        <v>58</v>
      </c>
      <c r="D47" t="s">
        <v>128</v>
      </c>
      <c r="E47" s="6">
        <f>0.2*1.76^2/(2*9.81)</f>
        <v>3.1575942915392459E-2</v>
      </c>
      <c r="F47" t="s">
        <v>1</v>
      </c>
      <c r="G47" s="5" t="s">
        <v>878</v>
      </c>
      <c r="H47" s="15">
        <f>hsrf2stnk!B9</f>
        <v>4.6942506962509699E-2</v>
      </c>
      <c r="I47" s="5" t="s">
        <v>1</v>
      </c>
      <c r="J47" s="5"/>
    </row>
    <row r="48" spans="1:10" ht="15.6" x14ac:dyDescent="0.35">
      <c r="B48" s="4" t="s">
        <v>728</v>
      </c>
      <c r="C48" t="s">
        <v>59</v>
      </c>
      <c r="D48" t="s">
        <v>943</v>
      </c>
      <c r="E48" s="136">
        <f>1/100*(((D5+D6)/2)-((D7+D8)/2))</f>
        <v>1</v>
      </c>
      <c r="F48" t="s">
        <v>1</v>
      </c>
      <c r="G48" s="5" t="s">
        <v>879</v>
      </c>
      <c r="H48" s="15">
        <f>hsrf2stnk!B10</f>
        <v>1.2181663837171532</v>
      </c>
      <c r="I48" s="5" t="s">
        <v>1</v>
      </c>
      <c r="J48" s="5"/>
    </row>
    <row r="49" spans="1:10" ht="15.6" x14ac:dyDescent="0.35">
      <c r="B49" s="4" t="s">
        <v>724</v>
      </c>
      <c r="C49" t="s">
        <v>60</v>
      </c>
      <c r="D49" s="2" t="s">
        <v>129</v>
      </c>
      <c r="E49" s="7">
        <f>2.2*((D9*E52)/(9.81*E53))^0.5</f>
        <v>13.315506176895507</v>
      </c>
      <c r="F49" t="s">
        <v>1</v>
      </c>
      <c r="G49" s="5" t="s">
        <v>880</v>
      </c>
      <c r="H49" s="14">
        <f>hsrf2stnk!B21</f>
        <v>15.797437107879746</v>
      </c>
      <c r="I49" s="5" t="s">
        <v>1</v>
      </c>
      <c r="J49" s="5"/>
    </row>
    <row r="50" spans="1:10" x14ac:dyDescent="0.3">
      <c r="H50" s="14"/>
      <c r="I50" s="5"/>
      <c r="J50" s="5"/>
    </row>
    <row r="51" spans="1:10" x14ac:dyDescent="0.3">
      <c r="H51" s="14"/>
      <c r="I51" s="5"/>
      <c r="J51" s="5"/>
    </row>
    <row r="52" spans="1:10" ht="16.8" x14ac:dyDescent="0.35">
      <c r="B52" s="8" t="s">
        <v>725</v>
      </c>
      <c r="C52" t="s">
        <v>62</v>
      </c>
      <c r="D52" t="s">
        <v>726</v>
      </c>
      <c r="E52" s="6">
        <f>0.8927*IF(E38=E39,E38,E39)^2</f>
        <v>102.47700329145638</v>
      </c>
      <c r="F52" s="290" t="s">
        <v>38</v>
      </c>
      <c r="H52" s="14"/>
      <c r="I52" s="5"/>
      <c r="J52" s="5"/>
    </row>
    <row r="53" spans="1:10" ht="15.6" x14ac:dyDescent="0.35">
      <c r="B53" s="8" t="s">
        <v>723</v>
      </c>
      <c r="C53" t="s">
        <v>63</v>
      </c>
      <c r="E53" s="6">
        <f>1.25*1.76^2/(2*9.81)*(D9*E52)/((E55-E47-E48)*(E47+E48))</f>
        <v>570.31842990809503</v>
      </c>
      <c r="F53" t="s">
        <v>38</v>
      </c>
      <c r="G53" s="5" t="s">
        <v>881</v>
      </c>
      <c r="H53" s="14">
        <f>hsrf2stnk!B19</f>
        <v>194.1507457588952</v>
      </c>
      <c r="I53" s="5" t="s">
        <v>38</v>
      </c>
      <c r="J53" s="5"/>
    </row>
    <row r="54" spans="1:10" x14ac:dyDescent="0.3">
      <c r="H54" s="14"/>
      <c r="I54" s="5"/>
      <c r="J54" s="5"/>
    </row>
    <row r="55" spans="1:10" ht="15.6" x14ac:dyDescent="0.35">
      <c r="A55" s="130"/>
      <c r="B55" s="16" t="s">
        <v>729</v>
      </c>
      <c r="C55" t="s">
        <v>64</v>
      </c>
      <c r="D55" t="s">
        <v>757</v>
      </c>
      <c r="E55" s="6">
        <f>D6-(D7-E66)</f>
        <v>69.781804547842967</v>
      </c>
      <c r="F55" t="s">
        <v>1</v>
      </c>
      <c r="G55" s="5" t="s">
        <v>882</v>
      </c>
      <c r="H55" s="14">
        <f>hsrf2stnk!B12-hsrf2stnk!B13</f>
        <v>124.55440685940221</v>
      </c>
      <c r="I55" s="5" t="s">
        <v>1</v>
      </c>
      <c r="J55" s="5"/>
    </row>
    <row r="56" spans="1:10" ht="15.6" x14ac:dyDescent="0.35">
      <c r="A56" s="130"/>
      <c r="B56" s="16"/>
      <c r="D56" t="s">
        <v>754</v>
      </c>
      <c r="H56" s="14"/>
      <c r="I56" s="5"/>
      <c r="J56" s="5"/>
    </row>
    <row r="57" spans="1:10" ht="15.6" x14ac:dyDescent="0.35">
      <c r="B57" s="4" t="s">
        <v>742</v>
      </c>
      <c r="C57" t="s">
        <v>56</v>
      </c>
      <c r="D57" t="s">
        <v>47</v>
      </c>
      <c r="E57">
        <v>2</v>
      </c>
      <c r="F57" t="s">
        <v>1</v>
      </c>
    </row>
    <row r="58" spans="1:10" ht="15.6" x14ac:dyDescent="0.35">
      <c r="A58" s="130"/>
      <c r="B58" s="4" t="s">
        <v>229</v>
      </c>
      <c r="C58" t="s">
        <v>11</v>
      </c>
      <c r="D58" t="s">
        <v>127</v>
      </c>
      <c r="E58" s="136">
        <f>iohsrf2!B3</f>
        <v>0.5</v>
      </c>
      <c r="F58" t="s">
        <v>1</v>
      </c>
    </row>
    <row r="60" spans="1:10" x14ac:dyDescent="0.3">
      <c r="A60" s="1" t="s">
        <v>48</v>
      </c>
      <c r="B60" s="1" t="s">
        <v>97</v>
      </c>
    </row>
    <row r="62" spans="1:10" ht="15.6" x14ac:dyDescent="0.35">
      <c r="B62" t="s">
        <v>746</v>
      </c>
      <c r="D62" s="6">
        <f>ROUNDUP(E65+5/2*E66+E67,0)</f>
        <v>581</v>
      </c>
      <c r="E62" t="s">
        <v>1</v>
      </c>
      <c r="F62" s="5" t="s">
        <v>52</v>
      </c>
    </row>
    <row r="63" spans="1:10" x14ac:dyDescent="0.3">
      <c r="C63" t="s">
        <v>945</v>
      </c>
      <c r="D63" s="136">
        <f>D8+E66+E67</f>
        <v>594.78180454784297</v>
      </c>
      <c r="F63" s="5"/>
    </row>
    <row r="64" spans="1:10" x14ac:dyDescent="0.3">
      <c r="G64" s="18"/>
      <c r="H64" s="167"/>
    </row>
    <row r="65" spans="1:10" ht="15.6" x14ac:dyDescent="0.35">
      <c r="B65" s="297" t="s">
        <v>49</v>
      </c>
      <c r="C65" s="137" t="s">
        <v>50</v>
      </c>
      <c r="D65" t="s">
        <v>1031</v>
      </c>
      <c r="E65" s="136">
        <f>D8-(3*E66)</f>
        <v>550.6545863564711</v>
      </c>
      <c r="F65" t="s">
        <v>1</v>
      </c>
      <c r="G65" s="5" t="s">
        <v>688</v>
      </c>
      <c r="H65" s="296">
        <f>hsrf2pwh!B36</f>
        <v>555.44559314059779</v>
      </c>
      <c r="I65" s="5" t="s">
        <v>1</v>
      </c>
      <c r="J65" s="5"/>
    </row>
    <row r="66" spans="1:10" ht="16.8" x14ac:dyDescent="0.35">
      <c r="A66" s="130"/>
      <c r="B66" s="4" t="s">
        <v>744</v>
      </c>
      <c r="C66" t="s">
        <v>466</v>
      </c>
      <c r="D66" t="s">
        <v>747</v>
      </c>
      <c r="E66" s="6">
        <f>IF(E38=E39,(4/PI()*D15/2.4)^0.5, (4/PI()*D16/2.4)^0.5)</f>
        <v>9.7818045478429489</v>
      </c>
      <c r="F66" s="290" t="s">
        <v>1</v>
      </c>
      <c r="G66" s="131" t="s">
        <v>5</v>
      </c>
      <c r="H66" s="5"/>
      <c r="I66" s="5"/>
    </row>
    <row r="67" spans="1:10" ht="15.6" x14ac:dyDescent="0.35">
      <c r="B67" s="4" t="s">
        <v>229</v>
      </c>
      <c r="C67" t="s">
        <v>11</v>
      </c>
      <c r="D67" t="s">
        <v>127</v>
      </c>
      <c r="E67" s="136">
        <f>IF(iohsrf2!B40=1,iohsrf2!B41,VLOOKUP(iohsrf2!B44,I3:K5,3,FALSE))</f>
        <v>5</v>
      </c>
      <c r="F67" t="s">
        <v>1</v>
      </c>
    </row>
    <row r="68" spans="1:10" x14ac:dyDescent="0.3">
      <c r="B68" s="4"/>
    </row>
    <row r="69" spans="1:10" x14ac:dyDescent="0.3">
      <c r="A69" t="s">
        <v>277</v>
      </c>
      <c r="B69" s="1" t="s">
        <v>946</v>
      </c>
    </row>
    <row r="71" spans="1:10" x14ac:dyDescent="0.3">
      <c r="C71" t="s">
        <v>278</v>
      </c>
      <c r="D71" t="s">
        <v>738</v>
      </c>
      <c r="E71" s="7">
        <f>2*(D14)</f>
        <v>200</v>
      </c>
      <c r="F71" t="s">
        <v>1</v>
      </c>
      <c r="H71" s="27"/>
    </row>
    <row r="72" spans="1:10" ht="15.6" x14ac:dyDescent="0.35">
      <c r="A72" s="130"/>
      <c r="C72" t="s">
        <v>468</v>
      </c>
      <c r="D72" t="s">
        <v>812</v>
      </c>
      <c r="E72" s="158">
        <f>0.8*D14+D8-E66-E75/2+E58</f>
        <v>646.12479046784847</v>
      </c>
      <c r="F72" t="s">
        <v>1</v>
      </c>
      <c r="H72" s="27"/>
    </row>
    <row r="73" spans="1:10" ht="15.6" x14ac:dyDescent="0.35">
      <c r="A73" s="130"/>
      <c r="C73" s="20" t="s">
        <v>469</v>
      </c>
      <c r="D73" s="20" t="s">
        <v>745</v>
      </c>
      <c r="E73" s="158">
        <f>D8+3*E66+E58</f>
        <v>609.8454136435289</v>
      </c>
      <c r="F73" t="s">
        <v>1</v>
      </c>
      <c r="G73" s="5" t="s">
        <v>737</v>
      </c>
      <c r="H73" s="15">
        <f>2*hsrf2pwh!B55+D8</f>
        <v>603.42629650799643</v>
      </c>
      <c r="I73" s="5" t="s">
        <v>1</v>
      </c>
    </row>
    <row r="74" spans="1:10" x14ac:dyDescent="0.3">
      <c r="E74" s="7"/>
      <c r="G74" s="20" t="s">
        <v>470</v>
      </c>
      <c r="H74" s="27"/>
    </row>
    <row r="75" spans="1:10" ht="16.8" x14ac:dyDescent="0.35">
      <c r="B75" s="4" t="s">
        <v>750</v>
      </c>
      <c r="C75" s="101" t="s">
        <v>749</v>
      </c>
      <c r="D75" t="s">
        <v>748</v>
      </c>
      <c r="E75" s="6">
        <f>IF(E38=E39,1.2+(4/PI()*D15/3.6)^0.5, 1.2+(4/PI()*D16/3.6)^0.5)</f>
        <v>9.1868099686170481</v>
      </c>
      <c r="F75" s="290" t="s">
        <v>1</v>
      </c>
    </row>
    <row r="76" spans="1:10" x14ac:dyDescent="0.3">
      <c r="C76" s="5"/>
    </row>
    <row r="77" spans="1:10" x14ac:dyDescent="0.3">
      <c r="C77" s="5"/>
    </row>
    <row r="78" spans="1:10" x14ac:dyDescent="0.3">
      <c r="C78" s="5"/>
      <c r="D78" s="5"/>
    </row>
    <row r="79" spans="1:10" x14ac:dyDescent="0.3">
      <c r="C79" s="5"/>
      <c r="D79" s="5"/>
    </row>
    <row r="80" spans="1:10" x14ac:dyDescent="0.3">
      <c r="C80" s="5"/>
      <c r="D80" s="5"/>
    </row>
    <row r="81" spans="3:4" x14ac:dyDescent="0.3">
      <c r="C81" s="5"/>
      <c r="D81" s="5"/>
    </row>
    <row r="82" spans="3:4" x14ac:dyDescent="0.3">
      <c r="C82" s="5"/>
      <c r="D82" s="5"/>
    </row>
  </sheetData>
  <mergeCells count="2">
    <mergeCell ref="G32:H32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027" r:id="rId4">
          <objectPr defaultSize="0" autoLine="0" autoPict="0" r:id="rId5">
            <anchor moveWithCells="1">
              <from>
                <xdr:col>3</xdr:col>
                <xdr:colOff>1127760</xdr:colOff>
                <xdr:row>48</xdr:row>
                <xdr:rowOff>7620</xdr:rowOff>
              </from>
              <to>
                <xdr:col>3</xdr:col>
                <xdr:colOff>2651760</xdr:colOff>
                <xdr:row>49</xdr:row>
                <xdr:rowOff>160020</xdr:rowOff>
              </to>
            </anchor>
          </objectPr>
        </oleObject>
      </mc:Choice>
      <mc:Fallback>
        <oleObject progId="Equation.2" shapeId="1027" r:id="rId4"/>
      </mc:Fallback>
    </mc:AlternateContent>
    <mc:AlternateContent xmlns:mc="http://schemas.openxmlformats.org/markup-compatibility/2006">
      <mc:Choice Requires="x14">
        <oleObject progId="Equation.2" shapeId="1028" r:id="rId6">
          <objectPr defaultSize="0" autoLine="0" autoPict="0" r:id="rId7">
            <anchor moveWithCells="1">
              <from>
                <xdr:col>3</xdr:col>
                <xdr:colOff>0</xdr:colOff>
                <xdr:row>51</xdr:row>
                <xdr:rowOff>213360</xdr:rowOff>
              </from>
              <to>
                <xdr:col>3</xdr:col>
                <xdr:colOff>2613660</xdr:colOff>
                <xdr:row>53</xdr:row>
                <xdr:rowOff>121920</xdr:rowOff>
              </to>
            </anchor>
          </objectPr>
        </oleObject>
      </mc:Choice>
      <mc:Fallback>
        <oleObject progId="Equation.2" shapeId="102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C6E1-7BAD-43BB-95EF-7A2BB8F40D73}">
  <dimension ref="A1:L133"/>
  <sheetViews>
    <sheetView workbookViewId="0">
      <selection activeCell="B9" sqref="B9"/>
    </sheetView>
  </sheetViews>
  <sheetFormatPr defaultColWidth="9.109375" defaultRowHeight="14.4" x14ac:dyDescent="0.3"/>
  <cols>
    <col min="1" max="1" width="65.5546875" style="92" bestFit="1" customWidth="1"/>
    <col min="2" max="2" width="12.6640625" style="171" bestFit="1" customWidth="1"/>
    <col min="3" max="3" width="2.6640625" style="92" customWidth="1"/>
    <col min="4" max="4" width="12.44140625" style="92" bestFit="1" customWidth="1"/>
    <col min="5" max="6" width="2.6640625" style="92" customWidth="1"/>
    <col min="7" max="16384" width="9.109375" style="92"/>
  </cols>
  <sheetData>
    <row r="1" spans="1:12" x14ac:dyDescent="0.3">
      <c r="A1" s="180" t="s">
        <v>608</v>
      </c>
    </row>
    <row r="3" spans="1:12" x14ac:dyDescent="0.3">
      <c r="A3" s="181" t="s">
        <v>480</v>
      </c>
    </row>
    <row r="5" spans="1:12" ht="15.6" x14ac:dyDescent="0.35">
      <c r="A5" s="172" t="s">
        <v>572</v>
      </c>
      <c r="B5" s="173">
        <f>iohsrf2!B25</f>
        <v>720</v>
      </c>
      <c r="L5" s="92" t="s">
        <v>926</v>
      </c>
    </row>
    <row r="6" spans="1:12" ht="15.6" x14ac:dyDescent="0.35">
      <c r="A6" s="172" t="s">
        <v>573</v>
      </c>
      <c r="B6" s="173">
        <f>iohsrf2!B26</f>
        <v>680</v>
      </c>
      <c r="L6" s="92" t="s">
        <v>928</v>
      </c>
    </row>
    <row r="7" spans="1:12" x14ac:dyDescent="0.3">
      <c r="A7" s="172" t="s">
        <v>593</v>
      </c>
      <c r="B7" s="173">
        <f>iohsrf2!B27</f>
        <v>722</v>
      </c>
      <c r="L7" s="92" t="s">
        <v>927</v>
      </c>
    </row>
    <row r="8" spans="1:12" x14ac:dyDescent="0.3">
      <c r="A8" s="172" t="s">
        <v>592</v>
      </c>
      <c r="B8" s="173">
        <f>iohsrf2!B28</f>
        <v>4</v>
      </c>
    </row>
    <row r="9" spans="1:12" ht="15.6" x14ac:dyDescent="0.35">
      <c r="A9" s="172" t="s">
        <v>697</v>
      </c>
      <c r="B9" s="173">
        <f>hsrf2pwh!C17*hsrf2pwh!B10</f>
        <v>194.87137241464364</v>
      </c>
    </row>
    <row r="10" spans="1:12" x14ac:dyDescent="0.3">
      <c r="A10" s="172" t="s">
        <v>929</v>
      </c>
      <c r="B10" s="175">
        <f>hsrf2tunl!F36</f>
        <v>1</v>
      </c>
      <c r="D10" s="291"/>
    </row>
    <row r="11" spans="1:12" x14ac:dyDescent="0.3">
      <c r="A11" s="172" t="s">
        <v>575</v>
      </c>
      <c r="B11" s="173">
        <v>0.8</v>
      </c>
    </row>
    <row r="13" spans="1:12" x14ac:dyDescent="0.3">
      <c r="A13" s="182" t="s">
        <v>579</v>
      </c>
    </row>
    <row r="15" spans="1:12" x14ac:dyDescent="0.3">
      <c r="A15" s="293" t="s">
        <v>930</v>
      </c>
      <c r="B15" s="173">
        <f>B9/B10</f>
        <v>194.87137241464364</v>
      </c>
      <c r="D15" s="291"/>
    </row>
    <row r="16" spans="1:12" ht="15.6" x14ac:dyDescent="0.35">
      <c r="A16" s="174" t="s">
        <v>686</v>
      </c>
      <c r="B16" s="173">
        <f>hsrf2tunl!F38^2</f>
        <v>115.62201107585656</v>
      </c>
    </row>
    <row r="17" spans="1:4" ht="15.6" x14ac:dyDescent="0.35">
      <c r="A17" s="172" t="s">
        <v>698</v>
      </c>
      <c r="B17" s="173">
        <f>B15/B16</f>
        <v>1.6854176000000005</v>
      </c>
      <c r="D17" s="5" t="s">
        <v>937</v>
      </c>
    </row>
    <row r="18" spans="1:4" ht="16.8" x14ac:dyDescent="0.35">
      <c r="A18" s="172" t="s">
        <v>695</v>
      </c>
      <c r="B18" s="173">
        <f>B11*B17*hsrf2tunl!F38^0.5</f>
        <v>4.4213779546421259</v>
      </c>
    </row>
    <row r="19" spans="1:4" ht="15.6" x14ac:dyDescent="0.35">
      <c r="A19" s="174" t="s">
        <v>583</v>
      </c>
      <c r="B19" s="173">
        <f>B6-B18</f>
        <v>675.57862204535786</v>
      </c>
    </row>
    <row r="20" spans="1:4" ht="16.8" x14ac:dyDescent="0.35">
      <c r="A20" s="307" t="s">
        <v>958</v>
      </c>
      <c r="B20" s="173">
        <f>0.2*B17^2/2/9.81</f>
        <v>2.8956498332209601E-2</v>
      </c>
    </row>
    <row r="22" spans="1:4" x14ac:dyDescent="0.3">
      <c r="A22" s="183" t="s">
        <v>581</v>
      </c>
    </row>
    <row r="24" spans="1:4" ht="15.6" x14ac:dyDescent="0.35">
      <c r="A24" s="174" t="s">
        <v>584</v>
      </c>
      <c r="B24" s="173">
        <f>(B16*0.8)^0.5</f>
        <v>9.6175677206186219</v>
      </c>
      <c r="D24" s="5" t="s">
        <v>931</v>
      </c>
    </row>
    <row r="25" spans="1:4" ht="15.6" x14ac:dyDescent="0.35">
      <c r="A25" s="174" t="s">
        <v>585</v>
      </c>
      <c r="B25" s="173">
        <f>(B16)/B24</f>
        <v>12.021959650773274</v>
      </c>
      <c r="D25" s="5"/>
    </row>
    <row r="26" spans="1:4" ht="15.6" x14ac:dyDescent="0.35">
      <c r="A26" s="174" t="s">
        <v>576</v>
      </c>
      <c r="B26" s="173">
        <f>B19-B25</f>
        <v>663.55666239458458</v>
      </c>
    </row>
    <row r="27" spans="1:4" x14ac:dyDescent="0.3">
      <c r="A27" s="294" t="s">
        <v>628</v>
      </c>
      <c r="B27" s="197">
        <v>5</v>
      </c>
    </row>
    <row r="28" spans="1:4" ht="15.6" x14ac:dyDescent="0.35">
      <c r="A28" s="172" t="s">
        <v>587</v>
      </c>
      <c r="B28" s="175">
        <f>TRUNC(B24/B27)+1</f>
        <v>2</v>
      </c>
      <c r="D28" s="5"/>
    </row>
    <row r="29" spans="1:4" x14ac:dyDescent="0.3">
      <c r="A29" s="5"/>
      <c r="B29" s="5"/>
      <c r="C29" s="5"/>
      <c r="D29" s="5"/>
    </row>
    <row r="30" spans="1:4" ht="15.6" x14ac:dyDescent="0.35">
      <c r="A30" s="172" t="s">
        <v>588</v>
      </c>
      <c r="B30" s="173">
        <f>B7-B26+2.5</f>
        <v>60.943337605415422</v>
      </c>
    </row>
    <row r="31" spans="1:4" ht="15.6" x14ac:dyDescent="0.35">
      <c r="A31" s="174" t="s">
        <v>589</v>
      </c>
      <c r="B31" s="173">
        <f>1.2*B24+1.2+(B28-1)*1</f>
        <v>13.741081264742345</v>
      </c>
    </row>
    <row r="32" spans="1:4" ht="15.6" x14ac:dyDescent="0.35">
      <c r="A32" s="174" t="s">
        <v>590</v>
      </c>
      <c r="B32" s="173">
        <f>B31+2*2</f>
        <v>17.741081264742345</v>
      </c>
    </row>
    <row r="33" spans="1:4" ht="15.6" x14ac:dyDescent="0.35">
      <c r="A33" s="174" t="s">
        <v>591</v>
      </c>
      <c r="B33" s="173">
        <f>0.2*B30+B8</f>
        <v>16.188667521083083</v>
      </c>
      <c r="D33" s="5"/>
    </row>
    <row r="35" spans="1:4" x14ac:dyDescent="0.3">
      <c r="A35" s="183" t="s">
        <v>693</v>
      </c>
      <c r="D35" s="5" t="s">
        <v>594</v>
      </c>
    </row>
    <row r="36" spans="1:4" x14ac:dyDescent="0.3">
      <c r="A36" s="107"/>
      <c r="D36" s="5"/>
    </row>
    <row r="37" spans="1:4" x14ac:dyDescent="0.3">
      <c r="A37" s="184" t="s">
        <v>694</v>
      </c>
      <c r="D37" s="5"/>
    </row>
    <row r="38" spans="1:4" x14ac:dyDescent="0.3">
      <c r="A38" s="107"/>
      <c r="D38" s="5"/>
    </row>
    <row r="39" spans="1:4" x14ac:dyDescent="0.3">
      <c r="A39" s="185" t="s">
        <v>412</v>
      </c>
      <c r="B39" s="186"/>
      <c r="D39" s="5"/>
    </row>
    <row r="40" spans="1:4" x14ac:dyDescent="0.3">
      <c r="A40" s="187" t="s">
        <v>523</v>
      </c>
      <c r="B40" s="188">
        <f>B5</f>
        <v>720</v>
      </c>
      <c r="D40" s="5"/>
    </row>
    <row r="41" spans="1:4" x14ac:dyDescent="0.3">
      <c r="A41" s="187" t="s">
        <v>524</v>
      </c>
      <c r="B41" s="188"/>
      <c r="D41" s="5"/>
    </row>
    <row r="42" spans="1:4" x14ac:dyDescent="0.3">
      <c r="A42" s="187" t="s">
        <v>525</v>
      </c>
      <c r="B42" s="188">
        <f>B7</f>
        <v>722</v>
      </c>
      <c r="D42" s="5"/>
    </row>
    <row r="43" spans="1:4" x14ac:dyDescent="0.3">
      <c r="A43" s="187" t="s">
        <v>526</v>
      </c>
      <c r="B43" s="188"/>
      <c r="D43" s="5"/>
    </row>
    <row r="44" spans="1:4" x14ac:dyDescent="0.3">
      <c r="A44" s="187" t="s">
        <v>527</v>
      </c>
      <c r="B44" s="188">
        <f>B26</f>
        <v>663.55666239458458</v>
      </c>
      <c r="D44" s="5"/>
    </row>
    <row r="45" spans="1:4" x14ac:dyDescent="0.3">
      <c r="A45" s="185" t="s">
        <v>414</v>
      </c>
      <c r="B45" s="189"/>
      <c r="D45" s="5"/>
    </row>
    <row r="46" spans="1:4" ht="15.6" x14ac:dyDescent="0.35">
      <c r="A46" s="187" t="s">
        <v>818</v>
      </c>
      <c r="B46" s="188">
        <f>B24</f>
        <v>9.6175677206186219</v>
      </c>
      <c r="D46" s="5"/>
    </row>
    <row r="47" spans="1:4" ht="15.6" x14ac:dyDescent="0.35">
      <c r="A47" s="187" t="s">
        <v>817</v>
      </c>
      <c r="B47" s="188">
        <f>B25</f>
        <v>12.021959650773274</v>
      </c>
      <c r="D47" s="5"/>
    </row>
    <row r="48" spans="1:4" x14ac:dyDescent="0.3">
      <c r="A48" s="5"/>
      <c r="B48" s="5"/>
      <c r="C48" s="5"/>
      <c r="D48" s="5"/>
    </row>
    <row r="49" spans="1:7" ht="16.8" x14ac:dyDescent="0.35">
      <c r="A49" s="185" t="s">
        <v>819</v>
      </c>
      <c r="B49" s="256">
        <f>B46^2*B47*(B40-B44)/1000</f>
        <v>62.765133740010228</v>
      </c>
      <c r="C49" s="5"/>
      <c r="D49" s="5"/>
    </row>
    <row r="50" spans="1:7" x14ac:dyDescent="0.3">
      <c r="A50" s="263"/>
      <c r="B50" s="264"/>
      <c r="C50" s="5"/>
      <c r="D50" s="5"/>
    </row>
    <row r="51" spans="1:7" x14ac:dyDescent="0.3">
      <c r="A51" s="185" t="s">
        <v>820</v>
      </c>
      <c r="B51" s="258"/>
      <c r="C51" s="5"/>
      <c r="D51" s="5"/>
    </row>
    <row r="52" spans="1:7" x14ac:dyDescent="0.3">
      <c r="A52" s="187" t="s">
        <v>826</v>
      </c>
      <c r="B52" s="267">
        <f>2*B28*(B30-1)*2084.8</f>
        <v>499879.48095908033</v>
      </c>
      <c r="D52" s="5"/>
    </row>
    <row r="53" spans="1:7" x14ac:dyDescent="0.3">
      <c r="A53" s="187"/>
      <c r="B53" s="265"/>
      <c r="D53" s="5"/>
    </row>
    <row r="54" spans="1:7" x14ac:dyDescent="0.3">
      <c r="A54" s="185" t="s">
        <v>616</v>
      </c>
      <c r="D54" s="5"/>
    </row>
    <row r="55" spans="1:7" x14ac:dyDescent="0.3">
      <c r="A55" s="185" t="s">
        <v>546</v>
      </c>
      <c r="B55" s="176">
        <f>B10</f>
        <v>1</v>
      </c>
      <c r="D55" s="5" t="s">
        <v>936</v>
      </c>
    </row>
    <row r="56" spans="1:7" x14ac:dyDescent="0.3">
      <c r="A56" s="185" t="s">
        <v>531</v>
      </c>
      <c r="B56" s="189"/>
      <c r="D56" s="5"/>
      <c r="F56" s="5"/>
      <c r="G56" s="5"/>
    </row>
    <row r="57" spans="1:7" x14ac:dyDescent="0.3">
      <c r="A57" s="187" t="s">
        <v>533</v>
      </c>
      <c r="B57" s="188"/>
      <c r="D57" s="5"/>
    </row>
    <row r="58" spans="1:7" x14ac:dyDescent="0.3">
      <c r="A58" s="187" t="s">
        <v>534</v>
      </c>
      <c r="B58" s="188">
        <f>((2*B60)+1)</f>
        <v>25.343919301546549</v>
      </c>
      <c r="D58" s="5"/>
    </row>
    <row r="59" spans="1:7" x14ac:dyDescent="0.3">
      <c r="A59" s="185" t="s">
        <v>535</v>
      </c>
      <c r="B59" s="189"/>
      <c r="D59" s="5"/>
    </row>
    <row r="60" spans="1:7" x14ac:dyDescent="0.3">
      <c r="A60" s="187" t="s">
        <v>618</v>
      </c>
      <c r="B60" s="188">
        <f>B47+0.15</f>
        <v>12.171959650773275</v>
      </c>
      <c r="D60" s="5"/>
    </row>
    <row r="61" spans="1:7" x14ac:dyDescent="0.3">
      <c r="A61" s="187" t="s">
        <v>619</v>
      </c>
      <c r="B61" s="188"/>
      <c r="D61" s="5"/>
    </row>
    <row r="62" spans="1:7" x14ac:dyDescent="0.3">
      <c r="A62" s="187" t="s">
        <v>620</v>
      </c>
      <c r="B62" s="188">
        <f>B40-B44</f>
        <v>56.443337605415422</v>
      </c>
      <c r="D62" s="5"/>
    </row>
    <row r="63" spans="1:7" x14ac:dyDescent="0.3">
      <c r="A63" s="185" t="s">
        <v>536</v>
      </c>
      <c r="B63" s="189"/>
      <c r="D63" s="5"/>
    </row>
    <row r="64" spans="1:7" x14ac:dyDescent="0.3">
      <c r="A64" s="187" t="s">
        <v>621</v>
      </c>
      <c r="B64" s="188">
        <f>B46+0.6</f>
        <v>10.217567720618622</v>
      </c>
      <c r="D64" s="5"/>
    </row>
    <row r="65" spans="1:4" x14ac:dyDescent="0.3">
      <c r="A65" s="185" t="s">
        <v>413</v>
      </c>
      <c r="B65" s="189"/>
      <c r="D65" s="5"/>
    </row>
    <row r="66" spans="1:4" x14ac:dyDescent="0.3">
      <c r="A66" s="187" t="s">
        <v>622</v>
      </c>
      <c r="B66" s="188">
        <f>((100*((2*B64)+(B58)))+(((B62)^2)*(B64^2)*B60*0.0125))/(1000)</f>
        <v>55.182615401350525</v>
      </c>
      <c r="D66" s="5"/>
    </row>
    <row r="67" spans="1:4" x14ac:dyDescent="0.3">
      <c r="A67" s="187" t="s">
        <v>623</v>
      </c>
      <c r="B67" s="188">
        <f>(((((B46)^2)*B60*(B62))^0.7)*0.1019*0.706)</f>
        <v>165.63475614657327</v>
      </c>
      <c r="D67" s="5"/>
    </row>
    <row r="68" spans="1:4" x14ac:dyDescent="0.3">
      <c r="A68" s="185" t="s">
        <v>820</v>
      </c>
      <c r="B68" s="258"/>
    </row>
    <row r="69" spans="1:4" x14ac:dyDescent="0.3">
      <c r="A69" s="187" t="s">
        <v>823</v>
      </c>
      <c r="B69" s="259">
        <f>ROUND(0.4999999+B49/125.39,0)</f>
        <v>1</v>
      </c>
      <c r="D69" s="138"/>
    </row>
    <row r="70" spans="1:4" ht="16.8" x14ac:dyDescent="0.35">
      <c r="A70" s="187" t="s">
        <v>821</v>
      </c>
      <c r="B70" s="256">
        <f>B49/B69</f>
        <v>62.765133740010228</v>
      </c>
      <c r="D70" s="138"/>
    </row>
    <row r="71" spans="1:4" x14ac:dyDescent="0.3">
      <c r="A71" s="187" t="s">
        <v>822</v>
      </c>
      <c r="B71" s="188">
        <f>IF(AND(B70&gt;=0,B70&lt;=125.39),(IF(B70&lt;=9.17,(-4.3986*B70^2+124.79*B70+110.2)*1000,(-0.128*B70^2+57.311*B70+369.83)*1000) ),"O parametro z esta fora da validade da curva.")*B69</f>
        <v>3462711.4420583509</v>
      </c>
      <c r="D71" s="138"/>
    </row>
    <row r="72" spans="1:4" x14ac:dyDescent="0.3">
      <c r="D72" s="5"/>
    </row>
    <row r="73" spans="1:4" x14ac:dyDescent="0.3">
      <c r="A73" s="185" t="s">
        <v>522</v>
      </c>
      <c r="B73" s="177"/>
      <c r="D73" s="5"/>
    </row>
    <row r="74" spans="1:4" x14ac:dyDescent="0.3">
      <c r="A74" s="185" t="s">
        <v>546</v>
      </c>
      <c r="B74" s="190">
        <f>B10</f>
        <v>1</v>
      </c>
      <c r="D74" s="5" t="s">
        <v>936</v>
      </c>
    </row>
    <row r="75" spans="1:4" x14ac:dyDescent="0.3">
      <c r="A75" s="185" t="s">
        <v>532</v>
      </c>
      <c r="B75" s="188">
        <v>2</v>
      </c>
      <c r="D75" s="5"/>
    </row>
    <row r="76" spans="1:4" x14ac:dyDescent="0.3">
      <c r="A76" s="185" t="s">
        <v>529</v>
      </c>
      <c r="B76" s="188">
        <f>TRUNC(B47/B75)+1</f>
        <v>7</v>
      </c>
      <c r="D76" s="5"/>
    </row>
    <row r="77" spans="1:4" x14ac:dyDescent="0.3">
      <c r="A77" s="185" t="s">
        <v>531</v>
      </c>
      <c r="B77" s="189"/>
      <c r="D77" s="5"/>
    </row>
    <row r="78" spans="1:4" x14ac:dyDescent="0.3">
      <c r="A78" s="187" t="s">
        <v>533</v>
      </c>
      <c r="B78" s="188"/>
      <c r="D78" s="5"/>
    </row>
    <row r="79" spans="1:4" x14ac:dyDescent="0.3">
      <c r="A79" s="187" t="s">
        <v>534</v>
      </c>
      <c r="B79" s="188">
        <f>B42-B44-1.5</f>
        <v>56.943337605415422</v>
      </c>
      <c r="D79" s="5"/>
    </row>
    <row r="80" spans="1:4" x14ac:dyDescent="0.3">
      <c r="A80" s="185" t="s">
        <v>535</v>
      </c>
      <c r="B80" s="189"/>
      <c r="D80" s="5"/>
    </row>
    <row r="81" spans="1:11" x14ac:dyDescent="0.3">
      <c r="A81" s="187" t="s">
        <v>618</v>
      </c>
      <c r="B81" s="188">
        <f>B47+0.15</f>
        <v>12.171959650773275</v>
      </c>
      <c r="D81" s="5"/>
    </row>
    <row r="82" spans="1:11" x14ac:dyDescent="0.3">
      <c r="A82" s="187" t="s">
        <v>619</v>
      </c>
      <c r="B82" s="188">
        <f>B83-B81/2</f>
        <v>50.357357780028785</v>
      </c>
      <c r="D82" s="5"/>
    </row>
    <row r="83" spans="1:11" x14ac:dyDescent="0.3">
      <c r="A83" s="187" t="s">
        <v>620</v>
      </c>
      <c r="B83" s="188">
        <f>B40-B44</f>
        <v>56.443337605415422</v>
      </c>
      <c r="D83" s="5"/>
    </row>
    <row r="84" spans="1:11" x14ac:dyDescent="0.3">
      <c r="A84" s="185" t="s">
        <v>536</v>
      </c>
      <c r="B84" s="189"/>
      <c r="D84" s="5"/>
    </row>
    <row r="85" spans="1:11" x14ac:dyDescent="0.3">
      <c r="A85" s="187" t="s">
        <v>621</v>
      </c>
      <c r="B85" s="188">
        <f>(B46+0.4)</f>
        <v>10.017567720618622</v>
      </c>
      <c r="D85" s="5"/>
    </row>
    <row r="86" spans="1:11" x14ac:dyDescent="0.3">
      <c r="A86" s="185" t="s">
        <v>413</v>
      </c>
      <c r="B86" s="189"/>
      <c r="D86" s="5"/>
    </row>
    <row r="87" spans="1:11" x14ac:dyDescent="0.3">
      <c r="A87" s="187" t="s">
        <v>622</v>
      </c>
      <c r="B87" s="188">
        <f>((100*((2*B85)+(B79)))+(((B83)^2)*(B85^2)*B81*0.005))/(1000)</f>
        <v>27.15505234275382</v>
      </c>
      <c r="D87" s="5"/>
    </row>
    <row r="88" spans="1:11" x14ac:dyDescent="0.3">
      <c r="A88" s="187" t="s">
        <v>623</v>
      </c>
      <c r="B88" s="188">
        <f>((B81*B85/1000)*(((B82^0.5)*30.074)+((19.989+(1.113*B82))*B85)))</f>
        <v>118.89936846310617</v>
      </c>
      <c r="D88" s="5"/>
    </row>
    <row r="89" spans="1:11" x14ac:dyDescent="0.3">
      <c r="A89" s="187" t="s">
        <v>624</v>
      </c>
      <c r="B89" s="188">
        <f>B88/B76</f>
        <v>16.985624066158024</v>
      </c>
      <c r="D89" s="5"/>
    </row>
    <row r="90" spans="1:11" x14ac:dyDescent="0.3">
      <c r="A90" s="185" t="s">
        <v>820</v>
      </c>
      <c r="B90" s="258"/>
      <c r="D90" s="5"/>
    </row>
    <row r="91" spans="1:11" x14ac:dyDescent="0.3">
      <c r="A91" s="187" t="s">
        <v>823</v>
      </c>
      <c r="B91" s="255">
        <f>ROUND(0.4999999+B49/54.43,0)</f>
        <v>2</v>
      </c>
      <c r="D91" s="138"/>
    </row>
    <row r="92" spans="1:11" ht="16.8" x14ac:dyDescent="0.35">
      <c r="A92" s="187" t="s">
        <v>821</v>
      </c>
      <c r="B92" s="256">
        <f>B49/B91</f>
        <v>31.382566870005114</v>
      </c>
      <c r="D92" s="138"/>
    </row>
    <row r="93" spans="1:11" x14ac:dyDescent="0.3">
      <c r="A93" s="187" t="s">
        <v>822</v>
      </c>
      <c r="B93" s="188">
        <f>IF(AND(B92&gt;=0,B92&lt;=54.43),1000*72.896*B92^0.716,"O parametro z esta fora da validade da curva.")*B91</f>
        <v>1719343.4288879607</v>
      </c>
      <c r="D93" s="138"/>
    </row>
    <row r="94" spans="1:11" x14ac:dyDescent="0.3">
      <c r="D94" s="5"/>
    </row>
    <row r="95" spans="1:11" x14ac:dyDescent="0.3">
      <c r="A95" s="185" t="s">
        <v>540</v>
      </c>
      <c r="B95" s="186"/>
      <c r="C95" s="191"/>
      <c r="D95" s="5"/>
      <c r="G95" s="192" t="s">
        <v>415</v>
      </c>
      <c r="H95" s="151"/>
      <c r="I95" s="151"/>
      <c r="J95" s="192" t="s">
        <v>416</v>
      </c>
      <c r="K95" s="192"/>
    </row>
    <row r="96" spans="1:11" x14ac:dyDescent="0.3">
      <c r="A96" s="185" t="s">
        <v>541</v>
      </c>
      <c r="B96" s="189"/>
      <c r="C96" s="193"/>
      <c r="D96" s="5"/>
      <c r="G96" s="192" t="s">
        <v>417</v>
      </c>
      <c r="H96" s="192" t="s">
        <v>413</v>
      </c>
      <c r="I96" s="151"/>
      <c r="J96" s="192" t="s">
        <v>7</v>
      </c>
      <c r="K96" s="192" t="s">
        <v>413</v>
      </c>
    </row>
    <row r="97" spans="1:11" x14ac:dyDescent="0.3">
      <c r="A97" s="187" t="s">
        <v>537</v>
      </c>
      <c r="B97" s="188">
        <f>1.1*B67</f>
        <v>182.1982317612306</v>
      </c>
      <c r="C97" s="193"/>
      <c r="D97" s="5"/>
      <c r="G97" s="194" t="s">
        <v>419</v>
      </c>
      <c r="H97" s="194" t="s">
        <v>42</v>
      </c>
      <c r="I97" s="151"/>
      <c r="J97" s="194" t="s">
        <v>419</v>
      </c>
      <c r="K97" s="194" t="s">
        <v>42</v>
      </c>
    </row>
    <row r="98" spans="1:11" x14ac:dyDescent="0.3">
      <c r="A98" s="187" t="s">
        <v>538</v>
      </c>
      <c r="B98" s="188">
        <v>5</v>
      </c>
      <c r="C98" s="193"/>
      <c r="D98" s="5"/>
      <c r="G98" s="178">
        <v>5</v>
      </c>
      <c r="H98" s="179">
        <f>8.053996037+0.500809115*B97</f>
        <v>99.300531239906803</v>
      </c>
      <c r="I98" s="151"/>
      <c r="J98" s="178">
        <v>5</v>
      </c>
      <c r="K98" s="179">
        <f>-0.018874907+0.250814212*B97</f>
        <v>45.679031019986425</v>
      </c>
    </row>
    <row r="99" spans="1:11" x14ac:dyDescent="0.3">
      <c r="A99" s="187" t="s">
        <v>539</v>
      </c>
      <c r="B99" s="188">
        <v>5</v>
      </c>
      <c r="C99" s="193"/>
      <c r="D99" s="5"/>
      <c r="G99" s="178">
        <v>10</v>
      </c>
      <c r="H99" s="179">
        <f>5.60006605+0.569848085*B97</f>
        <v>109.42537950952342</v>
      </c>
      <c r="I99" s="151"/>
      <c r="J99" s="178">
        <v>6</v>
      </c>
      <c r="K99" s="179">
        <f>-0.165278806+0.300675426*B97</f>
        <v>54.617252145254746</v>
      </c>
    </row>
    <row r="100" spans="1:11" x14ac:dyDescent="0.3">
      <c r="A100" s="185" t="s">
        <v>413</v>
      </c>
      <c r="B100" s="189"/>
      <c r="C100" s="193"/>
      <c r="D100" s="5"/>
      <c r="G100" s="178">
        <v>15</v>
      </c>
      <c r="H100" s="179">
        <f>7.432298547+0.630713342*B97</f>
        <v>122.3471542076163</v>
      </c>
      <c r="I100" s="151"/>
      <c r="J100" s="178">
        <v>7</v>
      </c>
      <c r="K100" s="179">
        <f>-0.143628177+0.35121065*B97</f>
        <v>63.846331228712451</v>
      </c>
    </row>
    <row r="101" spans="1:11" x14ac:dyDescent="0.3">
      <c r="A101" s="187" t="s">
        <v>543</v>
      </c>
      <c r="B101" s="188">
        <f>(VLOOKUP(B98+5,G98:H104,2)-VLOOKUP(B98,G98:H104,2))*(B98-(VLOOKUP(B98,G98:H104,1)))/5+VLOOKUP(B98,G98:H104,2)</f>
        <v>99.300531239906803</v>
      </c>
      <c r="C101" s="193"/>
      <c r="D101" s="5"/>
      <c r="G101" s="178">
        <v>20</v>
      </c>
      <c r="H101" s="179">
        <f>8.307959049+0.691964188*B97</f>
        <v>134.38261054469575</v>
      </c>
      <c r="I101" s="151"/>
      <c r="J101" s="178">
        <v>8</v>
      </c>
      <c r="K101" s="179">
        <f>-0.4215396+0.401517395*B97</f>
        <v>72.734219790375576</v>
      </c>
    </row>
    <row r="102" spans="1:11" x14ac:dyDescent="0.3">
      <c r="A102" s="187" t="s">
        <v>544</v>
      </c>
      <c r="B102" s="188">
        <f>(VLOOKUP(B99+5,J98:K108,2)-VLOOKUP(B99,J98:K108,2))*(B99-(VLOOKUP(B99,J98:K108,1)))/5+VLOOKUP(B99,J98:K108,2)</f>
        <v>45.679031019986425</v>
      </c>
      <c r="C102" s="193"/>
      <c r="D102" s="5"/>
      <c r="G102" s="178">
        <v>25</v>
      </c>
      <c r="H102" s="179">
        <f>11.40042933+0.74151255*B97</f>
        <v>146.50270476876111</v>
      </c>
      <c r="I102" s="151"/>
      <c r="J102" s="178">
        <v>9</v>
      </c>
      <c r="K102" s="179">
        <f>-0.302152726+0.451841229*B97</f>
        <v>82.022520234621268</v>
      </c>
    </row>
    <row r="103" spans="1:11" x14ac:dyDescent="0.3">
      <c r="A103" s="185" t="s">
        <v>820</v>
      </c>
      <c r="B103" s="258"/>
      <c r="D103" s="5"/>
      <c r="G103" s="178">
        <v>30</v>
      </c>
      <c r="H103" s="179">
        <f>15.01585205+0.788540291*B97</f>
        <v>158.68649874268624</v>
      </c>
      <c r="I103" s="151"/>
      <c r="J103" s="178">
        <v>10</v>
      </c>
      <c r="K103" s="179">
        <f>-0.4215396+0.501517395*B97</f>
        <v>90.954042966498633</v>
      </c>
    </row>
    <row r="104" spans="1:11" x14ac:dyDescent="0.3">
      <c r="A104" s="187" t="s">
        <v>823</v>
      </c>
      <c r="B104" s="255">
        <f>ROUND(0.4999999+B49/54.43,0)</f>
        <v>2</v>
      </c>
      <c r="D104" s="260"/>
      <c r="G104" s="178">
        <v>35</v>
      </c>
      <c r="H104" s="179">
        <f>16.01304491+0.844996697*B97</f>
        <v>169.96994894748033</v>
      </c>
      <c r="I104" s="151"/>
      <c r="J104" s="178">
        <v>11</v>
      </c>
      <c r="K104" s="179">
        <f>-0.544905009+0.552590674*B97</f>
        <v>100.13613868154661</v>
      </c>
    </row>
    <row r="105" spans="1:11" ht="16.8" x14ac:dyDescent="0.35">
      <c r="A105" s="187" t="s">
        <v>821</v>
      </c>
      <c r="B105" s="256">
        <f>B49/B104</f>
        <v>31.382566870005114</v>
      </c>
      <c r="D105" s="138"/>
      <c r="G105" s="195"/>
      <c r="H105" s="195"/>
      <c r="I105" s="151"/>
      <c r="J105" s="178">
        <v>12</v>
      </c>
      <c r="K105" s="179">
        <f>-0.704817419+0.602544412*B97</f>
        <v>109.07770900501042</v>
      </c>
    </row>
    <row r="106" spans="1:11" x14ac:dyDescent="0.3">
      <c r="A106" s="187" t="s">
        <v>822</v>
      </c>
      <c r="B106" s="188">
        <f>IF(AND(B105&gt;=0,B105&lt;=125.39),(-0.71*(B105^2)+97.3*B105+57.78)*1000,"O parametro z esta fora da validade da curva.")*B104</f>
        <v>4824098.4981455086</v>
      </c>
      <c r="D106" s="138"/>
      <c r="G106" s="151"/>
      <c r="H106" s="151"/>
      <c r="I106" s="151"/>
      <c r="J106" s="178">
        <v>13</v>
      </c>
      <c r="K106" s="179">
        <f>-0.828182828+0.653617691*B97</f>
        <v>118.25980472005841</v>
      </c>
    </row>
    <row r="107" spans="1:11" x14ac:dyDescent="0.3">
      <c r="D107" s="5"/>
      <c r="G107" s="151"/>
      <c r="H107" s="151"/>
      <c r="I107" s="151"/>
      <c r="J107" s="178">
        <v>14</v>
      </c>
      <c r="K107" s="179">
        <f>-0.559801382+0.702007772*B97</f>
        <v>127.34477335904113</v>
      </c>
    </row>
    <row r="108" spans="1:11" x14ac:dyDescent="0.3">
      <c r="A108" s="185" t="s">
        <v>617</v>
      </c>
      <c r="B108" s="177"/>
      <c r="D108" s="5"/>
      <c r="G108" s="151"/>
      <c r="H108" s="151"/>
      <c r="I108" s="198"/>
      <c r="J108" s="178">
        <v>15</v>
      </c>
      <c r="K108" s="179">
        <f>-0.68316679+0.753081051*B97</f>
        <v>136.52686907508911</v>
      </c>
    </row>
    <row r="109" spans="1:11" x14ac:dyDescent="0.3">
      <c r="A109" s="185" t="s">
        <v>934</v>
      </c>
      <c r="B109" s="190">
        <f>B10</f>
        <v>1</v>
      </c>
      <c r="D109" s="5" t="s">
        <v>936</v>
      </c>
    </row>
    <row r="110" spans="1:11" x14ac:dyDescent="0.3">
      <c r="A110" s="185" t="s">
        <v>420</v>
      </c>
      <c r="B110" s="151"/>
      <c r="D110" s="5"/>
    </row>
    <row r="111" spans="1:11" x14ac:dyDescent="0.3">
      <c r="A111" s="187" t="s">
        <v>421</v>
      </c>
      <c r="B111" s="196">
        <f>1/(1^2+0.2^2)^0.5</f>
        <v>0.98058067569092011</v>
      </c>
      <c r="D111" s="5"/>
    </row>
    <row r="112" spans="1:11" x14ac:dyDescent="0.3">
      <c r="A112" s="187" t="s">
        <v>628</v>
      </c>
      <c r="B112" s="197">
        <v>5</v>
      </c>
      <c r="D112" s="5"/>
    </row>
    <row r="113" spans="1:4" x14ac:dyDescent="0.3">
      <c r="A113" s="187" t="s">
        <v>422</v>
      </c>
      <c r="B113" s="199">
        <f>B28</f>
        <v>2</v>
      </c>
      <c r="D113" s="5"/>
    </row>
    <row r="114" spans="1:4" x14ac:dyDescent="0.3">
      <c r="A114" s="187" t="s">
        <v>423</v>
      </c>
      <c r="B114" s="200">
        <f>B113*B109</f>
        <v>2</v>
      </c>
      <c r="D114" s="5"/>
    </row>
    <row r="115" spans="1:4" x14ac:dyDescent="0.3">
      <c r="A115" s="185" t="s">
        <v>531</v>
      </c>
      <c r="B115" s="189"/>
      <c r="D115" s="5"/>
    </row>
    <row r="116" spans="1:4" x14ac:dyDescent="0.3">
      <c r="A116" s="187" t="s">
        <v>533</v>
      </c>
      <c r="B116" s="188">
        <f>(((B42-B44)*2*B114)/B111)+(B47*B114)</f>
        <v>262.44689441314995</v>
      </c>
      <c r="D116" s="5"/>
    </row>
    <row r="117" spans="1:4" x14ac:dyDescent="0.3">
      <c r="A117" s="187" t="s">
        <v>534</v>
      </c>
      <c r="B117" s="188"/>
      <c r="D117" s="5"/>
    </row>
    <row r="118" spans="1:4" x14ac:dyDescent="0.3">
      <c r="A118" s="185" t="s">
        <v>535</v>
      </c>
      <c r="B118" s="189"/>
      <c r="D118" s="5"/>
    </row>
    <row r="119" spans="1:4" x14ac:dyDescent="0.3">
      <c r="A119" s="187" t="s">
        <v>618</v>
      </c>
      <c r="B119" s="188"/>
      <c r="D119" s="5"/>
    </row>
    <row r="120" spans="1:4" x14ac:dyDescent="0.3">
      <c r="A120" s="187" t="s">
        <v>619</v>
      </c>
      <c r="B120" s="188"/>
      <c r="D120" s="5"/>
    </row>
    <row r="121" spans="1:4" x14ac:dyDescent="0.3">
      <c r="A121" s="187" t="s">
        <v>620</v>
      </c>
      <c r="B121" s="188"/>
    </row>
    <row r="122" spans="1:4" x14ac:dyDescent="0.3">
      <c r="A122" s="185" t="s">
        <v>536</v>
      </c>
      <c r="B122" s="189"/>
    </row>
    <row r="123" spans="1:4" x14ac:dyDescent="0.3">
      <c r="A123" s="187" t="s">
        <v>621</v>
      </c>
      <c r="B123" s="188"/>
    </row>
    <row r="124" spans="1:4" x14ac:dyDescent="0.3">
      <c r="A124" s="185" t="s">
        <v>413</v>
      </c>
      <c r="B124" s="189"/>
    </row>
    <row r="125" spans="1:4" x14ac:dyDescent="0.3">
      <c r="A125" s="187" t="s">
        <v>622</v>
      </c>
      <c r="B125" s="188">
        <f>(40*B116)/(1000)</f>
        <v>10.497875776525998</v>
      </c>
    </row>
    <row r="126" spans="1:4" x14ac:dyDescent="0.3">
      <c r="A126" s="187" t="s">
        <v>933</v>
      </c>
      <c r="B126" s="188">
        <f>(180*B46*B47*B109)/1000</f>
        <v>20.81196199365418</v>
      </c>
    </row>
    <row r="127" spans="1:4" x14ac:dyDescent="0.3">
      <c r="A127" s="185" t="s">
        <v>820</v>
      </c>
      <c r="B127" s="258"/>
    </row>
    <row r="128" spans="1:4" x14ac:dyDescent="0.3">
      <c r="A128" s="187" t="s">
        <v>822</v>
      </c>
      <c r="B128" s="188">
        <f>IF(AND(B9/B109&gt;=2,B9/B109&lt;=750),5.35*1000*B9,"Vazao fora da validade da curva.")*B109</f>
        <v>1042561.8424183435</v>
      </c>
      <c r="D128" s="138"/>
    </row>
    <row r="129" spans="3:8" x14ac:dyDescent="0.3">
      <c r="C129" s="201"/>
      <c r="D129" s="151"/>
      <c r="F129" s="151"/>
      <c r="G129" s="151"/>
      <c r="H129" s="151"/>
    </row>
    <row r="130" spans="3:8" x14ac:dyDescent="0.3">
      <c r="C130" s="201"/>
      <c r="D130" s="151"/>
      <c r="E130" s="194"/>
    </row>
    <row r="131" spans="3:8" x14ac:dyDescent="0.3">
      <c r="C131" s="151"/>
      <c r="D131" s="151"/>
    </row>
    <row r="132" spans="3:8" x14ac:dyDescent="0.3">
      <c r="C132" s="201"/>
    </row>
    <row r="133" spans="3:8" x14ac:dyDescent="0.3">
      <c r="C133" s="20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049" r:id="rId4">
          <objectPr defaultSize="0" autoLine="0" autoPict="0" r:id="rId5">
            <anchor moveWithCells="1">
              <from>
                <xdr:col>3</xdr:col>
                <xdr:colOff>15240</xdr:colOff>
                <xdr:row>51</xdr:row>
                <xdr:rowOff>7620</xdr:rowOff>
              </from>
              <to>
                <xdr:col>7</xdr:col>
                <xdr:colOff>76200</xdr:colOff>
                <xdr:row>52</xdr:row>
                <xdr:rowOff>15240</xdr:rowOff>
              </to>
            </anchor>
          </objectPr>
        </oleObject>
      </mc:Choice>
      <mc:Fallback>
        <oleObject progId="Equation.2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6"/>
  <sheetViews>
    <sheetView zoomScaleNormal="100" workbookViewId="0">
      <selection activeCell="F36" sqref="F36"/>
    </sheetView>
  </sheetViews>
  <sheetFormatPr defaultColWidth="9.109375" defaultRowHeight="14.4" x14ac:dyDescent="0.3"/>
  <cols>
    <col min="1" max="1" width="3.5546875" style="27" bestFit="1" customWidth="1"/>
    <col min="2" max="2" width="16" style="27" customWidth="1"/>
    <col min="3" max="3" width="7.44140625" style="27" customWidth="1"/>
    <col min="4" max="4" width="7.109375" style="27" customWidth="1"/>
    <col min="5" max="5" width="58.33203125" style="27" customWidth="1"/>
    <col min="6" max="6" width="8.109375" style="27" bestFit="1" customWidth="1"/>
    <col min="7" max="7" width="5.109375" style="27" bestFit="1" customWidth="1"/>
    <col min="8" max="8" width="35.44140625" style="27" bestFit="1" customWidth="1"/>
    <col min="9" max="9" width="13.33203125" style="27" bestFit="1" customWidth="1"/>
    <col min="10" max="10" width="68.5546875" style="27" bestFit="1" customWidth="1"/>
    <col min="11" max="11" width="10" style="27" customWidth="1"/>
    <col min="12" max="12" width="15.6640625" style="27" customWidth="1"/>
    <col min="13" max="13" width="14.33203125" style="27" customWidth="1"/>
    <col min="14" max="14" width="12" style="27" customWidth="1"/>
    <col min="15" max="15" width="13.33203125" style="27" bestFit="1" customWidth="1"/>
    <col min="16" max="16" width="9.109375" style="27"/>
    <col min="17" max="17" width="58.44140625" style="27" bestFit="1" customWidth="1"/>
    <col min="18" max="18" width="8.6640625" style="27" bestFit="1" customWidth="1"/>
    <col min="19" max="16384" width="9.109375" style="27"/>
  </cols>
  <sheetData>
    <row r="1" spans="1:7" x14ac:dyDescent="0.3">
      <c r="A1" s="27">
        <v>2</v>
      </c>
      <c r="B1" s="28" t="s">
        <v>76</v>
      </c>
    </row>
    <row r="2" spans="1:7" x14ac:dyDescent="0.3">
      <c r="A2" s="28"/>
      <c r="B2" s="28"/>
      <c r="G2" s="30" t="s">
        <v>104</v>
      </c>
    </row>
    <row r="3" spans="1:7" x14ac:dyDescent="0.3">
      <c r="A3" s="28"/>
      <c r="B3" s="28" t="s">
        <v>113</v>
      </c>
      <c r="E3" s="29" t="s">
        <v>251</v>
      </c>
    </row>
    <row r="4" spans="1:7" x14ac:dyDescent="0.3">
      <c r="A4" s="28"/>
      <c r="B4" s="31" t="s">
        <v>51</v>
      </c>
      <c r="C4" s="79">
        <f>iohsrf2!B8</f>
        <v>0</v>
      </c>
      <c r="D4" s="27" t="s">
        <v>1</v>
      </c>
      <c r="E4" s="29"/>
    </row>
    <row r="5" spans="1:7" x14ac:dyDescent="0.3">
      <c r="A5" s="28"/>
      <c r="B5" s="31" t="s">
        <v>25</v>
      </c>
      <c r="C5" s="79">
        <f>IF(hsrf2rout!D44&gt;0,iohsrf2!B9,0)</f>
        <v>1000</v>
      </c>
      <c r="D5" s="27" t="s">
        <v>1</v>
      </c>
      <c r="E5" s="160" t="s">
        <v>282</v>
      </c>
    </row>
    <row r="6" spans="1:7" x14ac:dyDescent="0.3">
      <c r="A6" s="28"/>
      <c r="B6" s="31" t="s">
        <v>120</v>
      </c>
      <c r="C6" s="32">
        <f>IF(hsrf2rout!D44&gt;0,iohsrf2!B10,iohsrf2!B9+iohsrf2!B10)</f>
        <v>400</v>
      </c>
      <c r="D6" s="27" t="s">
        <v>1</v>
      </c>
      <c r="E6" s="160" t="s">
        <v>283</v>
      </c>
    </row>
    <row r="7" spans="1:7" x14ac:dyDescent="0.3">
      <c r="A7" s="28"/>
      <c r="B7" s="31" t="s">
        <v>121</v>
      </c>
      <c r="C7" s="32">
        <f>iohsrf2!B11</f>
        <v>0</v>
      </c>
      <c r="D7" s="27" t="s">
        <v>1</v>
      </c>
      <c r="E7" s="29"/>
    </row>
    <row r="8" spans="1:7" x14ac:dyDescent="0.3">
      <c r="A8" s="28"/>
      <c r="B8" s="145" t="s">
        <v>555</v>
      </c>
      <c r="C8" s="79">
        <f>iohsrf2!B12</f>
        <v>0</v>
      </c>
      <c r="D8" s="27" t="s">
        <v>1</v>
      </c>
      <c r="E8" s="168"/>
    </row>
    <row r="9" spans="1:7" x14ac:dyDescent="0.3">
      <c r="A9" s="159"/>
      <c r="B9" s="145" t="s">
        <v>556</v>
      </c>
      <c r="C9" s="79">
        <f>iohsrf2!B13</f>
        <v>130</v>
      </c>
      <c r="D9" s="27" t="s">
        <v>1</v>
      </c>
      <c r="E9" s="169"/>
    </row>
    <row r="10" spans="1:7" x14ac:dyDescent="0.3">
      <c r="A10" s="28"/>
      <c r="E10" s="33"/>
    </row>
    <row r="11" spans="1:7" x14ac:dyDescent="0.3">
      <c r="A11" s="28"/>
      <c r="B11" s="28" t="s">
        <v>114</v>
      </c>
      <c r="E11" s="33"/>
    </row>
    <row r="12" spans="1:7" ht="15.6" x14ac:dyDescent="0.35">
      <c r="A12" s="28"/>
      <c r="B12" s="31" t="s">
        <v>115</v>
      </c>
      <c r="C12" s="161">
        <f>hsrf2intk!B26</f>
        <v>663.55666239458458</v>
      </c>
      <c r="D12" s="27" t="s">
        <v>1</v>
      </c>
      <c r="E12" s="97" t="s">
        <v>780</v>
      </c>
    </row>
    <row r="13" spans="1:7" x14ac:dyDescent="0.3">
      <c r="A13" s="28"/>
      <c r="B13" s="31" t="s">
        <v>116</v>
      </c>
      <c r="C13" s="34">
        <f>MIN(C14:C15)</f>
        <v>654.98001307272409</v>
      </c>
      <c r="D13" s="27" t="s">
        <v>1</v>
      </c>
      <c r="E13" s="35" t="s">
        <v>101</v>
      </c>
    </row>
    <row r="14" spans="1:7" x14ac:dyDescent="0.3">
      <c r="A14" s="28"/>
      <c r="B14" s="67" t="s">
        <v>100</v>
      </c>
      <c r="C14" s="34">
        <f>C12-0.5/100*C5</f>
        <v>658.55666239458458</v>
      </c>
      <c r="D14" s="27" t="s">
        <v>1</v>
      </c>
      <c r="E14" s="29" t="s">
        <v>98</v>
      </c>
    </row>
    <row r="15" spans="1:7" ht="15.6" x14ac:dyDescent="0.35">
      <c r="A15" s="28"/>
      <c r="B15" s="67" t="s">
        <v>99</v>
      </c>
      <c r="C15" s="34">
        <f>IF(hsrf2rout!C28="circuito com chamine",hsrf2stnk!B24-F38,9999)</f>
        <v>654.98001307272409</v>
      </c>
      <c r="D15" s="27" t="s">
        <v>1</v>
      </c>
      <c r="E15" s="97" t="s">
        <v>758</v>
      </c>
      <c r="G15" s="30" t="s">
        <v>103</v>
      </c>
    </row>
    <row r="16" spans="1:7" x14ac:dyDescent="0.3">
      <c r="A16" s="28"/>
      <c r="B16" s="31" t="s">
        <v>117</v>
      </c>
      <c r="C16" s="34">
        <f>C17+0.5/100*C7</f>
        <v>551.51742643230693</v>
      </c>
      <c r="D16" s="27" t="s">
        <v>1</v>
      </c>
      <c r="E16" s="29" t="s">
        <v>98</v>
      </c>
    </row>
    <row r="17" spans="1:6" ht="15.6" x14ac:dyDescent="0.35">
      <c r="A17" s="28"/>
      <c r="B17" s="31" t="s">
        <v>118</v>
      </c>
      <c r="C17" s="34">
        <f>hsrf2pwh!B36-F111/2</f>
        <v>551.51742643230693</v>
      </c>
      <c r="D17" s="27" t="s">
        <v>1</v>
      </c>
      <c r="E17" s="97" t="s">
        <v>800</v>
      </c>
    </row>
    <row r="18" spans="1:6" x14ac:dyDescent="0.3">
      <c r="A18" s="28"/>
      <c r="E18" s="33"/>
    </row>
    <row r="19" spans="1:6" ht="15" customHeight="1" x14ac:dyDescent="0.3">
      <c r="A19" s="28"/>
      <c r="B19" s="330" t="s">
        <v>90</v>
      </c>
      <c r="C19" s="330"/>
      <c r="D19" s="37" t="s">
        <v>91</v>
      </c>
      <c r="E19" s="37" t="s">
        <v>94</v>
      </c>
    </row>
    <row r="20" spans="1:6" ht="15" customHeight="1" x14ac:dyDescent="0.3">
      <c r="A20" s="28"/>
      <c r="B20" s="332" t="s">
        <v>4</v>
      </c>
      <c r="C20" s="332"/>
      <c r="D20" s="38">
        <v>2.2000000000000002</v>
      </c>
      <c r="E20" s="38">
        <f>0.8*D20</f>
        <v>1.7600000000000002</v>
      </c>
    </row>
    <row r="21" spans="1:6" ht="15" customHeight="1" x14ac:dyDescent="0.3">
      <c r="A21" s="28"/>
      <c r="B21" s="332" t="s">
        <v>5</v>
      </c>
      <c r="C21" s="332"/>
      <c r="D21" s="38">
        <v>3</v>
      </c>
      <c r="E21" s="38">
        <f t="shared" ref="E21:E23" si="0">0.8*D21</f>
        <v>2.4000000000000004</v>
      </c>
    </row>
    <row r="22" spans="1:6" ht="15" customHeight="1" x14ac:dyDescent="0.3">
      <c r="A22" s="28"/>
      <c r="B22" s="332" t="s">
        <v>8</v>
      </c>
      <c r="C22" s="332"/>
      <c r="D22" s="38">
        <v>4.5</v>
      </c>
      <c r="E22" s="38">
        <f t="shared" si="0"/>
        <v>3.6</v>
      </c>
      <c r="F22" s="34"/>
    </row>
    <row r="23" spans="1:6" x14ac:dyDescent="0.3">
      <c r="A23" s="28"/>
      <c r="B23" s="332" t="s">
        <v>6</v>
      </c>
      <c r="C23" s="332"/>
      <c r="D23" s="38">
        <v>7</v>
      </c>
      <c r="E23" s="38">
        <f t="shared" si="0"/>
        <v>5.6000000000000005</v>
      </c>
    </row>
    <row r="24" spans="1:6" x14ac:dyDescent="0.3">
      <c r="A24" s="28"/>
      <c r="B24" s="292" t="s">
        <v>935</v>
      </c>
      <c r="C24" s="39"/>
      <c r="D24" s="39"/>
      <c r="E24" s="39"/>
    </row>
    <row r="25" spans="1:6" x14ac:dyDescent="0.3">
      <c r="A25" s="28"/>
      <c r="B25" s="39"/>
      <c r="C25" s="39"/>
      <c r="D25" s="39"/>
      <c r="E25" s="39"/>
    </row>
    <row r="26" spans="1:6" x14ac:dyDescent="0.3">
      <c r="A26" s="28"/>
      <c r="B26" s="40" t="s">
        <v>83</v>
      </c>
      <c r="D26" s="41">
        <f>iohsrf2!B2</f>
        <v>1</v>
      </c>
      <c r="E26" s="27" t="s">
        <v>136</v>
      </c>
    </row>
    <row r="27" spans="1:6" x14ac:dyDescent="0.3">
      <c r="A27" s="28"/>
      <c r="B27" s="42"/>
      <c r="C27" s="331" t="s">
        <v>130</v>
      </c>
      <c r="D27" s="331"/>
    </row>
    <row r="28" spans="1:6" x14ac:dyDescent="0.3">
      <c r="A28" s="28"/>
      <c r="B28" s="42" t="s">
        <v>131</v>
      </c>
      <c r="C28" s="42" t="s">
        <v>134</v>
      </c>
      <c r="D28" s="42" t="s">
        <v>135</v>
      </c>
    </row>
    <row r="29" spans="1:6" x14ac:dyDescent="0.3">
      <c r="A29" s="28"/>
      <c r="B29" s="42">
        <v>1</v>
      </c>
      <c r="C29" s="43">
        <v>0.2</v>
      </c>
      <c r="D29" s="43">
        <v>0</v>
      </c>
    </row>
    <row r="30" spans="1:6" x14ac:dyDescent="0.3">
      <c r="A30" s="28"/>
      <c r="B30" s="42">
        <v>2</v>
      </c>
      <c r="C30" s="43">
        <v>0.8</v>
      </c>
      <c r="D30" s="43">
        <v>0.2</v>
      </c>
    </row>
    <row r="31" spans="1:6" x14ac:dyDescent="0.3">
      <c r="A31" s="28"/>
      <c r="B31" s="42">
        <v>3</v>
      </c>
      <c r="C31" s="43">
        <v>0</v>
      </c>
      <c r="D31" s="43">
        <v>1</v>
      </c>
    </row>
    <row r="32" spans="1:6" x14ac:dyDescent="0.3">
      <c r="A32" s="28"/>
      <c r="B32" s="44"/>
      <c r="C32" s="45"/>
      <c r="D32" s="45"/>
    </row>
    <row r="33" spans="1:13" x14ac:dyDescent="0.3">
      <c r="A33" s="46" t="s">
        <v>15</v>
      </c>
      <c r="B33" s="46" t="s">
        <v>68</v>
      </c>
      <c r="C33" s="47"/>
      <c r="K33" s="33"/>
    </row>
    <row r="34" spans="1:13" x14ac:dyDescent="0.3">
      <c r="B34" s="46" t="s">
        <v>21</v>
      </c>
      <c r="C34" s="48" t="s">
        <v>75</v>
      </c>
      <c r="D34" s="47"/>
      <c r="E34" s="47"/>
      <c r="F34" s="47"/>
      <c r="G34" s="47"/>
      <c r="H34" s="46"/>
    </row>
    <row r="35" spans="1:13" x14ac:dyDescent="0.3">
      <c r="B35" s="27" t="s">
        <v>16</v>
      </c>
      <c r="C35" s="49" t="s">
        <v>25</v>
      </c>
      <c r="F35" s="53">
        <f>C5</f>
        <v>1000</v>
      </c>
      <c r="G35" s="27" t="s">
        <v>1</v>
      </c>
    </row>
    <row r="36" spans="1:13" x14ac:dyDescent="0.3">
      <c r="B36" s="101" t="s">
        <v>925</v>
      </c>
      <c r="C36" s="49"/>
      <c r="F36" s="286">
        <f>IF(hsrf2rout!E38&lt;15,1,IF(hsrf2rout!E38&lt;21.2,2,3))</f>
        <v>1</v>
      </c>
      <c r="H36" s="290" t="s">
        <v>942</v>
      </c>
    </row>
    <row r="37" spans="1:13" x14ac:dyDescent="0.3">
      <c r="B37" s="27" t="s">
        <v>19</v>
      </c>
      <c r="C37" s="49" t="s">
        <v>20</v>
      </c>
    </row>
    <row r="38" spans="1:13" ht="16.8" x14ac:dyDescent="0.35">
      <c r="B38" s="27" t="s">
        <v>7</v>
      </c>
      <c r="C38" s="101" t="s">
        <v>759</v>
      </c>
      <c r="F38" s="50">
        <f>IF(LOOKUP(D26,B29:B31,F39:F41)&lt;3,3,LOOKUP(D26,B29:B31,F39:F41))</f>
        <v>10.752767600755471</v>
      </c>
      <c r="G38" s="27" t="s">
        <v>1</v>
      </c>
      <c r="H38" t="s">
        <v>286</v>
      </c>
    </row>
    <row r="39" spans="1:13" x14ac:dyDescent="0.3">
      <c r="C39" s="39" t="s">
        <v>82</v>
      </c>
      <c r="F39" s="78">
        <f>((F43/F45)/0.8927)^0.5</f>
        <v>10.752767600755471</v>
      </c>
      <c r="G39" s="27" t="s">
        <v>1</v>
      </c>
    </row>
    <row r="40" spans="1:13" x14ac:dyDescent="0.3">
      <c r="C40" s="39" t="s">
        <v>132</v>
      </c>
      <c r="F40" s="78">
        <f>((F43/F46)/0.8927)^0.5</f>
        <v>9.0932533455174394</v>
      </c>
      <c r="G40" s="27" t="s">
        <v>1</v>
      </c>
    </row>
    <row r="41" spans="1:13" x14ac:dyDescent="0.3">
      <c r="C41" s="39" t="s">
        <v>133</v>
      </c>
      <c r="F41" s="78">
        <f>((F43/F47)/0.8927)^0.5</f>
        <v>7.7869969413264197</v>
      </c>
      <c r="G41" s="27" t="s">
        <v>1</v>
      </c>
    </row>
    <row r="42" spans="1:13" ht="15.6" x14ac:dyDescent="0.35">
      <c r="E42" s="245" t="s">
        <v>781</v>
      </c>
    </row>
    <row r="43" spans="1:13" ht="15.6" x14ac:dyDescent="0.35">
      <c r="E43" s="246" t="s">
        <v>782</v>
      </c>
      <c r="F43" s="34">
        <f>hsrf2intk!B9/F36</f>
        <v>194.87137241464364</v>
      </c>
      <c r="G43" s="27" t="s">
        <v>0</v>
      </c>
    </row>
    <row r="44" spans="1:13" ht="15.6" x14ac:dyDescent="0.35">
      <c r="D44" s="27" t="s">
        <v>92</v>
      </c>
      <c r="F44" s="50">
        <f>LOOKUP(D26,B29:B31,F45:F47)</f>
        <v>1.8880000000000003</v>
      </c>
      <c r="G44" s="27" t="s">
        <v>3</v>
      </c>
      <c r="H44" s="33"/>
    </row>
    <row r="45" spans="1:13" x14ac:dyDescent="0.3">
      <c r="D45" s="39" t="s">
        <v>82</v>
      </c>
      <c r="F45" s="78">
        <f>(1-C29-D29)*E20+C29*E21+D29*E22</f>
        <v>1.8880000000000003</v>
      </c>
      <c r="G45" s="27" t="s">
        <v>3</v>
      </c>
    </row>
    <row r="46" spans="1:13" x14ac:dyDescent="0.3">
      <c r="D46" s="39" t="s">
        <v>132</v>
      </c>
      <c r="F46" s="78">
        <f>(1-C30-D30)*E20+C30*E21+D30*E22</f>
        <v>2.6400000000000006</v>
      </c>
      <c r="G46" s="27" t="s">
        <v>3</v>
      </c>
      <c r="I46" s="29"/>
    </row>
    <row r="47" spans="1:13" x14ac:dyDescent="0.3">
      <c r="D47" s="39" t="s">
        <v>133</v>
      </c>
      <c r="F47" s="78">
        <f>(1-C31-D31)*E20+C31*E21+D31*E22</f>
        <v>3.6</v>
      </c>
      <c r="G47" s="27" t="s">
        <v>3</v>
      </c>
      <c r="I47" s="29"/>
      <c r="M47" s="49"/>
    </row>
    <row r="48" spans="1:13" ht="15.6" x14ac:dyDescent="0.35">
      <c r="E48" s="117" t="s">
        <v>784</v>
      </c>
      <c r="F48" s="111">
        <f>1/((F38^2)*PI()/(4*F43))</f>
        <v>2.1459403377126312</v>
      </c>
      <c r="G48" s="12" t="s">
        <v>3</v>
      </c>
      <c r="H48" s="33"/>
      <c r="J48" s="49"/>
    </row>
    <row r="49" spans="2:10" ht="15.6" x14ac:dyDescent="0.35">
      <c r="E49" t="s">
        <v>785</v>
      </c>
      <c r="I49" s="29"/>
      <c r="J49" s="49"/>
    </row>
    <row r="50" spans="2:10" ht="15.6" x14ac:dyDescent="0.35">
      <c r="E50" s="101" t="s">
        <v>783</v>
      </c>
      <c r="H50" s="290" t="s">
        <v>932</v>
      </c>
    </row>
    <row r="52" spans="2:10" x14ac:dyDescent="0.3">
      <c r="B52" s="46" t="s">
        <v>22</v>
      </c>
      <c r="C52" s="47"/>
      <c r="D52" s="47"/>
      <c r="E52" s="47"/>
      <c r="F52" s="47"/>
      <c r="G52" s="47"/>
      <c r="H52" s="47"/>
    </row>
    <row r="53" spans="2:10" x14ac:dyDescent="0.3">
      <c r="B53" s="27" t="s">
        <v>16</v>
      </c>
      <c r="C53" s="49" t="s">
        <v>102</v>
      </c>
      <c r="F53" s="53">
        <f>C13+F38/2-C16+F111/2</f>
        <v>112.76713714908581</v>
      </c>
      <c r="G53" s="27" t="s">
        <v>1</v>
      </c>
      <c r="H53" s="33"/>
    </row>
    <row r="54" spans="2:10" x14ac:dyDescent="0.3">
      <c r="D54" s="103" t="s">
        <v>609</v>
      </c>
      <c r="F54" s="162">
        <f>hsrf2rout!D5</f>
        <v>720</v>
      </c>
      <c r="G54" s="29" t="s">
        <v>1</v>
      </c>
      <c r="H54" s="33"/>
    </row>
    <row r="55" spans="2:10" x14ac:dyDescent="0.3">
      <c r="B55" s="27" t="s">
        <v>19</v>
      </c>
      <c r="C55" s="49" t="s">
        <v>26</v>
      </c>
      <c r="H55" s="33"/>
      <c r="I55" s="33"/>
    </row>
    <row r="56" spans="2:10" ht="16.8" x14ac:dyDescent="0.35">
      <c r="B56" s="27" t="s">
        <v>18</v>
      </c>
      <c r="C56" s="101" t="s">
        <v>779</v>
      </c>
      <c r="F56" s="34">
        <f>(4/PI()*0.8927)^0.5*F62</f>
        <v>11.463786420594227</v>
      </c>
      <c r="G56" s="27" t="s">
        <v>1</v>
      </c>
      <c r="I56" s="33"/>
    </row>
    <row r="57" spans="2:10" x14ac:dyDescent="0.3">
      <c r="I57" s="33"/>
    </row>
    <row r="59" spans="2:10" x14ac:dyDescent="0.3">
      <c r="B59" s="46" t="s">
        <v>23</v>
      </c>
      <c r="C59" s="47"/>
      <c r="D59" s="47"/>
      <c r="E59" s="47"/>
      <c r="F59" s="47"/>
      <c r="G59" s="47"/>
      <c r="H59" s="47"/>
    </row>
    <row r="60" spans="2:10" x14ac:dyDescent="0.3">
      <c r="B60" s="27" t="s">
        <v>16</v>
      </c>
      <c r="C60" s="118" t="s">
        <v>120</v>
      </c>
      <c r="D60" s="77"/>
      <c r="E60" s="77"/>
      <c r="F60" s="164">
        <f>C6</f>
        <v>400</v>
      </c>
    </row>
    <row r="61" spans="2:10" x14ac:dyDescent="0.3">
      <c r="B61" s="27" t="s">
        <v>19</v>
      </c>
      <c r="C61" s="49" t="s">
        <v>20</v>
      </c>
      <c r="E61" s="49"/>
      <c r="F61" s="49"/>
    </row>
    <row r="62" spans="2:10" ht="15.6" x14ac:dyDescent="0.35">
      <c r="B62" s="27" t="s">
        <v>18</v>
      </c>
      <c r="C62" s="103" t="s">
        <v>760</v>
      </c>
      <c r="D62" s="121"/>
      <c r="F62" s="115">
        <f>IF(iohsrf2!B14=0,IF(C5&gt;0,F38,IF(((F63/F64)/0.8927)^0.5&lt;3,3,((F63/F64)/0.8927)^0.5)),iohsrf2!B14)</f>
        <v>10.752767600755471</v>
      </c>
      <c r="G62" s="27" t="s">
        <v>1</v>
      </c>
      <c r="H62" t="s">
        <v>786</v>
      </c>
    </row>
    <row r="63" spans="2:10" ht="15.6" x14ac:dyDescent="0.35">
      <c r="C63" s="145" t="s">
        <v>734</v>
      </c>
      <c r="F63" s="34">
        <f>F43</f>
        <v>194.87137241464364</v>
      </c>
      <c r="G63" s="27" t="s">
        <v>0</v>
      </c>
    </row>
    <row r="64" spans="2:10" ht="15.6" x14ac:dyDescent="0.35">
      <c r="C64" s="31" t="s">
        <v>119</v>
      </c>
      <c r="D64" s="31"/>
      <c r="F64" s="34">
        <f>E22</f>
        <v>3.6</v>
      </c>
      <c r="G64" s="27" t="s">
        <v>3</v>
      </c>
    </row>
    <row r="65" spans="2:9" x14ac:dyDescent="0.3">
      <c r="C65" s="31"/>
      <c r="D65" s="31"/>
      <c r="E65" s="117" t="s">
        <v>394</v>
      </c>
      <c r="F65" s="123">
        <f>1/((F62^2)*PI()/(4*F43))</f>
        <v>2.1459403377126312</v>
      </c>
      <c r="G65" s="12" t="s">
        <v>3</v>
      </c>
    </row>
    <row r="67" spans="2:9" x14ac:dyDescent="0.3">
      <c r="B67" s="46" t="s">
        <v>85</v>
      </c>
      <c r="C67" s="47"/>
      <c r="D67" s="47"/>
      <c r="E67" s="47"/>
      <c r="F67" s="47"/>
      <c r="G67" s="47"/>
      <c r="H67" s="47"/>
    </row>
    <row r="69" spans="2:9" x14ac:dyDescent="0.3">
      <c r="B69" s="27" t="s">
        <v>252</v>
      </c>
      <c r="F69" s="50">
        <f>LOOKUP(D26,B29:B31,F70:F72)</f>
        <v>1.3900990388928369</v>
      </c>
      <c r="G69" s="27" t="s">
        <v>1</v>
      </c>
    </row>
    <row r="70" spans="2:9" x14ac:dyDescent="0.3">
      <c r="C70" s="39" t="s">
        <v>82</v>
      </c>
      <c r="F70" s="78">
        <f>F74+F75+SUM(F79:F82)</f>
        <v>1.3900990388928369</v>
      </c>
      <c r="G70" s="27" t="s">
        <v>1</v>
      </c>
    </row>
    <row r="71" spans="2:9" x14ac:dyDescent="0.3">
      <c r="C71" s="39" t="s">
        <v>132</v>
      </c>
      <c r="F71" s="78">
        <f>F74+F75+SUM(F85:F88)</f>
        <v>0.64254671129226593</v>
      </c>
      <c r="G71" s="27" t="s">
        <v>1</v>
      </c>
    </row>
    <row r="72" spans="2:9" x14ac:dyDescent="0.3">
      <c r="C72" s="39" t="s">
        <v>133</v>
      </c>
      <c r="F72" s="78">
        <f>F74+F75+SUM(F91:F94)</f>
        <v>0.33483752075450068</v>
      </c>
      <c r="G72" s="27" t="s">
        <v>1</v>
      </c>
    </row>
    <row r="73" spans="2:9" x14ac:dyDescent="0.3">
      <c r="C73" s="39"/>
    </row>
    <row r="74" spans="2:9" ht="16.8" x14ac:dyDescent="0.35">
      <c r="B74" s="110" t="s">
        <v>395</v>
      </c>
      <c r="C74" s="92"/>
      <c r="D74" s="92"/>
      <c r="E74" s="92"/>
      <c r="F74" s="106">
        <f>0.2*F48^2/2/9.81</f>
        <v>4.6942506962509699E-2</v>
      </c>
      <c r="G74" s="92" t="s">
        <v>1</v>
      </c>
    </row>
    <row r="75" spans="2:9" ht="16.2" x14ac:dyDescent="0.3">
      <c r="B75" s="109" t="s">
        <v>388</v>
      </c>
      <c r="F75" s="34">
        <f>(2*(0.08-0.002*(1-5))*((0.0746*(90*PI()/180)^3)-(0.4698*(90*PI()/180)^2)+(1.1928*(90*PI()/180))))*F48^2/2/9.81</f>
        <v>4.1457886662667469E-2</v>
      </c>
      <c r="G75" s="101" t="s">
        <v>1</v>
      </c>
      <c r="H75" s="101" t="s">
        <v>84</v>
      </c>
      <c r="I75" s="3"/>
    </row>
    <row r="76" spans="2:9" ht="16.2" x14ac:dyDescent="0.3">
      <c r="B76" s="109"/>
      <c r="C76" s="101" t="s">
        <v>386</v>
      </c>
      <c r="F76" s="34"/>
      <c r="G76" s="101"/>
      <c r="I76" s="3"/>
    </row>
    <row r="77" spans="2:9" x14ac:dyDescent="0.3">
      <c r="B77" s="39"/>
      <c r="F77" s="34"/>
      <c r="I77" s="101"/>
    </row>
    <row r="78" spans="2:9" x14ac:dyDescent="0.3">
      <c r="B78" s="19" t="s">
        <v>82</v>
      </c>
      <c r="F78" s="34"/>
    </row>
    <row r="79" spans="2:9" ht="16.8" x14ac:dyDescent="0.35">
      <c r="B79" s="110" t="s">
        <v>396</v>
      </c>
      <c r="F79" s="111">
        <f>(1-C29-D29)*6.35*F35*F96^2*F48^2/(F56)^(4/3)</f>
        <v>1.1086581129669486</v>
      </c>
      <c r="G79" s="27" t="s">
        <v>1</v>
      </c>
    </row>
    <row r="80" spans="2:9" ht="16.8" x14ac:dyDescent="0.35">
      <c r="B80" s="110" t="s">
        <v>397</v>
      </c>
      <c r="F80" s="111">
        <f>C29*6.35*F35*F97^2*F48^2/(F56)^(4/3)</f>
        <v>0.10950827075020469</v>
      </c>
      <c r="G80" s="27" t="s">
        <v>1</v>
      </c>
    </row>
    <row r="81" spans="2:8" ht="16.8" x14ac:dyDescent="0.35">
      <c r="B81" s="110" t="s">
        <v>398</v>
      </c>
      <c r="F81" s="106">
        <f>D29*6.35*F35*F98^2*F48^2/(F56)^(4/3)</f>
        <v>0</v>
      </c>
      <c r="G81" s="27" t="s">
        <v>1</v>
      </c>
    </row>
    <row r="82" spans="2:8" ht="16.8" x14ac:dyDescent="0.35">
      <c r="B82" s="110" t="s">
        <v>787</v>
      </c>
      <c r="F82" s="106">
        <f>6.35*(F53+F60)*F98^2*F65^2/(F56)^(4/3)</f>
        <v>8.3532261550506595E-2</v>
      </c>
      <c r="G82" s="27" t="s">
        <v>1</v>
      </c>
    </row>
    <row r="83" spans="2:8" x14ac:dyDescent="0.3">
      <c r="B83" s="119"/>
      <c r="F83" s="106"/>
    </row>
    <row r="84" spans="2:8" x14ac:dyDescent="0.3">
      <c r="B84" s="19" t="s">
        <v>132</v>
      </c>
      <c r="F84" s="92"/>
    </row>
    <row r="85" spans="2:8" ht="16.8" x14ac:dyDescent="0.35">
      <c r="B85" s="110" t="s">
        <v>396</v>
      </c>
      <c r="F85" s="111">
        <f>(1-C30-D30)*6.35*F35*F96^2*F48^2/(F56)^(4/3)</f>
        <v>-7.6928610215836526E-17</v>
      </c>
      <c r="G85" s="27" t="s">
        <v>1</v>
      </c>
    </row>
    <row r="86" spans="2:8" ht="16.8" x14ac:dyDescent="0.35">
      <c r="B86" s="110" t="s">
        <v>397</v>
      </c>
      <c r="F86" s="111">
        <f>C30*6.35*F35*F97^2*F48^2/(F56)^(4/3)</f>
        <v>0.43803308300081878</v>
      </c>
      <c r="G86" s="27" t="s">
        <v>1</v>
      </c>
    </row>
    <row r="87" spans="2:8" ht="16.8" x14ac:dyDescent="0.35">
      <c r="B87" s="110" t="s">
        <v>398</v>
      </c>
      <c r="F87" s="106">
        <f>D30*6.35*F35*F98^2*F48^2/(F56)^(4/3)</f>
        <v>3.2580973115763384E-2</v>
      </c>
      <c r="G87" s="27" t="s">
        <v>1</v>
      </c>
    </row>
    <row r="88" spans="2:8" ht="16.8" x14ac:dyDescent="0.35">
      <c r="B88" s="110" t="s">
        <v>787</v>
      </c>
      <c r="F88" s="106">
        <f>6.35*(F53+F60)*F98^2*F65^2/(F56)^(4/3)</f>
        <v>8.3532261550506595E-2</v>
      </c>
      <c r="G88" s="27" t="s">
        <v>1</v>
      </c>
    </row>
    <row r="89" spans="2:8" x14ac:dyDescent="0.3">
      <c r="B89" s="119"/>
      <c r="F89" s="106"/>
    </row>
    <row r="90" spans="2:8" x14ac:dyDescent="0.3">
      <c r="B90" s="19" t="s">
        <v>133</v>
      </c>
      <c r="F90" s="92"/>
    </row>
    <row r="91" spans="2:8" ht="16.8" x14ac:dyDescent="0.35">
      <c r="B91" s="110" t="s">
        <v>396</v>
      </c>
      <c r="F91" s="111">
        <f>(1-C31-D31)*6.35*F35*F96^2*F48^2/(F56)^(4/3)</f>
        <v>0</v>
      </c>
      <c r="G91" s="27" t="s">
        <v>1</v>
      </c>
    </row>
    <row r="92" spans="2:8" ht="16.8" x14ac:dyDescent="0.35">
      <c r="B92" s="110" t="s">
        <v>397</v>
      </c>
      <c r="F92" s="111">
        <f>C31*6.35*F35*F97^2*F48^2/(F56)^(4/3)</f>
        <v>0</v>
      </c>
      <c r="G92" s="27" t="s">
        <v>1</v>
      </c>
    </row>
    <row r="93" spans="2:8" ht="16.8" x14ac:dyDescent="0.35">
      <c r="B93" s="110" t="s">
        <v>398</v>
      </c>
      <c r="F93" s="106">
        <f>D31*6.35*F35*F98^2*F48^2/(F56)^(4/3)</f>
        <v>0.16290486557881695</v>
      </c>
      <c r="G93" s="27" t="s">
        <v>1</v>
      </c>
    </row>
    <row r="94" spans="2:8" ht="16.8" x14ac:dyDescent="0.35">
      <c r="B94" s="110" t="s">
        <v>787</v>
      </c>
      <c r="F94" s="106">
        <f>6.35*(F53+F60)*F98^2*F65^2/(F56)^(4/3)</f>
        <v>8.3532261550506595E-2</v>
      </c>
      <c r="G94" s="27" t="s">
        <v>1</v>
      </c>
    </row>
    <row r="95" spans="2:8" x14ac:dyDescent="0.3">
      <c r="F95" s="54"/>
    </row>
    <row r="96" spans="2:8" ht="15.6" x14ac:dyDescent="0.35">
      <c r="C96" s="27" t="s">
        <v>87</v>
      </c>
      <c r="F96" s="27">
        <v>3.5000000000000003E-2</v>
      </c>
      <c r="H96" s="27" t="s">
        <v>84</v>
      </c>
    </row>
    <row r="97" spans="1:15" ht="15.6" x14ac:dyDescent="0.35">
      <c r="C97" s="27" t="s">
        <v>88</v>
      </c>
      <c r="F97" s="27">
        <v>2.1999999999999999E-2</v>
      </c>
      <c r="H97" s="27" t="s">
        <v>84</v>
      </c>
    </row>
    <row r="98" spans="1:15" ht="15.6" x14ac:dyDescent="0.35">
      <c r="C98" s="27" t="s">
        <v>89</v>
      </c>
      <c r="F98" s="27">
        <v>1.2E-2</v>
      </c>
      <c r="H98" s="27" t="s">
        <v>84</v>
      </c>
    </row>
    <row r="100" spans="1:15" ht="15.6" x14ac:dyDescent="0.35">
      <c r="C100" s="101" t="s">
        <v>778</v>
      </c>
      <c r="F100" s="55">
        <f>F69/hsrf2rout!D14</f>
        <v>1.3900990388928369E-2</v>
      </c>
    </row>
    <row r="102" spans="1:15" x14ac:dyDescent="0.3">
      <c r="A102" s="48" t="s">
        <v>17</v>
      </c>
      <c r="B102" s="48" t="s">
        <v>69</v>
      </c>
      <c r="C102" s="56"/>
      <c r="D102" s="56"/>
      <c r="E102" s="56"/>
      <c r="F102" s="56"/>
      <c r="G102" s="56"/>
      <c r="H102" s="56"/>
      <c r="J102" s="46" t="s">
        <v>33</v>
      </c>
      <c r="K102" s="47"/>
      <c r="L102" s="47"/>
    </row>
    <row r="103" spans="1:15" x14ac:dyDescent="0.3">
      <c r="J103" s="58"/>
    </row>
    <row r="104" spans="1:15" x14ac:dyDescent="0.3">
      <c r="B104" s="27" t="s">
        <v>16</v>
      </c>
      <c r="C104" s="49" t="s">
        <v>81</v>
      </c>
      <c r="F104" s="34">
        <f>C7</f>
        <v>0</v>
      </c>
      <c r="G104" s="27" t="s">
        <v>1</v>
      </c>
      <c r="H104" s="5"/>
      <c r="J104" s="51" t="s">
        <v>34</v>
      </c>
    </row>
    <row r="105" spans="1:15" ht="15.6" x14ac:dyDescent="0.35">
      <c r="B105" s="27" t="s">
        <v>27</v>
      </c>
      <c r="E105" s="27" t="s">
        <v>12</v>
      </c>
      <c r="H105" s="33"/>
      <c r="J105" s="109" t="s">
        <v>795</v>
      </c>
      <c r="K105" s="59">
        <f>MAX(K106,K107)</f>
        <v>44.649324133067871</v>
      </c>
      <c r="L105" s="27" t="s">
        <v>39</v>
      </c>
    </row>
    <row r="106" spans="1:15" ht="15.6" x14ac:dyDescent="0.35">
      <c r="B106" s="31" t="s">
        <v>29</v>
      </c>
      <c r="C106" s="27" t="s">
        <v>26</v>
      </c>
      <c r="H106" s="33"/>
      <c r="J106" s="249" t="s">
        <v>796</v>
      </c>
      <c r="K106" s="59">
        <f>(1000*F107+500)/400</f>
        <v>17.890833541454416</v>
      </c>
      <c r="L106" s="27" t="s">
        <v>39</v>
      </c>
    </row>
    <row r="107" spans="1:15" ht="16.8" x14ac:dyDescent="0.35">
      <c r="B107" s="31" t="s">
        <v>18</v>
      </c>
      <c r="C107" s="245" t="s">
        <v>765</v>
      </c>
      <c r="F107" s="34">
        <f>IF(iohsrf2!B15=0,IF((((4/PI()*F43/E23)^0.5)+1.2)&lt;3,3-1.2,(4/PI()*F43/F108)^0.5),iohsrf2!B15)</f>
        <v>6.6563334165817656</v>
      </c>
      <c r="G107" s="27" t="s">
        <v>1</v>
      </c>
      <c r="H107"/>
      <c r="J107" s="249" t="s">
        <v>797</v>
      </c>
      <c r="K107" s="163">
        <f>10*(0.15+(1.3*(hsrf2rout!D5-hsrf2pwh!B36)/10)*(F107/2*100)/(3300/2))</f>
        <v>44.649324133067871</v>
      </c>
      <c r="L107" s="27" t="s">
        <v>39</v>
      </c>
      <c r="O107" s="62"/>
    </row>
    <row r="108" spans="1:15" ht="15.6" x14ac:dyDescent="0.35">
      <c r="C108" s="27" t="s">
        <v>93</v>
      </c>
      <c r="F108" s="114">
        <f>E23</f>
        <v>5.6000000000000005</v>
      </c>
      <c r="G108" s="27" t="s">
        <v>3</v>
      </c>
      <c r="J108" s="63"/>
      <c r="M108" s="60"/>
      <c r="N108" s="61"/>
    </row>
    <row r="109" spans="1:15" ht="15.6" x14ac:dyDescent="0.35">
      <c r="E109" s="117" t="s">
        <v>394</v>
      </c>
      <c r="F109" s="120">
        <f>1/((F107^2)*PI()/(4*F43))</f>
        <v>5.5999999999999988</v>
      </c>
      <c r="G109" s="12" t="s">
        <v>3</v>
      </c>
      <c r="J109" s="248" t="s">
        <v>798</v>
      </c>
      <c r="K109" s="52">
        <f>1*(K105/1000*F107*PI()*F104)*7.84</f>
        <v>0</v>
      </c>
      <c r="L109" s="27" t="s">
        <v>40</v>
      </c>
    </row>
    <row r="110" spans="1:15" x14ac:dyDescent="0.3">
      <c r="B110" s="31" t="s">
        <v>28</v>
      </c>
      <c r="C110" s="49" t="s">
        <v>20</v>
      </c>
      <c r="H110" s="33"/>
    </row>
    <row r="111" spans="1:15" ht="15.6" x14ac:dyDescent="0.35">
      <c r="B111" s="31" t="s">
        <v>7</v>
      </c>
      <c r="C111" s="101" t="s">
        <v>763</v>
      </c>
      <c r="F111" s="34">
        <f>F107+1.2</f>
        <v>7.8563334165817658</v>
      </c>
      <c r="G111" s="27" t="s">
        <v>1</v>
      </c>
      <c r="H111" s="33"/>
    </row>
    <row r="112" spans="1:15" ht="15.6" x14ac:dyDescent="0.35">
      <c r="C112" t="s">
        <v>764</v>
      </c>
      <c r="H112" s="29"/>
      <c r="O112" s="57"/>
    </row>
    <row r="113" spans="1:17" s="92" customFormat="1" x14ac:dyDescent="0.3">
      <c r="A113" s="27"/>
      <c r="B113" s="27"/>
      <c r="C113" s="49"/>
      <c r="D113" s="27"/>
      <c r="E113" s="27"/>
      <c r="F113" s="27"/>
      <c r="G113" s="27"/>
      <c r="H113" s="33"/>
      <c r="I113" s="27"/>
      <c r="J113" s="27"/>
      <c r="K113" s="27"/>
      <c r="L113" s="27"/>
      <c r="M113" s="27"/>
      <c r="N113" s="64"/>
      <c r="O113" s="57"/>
      <c r="P113" s="27"/>
      <c r="Q113" s="27"/>
    </row>
    <row r="114" spans="1:17" x14ac:dyDescent="0.3">
      <c r="C114" s="31"/>
      <c r="D114" s="35"/>
      <c r="N114" s="64"/>
      <c r="O114" s="108"/>
      <c r="P114" s="92"/>
      <c r="Q114" s="92"/>
    </row>
    <row r="115" spans="1:17" x14ac:dyDescent="0.3">
      <c r="A115" s="92"/>
      <c r="B115" s="46" t="s">
        <v>24</v>
      </c>
      <c r="C115" s="47"/>
      <c r="D115" s="47"/>
      <c r="E115" s="47"/>
      <c r="F115" s="47"/>
      <c r="G115" s="47"/>
      <c r="H115" s="47"/>
      <c r="I115" s="92"/>
      <c r="J115" s="92"/>
      <c r="K115" s="92"/>
      <c r="L115" s="92"/>
      <c r="M115" s="92"/>
      <c r="N115" s="107"/>
    </row>
    <row r="116" spans="1:17" ht="16.8" x14ac:dyDescent="0.35">
      <c r="B116" s="11" t="s">
        <v>400</v>
      </c>
      <c r="C116" s="92"/>
      <c r="D116" s="92"/>
      <c r="E116" s="92"/>
      <c r="F116" s="111">
        <f>0.1*((MIN(F108,F109)-F65)^2/(2*9.81))</f>
        <v>6.0807992612847729E-2</v>
      </c>
      <c r="G116" t="s">
        <v>1</v>
      </c>
    </row>
    <row r="117" spans="1:17" ht="16.8" x14ac:dyDescent="0.35">
      <c r="B117" s="103" t="s">
        <v>766</v>
      </c>
      <c r="F117" s="34">
        <f>6.35*F104*F118^2*E23^2/F107^(4/3)</f>
        <v>0</v>
      </c>
      <c r="G117" s="27" t="s">
        <v>1</v>
      </c>
    </row>
    <row r="118" spans="1:17" ht="15.6" x14ac:dyDescent="0.35">
      <c r="B118" s="49"/>
      <c r="C118" s="27" t="s">
        <v>86</v>
      </c>
      <c r="F118" s="65">
        <v>0.01</v>
      </c>
    </row>
    <row r="119" spans="1:17" x14ac:dyDescent="0.3">
      <c r="B119" s="49"/>
      <c r="F119" s="65"/>
    </row>
    <row r="120" spans="1:17" ht="15.6" x14ac:dyDescent="0.35">
      <c r="B120" s="49"/>
      <c r="C120" s="101" t="s">
        <v>777</v>
      </c>
      <c r="F120" s="55">
        <f>F117/hsrf2rout!D14</f>
        <v>0</v>
      </c>
    </row>
    <row r="121" spans="1:17" x14ac:dyDescent="0.3">
      <c r="B121" s="49"/>
      <c r="F121" s="55"/>
    </row>
    <row r="122" spans="1:17" x14ac:dyDescent="0.3">
      <c r="B122" s="46" t="s">
        <v>137</v>
      </c>
      <c r="C122" s="51"/>
      <c r="D122" s="51"/>
      <c r="E122" s="47"/>
      <c r="F122" s="66"/>
      <c r="G122" s="47"/>
      <c r="H122" s="47"/>
    </row>
    <row r="123" spans="1:17" ht="15.6" x14ac:dyDescent="0.35">
      <c r="B123" s="27" t="s">
        <v>138</v>
      </c>
      <c r="C123" s="31"/>
      <c r="D123" s="246" t="s">
        <v>767</v>
      </c>
      <c r="E123" s="103" t="s">
        <v>768</v>
      </c>
      <c r="F123" s="161">
        <f>0.3*(hsrf2rout!D5-hsrf2pwh!B36)</f>
        <v>49.366322057820661</v>
      </c>
      <c r="G123" s="27" t="s">
        <v>1</v>
      </c>
    </row>
    <row r="124" spans="1:17" ht="15.6" x14ac:dyDescent="0.35">
      <c r="B124" s="27" t="s">
        <v>139</v>
      </c>
      <c r="C124" s="31"/>
      <c r="D124" s="246" t="s">
        <v>769</v>
      </c>
      <c r="E124" s="49" t="s">
        <v>140</v>
      </c>
      <c r="F124" s="34">
        <f>IF(D127&lt;3,1/F128,1/F129)*2*(F53*F63/(PI()/4*F56^2)+F60*F63/(0.8927*F62^2)+F104*F63/(0.8927*F107^2))/9.81</f>
        <v>19.737091843781332</v>
      </c>
      <c r="G124" s="27" t="s">
        <v>1</v>
      </c>
    </row>
    <row r="125" spans="1:17" ht="15.6" x14ac:dyDescent="0.35">
      <c r="C125" s="31" t="s">
        <v>146</v>
      </c>
      <c r="D125" s="101" t="s">
        <v>770</v>
      </c>
      <c r="E125" s="49"/>
      <c r="F125" s="34"/>
      <c r="H125" s="96"/>
    </row>
    <row r="126" spans="1:17" x14ac:dyDescent="0.3">
      <c r="C126" s="31"/>
      <c r="E126" s="49"/>
      <c r="F126" s="34"/>
    </row>
    <row r="127" spans="1:17" ht="15.6" x14ac:dyDescent="0.35">
      <c r="C127" s="27" t="s">
        <v>143</v>
      </c>
      <c r="D127" s="161">
        <f>(F53+F60+F104)/hsrf2rout!D14</f>
        <v>5.1276713714908579</v>
      </c>
      <c r="F127" s="67" t="s">
        <v>145</v>
      </c>
      <c r="G127" s="27" t="s">
        <v>144</v>
      </c>
    </row>
    <row r="128" spans="1:17" x14ac:dyDescent="0.3">
      <c r="B128" s="101"/>
      <c r="C128" s="101"/>
      <c r="D128" s="101"/>
      <c r="E128" s="101"/>
      <c r="F128" s="67">
        <v>6</v>
      </c>
      <c r="G128" s="27" t="s">
        <v>142</v>
      </c>
    </row>
    <row r="129" spans="1:13" ht="15.6" x14ac:dyDescent="0.35">
      <c r="B129" s="101"/>
      <c r="C129" s="101" t="s">
        <v>771</v>
      </c>
      <c r="D129" s="34">
        <f>F62*(hsrf2tunl!F124/hsrf2tunl!F123)^0.5</f>
        <v>6.7990221253886691</v>
      </c>
      <c r="E129" s="101" t="s">
        <v>1</v>
      </c>
      <c r="F129" s="67">
        <v>10</v>
      </c>
      <c r="G129" s="27" t="s">
        <v>141</v>
      </c>
    </row>
    <row r="130" spans="1:13" ht="15.6" x14ac:dyDescent="0.35">
      <c r="B130" s="121"/>
      <c r="C130" s="112" t="s">
        <v>772</v>
      </c>
      <c r="D130" s="113">
        <f>F107*(hsrf2tunl!F124/hsrf2tunl!F123)^0.5</f>
        <v>4.2088288200447792</v>
      </c>
      <c r="E130" s="112" t="s">
        <v>1</v>
      </c>
    </row>
    <row r="131" spans="1:13" ht="15" customHeight="1" x14ac:dyDescent="0.3"/>
    <row r="132" spans="1:13" ht="15" customHeight="1" x14ac:dyDescent="0.3">
      <c r="A132" s="46" t="s">
        <v>31</v>
      </c>
      <c r="B132" s="104" t="s">
        <v>563</v>
      </c>
      <c r="C132" s="47"/>
      <c r="D132" s="47"/>
      <c r="E132" s="47"/>
      <c r="F132" s="47"/>
      <c r="G132" s="47"/>
      <c r="H132" s="47"/>
      <c r="J132" s="104" t="s">
        <v>565</v>
      </c>
      <c r="K132" s="47"/>
      <c r="L132" s="47"/>
    </row>
    <row r="133" spans="1:13" ht="15" customHeight="1" x14ac:dyDescent="0.3"/>
    <row r="134" spans="1:13" ht="15" customHeight="1" x14ac:dyDescent="0.3">
      <c r="B134" s="27" t="s">
        <v>16</v>
      </c>
      <c r="C134" s="101" t="s">
        <v>564</v>
      </c>
      <c r="F134" s="34">
        <f>20+ROUNDUP(F107,0)</f>
        <v>27</v>
      </c>
      <c r="G134" s="27" t="s">
        <v>1</v>
      </c>
      <c r="J134" s="51" t="s">
        <v>34</v>
      </c>
    </row>
    <row r="135" spans="1:13" ht="15" customHeight="1" x14ac:dyDescent="0.35">
      <c r="B135" s="27" t="s">
        <v>27</v>
      </c>
      <c r="C135" s="27" t="s">
        <v>26</v>
      </c>
      <c r="J135" s="109" t="s">
        <v>789</v>
      </c>
      <c r="K135" s="59">
        <f>MAX(K136,K137)</f>
        <v>34.772677393526685</v>
      </c>
      <c r="L135" s="27" t="s">
        <v>39</v>
      </c>
    </row>
    <row r="136" spans="1:13" ht="15" customHeight="1" x14ac:dyDescent="0.35">
      <c r="B136" s="27" t="s">
        <v>18</v>
      </c>
      <c r="C136" s="101" t="s">
        <v>773</v>
      </c>
      <c r="F136" s="111">
        <f>IF(F107&gt;1.8,F107/F137^(3/8),(4/PI()*F43/MIN(F108,F109))^0.5/F137^(3/8))</f>
        <v>5.1327347262885121</v>
      </c>
      <c r="G136" s="12" t="s">
        <v>1</v>
      </c>
      <c r="H136"/>
      <c r="J136" s="249" t="s">
        <v>794</v>
      </c>
      <c r="K136" s="59">
        <f>(1000*F136+500)/400</f>
        <v>14.081836815721282</v>
      </c>
      <c r="L136" s="27" t="s">
        <v>39</v>
      </c>
    </row>
    <row r="137" spans="1:13" ht="15" customHeight="1" x14ac:dyDescent="0.35">
      <c r="C137" s="146" t="s">
        <v>889</v>
      </c>
      <c r="D137" s="29"/>
      <c r="E137" s="29"/>
      <c r="F137" s="68">
        <f>hsrf2pwh!B10</f>
        <v>2</v>
      </c>
      <c r="G137" s="33"/>
      <c r="H137" s="287"/>
      <c r="J137" s="249" t="s">
        <v>790</v>
      </c>
      <c r="K137" s="163">
        <f>10*(0.15+(1.3*(hsrf2rout!D5-hsrf2pwh!B36)/10)*(F136/2*100)/(3300/2))</f>
        <v>34.772677393526685</v>
      </c>
      <c r="L137" s="27" t="s">
        <v>39</v>
      </c>
    </row>
    <row r="138" spans="1:13" ht="15" customHeight="1" x14ac:dyDescent="0.3">
      <c r="J138" s="63"/>
    </row>
    <row r="139" spans="1:13" ht="15" customHeight="1" x14ac:dyDescent="0.35">
      <c r="B139" s="46" t="s">
        <v>24</v>
      </c>
      <c r="C139" s="47"/>
      <c r="D139" s="47"/>
      <c r="E139" s="47"/>
      <c r="F139" s="47"/>
      <c r="G139" s="47"/>
      <c r="H139" s="47"/>
      <c r="J139" s="248" t="s">
        <v>791</v>
      </c>
      <c r="K139" s="52">
        <f>F137*(K135/1000*F136*PI()*F134)*7.84</f>
        <v>237.38137761223484</v>
      </c>
      <c r="L139" s="27" t="s">
        <v>40</v>
      </c>
    </row>
    <row r="140" spans="1:13" ht="16.8" x14ac:dyDescent="0.35">
      <c r="B140" s="102" t="s">
        <v>385</v>
      </c>
      <c r="F140" s="111">
        <f>0.1*(MIN(F108,F109)^2/(2*9.81))</f>
        <v>0.15983690112130472</v>
      </c>
      <c r="G140" s="12" t="s">
        <v>1</v>
      </c>
      <c r="H140" s="12" t="s">
        <v>391</v>
      </c>
      <c r="J140" s="36"/>
    </row>
    <row r="141" spans="1:13" ht="16.8" x14ac:dyDescent="0.35">
      <c r="B141" s="103" t="s">
        <v>774</v>
      </c>
      <c r="F141" s="34">
        <f>6.35*F134*F142^2*(hsrf2intk!B9/F137/(PI()*F136^2/4))^2/F136^(4/3)</f>
        <v>4.2940469297262369E-2</v>
      </c>
      <c r="G141" s="27" t="s">
        <v>1</v>
      </c>
      <c r="J141" s="51" t="s">
        <v>77</v>
      </c>
    </row>
    <row r="142" spans="1:13" ht="15.6" x14ac:dyDescent="0.35">
      <c r="B142" s="49"/>
      <c r="C142" s="27" t="s">
        <v>86</v>
      </c>
      <c r="F142" s="65">
        <v>0.01</v>
      </c>
      <c r="J142" s="248" t="s">
        <v>792</v>
      </c>
      <c r="K142" s="164">
        <f>hsrf2pwh!B46</f>
        <v>3.2260964524026883</v>
      </c>
      <c r="L142" s="27" t="s">
        <v>1</v>
      </c>
    </row>
    <row r="143" spans="1:13" ht="15.6" x14ac:dyDescent="0.35">
      <c r="J143" s="248" t="s">
        <v>788</v>
      </c>
      <c r="K143" s="69">
        <f>1.3*(hsrf2rout!D5-hsrf2pwh!B36)</f>
        <v>213.92072891722287</v>
      </c>
      <c r="L143" s="27" t="s">
        <v>1</v>
      </c>
    </row>
    <row r="144" spans="1:13" ht="16.8" x14ac:dyDescent="0.35">
      <c r="B144" s="11" t="s">
        <v>384</v>
      </c>
      <c r="F144" s="34">
        <f>0.1*((hsrf2intk!B9/F137/(PI()*F136^2/4))-(hsrf2intk!B9/F137/(PI()*K136^2/4)))^2/(2*9.81)</f>
        <v>8.4985563505846268E-2</v>
      </c>
      <c r="G144" s="101" t="s">
        <v>1</v>
      </c>
      <c r="J144" s="250" t="s">
        <v>793</v>
      </c>
      <c r="M144" s="71"/>
    </row>
    <row r="145" spans="2:15" ht="16.8" x14ac:dyDescent="0.35">
      <c r="B145" s="102" t="s">
        <v>383</v>
      </c>
      <c r="F145" s="34">
        <f>0.2*(hsrf2intk!B9/F137/(PI()*K142^2/4))^2/(2*9.81)</f>
        <v>1.4483647140062212</v>
      </c>
      <c r="G145" s="101" t="s">
        <v>1</v>
      </c>
      <c r="J145" s="36"/>
      <c r="K145" s="10" t="s">
        <v>799</v>
      </c>
      <c r="L145" s="106">
        <f>(217*((K142/1.6)^2)*K143/203)*0.1</f>
        <v>92.967530632104669</v>
      </c>
      <c r="M145" s="129" t="s">
        <v>40</v>
      </c>
    </row>
    <row r="146" spans="2:15" x14ac:dyDescent="0.3">
      <c r="K146" s="67" t="s">
        <v>45</v>
      </c>
      <c r="L146" s="71">
        <f>IF(K142&gt;=2,2.528*(K143)^0.35*(10.2*(K142)^2+9.2*(K142)-1.97),2.528*(K143)^0.35*(9.6*(K142)^2+8.6*(K142)-1.85))*1000</f>
        <v>2213320.613332374</v>
      </c>
      <c r="M146" s="36"/>
      <c r="N146" s="36"/>
    </row>
    <row r="147" spans="2:15" ht="15.6" x14ac:dyDescent="0.35">
      <c r="C147" t="s">
        <v>775</v>
      </c>
      <c r="D147" s="92"/>
      <c r="E147" s="92"/>
      <c r="F147" s="55">
        <f>(F140+F141+F144+F145)/hsrf2rout!D14</f>
        <v>1.7361276479306346E-2</v>
      </c>
      <c r="G147"/>
      <c r="J147" s="36"/>
      <c r="K147" s="36"/>
      <c r="L147" s="36"/>
      <c r="M147" s="36"/>
      <c r="N147" s="36"/>
    </row>
    <row r="148" spans="2:15" x14ac:dyDescent="0.3">
      <c r="J148" s="36"/>
      <c r="K148" s="36"/>
      <c r="L148" s="71"/>
      <c r="M148" s="36"/>
      <c r="O148" s="36"/>
    </row>
    <row r="149" spans="2:15" ht="15.6" x14ac:dyDescent="0.35">
      <c r="C149" s="1" t="s">
        <v>776</v>
      </c>
      <c r="D149" s="1"/>
      <c r="E149" s="92"/>
      <c r="F149" s="105"/>
      <c r="J149" s="36"/>
      <c r="K149" s="36"/>
      <c r="L149" s="36"/>
      <c r="M149" s="36"/>
      <c r="N149" s="71"/>
    </row>
    <row r="150" spans="2:15" x14ac:dyDescent="0.3">
      <c r="C150" t="s">
        <v>392</v>
      </c>
      <c r="D150" s="92"/>
      <c r="E150" s="92"/>
      <c r="F150" s="116">
        <f>IF(C5&gt;0,F120+F100+F147,0)</f>
        <v>3.1262266868234717E-2</v>
      </c>
      <c r="K150" s="67" t="s">
        <v>78</v>
      </c>
      <c r="L150" s="71"/>
      <c r="M150" s="36" t="s">
        <v>41</v>
      </c>
    </row>
    <row r="151" spans="2:15" x14ac:dyDescent="0.3">
      <c r="C151" t="s">
        <v>393</v>
      </c>
      <c r="D151" s="92"/>
      <c r="E151" s="92"/>
      <c r="F151" s="116">
        <f>IF(C5&gt;0,0,F120+F100+F147)</f>
        <v>0</v>
      </c>
      <c r="K151" s="67" t="s">
        <v>53</v>
      </c>
      <c r="L151" s="71">
        <f>L146+L150</f>
        <v>2213320.613332374</v>
      </c>
      <c r="M151" s="36" t="s">
        <v>41</v>
      </c>
    </row>
    <row r="156" spans="2:15" x14ac:dyDescent="0.3">
      <c r="J156" s="70"/>
      <c r="K156" s="70"/>
      <c r="L156" s="70"/>
      <c r="M156" s="70"/>
      <c r="N156" s="76" t="s">
        <v>43</v>
      </c>
    </row>
    <row r="171" spans="1:8" x14ac:dyDescent="0.3">
      <c r="A171" s="74"/>
      <c r="H171" s="72"/>
    </row>
    <row r="172" spans="1:8" x14ac:dyDescent="0.3">
      <c r="A172" s="74"/>
      <c r="H172" s="73"/>
    </row>
    <row r="173" spans="1:8" x14ac:dyDescent="0.3">
      <c r="A173" s="73"/>
    </row>
    <row r="174" spans="1:8" x14ac:dyDescent="0.3">
      <c r="A174" s="73"/>
      <c r="H174" s="75"/>
    </row>
    <row r="175" spans="1:8" x14ac:dyDescent="0.3">
      <c r="A175" s="73"/>
      <c r="H175" s="75"/>
    </row>
    <row r="176" spans="1:8" x14ac:dyDescent="0.3">
      <c r="A176" s="73"/>
      <c r="H176" s="75"/>
    </row>
    <row r="186" spans="1:1" x14ac:dyDescent="0.3">
      <c r="A186" s="73"/>
    </row>
  </sheetData>
  <mergeCells count="6">
    <mergeCell ref="B19:C19"/>
    <mergeCell ref="C27:D27"/>
    <mergeCell ref="B23:C23"/>
    <mergeCell ref="B20:C20"/>
    <mergeCell ref="B21:C21"/>
    <mergeCell ref="B22:C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4339" r:id="rId4">
          <objectPr defaultSize="0" autoLine="0" autoPict="0" r:id="rId5">
            <anchor moveWithCells="1">
              <from>
                <xdr:col>7</xdr:col>
                <xdr:colOff>899160</xdr:colOff>
                <xdr:row>127</xdr:row>
                <xdr:rowOff>7620</xdr:rowOff>
              </from>
              <to>
                <xdr:col>7</xdr:col>
                <xdr:colOff>1516380</xdr:colOff>
                <xdr:row>128</xdr:row>
                <xdr:rowOff>7620</xdr:rowOff>
              </to>
            </anchor>
          </objectPr>
        </oleObject>
      </mc:Choice>
      <mc:Fallback>
        <oleObject progId="Equation.2" shapeId="14339" r:id="rId4"/>
      </mc:Fallback>
    </mc:AlternateContent>
    <mc:AlternateContent xmlns:mc="http://schemas.openxmlformats.org/markup-compatibility/2006">
      <mc:Choice Requires="x14">
        <oleObject progId="Equation.2" shapeId="14340" r:id="rId6">
          <objectPr defaultSize="0" autoLine="0" autoPict="0" r:id="rId7">
            <anchor moveWithCells="1">
              <from>
                <xdr:col>7</xdr:col>
                <xdr:colOff>899160</xdr:colOff>
                <xdr:row>128</xdr:row>
                <xdr:rowOff>22860</xdr:rowOff>
              </from>
              <to>
                <xdr:col>7</xdr:col>
                <xdr:colOff>1516380</xdr:colOff>
                <xdr:row>128</xdr:row>
                <xdr:rowOff>213360</xdr:rowOff>
              </to>
            </anchor>
          </objectPr>
        </oleObject>
      </mc:Choice>
      <mc:Fallback>
        <oleObject progId="Equation.2" shapeId="14340" r:id="rId6"/>
      </mc:Fallback>
    </mc:AlternateContent>
    <mc:AlternateContent xmlns:mc="http://schemas.openxmlformats.org/markup-compatibility/2006">
      <mc:Choice Requires="x14">
        <oleObject progId="Paint.Picture" shapeId="14341" r:id="rId8">
          <objectPr defaultSize="0" r:id="rId9">
            <anchor moveWithCells="1">
              <from>
                <xdr:col>6</xdr:col>
                <xdr:colOff>38100</xdr:colOff>
                <xdr:row>2</xdr:row>
                <xdr:rowOff>53340</xdr:rowOff>
              </from>
              <to>
                <xdr:col>9</xdr:col>
                <xdr:colOff>640080</xdr:colOff>
                <xdr:row>13</xdr:row>
                <xdr:rowOff>76200</xdr:rowOff>
              </to>
            </anchor>
          </objectPr>
        </oleObject>
      </mc:Choice>
      <mc:Fallback>
        <oleObject progId="Paint.Picture" shapeId="14341" r:id="rId8"/>
      </mc:Fallback>
    </mc:AlternateContent>
    <mc:AlternateContent xmlns:mc="http://schemas.openxmlformats.org/markup-compatibility/2006">
      <mc:Choice Requires="x14">
        <oleObject progId="Paint.Picture" shapeId="14342" r:id="rId10">
          <objectPr defaultSize="0" r:id="rId11">
            <anchor moveWithCells="1">
              <from>
                <xdr:col>6</xdr:col>
                <xdr:colOff>45720</xdr:colOff>
                <xdr:row>15</xdr:row>
                <xdr:rowOff>60960</xdr:rowOff>
              </from>
              <to>
                <xdr:col>9</xdr:col>
                <xdr:colOff>2194560</xdr:colOff>
                <xdr:row>27</xdr:row>
                <xdr:rowOff>15240</xdr:rowOff>
              </to>
            </anchor>
          </objectPr>
        </oleObject>
      </mc:Choice>
      <mc:Fallback>
        <oleObject progId="Paint.Picture" shapeId="14342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C7AA-7507-4BB0-B7F8-BBED850CB750}">
  <dimension ref="A1:H44"/>
  <sheetViews>
    <sheetView workbookViewId="0">
      <selection activeCell="B18" sqref="B18"/>
    </sheetView>
  </sheetViews>
  <sheetFormatPr defaultColWidth="9.109375" defaultRowHeight="14.4" x14ac:dyDescent="0.3"/>
  <cols>
    <col min="1" max="1" width="59.33203125" style="92" bestFit="1" customWidth="1"/>
    <col min="2" max="2" width="9.109375" style="202"/>
    <col min="3" max="3" width="2.6640625" style="92" customWidth="1"/>
    <col min="4" max="4" width="12.44140625" style="92" bestFit="1" customWidth="1"/>
    <col min="5" max="5" width="2.6640625" style="92" customWidth="1"/>
    <col min="6" max="6" width="9.109375" style="92" customWidth="1"/>
    <col min="7" max="7" width="13.6640625" style="92" customWidth="1"/>
    <col min="8" max="8" width="14.109375" style="92" customWidth="1"/>
    <col min="9" max="16384" width="9.109375" style="92"/>
  </cols>
  <sheetData>
    <row r="1" spans="1:8" x14ac:dyDescent="0.3">
      <c r="A1" s="180" t="s">
        <v>612</v>
      </c>
    </row>
    <row r="3" spans="1:8" x14ac:dyDescent="0.3">
      <c r="A3" s="181" t="s">
        <v>480</v>
      </c>
    </row>
    <row r="5" spans="1:8" ht="15.6" x14ac:dyDescent="0.35">
      <c r="A5" s="174" t="s">
        <v>699</v>
      </c>
      <c r="B5" s="203">
        <f>hsrf2tunl!F48</f>
        <v>2.1459403377126312</v>
      </c>
      <c r="G5" s="206" t="s">
        <v>253</v>
      </c>
      <c r="H5" s="206" t="s">
        <v>254</v>
      </c>
    </row>
    <row r="6" spans="1:8" ht="15.6" x14ac:dyDescent="0.35">
      <c r="A6" s="174" t="s">
        <v>700</v>
      </c>
      <c r="B6" s="203">
        <f>hsrf2tunl!$C$5</f>
        <v>1000</v>
      </c>
      <c r="G6" s="207">
        <v>1</v>
      </c>
      <c r="H6" s="208">
        <f>hsrf2tunl!F79+hsrf2tunl!F80+hsrf2tunl!F81</f>
        <v>1.2181663837171532</v>
      </c>
    </row>
    <row r="7" spans="1:8" ht="15.6" x14ac:dyDescent="0.35">
      <c r="A7" s="204" t="s">
        <v>610</v>
      </c>
      <c r="B7" s="203">
        <f>0.8927*B8^2</f>
        <v>103.21576928741716</v>
      </c>
      <c r="G7" s="207">
        <v>2</v>
      </c>
      <c r="H7" s="208">
        <f>hsrf2tunl!F85+hsrf2tunl!F86+hsrf2tunl!F87</f>
        <v>0.47061405611658214</v>
      </c>
    </row>
    <row r="8" spans="1:8" ht="15.6" x14ac:dyDescent="0.35">
      <c r="A8" s="174" t="s">
        <v>685</v>
      </c>
      <c r="B8" s="203">
        <f>hsrf2tunl!F38</f>
        <v>10.752767600755471</v>
      </c>
      <c r="G8" s="207">
        <v>3</v>
      </c>
      <c r="H8" s="208">
        <f>hsrf2tunl!F91+hsrf2tunl!F92+hsrf2tunl!F93</f>
        <v>0.16290486557881695</v>
      </c>
    </row>
    <row r="9" spans="1:8" x14ac:dyDescent="0.3">
      <c r="A9" s="174" t="s">
        <v>611</v>
      </c>
      <c r="B9" s="205">
        <f>hsrf2tunl!F74</f>
        <v>4.6942506962509699E-2</v>
      </c>
    </row>
    <row r="10" spans="1:8" x14ac:dyDescent="0.3">
      <c r="A10" s="174" t="s">
        <v>613</v>
      </c>
      <c r="B10" s="205">
        <f>LOOKUP(hsrf2tunl!D26,G6:G8,H6:H8)</f>
        <v>1.2181663837171532</v>
      </c>
    </row>
    <row r="11" spans="1:8" ht="15.6" x14ac:dyDescent="0.35">
      <c r="A11" s="174" t="s">
        <v>572</v>
      </c>
      <c r="B11" s="203">
        <f>iohsrf2!B25</f>
        <v>720</v>
      </c>
    </row>
    <row r="12" spans="1:8" ht="15.6" x14ac:dyDescent="0.35">
      <c r="A12" s="174" t="s">
        <v>573</v>
      </c>
      <c r="B12" s="203">
        <f>iohsrf2!B26</f>
        <v>680</v>
      </c>
    </row>
    <row r="13" spans="1:8" x14ac:dyDescent="0.3">
      <c r="A13" s="174" t="s">
        <v>512</v>
      </c>
      <c r="B13" s="203">
        <f>hsrf2pwh!B36</f>
        <v>555.44559314059779</v>
      </c>
      <c r="D13" s="107"/>
    </row>
    <row r="14" spans="1:8" ht="15.6" x14ac:dyDescent="0.35">
      <c r="A14" s="174" t="s">
        <v>576</v>
      </c>
      <c r="B14" s="203">
        <f>hsrf2intk!B26</f>
        <v>663.55666239458458</v>
      </c>
    </row>
    <row r="16" spans="1:8" x14ac:dyDescent="0.3">
      <c r="A16" s="182" t="s">
        <v>580</v>
      </c>
    </row>
    <row r="18" spans="1:4" x14ac:dyDescent="0.3">
      <c r="A18" s="172" t="s">
        <v>607</v>
      </c>
      <c r="B18" s="203">
        <f>B6/(B11-B13)</f>
        <v>6.0770174380952025</v>
      </c>
      <c r="D18" s="5" t="s">
        <v>567</v>
      </c>
    </row>
    <row r="19" spans="1:4" ht="15.6" x14ac:dyDescent="0.35">
      <c r="A19" s="172" t="s">
        <v>602</v>
      </c>
      <c r="B19" s="203">
        <f>1.25*B9/0.2*(B6*B7/(((B12-B13)-B9-B10)*(B9+B10)))</f>
        <v>194.1507457588952</v>
      </c>
      <c r="D19" s="5" t="s">
        <v>606</v>
      </c>
    </row>
    <row r="20" spans="1:4" ht="15.6" x14ac:dyDescent="0.35">
      <c r="A20" s="174" t="s">
        <v>603</v>
      </c>
      <c r="B20" s="203">
        <f>ROUND(SQRT(4*B19/PI()),2)</f>
        <v>15.72</v>
      </c>
    </row>
    <row r="21" spans="1:4" ht="15.6" x14ac:dyDescent="0.35">
      <c r="A21" s="174" t="s">
        <v>604</v>
      </c>
      <c r="B21" s="203">
        <f>IF(B19&gt;0,B5*SQRT(B6*B7/(9.81*B19)),0)</f>
        <v>15.797437107879746</v>
      </c>
    </row>
    <row r="22" spans="1:4" ht="15.6" x14ac:dyDescent="0.35">
      <c r="A22" s="174" t="s">
        <v>605</v>
      </c>
      <c r="B22" s="203">
        <f>IF(B18=0,0,B11-2/3*(B9+B10)+B21)</f>
        <v>734.95403118076001</v>
      </c>
    </row>
    <row r="23" spans="1:4" ht="15.6" x14ac:dyDescent="0.35">
      <c r="A23" s="174" t="s">
        <v>614</v>
      </c>
      <c r="B23" s="203">
        <f>IF(B18=0,0,B12+2*(B9+B10)-B21)</f>
        <v>666.73278067347951</v>
      </c>
    </row>
    <row r="24" spans="1:4" ht="15.6" x14ac:dyDescent="0.35">
      <c r="A24" s="174" t="s">
        <v>684</v>
      </c>
      <c r="B24" s="203">
        <f>IF(B18=0,0,IF((B14-(0.005*B6)+B8)&gt;(B23-1),(B23-1),(B14-(0.005*B6)+B8)))</f>
        <v>665.73278067347951</v>
      </c>
    </row>
    <row r="44" spans="5:5" x14ac:dyDescent="0.3">
      <c r="E44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5601" r:id="rId4">
          <objectPr defaultSize="0" autoLine="0" autoPict="0" r:id="rId5">
            <anchor moveWithCells="1">
              <from>
                <xdr:col>3</xdr:col>
                <xdr:colOff>685800</xdr:colOff>
                <xdr:row>16</xdr:row>
                <xdr:rowOff>182880</xdr:rowOff>
              </from>
              <to>
                <xdr:col>8</xdr:col>
                <xdr:colOff>45720</xdr:colOff>
                <xdr:row>19</xdr:row>
                <xdr:rowOff>0</xdr:rowOff>
              </to>
            </anchor>
          </objectPr>
        </oleObject>
      </mc:Choice>
      <mc:Fallback>
        <oleObject progId="Equation.2" shapeId="25601" r:id="rId4"/>
      </mc:Fallback>
    </mc:AlternateContent>
    <mc:AlternateContent xmlns:mc="http://schemas.openxmlformats.org/markup-compatibility/2006">
      <mc:Choice Requires="x14">
        <oleObject progId="Equation.2" shapeId="25602" r:id="rId6">
          <objectPr defaultSize="0" autoLine="0" autoPict="0" r:id="rId7">
            <anchor moveWithCells="1">
              <from>
                <xdr:col>2</xdr:col>
                <xdr:colOff>160020</xdr:colOff>
                <xdr:row>19</xdr:row>
                <xdr:rowOff>38100</xdr:rowOff>
              </from>
              <to>
                <xdr:col>5</xdr:col>
                <xdr:colOff>571500</xdr:colOff>
                <xdr:row>21</xdr:row>
                <xdr:rowOff>0</xdr:rowOff>
              </to>
            </anchor>
          </objectPr>
        </oleObject>
      </mc:Choice>
      <mc:Fallback>
        <oleObject progId="Equation.2" shapeId="25602" r:id="rId6"/>
      </mc:Fallback>
    </mc:AlternateContent>
    <mc:AlternateContent xmlns:mc="http://schemas.openxmlformats.org/markup-compatibility/2006">
      <mc:Choice Requires="x14">
        <oleObject progId="Equation.2" shapeId="25603" r:id="rId8">
          <objectPr defaultSize="0" autoLine="0" autoPict="0" r:id="rId9">
            <anchor moveWithCells="1">
              <from>
                <xdr:col>5</xdr:col>
                <xdr:colOff>731520</xdr:colOff>
                <xdr:row>19</xdr:row>
                <xdr:rowOff>38100</xdr:rowOff>
              </from>
              <to>
                <xdr:col>9</xdr:col>
                <xdr:colOff>0</xdr:colOff>
                <xdr:row>20</xdr:row>
                <xdr:rowOff>144780</xdr:rowOff>
              </to>
            </anchor>
          </objectPr>
        </oleObject>
      </mc:Choice>
      <mc:Fallback>
        <oleObject progId="Equation.2" shapeId="25603" r:id="rId8"/>
      </mc:Fallback>
    </mc:AlternateContent>
    <mc:AlternateContent xmlns:mc="http://schemas.openxmlformats.org/markup-compatibility/2006">
      <mc:Choice Requires="x14">
        <oleObject progId="Equation.2" shapeId="25604" r:id="rId10">
          <objectPr defaultSize="0" autoLine="0" autoPict="0" r:id="rId11">
            <anchor moveWithCells="1">
              <from>
                <xdr:col>5</xdr:col>
                <xdr:colOff>708660</xdr:colOff>
                <xdr:row>20</xdr:row>
                <xdr:rowOff>137160</xdr:rowOff>
              </from>
              <to>
                <xdr:col>8</xdr:col>
                <xdr:colOff>449580</xdr:colOff>
                <xdr:row>21</xdr:row>
                <xdr:rowOff>137160</xdr:rowOff>
              </to>
            </anchor>
          </objectPr>
        </oleObject>
      </mc:Choice>
      <mc:Fallback>
        <oleObject progId="Equation.2" shapeId="25604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9925-AE28-489E-8FC3-B4E73E264BD4}">
  <dimension ref="A1:V179"/>
  <sheetViews>
    <sheetView topLeftCell="A31" zoomScaleNormal="100" workbookViewId="0">
      <selection activeCell="B36" sqref="B36:C36"/>
    </sheetView>
  </sheetViews>
  <sheetFormatPr defaultRowHeight="14.4" x14ac:dyDescent="0.3"/>
  <cols>
    <col min="1" max="1" width="54.5546875" style="198" bestFit="1" customWidth="1"/>
    <col min="2" max="3" width="9.6640625" style="198" customWidth="1"/>
    <col min="4" max="4" width="54.109375" style="198" bestFit="1" customWidth="1"/>
    <col min="5" max="5" width="3.6640625" style="198" customWidth="1"/>
    <col min="6" max="6" width="30.33203125" style="198" bestFit="1" customWidth="1"/>
    <col min="7" max="8" width="8.6640625" style="198" customWidth="1"/>
    <col min="9" max="11" width="7.6640625" style="198" customWidth="1"/>
    <col min="12" max="25" width="9.21875" style="198" customWidth="1"/>
    <col min="26" max="252" width="9.109375" style="198"/>
    <col min="253" max="253" width="37.88671875" style="198" customWidth="1"/>
    <col min="254" max="254" width="12.109375" style="198" customWidth="1"/>
    <col min="255" max="255" width="11.88671875" style="198" customWidth="1"/>
    <col min="256" max="256" width="14.5546875" style="198" customWidth="1"/>
    <col min="257" max="257" width="40.6640625" style="198" customWidth="1"/>
    <col min="258" max="258" width="12.44140625" style="198" customWidth="1"/>
    <col min="259" max="259" width="9.109375" style="198"/>
    <col min="260" max="260" width="10" style="198" customWidth="1"/>
    <col min="261" max="264" width="9.109375" style="198"/>
    <col min="265" max="265" width="35.6640625" style="198" customWidth="1"/>
    <col min="266" max="266" width="20.6640625" style="198" customWidth="1"/>
    <col min="267" max="267" width="9.109375" style="198"/>
    <col min="268" max="268" width="25.6640625" style="198" customWidth="1"/>
    <col min="269" max="269" width="9.109375" style="198"/>
    <col min="270" max="270" width="25.6640625" style="198" customWidth="1"/>
    <col min="271" max="508" width="9.109375" style="198"/>
    <col min="509" max="509" width="37.88671875" style="198" customWidth="1"/>
    <col min="510" max="510" width="12.109375" style="198" customWidth="1"/>
    <col min="511" max="511" width="11.88671875" style="198" customWidth="1"/>
    <col min="512" max="512" width="14.5546875" style="198" customWidth="1"/>
    <col min="513" max="513" width="40.6640625" style="198" customWidth="1"/>
    <col min="514" max="514" width="12.44140625" style="198" customWidth="1"/>
    <col min="515" max="515" width="9.109375" style="198"/>
    <col min="516" max="516" width="10" style="198" customWidth="1"/>
    <col min="517" max="520" width="9.109375" style="198"/>
    <col min="521" max="521" width="35.6640625" style="198" customWidth="1"/>
    <col min="522" max="522" width="20.6640625" style="198" customWidth="1"/>
    <col min="523" max="523" width="9.109375" style="198"/>
    <col min="524" max="524" width="25.6640625" style="198" customWidth="1"/>
    <col min="525" max="525" width="9.109375" style="198"/>
    <col min="526" max="526" width="25.6640625" style="198" customWidth="1"/>
    <col min="527" max="764" width="9.109375" style="198"/>
    <col min="765" max="765" width="37.88671875" style="198" customWidth="1"/>
    <col min="766" max="766" width="12.109375" style="198" customWidth="1"/>
    <col min="767" max="767" width="11.88671875" style="198" customWidth="1"/>
    <col min="768" max="768" width="14.5546875" style="198" customWidth="1"/>
    <col min="769" max="769" width="40.6640625" style="198" customWidth="1"/>
    <col min="770" max="770" width="12.44140625" style="198" customWidth="1"/>
    <col min="771" max="771" width="9.109375" style="198"/>
    <col min="772" max="772" width="10" style="198" customWidth="1"/>
    <col min="773" max="776" width="9.109375" style="198"/>
    <col min="777" max="777" width="35.6640625" style="198" customWidth="1"/>
    <col min="778" max="778" width="20.6640625" style="198" customWidth="1"/>
    <col min="779" max="779" width="9.109375" style="198"/>
    <col min="780" max="780" width="25.6640625" style="198" customWidth="1"/>
    <col min="781" max="781" width="9.109375" style="198"/>
    <col min="782" max="782" width="25.6640625" style="198" customWidth="1"/>
    <col min="783" max="1020" width="9.109375" style="198"/>
    <col min="1021" max="1021" width="37.88671875" style="198" customWidth="1"/>
    <col min="1022" max="1022" width="12.109375" style="198" customWidth="1"/>
    <col min="1023" max="1023" width="11.88671875" style="198" customWidth="1"/>
    <col min="1024" max="1024" width="14.5546875" style="198" customWidth="1"/>
    <col min="1025" max="1025" width="40.6640625" style="198" customWidth="1"/>
    <col min="1026" max="1026" width="12.44140625" style="198" customWidth="1"/>
    <col min="1027" max="1027" width="9.109375" style="198"/>
    <col min="1028" max="1028" width="10" style="198" customWidth="1"/>
    <col min="1029" max="1032" width="9.109375" style="198"/>
    <col min="1033" max="1033" width="35.6640625" style="198" customWidth="1"/>
    <col min="1034" max="1034" width="20.6640625" style="198" customWidth="1"/>
    <col min="1035" max="1035" width="9.109375" style="198"/>
    <col min="1036" max="1036" width="25.6640625" style="198" customWidth="1"/>
    <col min="1037" max="1037" width="9.109375" style="198"/>
    <col min="1038" max="1038" width="25.6640625" style="198" customWidth="1"/>
    <col min="1039" max="1276" width="9.109375" style="198"/>
    <col min="1277" max="1277" width="37.88671875" style="198" customWidth="1"/>
    <col min="1278" max="1278" width="12.109375" style="198" customWidth="1"/>
    <col min="1279" max="1279" width="11.88671875" style="198" customWidth="1"/>
    <col min="1280" max="1280" width="14.5546875" style="198" customWidth="1"/>
    <col min="1281" max="1281" width="40.6640625" style="198" customWidth="1"/>
    <col min="1282" max="1282" width="12.44140625" style="198" customWidth="1"/>
    <col min="1283" max="1283" width="9.109375" style="198"/>
    <col min="1284" max="1284" width="10" style="198" customWidth="1"/>
    <col min="1285" max="1288" width="9.109375" style="198"/>
    <col min="1289" max="1289" width="35.6640625" style="198" customWidth="1"/>
    <col min="1290" max="1290" width="20.6640625" style="198" customWidth="1"/>
    <col min="1291" max="1291" width="9.109375" style="198"/>
    <col min="1292" max="1292" width="25.6640625" style="198" customWidth="1"/>
    <col min="1293" max="1293" width="9.109375" style="198"/>
    <col min="1294" max="1294" width="25.6640625" style="198" customWidth="1"/>
    <col min="1295" max="1532" width="9.109375" style="198"/>
    <col min="1533" max="1533" width="37.88671875" style="198" customWidth="1"/>
    <col min="1534" max="1534" width="12.109375" style="198" customWidth="1"/>
    <col min="1535" max="1535" width="11.88671875" style="198" customWidth="1"/>
    <col min="1536" max="1536" width="14.5546875" style="198" customWidth="1"/>
    <col min="1537" max="1537" width="40.6640625" style="198" customWidth="1"/>
    <col min="1538" max="1538" width="12.44140625" style="198" customWidth="1"/>
    <col min="1539" max="1539" width="9.109375" style="198"/>
    <col min="1540" max="1540" width="10" style="198" customWidth="1"/>
    <col min="1541" max="1544" width="9.109375" style="198"/>
    <col min="1545" max="1545" width="35.6640625" style="198" customWidth="1"/>
    <col min="1546" max="1546" width="20.6640625" style="198" customWidth="1"/>
    <col min="1547" max="1547" width="9.109375" style="198"/>
    <col min="1548" max="1548" width="25.6640625" style="198" customWidth="1"/>
    <col min="1549" max="1549" width="9.109375" style="198"/>
    <col min="1550" max="1550" width="25.6640625" style="198" customWidth="1"/>
    <col min="1551" max="1788" width="9.109375" style="198"/>
    <col min="1789" max="1789" width="37.88671875" style="198" customWidth="1"/>
    <col min="1790" max="1790" width="12.109375" style="198" customWidth="1"/>
    <col min="1791" max="1791" width="11.88671875" style="198" customWidth="1"/>
    <col min="1792" max="1792" width="14.5546875" style="198" customWidth="1"/>
    <col min="1793" max="1793" width="40.6640625" style="198" customWidth="1"/>
    <col min="1794" max="1794" width="12.44140625" style="198" customWidth="1"/>
    <col min="1795" max="1795" width="9.109375" style="198"/>
    <col min="1796" max="1796" width="10" style="198" customWidth="1"/>
    <col min="1797" max="1800" width="9.109375" style="198"/>
    <col min="1801" max="1801" width="35.6640625" style="198" customWidth="1"/>
    <col min="1802" max="1802" width="20.6640625" style="198" customWidth="1"/>
    <col min="1803" max="1803" width="9.109375" style="198"/>
    <col min="1804" max="1804" width="25.6640625" style="198" customWidth="1"/>
    <col min="1805" max="1805" width="9.109375" style="198"/>
    <col min="1806" max="1806" width="25.6640625" style="198" customWidth="1"/>
    <col min="1807" max="2044" width="9.109375" style="198"/>
    <col min="2045" max="2045" width="37.88671875" style="198" customWidth="1"/>
    <col min="2046" max="2046" width="12.109375" style="198" customWidth="1"/>
    <col min="2047" max="2047" width="11.88671875" style="198" customWidth="1"/>
    <col min="2048" max="2048" width="14.5546875" style="198" customWidth="1"/>
    <col min="2049" max="2049" width="40.6640625" style="198" customWidth="1"/>
    <col min="2050" max="2050" width="12.44140625" style="198" customWidth="1"/>
    <col min="2051" max="2051" width="9.109375" style="198"/>
    <col min="2052" max="2052" width="10" style="198" customWidth="1"/>
    <col min="2053" max="2056" width="9.109375" style="198"/>
    <col min="2057" max="2057" width="35.6640625" style="198" customWidth="1"/>
    <col min="2058" max="2058" width="20.6640625" style="198" customWidth="1"/>
    <col min="2059" max="2059" width="9.109375" style="198"/>
    <col min="2060" max="2060" width="25.6640625" style="198" customWidth="1"/>
    <col min="2061" max="2061" width="9.109375" style="198"/>
    <col min="2062" max="2062" width="25.6640625" style="198" customWidth="1"/>
    <col min="2063" max="2300" width="9.109375" style="198"/>
    <col min="2301" max="2301" width="37.88671875" style="198" customWidth="1"/>
    <col min="2302" max="2302" width="12.109375" style="198" customWidth="1"/>
    <col min="2303" max="2303" width="11.88671875" style="198" customWidth="1"/>
    <col min="2304" max="2304" width="14.5546875" style="198" customWidth="1"/>
    <col min="2305" max="2305" width="40.6640625" style="198" customWidth="1"/>
    <col min="2306" max="2306" width="12.44140625" style="198" customWidth="1"/>
    <col min="2307" max="2307" width="9.109375" style="198"/>
    <col min="2308" max="2308" width="10" style="198" customWidth="1"/>
    <col min="2309" max="2312" width="9.109375" style="198"/>
    <col min="2313" max="2313" width="35.6640625" style="198" customWidth="1"/>
    <col min="2314" max="2314" width="20.6640625" style="198" customWidth="1"/>
    <col min="2315" max="2315" width="9.109375" style="198"/>
    <col min="2316" max="2316" width="25.6640625" style="198" customWidth="1"/>
    <col min="2317" max="2317" width="9.109375" style="198"/>
    <col min="2318" max="2318" width="25.6640625" style="198" customWidth="1"/>
    <col min="2319" max="2556" width="9.109375" style="198"/>
    <col min="2557" max="2557" width="37.88671875" style="198" customWidth="1"/>
    <col min="2558" max="2558" width="12.109375" style="198" customWidth="1"/>
    <col min="2559" max="2559" width="11.88671875" style="198" customWidth="1"/>
    <col min="2560" max="2560" width="14.5546875" style="198" customWidth="1"/>
    <col min="2561" max="2561" width="40.6640625" style="198" customWidth="1"/>
    <col min="2562" max="2562" width="12.44140625" style="198" customWidth="1"/>
    <col min="2563" max="2563" width="9.109375" style="198"/>
    <col min="2564" max="2564" width="10" style="198" customWidth="1"/>
    <col min="2565" max="2568" width="9.109375" style="198"/>
    <col min="2569" max="2569" width="35.6640625" style="198" customWidth="1"/>
    <col min="2570" max="2570" width="20.6640625" style="198" customWidth="1"/>
    <col min="2571" max="2571" width="9.109375" style="198"/>
    <col min="2572" max="2572" width="25.6640625" style="198" customWidth="1"/>
    <col min="2573" max="2573" width="9.109375" style="198"/>
    <col min="2574" max="2574" width="25.6640625" style="198" customWidth="1"/>
    <col min="2575" max="2812" width="9.109375" style="198"/>
    <col min="2813" max="2813" width="37.88671875" style="198" customWidth="1"/>
    <col min="2814" max="2814" width="12.109375" style="198" customWidth="1"/>
    <col min="2815" max="2815" width="11.88671875" style="198" customWidth="1"/>
    <col min="2816" max="2816" width="14.5546875" style="198" customWidth="1"/>
    <col min="2817" max="2817" width="40.6640625" style="198" customWidth="1"/>
    <col min="2818" max="2818" width="12.44140625" style="198" customWidth="1"/>
    <col min="2819" max="2819" width="9.109375" style="198"/>
    <col min="2820" max="2820" width="10" style="198" customWidth="1"/>
    <col min="2821" max="2824" width="9.109375" style="198"/>
    <col min="2825" max="2825" width="35.6640625" style="198" customWidth="1"/>
    <col min="2826" max="2826" width="20.6640625" style="198" customWidth="1"/>
    <col min="2827" max="2827" width="9.109375" style="198"/>
    <col min="2828" max="2828" width="25.6640625" style="198" customWidth="1"/>
    <col min="2829" max="2829" width="9.109375" style="198"/>
    <col min="2830" max="2830" width="25.6640625" style="198" customWidth="1"/>
    <col min="2831" max="3068" width="9.109375" style="198"/>
    <col min="3069" max="3069" width="37.88671875" style="198" customWidth="1"/>
    <col min="3070" max="3070" width="12.109375" style="198" customWidth="1"/>
    <col min="3071" max="3071" width="11.88671875" style="198" customWidth="1"/>
    <col min="3072" max="3072" width="14.5546875" style="198" customWidth="1"/>
    <col min="3073" max="3073" width="40.6640625" style="198" customWidth="1"/>
    <col min="3074" max="3074" width="12.44140625" style="198" customWidth="1"/>
    <col min="3075" max="3075" width="9.109375" style="198"/>
    <col min="3076" max="3076" width="10" style="198" customWidth="1"/>
    <col min="3077" max="3080" width="9.109375" style="198"/>
    <col min="3081" max="3081" width="35.6640625" style="198" customWidth="1"/>
    <col min="3082" max="3082" width="20.6640625" style="198" customWidth="1"/>
    <col min="3083" max="3083" width="9.109375" style="198"/>
    <col min="3084" max="3084" width="25.6640625" style="198" customWidth="1"/>
    <col min="3085" max="3085" width="9.109375" style="198"/>
    <col min="3086" max="3086" width="25.6640625" style="198" customWidth="1"/>
    <col min="3087" max="3324" width="9.109375" style="198"/>
    <col min="3325" max="3325" width="37.88671875" style="198" customWidth="1"/>
    <col min="3326" max="3326" width="12.109375" style="198" customWidth="1"/>
    <col min="3327" max="3327" width="11.88671875" style="198" customWidth="1"/>
    <col min="3328" max="3328" width="14.5546875" style="198" customWidth="1"/>
    <col min="3329" max="3329" width="40.6640625" style="198" customWidth="1"/>
    <col min="3330" max="3330" width="12.44140625" style="198" customWidth="1"/>
    <col min="3331" max="3331" width="9.109375" style="198"/>
    <col min="3332" max="3332" width="10" style="198" customWidth="1"/>
    <col min="3333" max="3336" width="9.109375" style="198"/>
    <col min="3337" max="3337" width="35.6640625" style="198" customWidth="1"/>
    <col min="3338" max="3338" width="20.6640625" style="198" customWidth="1"/>
    <col min="3339" max="3339" width="9.109375" style="198"/>
    <col min="3340" max="3340" width="25.6640625" style="198" customWidth="1"/>
    <col min="3341" max="3341" width="9.109375" style="198"/>
    <col min="3342" max="3342" width="25.6640625" style="198" customWidth="1"/>
    <col min="3343" max="3580" width="9.109375" style="198"/>
    <col min="3581" max="3581" width="37.88671875" style="198" customWidth="1"/>
    <col min="3582" max="3582" width="12.109375" style="198" customWidth="1"/>
    <col min="3583" max="3583" width="11.88671875" style="198" customWidth="1"/>
    <col min="3584" max="3584" width="14.5546875" style="198" customWidth="1"/>
    <col min="3585" max="3585" width="40.6640625" style="198" customWidth="1"/>
    <col min="3586" max="3586" width="12.44140625" style="198" customWidth="1"/>
    <col min="3587" max="3587" width="9.109375" style="198"/>
    <col min="3588" max="3588" width="10" style="198" customWidth="1"/>
    <col min="3589" max="3592" width="9.109375" style="198"/>
    <col min="3593" max="3593" width="35.6640625" style="198" customWidth="1"/>
    <col min="3594" max="3594" width="20.6640625" style="198" customWidth="1"/>
    <col min="3595" max="3595" width="9.109375" style="198"/>
    <col min="3596" max="3596" width="25.6640625" style="198" customWidth="1"/>
    <col min="3597" max="3597" width="9.109375" style="198"/>
    <col min="3598" max="3598" width="25.6640625" style="198" customWidth="1"/>
    <col min="3599" max="3836" width="9.109375" style="198"/>
    <col min="3837" max="3837" width="37.88671875" style="198" customWidth="1"/>
    <col min="3838" max="3838" width="12.109375" style="198" customWidth="1"/>
    <col min="3839" max="3839" width="11.88671875" style="198" customWidth="1"/>
    <col min="3840" max="3840" width="14.5546875" style="198" customWidth="1"/>
    <col min="3841" max="3841" width="40.6640625" style="198" customWidth="1"/>
    <col min="3842" max="3842" width="12.44140625" style="198" customWidth="1"/>
    <col min="3843" max="3843" width="9.109375" style="198"/>
    <col min="3844" max="3844" width="10" style="198" customWidth="1"/>
    <col min="3845" max="3848" width="9.109375" style="198"/>
    <col min="3849" max="3849" width="35.6640625" style="198" customWidth="1"/>
    <col min="3850" max="3850" width="20.6640625" style="198" customWidth="1"/>
    <col min="3851" max="3851" width="9.109375" style="198"/>
    <col min="3852" max="3852" width="25.6640625" style="198" customWidth="1"/>
    <col min="3853" max="3853" width="9.109375" style="198"/>
    <col min="3854" max="3854" width="25.6640625" style="198" customWidth="1"/>
    <col min="3855" max="4092" width="9.109375" style="198"/>
    <col min="4093" max="4093" width="37.88671875" style="198" customWidth="1"/>
    <col min="4094" max="4094" width="12.109375" style="198" customWidth="1"/>
    <col min="4095" max="4095" width="11.88671875" style="198" customWidth="1"/>
    <col min="4096" max="4096" width="14.5546875" style="198" customWidth="1"/>
    <col min="4097" max="4097" width="40.6640625" style="198" customWidth="1"/>
    <col min="4098" max="4098" width="12.44140625" style="198" customWidth="1"/>
    <col min="4099" max="4099" width="9.109375" style="198"/>
    <col min="4100" max="4100" width="10" style="198" customWidth="1"/>
    <col min="4101" max="4104" width="9.109375" style="198"/>
    <col min="4105" max="4105" width="35.6640625" style="198" customWidth="1"/>
    <col min="4106" max="4106" width="20.6640625" style="198" customWidth="1"/>
    <col min="4107" max="4107" width="9.109375" style="198"/>
    <col min="4108" max="4108" width="25.6640625" style="198" customWidth="1"/>
    <col min="4109" max="4109" width="9.109375" style="198"/>
    <col min="4110" max="4110" width="25.6640625" style="198" customWidth="1"/>
    <col min="4111" max="4348" width="9.109375" style="198"/>
    <col min="4349" max="4349" width="37.88671875" style="198" customWidth="1"/>
    <col min="4350" max="4350" width="12.109375" style="198" customWidth="1"/>
    <col min="4351" max="4351" width="11.88671875" style="198" customWidth="1"/>
    <col min="4352" max="4352" width="14.5546875" style="198" customWidth="1"/>
    <col min="4353" max="4353" width="40.6640625" style="198" customWidth="1"/>
    <col min="4354" max="4354" width="12.44140625" style="198" customWidth="1"/>
    <col min="4355" max="4355" width="9.109375" style="198"/>
    <col min="4356" max="4356" width="10" style="198" customWidth="1"/>
    <col min="4357" max="4360" width="9.109375" style="198"/>
    <col min="4361" max="4361" width="35.6640625" style="198" customWidth="1"/>
    <col min="4362" max="4362" width="20.6640625" style="198" customWidth="1"/>
    <col min="4363" max="4363" width="9.109375" style="198"/>
    <col min="4364" max="4364" width="25.6640625" style="198" customWidth="1"/>
    <col min="4365" max="4365" width="9.109375" style="198"/>
    <col min="4366" max="4366" width="25.6640625" style="198" customWidth="1"/>
    <col min="4367" max="4604" width="9.109375" style="198"/>
    <col min="4605" max="4605" width="37.88671875" style="198" customWidth="1"/>
    <col min="4606" max="4606" width="12.109375" style="198" customWidth="1"/>
    <col min="4607" max="4607" width="11.88671875" style="198" customWidth="1"/>
    <col min="4608" max="4608" width="14.5546875" style="198" customWidth="1"/>
    <col min="4609" max="4609" width="40.6640625" style="198" customWidth="1"/>
    <col min="4610" max="4610" width="12.44140625" style="198" customWidth="1"/>
    <col min="4611" max="4611" width="9.109375" style="198"/>
    <col min="4612" max="4612" width="10" style="198" customWidth="1"/>
    <col min="4613" max="4616" width="9.109375" style="198"/>
    <col min="4617" max="4617" width="35.6640625" style="198" customWidth="1"/>
    <col min="4618" max="4618" width="20.6640625" style="198" customWidth="1"/>
    <col min="4619" max="4619" width="9.109375" style="198"/>
    <col min="4620" max="4620" width="25.6640625" style="198" customWidth="1"/>
    <col min="4621" max="4621" width="9.109375" style="198"/>
    <col min="4622" max="4622" width="25.6640625" style="198" customWidth="1"/>
    <col min="4623" max="4860" width="9.109375" style="198"/>
    <col min="4861" max="4861" width="37.88671875" style="198" customWidth="1"/>
    <col min="4862" max="4862" width="12.109375" style="198" customWidth="1"/>
    <col min="4863" max="4863" width="11.88671875" style="198" customWidth="1"/>
    <col min="4864" max="4864" width="14.5546875" style="198" customWidth="1"/>
    <col min="4865" max="4865" width="40.6640625" style="198" customWidth="1"/>
    <col min="4866" max="4866" width="12.44140625" style="198" customWidth="1"/>
    <col min="4867" max="4867" width="9.109375" style="198"/>
    <col min="4868" max="4868" width="10" style="198" customWidth="1"/>
    <col min="4869" max="4872" width="9.109375" style="198"/>
    <col min="4873" max="4873" width="35.6640625" style="198" customWidth="1"/>
    <col min="4874" max="4874" width="20.6640625" style="198" customWidth="1"/>
    <col min="4875" max="4875" width="9.109375" style="198"/>
    <col min="4876" max="4876" width="25.6640625" style="198" customWidth="1"/>
    <col min="4877" max="4877" width="9.109375" style="198"/>
    <col min="4878" max="4878" width="25.6640625" style="198" customWidth="1"/>
    <col min="4879" max="5116" width="9.109375" style="198"/>
    <col min="5117" max="5117" width="37.88671875" style="198" customWidth="1"/>
    <col min="5118" max="5118" width="12.109375" style="198" customWidth="1"/>
    <col min="5119" max="5119" width="11.88671875" style="198" customWidth="1"/>
    <col min="5120" max="5120" width="14.5546875" style="198" customWidth="1"/>
    <col min="5121" max="5121" width="40.6640625" style="198" customWidth="1"/>
    <col min="5122" max="5122" width="12.44140625" style="198" customWidth="1"/>
    <col min="5123" max="5123" width="9.109375" style="198"/>
    <col min="5124" max="5124" width="10" style="198" customWidth="1"/>
    <col min="5125" max="5128" width="9.109375" style="198"/>
    <col min="5129" max="5129" width="35.6640625" style="198" customWidth="1"/>
    <col min="5130" max="5130" width="20.6640625" style="198" customWidth="1"/>
    <col min="5131" max="5131" width="9.109375" style="198"/>
    <col min="5132" max="5132" width="25.6640625" style="198" customWidth="1"/>
    <col min="5133" max="5133" width="9.109375" style="198"/>
    <col min="5134" max="5134" width="25.6640625" style="198" customWidth="1"/>
    <col min="5135" max="5372" width="9.109375" style="198"/>
    <col min="5373" max="5373" width="37.88671875" style="198" customWidth="1"/>
    <col min="5374" max="5374" width="12.109375" style="198" customWidth="1"/>
    <col min="5375" max="5375" width="11.88671875" style="198" customWidth="1"/>
    <col min="5376" max="5376" width="14.5546875" style="198" customWidth="1"/>
    <col min="5377" max="5377" width="40.6640625" style="198" customWidth="1"/>
    <col min="5378" max="5378" width="12.44140625" style="198" customWidth="1"/>
    <col min="5379" max="5379" width="9.109375" style="198"/>
    <col min="5380" max="5380" width="10" style="198" customWidth="1"/>
    <col min="5381" max="5384" width="9.109375" style="198"/>
    <col min="5385" max="5385" width="35.6640625" style="198" customWidth="1"/>
    <col min="5386" max="5386" width="20.6640625" style="198" customWidth="1"/>
    <col min="5387" max="5387" width="9.109375" style="198"/>
    <col min="5388" max="5388" width="25.6640625" style="198" customWidth="1"/>
    <col min="5389" max="5389" width="9.109375" style="198"/>
    <col min="5390" max="5390" width="25.6640625" style="198" customWidth="1"/>
    <col min="5391" max="5628" width="9.109375" style="198"/>
    <col min="5629" max="5629" width="37.88671875" style="198" customWidth="1"/>
    <col min="5630" max="5630" width="12.109375" style="198" customWidth="1"/>
    <col min="5631" max="5631" width="11.88671875" style="198" customWidth="1"/>
    <col min="5632" max="5632" width="14.5546875" style="198" customWidth="1"/>
    <col min="5633" max="5633" width="40.6640625" style="198" customWidth="1"/>
    <col min="5634" max="5634" width="12.44140625" style="198" customWidth="1"/>
    <col min="5635" max="5635" width="9.109375" style="198"/>
    <col min="5636" max="5636" width="10" style="198" customWidth="1"/>
    <col min="5637" max="5640" width="9.109375" style="198"/>
    <col min="5641" max="5641" width="35.6640625" style="198" customWidth="1"/>
    <col min="5642" max="5642" width="20.6640625" style="198" customWidth="1"/>
    <col min="5643" max="5643" width="9.109375" style="198"/>
    <col min="5644" max="5644" width="25.6640625" style="198" customWidth="1"/>
    <col min="5645" max="5645" width="9.109375" style="198"/>
    <col min="5646" max="5646" width="25.6640625" style="198" customWidth="1"/>
    <col min="5647" max="5884" width="9.109375" style="198"/>
    <col min="5885" max="5885" width="37.88671875" style="198" customWidth="1"/>
    <col min="5886" max="5886" width="12.109375" style="198" customWidth="1"/>
    <col min="5887" max="5887" width="11.88671875" style="198" customWidth="1"/>
    <col min="5888" max="5888" width="14.5546875" style="198" customWidth="1"/>
    <col min="5889" max="5889" width="40.6640625" style="198" customWidth="1"/>
    <col min="5890" max="5890" width="12.44140625" style="198" customWidth="1"/>
    <col min="5891" max="5891" width="9.109375" style="198"/>
    <col min="5892" max="5892" width="10" style="198" customWidth="1"/>
    <col min="5893" max="5896" width="9.109375" style="198"/>
    <col min="5897" max="5897" width="35.6640625" style="198" customWidth="1"/>
    <col min="5898" max="5898" width="20.6640625" style="198" customWidth="1"/>
    <col min="5899" max="5899" width="9.109375" style="198"/>
    <col min="5900" max="5900" width="25.6640625" style="198" customWidth="1"/>
    <col min="5901" max="5901" width="9.109375" style="198"/>
    <col min="5902" max="5902" width="25.6640625" style="198" customWidth="1"/>
    <col min="5903" max="6140" width="9.109375" style="198"/>
    <col min="6141" max="6141" width="37.88671875" style="198" customWidth="1"/>
    <col min="6142" max="6142" width="12.109375" style="198" customWidth="1"/>
    <col min="6143" max="6143" width="11.88671875" style="198" customWidth="1"/>
    <col min="6144" max="6144" width="14.5546875" style="198" customWidth="1"/>
    <col min="6145" max="6145" width="40.6640625" style="198" customWidth="1"/>
    <col min="6146" max="6146" width="12.44140625" style="198" customWidth="1"/>
    <col min="6147" max="6147" width="9.109375" style="198"/>
    <col min="6148" max="6148" width="10" style="198" customWidth="1"/>
    <col min="6149" max="6152" width="9.109375" style="198"/>
    <col min="6153" max="6153" width="35.6640625" style="198" customWidth="1"/>
    <col min="6154" max="6154" width="20.6640625" style="198" customWidth="1"/>
    <col min="6155" max="6155" width="9.109375" style="198"/>
    <col min="6156" max="6156" width="25.6640625" style="198" customWidth="1"/>
    <col min="6157" max="6157" width="9.109375" style="198"/>
    <col min="6158" max="6158" width="25.6640625" style="198" customWidth="1"/>
    <col min="6159" max="6396" width="9.109375" style="198"/>
    <col min="6397" max="6397" width="37.88671875" style="198" customWidth="1"/>
    <col min="6398" max="6398" width="12.109375" style="198" customWidth="1"/>
    <col min="6399" max="6399" width="11.88671875" style="198" customWidth="1"/>
    <col min="6400" max="6400" width="14.5546875" style="198" customWidth="1"/>
    <col min="6401" max="6401" width="40.6640625" style="198" customWidth="1"/>
    <col min="6402" max="6402" width="12.44140625" style="198" customWidth="1"/>
    <col min="6403" max="6403" width="9.109375" style="198"/>
    <col min="6404" max="6404" width="10" style="198" customWidth="1"/>
    <col min="6405" max="6408" width="9.109375" style="198"/>
    <col min="6409" max="6409" width="35.6640625" style="198" customWidth="1"/>
    <col min="6410" max="6410" width="20.6640625" style="198" customWidth="1"/>
    <col min="6411" max="6411" width="9.109375" style="198"/>
    <col min="6412" max="6412" width="25.6640625" style="198" customWidth="1"/>
    <col min="6413" max="6413" width="9.109375" style="198"/>
    <col min="6414" max="6414" width="25.6640625" style="198" customWidth="1"/>
    <col min="6415" max="6652" width="9.109375" style="198"/>
    <col min="6653" max="6653" width="37.88671875" style="198" customWidth="1"/>
    <col min="6654" max="6654" width="12.109375" style="198" customWidth="1"/>
    <col min="6655" max="6655" width="11.88671875" style="198" customWidth="1"/>
    <col min="6656" max="6656" width="14.5546875" style="198" customWidth="1"/>
    <col min="6657" max="6657" width="40.6640625" style="198" customWidth="1"/>
    <col min="6658" max="6658" width="12.44140625" style="198" customWidth="1"/>
    <col min="6659" max="6659" width="9.109375" style="198"/>
    <col min="6660" max="6660" width="10" style="198" customWidth="1"/>
    <col min="6661" max="6664" width="9.109375" style="198"/>
    <col min="6665" max="6665" width="35.6640625" style="198" customWidth="1"/>
    <col min="6666" max="6666" width="20.6640625" style="198" customWidth="1"/>
    <col min="6667" max="6667" width="9.109375" style="198"/>
    <col min="6668" max="6668" width="25.6640625" style="198" customWidth="1"/>
    <col min="6669" max="6669" width="9.109375" style="198"/>
    <col min="6670" max="6670" width="25.6640625" style="198" customWidth="1"/>
    <col min="6671" max="6908" width="9.109375" style="198"/>
    <col min="6909" max="6909" width="37.88671875" style="198" customWidth="1"/>
    <col min="6910" max="6910" width="12.109375" style="198" customWidth="1"/>
    <col min="6911" max="6911" width="11.88671875" style="198" customWidth="1"/>
    <col min="6912" max="6912" width="14.5546875" style="198" customWidth="1"/>
    <col min="6913" max="6913" width="40.6640625" style="198" customWidth="1"/>
    <col min="6914" max="6914" width="12.44140625" style="198" customWidth="1"/>
    <col min="6915" max="6915" width="9.109375" style="198"/>
    <col min="6916" max="6916" width="10" style="198" customWidth="1"/>
    <col min="6917" max="6920" width="9.109375" style="198"/>
    <col min="6921" max="6921" width="35.6640625" style="198" customWidth="1"/>
    <col min="6922" max="6922" width="20.6640625" style="198" customWidth="1"/>
    <col min="6923" max="6923" width="9.109375" style="198"/>
    <col min="6924" max="6924" width="25.6640625" style="198" customWidth="1"/>
    <col min="6925" max="6925" width="9.109375" style="198"/>
    <col min="6926" max="6926" width="25.6640625" style="198" customWidth="1"/>
    <col min="6927" max="7164" width="9.109375" style="198"/>
    <col min="7165" max="7165" width="37.88671875" style="198" customWidth="1"/>
    <col min="7166" max="7166" width="12.109375" style="198" customWidth="1"/>
    <col min="7167" max="7167" width="11.88671875" style="198" customWidth="1"/>
    <col min="7168" max="7168" width="14.5546875" style="198" customWidth="1"/>
    <col min="7169" max="7169" width="40.6640625" style="198" customWidth="1"/>
    <col min="7170" max="7170" width="12.44140625" style="198" customWidth="1"/>
    <col min="7171" max="7171" width="9.109375" style="198"/>
    <col min="7172" max="7172" width="10" style="198" customWidth="1"/>
    <col min="7173" max="7176" width="9.109375" style="198"/>
    <col min="7177" max="7177" width="35.6640625" style="198" customWidth="1"/>
    <col min="7178" max="7178" width="20.6640625" style="198" customWidth="1"/>
    <col min="7179" max="7179" width="9.109375" style="198"/>
    <col min="7180" max="7180" width="25.6640625" style="198" customWidth="1"/>
    <col min="7181" max="7181" width="9.109375" style="198"/>
    <col min="7182" max="7182" width="25.6640625" style="198" customWidth="1"/>
    <col min="7183" max="7420" width="9.109375" style="198"/>
    <col min="7421" max="7421" width="37.88671875" style="198" customWidth="1"/>
    <col min="7422" max="7422" width="12.109375" style="198" customWidth="1"/>
    <col min="7423" max="7423" width="11.88671875" style="198" customWidth="1"/>
    <col min="7424" max="7424" width="14.5546875" style="198" customWidth="1"/>
    <col min="7425" max="7425" width="40.6640625" style="198" customWidth="1"/>
    <col min="7426" max="7426" width="12.44140625" style="198" customWidth="1"/>
    <col min="7427" max="7427" width="9.109375" style="198"/>
    <col min="7428" max="7428" width="10" style="198" customWidth="1"/>
    <col min="7429" max="7432" width="9.109375" style="198"/>
    <col min="7433" max="7433" width="35.6640625" style="198" customWidth="1"/>
    <col min="7434" max="7434" width="20.6640625" style="198" customWidth="1"/>
    <col min="7435" max="7435" width="9.109375" style="198"/>
    <col min="7436" max="7436" width="25.6640625" style="198" customWidth="1"/>
    <col min="7437" max="7437" width="9.109375" style="198"/>
    <col min="7438" max="7438" width="25.6640625" style="198" customWidth="1"/>
    <col min="7439" max="7676" width="9.109375" style="198"/>
    <col min="7677" max="7677" width="37.88671875" style="198" customWidth="1"/>
    <col min="7678" max="7678" width="12.109375" style="198" customWidth="1"/>
    <col min="7679" max="7679" width="11.88671875" style="198" customWidth="1"/>
    <col min="7680" max="7680" width="14.5546875" style="198" customWidth="1"/>
    <col min="7681" max="7681" width="40.6640625" style="198" customWidth="1"/>
    <col min="7682" max="7682" width="12.44140625" style="198" customWidth="1"/>
    <col min="7683" max="7683" width="9.109375" style="198"/>
    <col min="7684" max="7684" width="10" style="198" customWidth="1"/>
    <col min="7685" max="7688" width="9.109375" style="198"/>
    <col min="7689" max="7689" width="35.6640625" style="198" customWidth="1"/>
    <col min="7690" max="7690" width="20.6640625" style="198" customWidth="1"/>
    <col min="7691" max="7691" width="9.109375" style="198"/>
    <col min="7692" max="7692" width="25.6640625" style="198" customWidth="1"/>
    <col min="7693" max="7693" width="9.109375" style="198"/>
    <col min="7694" max="7694" width="25.6640625" style="198" customWidth="1"/>
    <col min="7695" max="7932" width="9.109375" style="198"/>
    <col min="7933" max="7933" width="37.88671875" style="198" customWidth="1"/>
    <col min="7934" max="7934" width="12.109375" style="198" customWidth="1"/>
    <col min="7935" max="7935" width="11.88671875" style="198" customWidth="1"/>
    <col min="7936" max="7936" width="14.5546875" style="198" customWidth="1"/>
    <col min="7937" max="7937" width="40.6640625" style="198" customWidth="1"/>
    <col min="7938" max="7938" width="12.44140625" style="198" customWidth="1"/>
    <col min="7939" max="7939" width="9.109375" style="198"/>
    <col min="7940" max="7940" width="10" style="198" customWidth="1"/>
    <col min="7941" max="7944" width="9.109375" style="198"/>
    <col min="7945" max="7945" width="35.6640625" style="198" customWidth="1"/>
    <col min="7946" max="7946" width="20.6640625" style="198" customWidth="1"/>
    <col min="7947" max="7947" width="9.109375" style="198"/>
    <col min="7948" max="7948" width="25.6640625" style="198" customWidth="1"/>
    <col min="7949" max="7949" width="9.109375" style="198"/>
    <col min="7950" max="7950" width="25.6640625" style="198" customWidth="1"/>
    <col min="7951" max="8188" width="9.109375" style="198"/>
    <col min="8189" max="8189" width="37.88671875" style="198" customWidth="1"/>
    <col min="8190" max="8190" width="12.109375" style="198" customWidth="1"/>
    <col min="8191" max="8191" width="11.88671875" style="198" customWidth="1"/>
    <col min="8192" max="8192" width="14.5546875" style="198" customWidth="1"/>
    <col min="8193" max="8193" width="40.6640625" style="198" customWidth="1"/>
    <col min="8194" max="8194" width="12.44140625" style="198" customWidth="1"/>
    <col min="8195" max="8195" width="9.109375" style="198"/>
    <col min="8196" max="8196" width="10" style="198" customWidth="1"/>
    <col min="8197" max="8200" width="9.109375" style="198"/>
    <col min="8201" max="8201" width="35.6640625" style="198" customWidth="1"/>
    <col min="8202" max="8202" width="20.6640625" style="198" customWidth="1"/>
    <col min="8203" max="8203" width="9.109375" style="198"/>
    <col min="8204" max="8204" width="25.6640625" style="198" customWidth="1"/>
    <col min="8205" max="8205" width="9.109375" style="198"/>
    <col min="8206" max="8206" width="25.6640625" style="198" customWidth="1"/>
    <col min="8207" max="8444" width="9.109375" style="198"/>
    <col min="8445" max="8445" width="37.88671875" style="198" customWidth="1"/>
    <col min="8446" max="8446" width="12.109375" style="198" customWidth="1"/>
    <col min="8447" max="8447" width="11.88671875" style="198" customWidth="1"/>
    <col min="8448" max="8448" width="14.5546875" style="198" customWidth="1"/>
    <col min="8449" max="8449" width="40.6640625" style="198" customWidth="1"/>
    <col min="8450" max="8450" width="12.44140625" style="198" customWidth="1"/>
    <col min="8451" max="8451" width="9.109375" style="198"/>
    <col min="8452" max="8452" width="10" style="198" customWidth="1"/>
    <col min="8453" max="8456" width="9.109375" style="198"/>
    <col min="8457" max="8457" width="35.6640625" style="198" customWidth="1"/>
    <col min="8458" max="8458" width="20.6640625" style="198" customWidth="1"/>
    <col min="8459" max="8459" width="9.109375" style="198"/>
    <col min="8460" max="8460" width="25.6640625" style="198" customWidth="1"/>
    <col min="8461" max="8461" width="9.109375" style="198"/>
    <col min="8462" max="8462" width="25.6640625" style="198" customWidth="1"/>
    <col min="8463" max="8700" width="9.109375" style="198"/>
    <col min="8701" max="8701" width="37.88671875" style="198" customWidth="1"/>
    <col min="8702" max="8702" width="12.109375" style="198" customWidth="1"/>
    <col min="8703" max="8703" width="11.88671875" style="198" customWidth="1"/>
    <col min="8704" max="8704" width="14.5546875" style="198" customWidth="1"/>
    <col min="8705" max="8705" width="40.6640625" style="198" customWidth="1"/>
    <col min="8706" max="8706" width="12.44140625" style="198" customWidth="1"/>
    <col min="8707" max="8707" width="9.109375" style="198"/>
    <col min="8708" max="8708" width="10" style="198" customWidth="1"/>
    <col min="8709" max="8712" width="9.109375" style="198"/>
    <col min="8713" max="8713" width="35.6640625" style="198" customWidth="1"/>
    <col min="8714" max="8714" width="20.6640625" style="198" customWidth="1"/>
    <col min="8715" max="8715" width="9.109375" style="198"/>
    <col min="8716" max="8716" width="25.6640625" style="198" customWidth="1"/>
    <col min="8717" max="8717" width="9.109375" style="198"/>
    <col min="8718" max="8718" width="25.6640625" style="198" customWidth="1"/>
    <col min="8719" max="8956" width="9.109375" style="198"/>
    <col min="8957" max="8957" width="37.88671875" style="198" customWidth="1"/>
    <col min="8958" max="8958" width="12.109375" style="198" customWidth="1"/>
    <col min="8959" max="8959" width="11.88671875" style="198" customWidth="1"/>
    <col min="8960" max="8960" width="14.5546875" style="198" customWidth="1"/>
    <col min="8961" max="8961" width="40.6640625" style="198" customWidth="1"/>
    <col min="8962" max="8962" width="12.44140625" style="198" customWidth="1"/>
    <col min="8963" max="8963" width="9.109375" style="198"/>
    <col min="8964" max="8964" width="10" style="198" customWidth="1"/>
    <col min="8965" max="8968" width="9.109375" style="198"/>
    <col min="8969" max="8969" width="35.6640625" style="198" customWidth="1"/>
    <col min="8970" max="8970" width="20.6640625" style="198" customWidth="1"/>
    <col min="8971" max="8971" width="9.109375" style="198"/>
    <col min="8972" max="8972" width="25.6640625" style="198" customWidth="1"/>
    <col min="8973" max="8973" width="9.109375" style="198"/>
    <col min="8974" max="8974" width="25.6640625" style="198" customWidth="1"/>
    <col min="8975" max="9212" width="9.109375" style="198"/>
    <col min="9213" max="9213" width="37.88671875" style="198" customWidth="1"/>
    <col min="9214" max="9214" width="12.109375" style="198" customWidth="1"/>
    <col min="9215" max="9215" width="11.88671875" style="198" customWidth="1"/>
    <col min="9216" max="9216" width="14.5546875" style="198" customWidth="1"/>
    <col min="9217" max="9217" width="40.6640625" style="198" customWidth="1"/>
    <col min="9218" max="9218" width="12.44140625" style="198" customWidth="1"/>
    <col min="9219" max="9219" width="9.109375" style="198"/>
    <col min="9220" max="9220" width="10" style="198" customWidth="1"/>
    <col min="9221" max="9224" width="9.109375" style="198"/>
    <col min="9225" max="9225" width="35.6640625" style="198" customWidth="1"/>
    <col min="9226" max="9226" width="20.6640625" style="198" customWidth="1"/>
    <col min="9227" max="9227" width="9.109375" style="198"/>
    <col min="9228" max="9228" width="25.6640625" style="198" customWidth="1"/>
    <col min="9229" max="9229" width="9.109375" style="198"/>
    <col min="9230" max="9230" width="25.6640625" style="198" customWidth="1"/>
    <col min="9231" max="9468" width="9.109375" style="198"/>
    <col min="9469" max="9469" width="37.88671875" style="198" customWidth="1"/>
    <col min="9470" max="9470" width="12.109375" style="198" customWidth="1"/>
    <col min="9471" max="9471" width="11.88671875" style="198" customWidth="1"/>
    <col min="9472" max="9472" width="14.5546875" style="198" customWidth="1"/>
    <col min="9473" max="9473" width="40.6640625" style="198" customWidth="1"/>
    <col min="9474" max="9474" width="12.44140625" style="198" customWidth="1"/>
    <col min="9475" max="9475" width="9.109375" style="198"/>
    <col min="9476" max="9476" width="10" style="198" customWidth="1"/>
    <col min="9477" max="9480" width="9.109375" style="198"/>
    <col min="9481" max="9481" width="35.6640625" style="198" customWidth="1"/>
    <col min="9482" max="9482" width="20.6640625" style="198" customWidth="1"/>
    <col min="9483" max="9483" width="9.109375" style="198"/>
    <col min="9484" max="9484" width="25.6640625" style="198" customWidth="1"/>
    <col min="9485" max="9485" width="9.109375" style="198"/>
    <col min="9486" max="9486" width="25.6640625" style="198" customWidth="1"/>
    <col min="9487" max="9724" width="9.109375" style="198"/>
    <col min="9725" max="9725" width="37.88671875" style="198" customWidth="1"/>
    <col min="9726" max="9726" width="12.109375" style="198" customWidth="1"/>
    <col min="9727" max="9727" width="11.88671875" style="198" customWidth="1"/>
    <col min="9728" max="9728" width="14.5546875" style="198" customWidth="1"/>
    <col min="9729" max="9729" width="40.6640625" style="198" customWidth="1"/>
    <col min="9730" max="9730" width="12.44140625" style="198" customWidth="1"/>
    <col min="9731" max="9731" width="9.109375" style="198"/>
    <col min="9732" max="9732" width="10" style="198" customWidth="1"/>
    <col min="9733" max="9736" width="9.109375" style="198"/>
    <col min="9737" max="9737" width="35.6640625" style="198" customWidth="1"/>
    <col min="9738" max="9738" width="20.6640625" style="198" customWidth="1"/>
    <col min="9739" max="9739" width="9.109375" style="198"/>
    <col min="9740" max="9740" width="25.6640625" style="198" customWidth="1"/>
    <col min="9741" max="9741" width="9.109375" style="198"/>
    <col min="9742" max="9742" width="25.6640625" style="198" customWidth="1"/>
    <col min="9743" max="9980" width="9.109375" style="198"/>
    <col min="9981" max="9981" width="37.88671875" style="198" customWidth="1"/>
    <col min="9982" max="9982" width="12.109375" style="198" customWidth="1"/>
    <col min="9983" max="9983" width="11.88671875" style="198" customWidth="1"/>
    <col min="9984" max="9984" width="14.5546875" style="198" customWidth="1"/>
    <col min="9985" max="9985" width="40.6640625" style="198" customWidth="1"/>
    <col min="9986" max="9986" width="12.44140625" style="198" customWidth="1"/>
    <col min="9987" max="9987" width="9.109375" style="198"/>
    <col min="9988" max="9988" width="10" style="198" customWidth="1"/>
    <col min="9989" max="9992" width="9.109375" style="198"/>
    <col min="9993" max="9993" width="35.6640625" style="198" customWidth="1"/>
    <col min="9994" max="9994" width="20.6640625" style="198" customWidth="1"/>
    <col min="9995" max="9995" width="9.109375" style="198"/>
    <col min="9996" max="9996" width="25.6640625" style="198" customWidth="1"/>
    <col min="9997" max="9997" width="9.109375" style="198"/>
    <col min="9998" max="9998" width="25.6640625" style="198" customWidth="1"/>
    <col min="9999" max="10236" width="9.109375" style="198"/>
    <col min="10237" max="10237" width="37.88671875" style="198" customWidth="1"/>
    <col min="10238" max="10238" width="12.109375" style="198" customWidth="1"/>
    <col min="10239" max="10239" width="11.88671875" style="198" customWidth="1"/>
    <col min="10240" max="10240" width="14.5546875" style="198" customWidth="1"/>
    <col min="10241" max="10241" width="40.6640625" style="198" customWidth="1"/>
    <col min="10242" max="10242" width="12.44140625" style="198" customWidth="1"/>
    <col min="10243" max="10243" width="9.109375" style="198"/>
    <col min="10244" max="10244" width="10" style="198" customWidth="1"/>
    <col min="10245" max="10248" width="9.109375" style="198"/>
    <col min="10249" max="10249" width="35.6640625" style="198" customWidth="1"/>
    <col min="10250" max="10250" width="20.6640625" style="198" customWidth="1"/>
    <col min="10251" max="10251" width="9.109375" style="198"/>
    <col min="10252" max="10252" width="25.6640625" style="198" customWidth="1"/>
    <col min="10253" max="10253" width="9.109375" style="198"/>
    <col min="10254" max="10254" width="25.6640625" style="198" customWidth="1"/>
    <col min="10255" max="10492" width="9.109375" style="198"/>
    <col min="10493" max="10493" width="37.88671875" style="198" customWidth="1"/>
    <col min="10494" max="10494" width="12.109375" style="198" customWidth="1"/>
    <col min="10495" max="10495" width="11.88671875" style="198" customWidth="1"/>
    <col min="10496" max="10496" width="14.5546875" style="198" customWidth="1"/>
    <col min="10497" max="10497" width="40.6640625" style="198" customWidth="1"/>
    <col min="10498" max="10498" width="12.44140625" style="198" customWidth="1"/>
    <col min="10499" max="10499" width="9.109375" style="198"/>
    <col min="10500" max="10500" width="10" style="198" customWidth="1"/>
    <col min="10501" max="10504" width="9.109375" style="198"/>
    <col min="10505" max="10505" width="35.6640625" style="198" customWidth="1"/>
    <col min="10506" max="10506" width="20.6640625" style="198" customWidth="1"/>
    <col min="10507" max="10507" width="9.109375" style="198"/>
    <col min="10508" max="10508" width="25.6640625" style="198" customWidth="1"/>
    <col min="10509" max="10509" width="9.109375" style="198"/>
    <col min="10510" max="10510" width="25.6640625" style="198" customWidth="1"/>
    <col min="10511" max="10748" width="9.109375" style="198"/>
    <col min="10749" max="10749" width="37.88671875" style="198" customWidth="1"/>
    <col min="10750" max="10750" width="12.109375" style="198" customWidth="1"/>
    <col min="10751" max="10751" width="11.88671875" style="198" customWidth="1"/>
    <col min="10752" max="10752" width="14.5546875" style="198" customWidth="1"/>
    <col min="10753" max="10753" width="40.6640625" style="198" customWidth="1"/>
    <col min="10754" max="10754" width="12.44140625" style="198" customWidth="1"/>
    <col min="10755" max="10755" width="9.109375" style="198"/>
    <col min="10756" max="10756" width="10" style="198" customWidth="1"/>
    <col min="10757" max="10760" width="9.109375" style="198"/>
    <col min="10761" max="10761" width="35.6640625" style="198" customWidth="1"/>
    <col min="10762" max="10762" width="20.6640625" style="198" customWidth="1"/>
    <col min="10763" max="10763" width="9.109375" style="198"/>
    <col min="10764" max="10764" width="25.6640625" style="198" customWidth="1"/>
    <col min="10765" max="10765" width="9.109375" style="198"/>
    <col min="10766" max="10766" width="25.6640625" style="198" customWidth="1"/>
    <col min="10767" max="11004" width="9.109375" style="198"/>
    <col min="11005" max="11005" width="37.88671875" style="198" customWidth="1"/>
    <col min="11006" max="11006" width="12.109375" style="198" customWidth="1"/>
    <col min="11007" max="11007" width="11.88671875" style="198" customWidth="1"/>
    <col min="11008" max="11008" width="14.5546875" style="198" customWidth="1"/>
    <col min="11009" max="11009" width="40.6640625" style="198" customWidth="1"/>
    <col min="11010" max="11010" width="12.44140625" style="198" customWidth="1"/>
    <col min="11011" max="11011" width="9.109375" style="198"/>
    <col min="11012" max="11012" width="10" style="198" customWidth="1"/>
    <col min="11013" max="11016" width="9.109375" style="198"/>
    <col min="11017" max="11017" width="35.6640625" style="198" customWidth="1"/>
    <col min="11018" max="11018" width="20.6640625" style="198" customWidth="1"/>
    <col min="11019" max="11019" width="9.109375" style="198"/>
    <col min="11020" max="11020" width="25.6640625" style="198" customWidth="1"/>
    <col min="11021" max="11021" width="9.109375" style="198"/>
    <col min="11022" max="11022" width="25.6640625" style="198" customWidth="1"/>
    <col min="11023" max="11260" width="9.109375" style="198"/>
    <col min="11261" max="11261" width="37.88671875" style="198" customWidth="1"/>
    <col min="11262" max="11262" width="12.109375" style="198" customWidth="1"/>
    <col min="11263" max="11263" width="11.88671875" style="198" customWidth="1"/>
    <col min="11264" max="11264" width="14.5546875" style="198" customWidth="1"/>
    <col min="11265" max="11265" width="40.6640625" style="198" customWidth="1"/>
    <col min="11266" max="11266" width="12.44140625" style="198" customWidth="1"/>
    <col min="11267" max="11267" width="9.109375" style="198"/>
    <col min="11268" max="11268" width="10" style="198" customWidth="1"/>
    <col min="11269" max="11272" width="9.109375" style="198"/>
    <col min="11273" max="11273" width="35.6640625" style="198" customWidth="1"/>
    <col min="11274" max="11274" width="20.6640625" style="198" customWidth="1"/>
    <col min="11275" max="11275" width="9.109375" style="198"/>
    <col min="11276" max="11276" width="25.6640625" style="198" customWidth="1"/>
    <col min="11277" max="11277" width="9.109375" style="198"/>
    <col min="11278" max="11278" width="25.6640625" style="198" customWidth="1"/>
    <col min="11279" max="11516" width="9.109375" style="198"/>
    <col min="11517" max="11517" width="37.88671875" style="198" customWidth="1"/>
    <col min="11518" max="11518" width="12.109375" style="198" customWidth="1"/>
    <col min="11519" max="11519" width="11.88671875" style="198" customWidth="1"/>
    <col min="11520" max="11520" width="14.5546875" style="198" customWidth="1"/>
    <col min="11521" max="11521" width="40.6640625" style="198" customWidth="1"/>
    <col min="11522" max="11522" width="12.44140625" style="198" customWidth="1"/>
    <col min="11523" max="11523" width="9.109375" style="198"/>
    <col min="11524" max="11524" width="10" style="198" customWidth="1"/>
    <col min="11525" max="11528" width="9.109375" style="198"/>
    <col min="11529" max="11529" width="35.6640625" style="198" customWidth="1"/>
    <col min="11530" max="11530" width="20.6640625" style="198" customWidth="1"/>
    <col min="11531" max="11531" width="9.109375" style="198"/>
    <col min="11532" max="11532" width="25.6640625" style="198" customWidth="1"/>
    <col min="11533" max="11533" width="9.109375" style="198"/>
    <col min="11534" max="11534" width="25.6640625" style="198" customWidth="1"/>
    <col min="11535" max="11772" width="9.109375" style="198"/>
    <col min="11773" max="11773" width="37.88671875" style="198" customWidth="1"/>
    <col min="11774" max="11774" width="12.109375" style="198" customWidth="1"/>
    <col min="11775" max="11775" width="11.88671875" style="198" customWidth="1"/>
    <col min="11776" max="11776" width="14.5546875" style="198" customWidth="1"/>
    <col min="11777" max="11777" width="40.6640625" style="198" customWidth="1"/>
    <col min="11778" max="11778" width="12.44140625" style="198" customWidth="1"/>
    <col min="11779" max="11779" width="9.109375" style="198"/>
    <col min="11780" max="11780" width="10" style="198" customWidth="1"/>
    <col min="11781" max="11784" width="9.109375" style="198"/>
    <col min="11785" max="11785" width="35.6640625" style="198" customWidth="1"/>
    <col min="11786" max="11786" width="20.6640625" style="198" customWidth="1"/>
    <col min="11787" max="11787" width="9.109375" style="198"/>
    <col min="11788" max="11788" width="25.6640625" style="198" customWidth="1"/>
    <col min="11789" max="11789" width="9.109375" style="198"/>
    <col min="11790" max="11790" width="25.6640625" style="198" customWidth="1"/>
    <col min="11791" max="12028" width="9.109375" style="198"/>
    <col min="12029" max="12029" width="37.88671875" style="198" customWidth="1"/>
    <col min="12030" max="12030" width="12.109375" style="198" customWidth="1"/>
    <col min="12031" max="12031" width="11.88671875" style="198" customWidth="1"/>
    <col min="12032" max="12032" width="14.5546875" style="198" customWidth="1"/>
    <col min="12033" max="12033" width="40.6640625" style="198" customWidth="1"/>
    <col min="12034" max="12034" width="12.44140625" style="198" customWidth="1"/>
    <col min="12035" max="12035" width="9.109375" style="198"/>
    <col min="12036" max="12036" width="10" style="198" customWidth="1"/>
    <col min="12037" max="12040" width="9.109375" style="198"/>
    <col min="12041" max="12041" width="35.6640625" style="198" customWidth="1"/>
    <col min="12042" max="12042" width="20.6640625" style="198" customWidth="1"/>
    <col min="12043" max="12043" width="9.109375" style="198"/>
    <col min="12044" max="12044" width="25.6640625" style="198" customWidth="1"/>
    <col min="12045" max="12045" width="9.109375" style="198"/>
    <col min="12046" max="12046" width="25.6640625" style="198" customWidth="1"/>
    <col min="12047" max="12284" width="9.109375" style="198"/>
    <col min="12285" max="12285" width="37.88671875" style="198" customWidth="1"/>
    <col min="12286" max="12286" width="12.109375" style="198" customWidth="1"/>
    <col min="12287" max="12287" width="11.88671875" style="198" customWidth="1"/>
    <col min="12288" max="12288" width="14.5546875" style="198" customWidth="1"/>
    <col min="12289" max="12289" width="40.6640625" style="198" customWidth="1"/>
    <col min="12290" max="12290" width="12.44140625" style="198" customWidth="1"/>
    <col min="12291" max="12291" width="9.109375" style="198"/>
    <col min="12292" max="12292" width="10" style="198" customWidth="1"/>
    <col min="12293" max="12296" width="9.109375" style="198"/>
    <col min="12297" max="12297" width="35.6640625" style="198" customWidth="1"/>
    <col min="12298" max="12298" width="20.6640625" style="198" customWidth="1"/>
    <col min="12299" max="12299" width="9.109375" style="198"/>
    <col min="12300" max="12300" width="25.6640625" style="198" customWidth="1"/>
    <col min="12301" max="12301" width="9.109375" style="198"/>
    <col min="12302" max="12302" width="25.6640625" style="198" customWidth="1"/>
    <col min="12303" max="12540" width="9.109375" style="198"/>
    <col min="12541" max="12541" width="37.88671875" style="198" customWidth="1"/>
    <col min="12542" max="12542" width="12.109375" style="198" customWidth="1"/>
    <col min="12543" max="12543" width="11.88671875" style="198" customWidth="1"/>
    <col min="12544" max="12544" width="14.5546875" style="198" customWidth="1"/>
    <col min="12545" max="12545" width="40.6640625" style="198" customWidth="1"/>
    <col min="12546" max="12546" width="12.44140625" style="198" customWidth="1"/>
    <col min="12547" max="12547" width="9.109375" style="198"/>
    <col min="12548" max="12548" width="10" style="198" customWidth="1"/>
    <col min="12549" max="12552" width="9.109375" style="198"/>
    <col min="12553" max="12553" width="35.6640625" style="198" customWidth="1"/>
    <col min="12554" max="12554" width="20.6640625" style="198" customWidth="1"/>
    <col min="12555" max="12555" width="9.109375" style="198"/>
    <col min="12556" max="12556" width="25.6640625" style="198" customWidth="1"/>
    <col min="12557" max="12557" width="9.109375" style="198"/>
    <col min="12558" max="12558" width="25.6640625" style="198" customWidth="1"/>
    <col min="12559" max="12796" width="9.109375" style="198"/>
    <col min="12797" max="12797" width="37.88671875" style="198" customWidth="1"/>
    <col min="12798" max="12798" width="12.109375" style="198" customWidth="1"/>
    <col min="12799" max="12799" width="11.88671875" style="198" customWidth="1"/>
    <col min="12800" max="12800" width="14.5546875" style="198" customWidth="1"/>
    <col min="12801" max="12801" width="40.6640625" style="198" customWidth="1"/>
    <col min="12802" max="12802" width="12.44140625" style="198" customWidth="1"/>
    <col min="12803" max="12803" width="9.109375" style="198"/>
    <col min="12804" max="12804" width="10" style="198" customWidth="1"/>
    <col min="12805" max="12808" width="9.109375" style="198"/>
    <col min="12809" max="12809" width="35.6640625" style="198" customWidth="1"/>
    <col min="12810" max="12810" width="20.6640625" style="198" customWidth="1"/>
    <col min="12811" max="12811" width="9.109375" style="198"/>
    <col min="12812" max="12812" width="25.6640625" style="198" customWidth="1"/>
    <col min="12813" max="12813" width="9.109375" style="198"/>
    <col min="12814" max="12814" width="25.6640625" style="198" customWidth="1"/>
    <col min="12815" max="13052" width="9.109375" style="198"/>
    <col min="13053" max="13053" width="37.88671875" style="198" customWidth="1"/>
    <col min="13054" max="13054" width="12.109375" style="198" customWidth="1"/>
    <col min="13055" max="13055" width="11.88671875" style="198" customWidth="1"/>
    <col min="13056" max="13056" width="14.5546875" style="198" customWidth="1"/>
    <col min="13057" max="13057" width="40.6640625" style="198" customWidth="1"/>
    <col min="13058" max="13058" width="12.44140625" style="198" customWidth="1"/>
    <col min="13059" max="13059" width="9.109375" style="198"/>
    <col min="13060" max="13060" width="10" style="198" customWidth="1"/>
    <col min="13061" max="13064" width="9.109375" style="198"/>
    <col min="13065" max="13065" width="35.6640625" style="198" customWidth="1"/>
    <col min="13066" max="13066" width="20.6640625" style="198" customWidth="1"/>
    <col min="13067" max="13067" width="9.109375" style="198"/>
    <col min="13068" max="13068" width="25.6640625" style="198" customWidth="1"/>
    <col min="13069" max="13069" width="9.109375" style="198"/>
    <col min="13070" max="13070" width="25.6640625" style="198" customWidth="1"/>
    <col min="13071" max="13308" width="9.109375" style="198"/>
    <col min="13309" max="13309" width="37.88671875" style="198" customWidth="1"/>
    <col min="13310" max="13310" width="12.109375" style="198" customWidth="1"/>
    <col min="13311" max="13311" width="11.88671875" style="198" customWidth="1"/>
    <col min="13312" max="13312" width="14.5546875" style="198" customWidth="1"/>
    <col min="13313" max="13313" width="40.6640625" style="198" customWidth="1"/>
    <col min="13314" max="13314" width="12.44140625" style="198" customWidth="1"/>
    <col min="13315" max="13315" width="9.109375" style="198"/>
    <col min="13316" max="13316" width="10" style="198" customWidth="1"/>
    <col min="13317" max="13320" width="9.109375" style="198"/>
    <col min="13321" max="13321" width="35.6640625" style="198" customWidth="1"/>
    <col min="13322" max="13322" width="20.6640625" style="198" customWidth="1"/>
    <col min="13323" max="13323" width="9.109375" style="198"/>
    <col min="13324" max="13324" width="25.6640625" style="198" customWidth="1"/>
    <col min="13325" max="13325" width="9.109375" style="198"/>
    <col min="13326" max="13326" width="25.6640625" style="198" customWidth="1"/>
    <col min="13327" max="13564" width="9.109375" style="198"/>
    <col min="13565" max="13565" width="37.88671875" style="198" customWidth="1"/>
    <col min="13566" max="13566" width="12.109375" style="198" customWidth="1"/>
    <col min="13567" max="13567" width="11.88671875" style="198" customWidth="1"/>
    <col min="13568" max="13568" width="14.5546875" style="198" customWidth="1"/>
    <col min="13569" max="13569" width="40.6640625" style="198" customWidth="1"/>
    <col min="13570" max="13570" width="12.44140625" style="198" customWidth="1"/>
    <col min="13571" max="13571" width="9.109375" style="198"/>
    <col min="13572" max="13572" width="10" style="198" customWidth="1"/>
    <col min="13573" max="13576" width="9.109375" style="198"/>
    <col min="13577" max="13577" width="35.6640625" style="198" customWidth="1"/>
    <col min="13578" max="13578" width="20.6640625" style="198" customWidth="1"/>
    <col min="13579" max="13579" width="9.109375" style="198"/>
    <col min="13580" max="13580" width="25.6640625" style="198" customWidth="1"/>
    <col min="13581" max="13581" width="9.109375" style="198"/>
    <col min="13582" max="13582" width="25.6640625" style="198" customWidth="1"/>
    <col min="13583" max="13820" width="9.109375" style="198"/>
    <col min="13821" max="13821" width="37.88671875" style="198" customWidth="1"/>
    <col min="13822" max="13822" width="12.109375" style="198" customWidth="1"/>
    <col min="13823" max="13823" width="11.88671875" style="198" customWidth="1"/>
    <col min="13824" max="13824" width="14.5546875" style="198" customWidth="1"/>
    <col min="13825" max="13825" width="40.6640625" style="198" customWidth="1"/>
    <col min="13826" max="13826" width="12.44140625" style="198" customWidth="1"/>
    <col min="13827" max="13827" width="9.109375" style="198"/>
    <col min="13828" max="13828" width="10" style="198" customWidth="1"/>
    <col min="13829" max="13832" width="9.109375" style="198"/>
    <col min="13833" max="13833" width="35.6640625" style="198" customWidth="1"/>
    <col min="13834" max="13834" width="20.6640625" style="198" customWidth="1"/>
    <col min="13835" max="13835" width="9.109375" style="198"/>
    <col min="13836" max="13836" width="25.6640625" style="198" customWidth="1"/>
    <col min="13837" max="13837" width="9.109375" style="198"/>
    <col min="13838" max="13838" width="25.6640625" style="198" customWidth="1"/>
    <col min="13839" max="14076" width="9.109375" style="198"/>
    <col min="14077" max="14077" width="37.88671875" style="198" customWidth="1"/>
    <col min="14078" max="14078" width="12.109375" style="198" customWidth="1"/>
    <col min="14079" max="14079" width="11.88671875" style="198" customWidth="1"/>
    <col min="14080" max="14080" width="14.5546875" style="198" customWidth="1"/>
    <col min="14081" max="14081" width="40.6640625" style="198" customWidth="1"/>
    <col min="14082" max="14082" width="12.44140625" style="198" customWidth="1"/>
    <col min="14083" max="14083" width="9.109375" style="198"/>
    <col min="14084" max="14084" width="10" style="198" customWidth="1"/>
    <col min="14085" max="14088" width="9.109375" style="198"/>
    <col min="14089" max="14089" width="35.6640625" style="198" customWidth="1"/>
    <col min="14090" max="14090" width="20.6640625" style="198" customWidth="1"/>
    <col min="14091" max="14091" width="9.109375" style="198"/>
    <col min="14092" max="14092" width="25.6640625" style="198" customWidth="1"/>
    <col min="14093" max="14093" width="9.109375" style="198"/>
    <col min="14094" max="14094" width="25.6640625" style="198" customWidth="1"/>
    <col min="14095" max="14332" width="9.109375" style="198"/>
    <col min="14333" max="14333" width="37.88671875" style="198" customWidth="1"/>
    <col min="14334" max="14334" width="12.109375" style="198" customWidth="1"/>
    <col min="14335" max="14335" width="11.88671875" style="198" customWidth="1"/>
    <col min="14336" max="14336" width="14.5546875" style="198" customWidth="1"/>
    <col min="14337" max="14337" width="40.6640625" style="198" customWidth="1"/>
    <col min="14338" max="14338" width="12.44140625" style="198" customWidth="1"/>
    <col min="14339" max="14339" width="9.109375" style="198"/>
    <col min="14340" max="14340" width="10" style="198" customWidth="1"/>
    <col min="14341" max="14344" width="9.109375" style="198"/>
    <col min="14345" max="14345" width="35.6640625" style="198" customWidth="1"/>
    <col min="14346" max="14346" width="20.6640625" style="198" customWidth="1"/>
    <col min="14347" max="14347" width="9.109375" style="198"/>
    <col min="14348" max="14348" width="25.6640625" style="198" customWidth="1"/>
    <col min="14349" max="14349" width="9.109375" style="198"/>
    <col min="14350" max="14350" width="25.6640625" style="198" customWidth="1"/>
    <col min="14351" max="14588" width="9.109375" style="198"/>
    <col min="14589" max="14589" width="37.88671875" style="198" customWidth="1"/>
    <col min="14590" max="14590" width="12.109375" style="198" customWidth="1"/>
    <col min="14591" max="14591" width="11.88671875" style="198" customWidth="1"/>
    <col min="14592" max="14592" width="14.5546875" style="198" customWidth="1"/>
    <col min="14593" max="14593" width="40.6640625" style="198" customWidth="1"/>
    <col min="14594" max="14594" width="12.44140625" style="198" customWidth="1"/>
    <col min="14595" max="14595" width="9.109375" style="198"/>
    <col min="14596" max="14596" width="10" style="198" customWidth="1"/>
    <col min="14597" max="14600" width="9.109375" style="198"/>
    <col min="14601" max="14601" width="35.6640625" style="198" customWidth="1"/>
    <col min="14602" max="14602" width="20.6640625" style="198" customWidth="1"/>
    <col min="14603" max="14603" width="9.109375" style="198"/>
    <col min="14604" max="14604" width="25.6640625" style="198" customWidth="1"/>
    <col min="14605" max="14605" width="9.109375" style="198"/>
    <col min="14606" max="14606" width="25.6640625" style="198" customWidth="1"/>
    <col min="14607" max="14844" width="9.109375" style="198"/>
    <col min="14845" max="14845" width="37.88671875" style="198" customWidth="1"/>
    <col min="14846" max="14846" width="12.109375" style="198" customWidth="1"/>
    <col min="14847" max="14847" width="11.88671875" style="198" customWidth="1"/>
    <col min="14848" max="14848" width="14.5546875" style="198" customWidth="1"/>
    <col min="14849" max="14849" width="40.6640625" style="198" customWidth="1"/>
    <col min="14850" max="14850" width="12.44140625" style="198" customWidth="1"/>
    <col min="14851" max="14851" width="9.109375" style="198"/>
    <col min="14852" max="14852" width="10" style="198" customWidth="1"/>
    <col min="14853" max="14856" width="9.109375" style="198"/>
    <col min="14857" max="14857" width="35.6640625" style="198" customWidth="1"/>
    <col min="14858" max="14858" width="20.6640625" style="198" customWidth="1"/>
    <col min="14859" max="14859" width="9.109375" style="198"/>
    <col min="14860" max="14860" width="25.6640625" style="198" customWidth="1"/>
    <col min="14861" max="14861" width="9.109375" style="198"/>
    <col min="14862" max="14862" width="25.6640625" style="198" customWidth="1"/>
    <col min="14863" max="15100" width="9.109375" style="198"/>
    <col min="15101" max="15101" width="37.88671875" style="198" customWidth="1"/>
    <col min="15102" max="15102" width="12.109375" style="198" customWidth="1"/>
    <col min="15103" max="15103" width="11.88671875" style="198" customWidth="1"/>
    <col min="15104" max="15104" width="14.5546875" style="198" customWidth="1"/>
    <col min="15105" max="15105" width="40.6640625" style="198" customWidth="1"/>
    <col min="15106" max="15106" width="12.44140625" style="198" customWidth="1"/>
    <col min="15107" max="15107" width="9.109375" style="198"/>
    <col min="15108" max="15108" width="10" style="198" customWidth="1"/>
    <col min="15109" max="15112" width="9.109375" style="198"/>
    <col min="15113" max="15113" width="35.6640625" style="198" customWidth="1"/>
    <col min="15114" max="15114" width="20.6640625" style="198" customWidth="1"/>
    <col min="15115" max="15115" width="9.109375" style="198"/>
    <col min="15116" max="15116" width="25.6640625" style="198" customWidth="1"/>
    <col min="15117" max="15117" width="9.109375" style="198"/>
    <col min="15118" max="15118" width="25.6640625" style="198" customWidth="1"/>
    <col min="15119" max="15356" width="9.109375" style="198"/>
    <col min="15357" max="15357" width="37.88671875" style="198" customWidth="1"/>
    <col min="15358" max="15358" width="12.109375" style="198" customWidth="1"/>
    <col min="15359" max="15359" width="11.88671875" style="198" customWidth="1"/>
    <col min="15360" max="15360" width="14.5546875" style="198" customWidth="1"/>
    <col min="15361" max="15361" width="40.6640625" style="198" customWidth="1"/>
    <col min="15362" max="15362" width="12.44140625" style="198" customWidth="1"/>
    <col min="15363" max="15363" width="9.109375" style="198"/>
    <col min="15364" max="15364" width="10" style="198" customWidth="1"/>
    <col min="15365" max="15368" width="9.109375" style="198"/>
    <col min="15369" max="15369" width="35.6640625" style="198" customWidth="1"/>
    <col min="15370" max="15370" width="20.6640625" style="198" customWidth="1"/>
    <col min="15371" max="15371" width="9.109375" style="198"/>
    <col min="15372" max="15372" width="25.6640625" style="198" customWidth="1"/>
    <col min="15373" max="15373" width="9.109375" style="198"/>
    <col min="15374" max="15374" width="25.6640625" style="198" customWidth="1"/>
    <col min="15375" max="15612" width="9.109375" style="198"/>
    <col min="15613" max="15613" width="37.88671875" style="198" customWidth="1"/>
    <col min="15614" max="15614" width="12.109375" style="198" customWidth="1"/>
    <col min="15615" max="15615" width="11.88671875" style="198" customWidth="1"/>
    <col min="15616" max="15616" width="14.5546875" style="198" customWidth="1"/>
    <col min="15617" max="15617" width="40.6640625" style="198" customWidth="1"/>
    <col min="15618" max="15618" width="12.44140625" style="198" customWidth="1"/>
    <col min="15619" max="15619" width="9.109375" style="198"/>
    <col min="15620" max="15620" width="10" style="198" customWidth="1"/>
    <col min="15621" max="15624" width="9.109375" style="198"/>
    <col min="15625" max="15625" width="35.6640625" style="198" customWidth="1"/>
    <col min="15626" max="15626" width="20.6640625" style="198" customWidth="1"/>
    <col min="15627" max="15627" width="9.109375" style="198"/>
    <col min="15628" max="15628" width="25.6640625" style="198" customWidth="1"/>
    <col min="15629" max="15629" width="9.109375" style="198"/>
    <col min="15630" max="15630" width="25.6640625" style="198" customWidth="1"/>
    <col min="15631" max="15868" width="9.109375" style="198"/>
    <col min="15869" max="15869" width="37.88671875" style="198" customWidth="1"/>
    <col min="15870" max="15870" width="12.109375" style="198" customWidth="1"/>
    <col min="15871" max="15871" width="11.88671875" style="198" customWidth="1"/>
    <col min="15872" max="15872" width="14.5546875" style="198" customWidth="1"/>
    <col min="15873" max="15873" width="40.6640625" style="198" customWidth="1"/>
    <col min="15874" max="15874" width="12.44140625" style="198" customWidth="1"/>
    <col min="15875" max="15875" width="9.109375" style="198"/>
    <col min="15876" max="15876" width="10" style="198" customWidth="1"/>
    <col min="15877" max="15880" width="9.109375" style="198"/>
    <col min="15881" max="15881" width="35.6640625" style="198" customWidth="1"/>
    <col min="15882" max="15882" width="20.6640625" style="198" customWidth="1"/>
    <col min="15883" max="15883" width="9.109375" style="198"/>
    <col min="15884" max="15884" width="25.6640625" style="198" customWidth="1"/>
    <col min="15885" max="15885" width="9.109375" style="198"/>
    <col min="15886" max="15886" width="25.6640625" style="198" customWidth="1"/>
    <col min="15887" max="16124" width="9.109375" style="198"/>
    <col min="16125" max="16125" width="37.88671875" style="198" customWidth="1"/>
    <col min="16126" max="16126" width="12.109375" style="198" customWidth="1"/>
    <col min="16127" max="16127" width="11.88671875" style="198" customWidth="1"/>
    <col min="16128" max="16128" width="14.5546875" style="198" customWidth="1"/>
    <col min="16129" max="16129" width="40.6640625" style="198" customWidth="1"/>
    <col min="16130" max="16130" width="12.44140625" style="198" customWidth="1"/>
    <col min="16131" max="16131" width="9.109375" style="198"/>
    <col min="16132" max="16132" width="10" style="198" customWidth="1"/>
    <col min="16133" max="16136" width="9.109375" style="198"/>
    <col min="16137" max="16137" width="35.6640625" style="198" customWidth="1"/>
    <col min="16138" max="16138" width="20.6640625" style="198" customWidth="1"/>
    <col min="16139" max="16139" width="9.109375" style="198"/>
    <col min="16140" max="16140" width="25.6640625" style="198" customWidth="1"/>
    <col min="16141" max="16141" width="9.109375" style="198"/>
    <col min="16142" max="16142" width="25.6640625" style="198" customWidth="1"/>
    <col min="16143" max="16384" width="9.109375" style="198"/>
  </cols>
  <sheetData>
    <row r="1" spans="1:13" x14ac:dyDescent="0.3">
      <c r="A1" s="209" t="s">
        <v>480</v>
      </c>
      <c r="B1" s="182" t="s">
        <v>481</v>
      </c>
      <c r="C1" s="182" t="s">
        <v>482</v>
      </c>
      <c r="D1" s="315" t="s">
        <v>966</v>
      </c>
      <c r="F1" s="182" t="s">
        <v>542</v>
      </c>
    </row>
    <row r="2" spans="1:13" x14ac:dyDescent="0.3">
      <c r="D2" s="318" t="s">
        <v>1026</v>
      </c>
    </row>
    <row r="3" spans="1:13" ht="15.6" customHeight="1" x14ac:dyDescent="0.35">
      <c r="A3" s="241" t="s">
        <v>840</v>
      </c>
      <c r="B3" s="211">
        <f>AVERAGE(B4:B5)</f>
        <v>105</v>
      </c>
      <c r="C3" s="210"/>
      <c r="F3" s="218"/>
      <c r="G3" s="381" t="s">
        <v>488</v>
      </c>
      <c r="H3" s="381" t="s">
        <v>487</v>
      </c>
      <c r="I3" s="380" t="s">
        <v>476</v>
      </c>
      <c r="J3" s="380" t="s">
        <v>965</v>
      </c>
      <c r="K3" s="380" t="s">
        <v>964</v>
      </c>
      <c r="L3" s="380" t="s">
        <v>477</v>
      </c>
      <c r="M3" s="380" t="s">
        <v>478</v>
      </c>
    </row>
    <row r="4" spans="1:13" ht="15.6" x14ac:dyDescent="0.35">
      <c r="A4" s="241" t="s">
        <v>841</v>
      </c>
      <c r="B4" s="211">
        <f>(iohsrf2!B26-iohsrf2!B36)*(1+iohsrf2!B5)</f>
        <v>63</v>
      </c>
      <c r="C4" s="210"/>
      <c r="F4" s="218"/>
      <c r="G4" s="382"/>
      <c r="H4" s="382"/>
      <c r="I4" s="380"/>
      <c r="J4" s="380"/>
      <c r="K4" s="380"/>
      <c r="L4" s="380"/>
      <c r="M4" s="380"/>
    </row>
    <row r="5" spans="1:13" ht="15.6" x14ac:dyDescent="0.35">
      <c r="A5" s="241" t="s">
        <v>842</v>
      </c>
      <c r="B5" s="211">
        <f>(iohsrf2!B25-iohsrf2!B37)*(1+iohsrf2!B5)</f>
        <v>147</v>
      </c>
      <c r="C5" s="210"/>
      <c r="F5" s="218"/>
      <c r="G5" s="382"/>
      <c r="H5" s="382"/>
      <c r="I5" s="380"/>
      <c r="J5" s="380"/>
      <c r="K5" s="380"/>
      <c r="L5" s="380"/>
      <c r="M5" s="380"/>
    </row>
    <row r="6" spans="1:13" ht="15.6" x14ac:dyDescent="0.35">
      <c r="A6" s="241" t="s">
        <v>843</v>
      </c>
      <c r="B6" s="210"/>
      <c r="C6" s="211">
        <f>((iohsrf2!B25+iohsrf2!B26)/2-(iohsrf2!B36+iohsrf2!B37)/2)*(1-iohsrf2!B5)</f>
        <v>95</v>
      </c>
      <c r="F6" s="218"/>
      <c r="G6" s="382"/>
      <c r="H6" s="382"/>
      <c r="I6" s="380"/>
      <c r="J6" s="380"/>
      <c r="K6" s="380"/>
      <c r="L6" s="380"/>
      <c r="M6" s="380"/>
    </row>
    <row r="7" spans="1:13" ht="15.6" x14ac:dyDescent="0.3">
      <c r="A7" s="274" t="s">
        <v>887</v>
      </c>
      <c r="B7" s="273"/>
      <c r="C7" s="275">
        <f>IF(AND(C6&gt;=27,C6&lt;46),0.000000000155*C6^7.3423,IF(AND(C6&gt;=46,C6&lt;110),2.0076*C6^1.2601,IF(AND(C6&gt;=110,C6&lt;200),750,IF(AND(C6&gt;=200,C6&lt;=600),440010*C6^-1.2031,"Valor fora da faixa de variacao!"))))</f>
        <v>623.45728222649404</v>
      </c>
      <c r="D7" s="229"/>
      <c r="F7" s="218"/>
      <c r="G7" s="382"/>
      <c r="H7" s="382"/>
      <c r="I7" s="380"/>
      <c r="J7" s="380"/>
      <c r="K7" s="380"/>
      <c r="L7" s="380"/>
      <c r="M7" s="380"/>
    </row>
    <row r="8" spans="1:13" ht="15.6" x14ac:dyDescent="0.35">
      <c r="A8" s="241" t="s">
        <v>888</v>
      </c>
      <c r="B8" s="273"/>
      <c r="C8" s="275">
        <f>IF(AND(C6&gt;=27,C6&lt;200),5,IF(AND(C6&gt;=200,C6&lt;350),0.0071*C6^1.2386,IF(AND(C6&gt;=350,C6&lt;=600),0.00000836*C6^2.5312,"Valor fora da faixa de variacao!")))</f>
        <v>5</v>
      </c>
      <c r="D8" s="229"/>
      <c r="F8" s="218"/>
      <c r="G8" s="382"/>
      <c r="H8" s="382"/>
      <c r="I8" s="380"/>
      <c r="J8" s="380"/>
      <c r="K8" s="380"/>
      <c r="L8" s="380"/>
      <c r="M8" s="380"/>
    </row>
    <row r="9" spans="1:13" ht="15.6" x14ac:dyDescent="0.35">
      <c r="A9" s="272" t="s">
        <v>890</v>
      </c>
      <c r="B9" s="333">
        <f>IF(INT(iohsrf2!B4/C103/(hsrf2pwh!C7*1000)+0.999)&lt;2,2,INT(iohsrf2!B4/C103/(hsrf2pwh!C7*1000)+0.999))*hsrf2tunl!F36</f>
        <v>2</v>
      </c>
      <c r="C9" s="334"/>
      <c r="D9" s="289" t="s">
        <v>949</v>
      </c>
      <c r="F9" s="218"/>
      <c r="G9" s="382"/>
      <c r="H9" s="382"/>
      <c r="I9" s="380"/>
      <c r="J9" s="380"/>
      <c r="K9" s="380"/>
      <c r="L9" s="380"/>
      <c r="M9" s="380"/>
    </row>
    <row r="10" spans="1:13" ht="15.6" x14ac:dyDescent="0.35">
      <c r="A10" s="272" t="s">
        <v>839</v>
      </c>
      <c r="B10" s="333">
        <f>IF((iohsrf2!B4/B9)&lt;C103*C8,INT(iohsrf2!B4/C8),B9)</f>
        <v>2</v>
      </c>
      <c r="C10" s="334"/>
      <c r="F10" s="218"/>
      <c r="G10" s="382"/>
      <c r="H10" s="382"/>
      <c r="I10" s="380"/>
      <c r="J10" s="380"/>
      <c r="K10" s="380"/>
      <c r="L10" s="380"/>
      <c r="M10" s="380"/>
    </row>
    <row r="11" spans="1:13" x14ac:dyDescent="0.3">
      <c r="A11" s="241" t="s">
        <v>761</v>
      </c>
      <c r="B11" s="314">
        <f>LOOKUP(C6,G57:H60)</f>
        <v>0.88</v>
      </c>
      <c r="C11" s="314">
        <f>LOOKUP(C6,G57:I60)</f>
        <v>0.86</v>
      </c>
      <c r="D11" s="212" t="s">
        <v>953</v>
      </c>
      <c r="E11" s="212"/>
      <c r="F11" s="218"/>
      <c r="G11" s="383"/>
      <c r="H11" s="383"/>
      <c r="I11" s="380"/>
      <c r="J11" s="380"/>
      <c r="K11" s="380"/>
      <c r="L11" s="380"/>
      <c r="M11" s="380"/>
    </row>
    <row r="12" spans="1:13" x14ac:dyDescent="0.3">
      <c r="A12" s="241" t="s">
        <v>483</v>
      </c>
      <c r="B12" s="361">
        <f>iohsrf2!B17</f>
        <v>50</v>
      </c>
      <c r="C12" s="361"/>
      <c r="D12" s="212"/>
      <c r="F12" s="218"/>
      <c r="G12" s="312">
        <v>50</v>
      </c>
      <c r="H12" s="311">
        <f>MAX(I19:I53)</f>
        <v>250</v>
      </c>
      <c r="I12" s="310">
        <f>(H12*$B$17^0.5)</f>
        <v>2001.1646528865938</v>
      </c>
      <c r="J12" s="310">
        <f>(10-(1+(($B$5/1200)+(I12^1.333/1000))))</f>
        <v>-16.276670675153717</v>
      </c>
      <c r="K12" s="310">
        <f>-($B$34*$B$3)+9.91-0.43</f>
        <v>-24.554406859402203</v>
      </c>
      <c r="L12" s="310">
        <f>(0.9*H12)</f>
        <v>225</v>
      </c>
      <c r="M12" s="310">
        <f>(1.04*H12)</f>
        <v>260</v>
      </c>
    </row>
    <row r="13" spans="1:13" x14ac:dyDescent="0.3">
      <c r="D13" s="313"/>
      <c r="E13" s="212"/>
      <c r="F13" s="218"/>
      <c r="G13" s="312">
        <v>60</v>
      </c>
      <c r="H13" s="311">
        <f>MAX(K19:K53)</f>
        <v>240</v>
      </c>
      <c r="I13" s="310">
        <f>(H13*$B$17^0.5)</f>
        <v>1921.1180667711301</v>
      </c>
      <c r="J13" s="310">
        <f>(10-(1+(($B$5/1200)+(I13^1.333/1000))))</f>
        <v>-14.944463615662713</v>
      </c>
      <c r="K13" s="310">
        <f>-($B$34*$B$3)+9.91-0.43</f>
        <v>-24.554406859402203</v>
      </c>
      <c r="L13" s="310">
        <f>(0.9*H13)</f>
        <v>216</v>
      </c>
      <c r="M13" s="310">
        <f>(1.04*H13)</f>
        <v>249.60000000000002</v>
      </c>
    </row>
    <row r="14" spans="1:13" x14ac:dyDescent="0.3">
      <c r="A14" s="182" t="s">
        <v>486</v>
      </c>
      <c r="F14" s="218"/>
      <c r="I14" s="219"/>
    </row>
    <row r="15" spans="1:13" x14ac:dyDescent="0.3">
      <c r="A15" s="217"/>
      <c r="G15" s="388" t="s">
        <v>479</v>
      </c>
      <c r="H15" s="391" t="s">
        <v>490</v>
      </c>
      <c r="I15" s="392"/>
      <c r="J15" s="392"/>
      <c r="K15" s="393"/>
    </row>
    <row r="16" spans="1:13" ht="15.6" x14ac:dyDescent="0.35">
      <c r="A16" s="241" t="s">
        <v>844</v>
      </c>
      <c r="B16" s="215">
        <f>C16</f>
        <v>75000</v>
      </c>
      <c r="C16" s="216">
        <f>iohsrf2!B4*1000/B10</f>
        <v>75000</v>
      </c>
      <c r="G16" s="389"/>
      <c r="H16" s="394"/>
      <c r="I16" s="395"/>
      <c r="J16" s="395"/>
      <c r="K16" s="396"/>
    </row>
    <row r="17" spans="1:21" ht="15.6" x14ac:dyDescent="0.35">
      <c r="A17" s="241" t="s">
        <v>883</v>
      </c>
      <c r="B17" s="211">
        <f>(B16*B11*B103)/(9.81*B3*B103)</f>
        <v>64.074559487403533</v>
      </c>
      <c r="C17" s="211">
        <f>(C16)/(9.81*C6*C11*C103*C103)</f>
        <v>97.435686207321822</v>
      </c>
      <c r="D17" s="212" t="s">
        <v>762</v>
      </c>
      <c r="G17" s="390"/>
      <c r="H17" s="397"/>
      <c r="I17" s="398"/>
      <c r="J17" s="398"/>
      <c r="K17" s="399"/>
      <c r="M17" s="213">
        <f>C23</f>
        <v>230.84269386727848</v>
      </c>
      <c r="N17" s="279">
        <f>1825*C6^-0.481</f>
        <v>204.16336478875013</v>
      </c>
    </row>
    <row r="18" spans="1:21" ht="15.6" x14ac:dyDescent="0.35">
      <c r="A18" s="241" t="s">
        <v>845</v>
      </c>
      <c r="B18" s="362">
        <f>B28/C16</f>
        <v>1.0568626808547763</v>
      </c>
      <c r="C18" s="362"/>
      <c r="D18" s="212" t="s">
        <v>485</v>
      </c>
      <c r="G18" s="220" t="s">
        <v>489</v>
      </c>
      <c r="H18" s="400">
        <v>50</v>
      </c>
      <c r="I18" s="401"/>
      <c r="J18" s="400">
        <v>60</v>
      </c>
      <c r="K18" s="401"/>
      <c r="M18" s="213">
        <f>B23</f>
        <v>203.52714075611465</v>
      </c>
      <c r="N18" s="279">
        <f>1768*B3^-0.481</f>
        <v>188.49082175954359</v>
      </c>
    </row>
    <row r="19" spans="1:21" ht="15.6" x14ac:dyDescent="0.35">
      <c r="A19" s="241" t="s">
        <v>854</v>
      </c>
      <c r="B19" s="211">
        <f>(1768*(B3^-0.481))</f>
        <v>188.49082175954359</v>
      </c>
      <c r="C19" s="211">
        <f>(1825*(C6^-0.481))</f>
        <v>204.16336478875013</v>
      </c>
      <c r="D19" s="213"/>
      <c r="G19" s="210">
        <v>2</v>
      </c>
      <c r="H19" s="211">
        <v>3000</v>
      </c>
      <c r="I19" s="211">
        <f t="shared" ref="I19:I53" si="0">IF($B$21&gt;H19,H19,0)</f>
        <v>0</v>
      </c>
      <c r="J19" s="211">
        <v>3600</v>
      </c>
      <c r="K19" s="211">
        <f>IF($B$21&gt;J19,J19,0)</f>
        <v>0</v>
      </c>
    </row>
    <row r="20" spans="1:21" ht="15.6" x14ac:dyDescent="0.35">
      <c r="A20" s="241" t="s">
        <v>846</v>
      </c>
      <c r="B20" s="365">
        <f>(B3/C6)</f>
        <v>1.1052631578947369</v>
      </c>
      <c r="C20" s="365"/>
      <c r="D20" s="222"/>
      <c r="E20" s="213"/>
      <c r="G20" s="210">
        <v>4</v>
      </c>
      <c r="H20" s="211">
        <v>1500</v>
      </c>
      <c r="I20" s="211">
        <f t="shared" si="0"/>
        <v>0</v>
      </c>
      <c r="J20" s="211">
        <v>1800</v>
      </c>
      <c r="K20" s="211">
        <f t="shared" ref="K20:K53" si="1">IF(J20&lt;$B$21,J20,0)</f>
        <v>0</v>
      </c>
    </row>
    <row r="21" spans="1:21" ht="15.6" x14ac:dyDescent="0.35">
      <c r="A21" s="241" t="s">
        <v>855</v>
      </c>
      <c r="B21" s="335">
        <f>(C19)/(($C$16^0.5)*$B$3^(-1.25))</f>
        <v>250.57273122490957</v>
      </c>
      <c r="C21" s="336"/>
      <c r="D21" s="213"/>
      <c r="E21" s="213"/>
      <c r="G21" s="210">
        <v>6</v>
      </c>
      <c r="H21" s="211">
        <v>1000</v>
      </c>
      <c r="I21" s="211">
        <f t="shared" si="0"/>
        <v>0</v>
      </c>
      <c r="J21" s="211">
        <v>1200</v>
      </c>
      <c r="K21" s="211">
        <f t="shared" si="1"/>
        <v>0</v>
      </c>
    </row>
    <row r="22" spans="1:21" x14ac:dyDescent="0.3">
      <c r="A22" s="243"/>
      <c r="B22" s="221"/>
      <c r="C22" s="213"/>
      <c r="D22" s="213"/>
      <c r="E22" s="213"/>
      <c r="G22" s="210">
        <v>8</v>
      </c>
      <c r="H22" s="211">
        <v>750</v>
      </c>
      <c r="I22" s="211">
        <f t="shared" si="0"/>
        <v>0</v>
      </c>
      <c r="J22" s="211">
        <v>900</v>
      </c>
      <c r="K22" s="211">
        <f t="shared" si="1"/>
        <v>0</v>
      </c>
    </row>
    <row r="23" spans="1:21" ht="15.6" x14ac:dyDescent="0.35">
      <c r="A23" s="241" t="s">
        <v>853</v>
      </c>
      <c r="B23" s="211">
        <f>IF(B20&lt;1,(1.272*(C23^0.978)),IF(B20=1,(0.842*(C23^1.033)),IF(B20&gt;1,(0.619*(C23^1.065)))))</f>
        <v>203.52714075611465</v>
      </c>
      <c r="C23" s="314">
        <f>LOOKUP(B12,G12:H13)*($C$16^0.5)*$C$6^(-1.25)</f>
        <v>230.84269386727848</v>
      </c>
      <c r="D23" s="222"/>
      <c r="E23" s="213"/>
      <c r="G23" s="210">
        <v>10</v>
      </c>
      <c r="H23" s="211">
        <v>600</v>
      </c>
      <c r="I23" s="211">
        <f t="shared" si="0"/>
        <v>0</v>
      </c>
      <c r="J23" s="211">
        <v>720</v>
      </c>
      <c r="K23" s="211">
        <f t="shared" si="1"/>
        <v>0</v>
      </c>
    </row>
    <row r="24" spans="1:21" ht="15.6" x14ac:dyDescent="0.35">
      <c r="A24" s="241" t="s">
        <v>847</v>
      </c>
      <c r="B24" s="316">
        <f>(B23/(LOOKUP(B12,G12:H13)*(B3^-1.25)))^(1/0.5)</f>
        <v>74875.182384399042</v>
      </c>
      <c r="C24" s="211"/>
      <c r="D24" s="222"/>
      <c r="E24" s="213"/>
      <c r="G24" s="210">
        <v>12</v>
      </c>
      <c r="H24" s="211">
        <v>500</v>
      </c>
      <c r="I24" s="211">
        <f t="shared" si="0"/>
        <v>0</v>
      </c>
      <c r="J24" s="211">
        <v>600</v>
      </c>
      <c r="K24" s="211">
        <f t="shared" si="1"/>
        <v>0</v>
      </c>
    </row>
    <row r="25" spans="1:21" ht="15.6" x14ac:dyDescent="0.35">
      <c r="A25" s="241" t="s">
        <v>848</v>
      </c>
      <c r="B25" s="366">
        <f>(B24/C16)</f>
        <v>0.99833576512532052</v>
      </c>
      <c r="C25" s="366"/>
      <c r="D25" s="213"/>
      <c r="E25" s="213"/>
      <c r="G25" s="210">
        <v>14</v>
      </c>
      <c r="H25" s="211">
        <v>428.57</v>
      </c>
      <c r="I25" s="211">
        <f t="shared" si="0"/>
        <v>0</v>
      </c>
      <c r="J25" s="211">
        <v>514.29</v>
      </c>
      <c r="K25" s="211">
        <f t="shared" si="1"/>
        <v>0</v>
      </c>
    </row>
    <row r="26" spans="1:21" x14ac:dyDescent="0.3">
      <c r="A26" s="241" t="s">
        <v>884</v>
      </c>
      <c r="B26" s="223">
        <f>(-0.417+(114.7/B23))</f>
        <v>0.14656120158659497</v>
      </c>
      <c r="C26" s="211"/>
      <c r="D26" s="213"/>
      <c r="E26" s="213"/>
      <c r="G26" s="210">
        <v>16</v>
      </c>
      <c r="H26" s="211">
        <v>375</v>
      </c>
      <c r="I26" s="211">
        <f t="shared" si="0"/>
        <v>0</v>
      </c>
      <c r="J26" s="211">
        <v>450</v>
      </c>
      <c r="K26" s="211">
        <f t="shared" si="1"/>
        <v>0</v>
      </c>
    </row>
    <row r="27" spans="1:21" ht="15.6" x14ac:dyDescent="0.35">
      <c r="A27" s="241" t="s">
        <v>856</v>
      </c>
      <c r="B27" s="211">
        <f>IF(B23&lt;275,(B5-B3),(B3-B4))</f>
        <v>42</v>
      </c>
      <c r="C27" s="211"/>
      <c r="D27" s="213"/>
      <c r="E27" s="213"/>
      <c r="G27" s="210">
        <v>18</v>
      </c>
      <c r="H27" s="211">
        <v>333.33</v>
      </c>
      <c r="I27" s="211">
        <f>IF($B$21&gt;H27,H27,0)</f>
        <v>0</v>
      </c>
      <c r="J27" s="211">
        <v>400</v>
      </c>
      <c r="K27" s="211">
        <f t="shared" si="1"/>
        <v>0</v>
      </c>
    </row>
    <row r="28" spans="1:21" ht="15.6" x14ac:dyDescent="0.35">
      <c r="A28" s="241" t="s">
        <v>849</v>
      </c>
      <c r="B28" s="215">
        <f>(B24*(1+((B26*B27)/B3)))</f>
        <v>79264.701064108216</v>
      </c>
      <c r="C28" s="211"/>
      <c r="D28" s="213"/>
      <c r="E28" s="213"/>
      <c r="G28" s="210">
        <v>20</v>
      </c>
      <c r="H28" s="211">
        <v>300</v>
      </c>
      <c r="I28" s="211">
        <f t="shared" si="0"/>
        <v>0</v>
      </c>
      <c r="J28" s="211">
        <v>360</v>
      </c>
      <c r="K28" s="211">
        <f t="shared" si="1"/>
        <v>0</v>
      </c>
    </row>
    <row r="29" spans="1:21" ht="15.6" customHeight="1" x14ac:dyDescent="0.35">
      <c r="A29" s="241" t="s">
        <v>948</v>
      </c>
      <c r="B29" s="298">
        <f>(B28*B11*B103)/(9.81*B3*B103)</f>
        <v>67.718010714446137</v>
      </c>
      <c r="C29" s="211"/>
      <c r="D29" s="213"/>
      <c r="E29" s="213"/>
      <c r="G29" s="210">
        <v>22</v>
      </c>
      <c r="H29" s="211">
        <v>272.73</v>
      </c>
      <c r="I29" s="211">
        <f t="shared" si="0"/>
        <v>0</v>
      </c>
      <c r="J29" s="211">
        <v>327.27</v>
      </c>
      <c r="K29" s="211">
        <f t="shared" si="1"/>
        <v>0</v>
      </c>
    </row>
    <row r="30" spans="1:21" ht="15.6" x14ac:dyDescent="0.35">
      <c r="A30" s="241" t="s">
        <v>857</v>
      </c>
      <c r="B30" s="211">
        <f>IF((B5/B4)&lt;1.05,(0.00122*(B19^0.982)),(0.000712*(B19^1.15)))</f>
        <v>0.29448537588355533</v>
      </c>
      <c r="C30" s="211"/>
      <c r="D30" s="213"/>
      <c r="E30" s="213"/>
      <c r="G30" s="210">
        <v>24</v>
      </c>
      <c r="H30" s="211">
        <v>250</v>
      </c>
      <c r="I30" s="211">
        <f t="shared" si="0"/>
        <v>250</v>
      </c>
      <c r="J30" s="211">
        <v>300</v>
      </c>
      <c r="K30" s="211">
        <f t="shared" si="1"/>
        <v>0</v>
      </c>
    </row>
    <row r="31" spans="1:21" ht="15.6" x14ac:dyDescent="0.35">
      <c r="A31" s="241" t="s">
        <v>852</v>
      </c>
      <c r="B31" s="314">
        <f>(1.153+(0.00215*B23))*(LOOKUP(B12,G12:H13))</f>
        <v>397.64583815641163</v>
      </c>
      <c r="C31" s="211"/>
      <c r="D31" s="213"/>
      <c r="E31" s="213"/>
      <c r="G31" s="210">
        <v>26</v>
      </c>
      <c r="H31" s="211">
        <v>230.77</v>
      </c>
      <c r="I31" s="211">
        <f t="shared" si="0"/>
        <v>230.77</v>
      </c>
      <c r="J31" s="211">
        <v>276.92</v>
      </c>
      <c r="K31" s="211">
        <f t="shared" si="1"/>
        <v>0</v>
      </c>
    </row>
    <row r="32" spans="1:21" ht="15.6" x14ac:dyDescent="0.35">
      <c r="A32" s="241" t="s">
        <v>885</v>
      </c>
      <c r="B32" s="211">
        <f>(B5/B3)</f>
        <v>1.4</v>
      </c>
      <c r="C32" s="211"/>
      <c r="D32" s="213"/>
      <c r="E32" s="213"/>
      <c r="G32" s="210">
        <v>28</v>
      </c>
      <c r="H32" s="211">
        <v>214.29</v>
      </c>
      <c r="I32" s="211">
        <f t="shared" si="0"/>
        <v>214.29</v>
      </c>
      <c r="J32" s="211">
        <v>257.14</v>
      </c>
      <c r="K32" s="211">
        <f t="shared" si="1"/>
        <v>0</v>
      </c>
      <c r="N32" s="280" t="s">
        <v>894</v>
      </c>
      <c r="O32" s="282" t="s">
        <v>919</v>
      </c>
      <c r="P32" s="283"/>
      <c r="Q32" s="283"/>
      <c r="R32" s="283"/>
      <c r="S32" s="283"/>
      <c r="T32" s="283"/>
      <c r="U32" s="283"/>
    </row>
    <row r="33" spans="1:22" ht="15.6" x14ac:dyDescent="0.35">
      <c r="A33" s="241" t="s">
        <v>850</v>
      </c>
      <c r="B33" s="211">
        <f>IF((B5/B3)&lt;1.15,(0.895+(1.07*0.001*B23)),(0.915+(1.07*0.001*B23)))</f>
        <v>1.1327740406090427</v>
      </c>
      <c r="C33" s="211"/>
      <c r="D33" s="213"/>
      <c r="E33" s="213"/>
      <c r="G33" s="210">
        <v>30</v>
      </c>
      <c r="H33" s="211">
        <v>200</v>
      </c>
      <c r="I33" s="211">
        <f t="shared" si="0"/>
        <v>200</v>
      </c>
      <c r="J33" s="211">
        <v>240</v>
      </c>
      <c r="K33" s="211">
        <f t="shared" si="1"/>
        <v>240</v>
      </c>
      <c r="O33" s="198" t="s">
        <v>896</v>
      </c>
      <c r="P33" s="277" t="s">
        <v>842</v>
      </c>
    </row>
    <row r="34" spans="1:22" ht="15.6" x14ac:dyDescent="0.35">
      <c r="A34" s="241" t="s">
        <v>858</v>
      </c>
      <c r="B34" s="211">
        <f>((B23/B19)^1.25)*B30</f>
        <v>0.32413720818478292</v>
      </c>
      <c r="C34" s="211"/>
      <c r="D34" s="213"/>
      <c r="E34" s="213"/>
      <c r="G34" s="210">
        <v>32</v>
      </c>
      <c r="H34" s="211">
        <v>187.5</v>
      </c>
      <c r="I34" s="211">
        <f t="shared" si="0"/>
        <v>187.5</v>
      </c>
      <c r="J34" s="211">
        <v>225</v>
      </c>
      <c r="K34" s="211">
        <f t="shared" si="1"/>
        <v>225</v>
      </c>
      <c r="O34" s="198" t="s">
        <v>895</v>
      </c>
      <c r="P34" s="277" t="s">
        <v>840</v>
      </c>
    </row>
    <row r="35" spans="1:22" ht="15.6" x14ac:dyDescent="0.35">
      <c r="A35" s="241" t="s">
        <v>851</v>
      </c>
      <c r="B35" s="367">
        <f>MIN(VLOOKUP(B12,G12:M13,4),VLOOKUP(B12,G12:M13,5))</f>
        <v>-24.554406859402203</v>
      </c>
      <c r="C35" s="368"/>
      <c r="D35" s="222"/>
      <c r="E35" s="213"/>
      <c r="G35" s="210">
        <v>36</v>
      </c>
      <c r="H35" s="211">
        <v>166.67</v>
      </c>
      <c r="I35" s="211">
        <f t="shared" si="0"/>
        <v>166.67</v>
      </c>
      <c r="J35" s="211">
        <v>200</v>
      </c>
      <c r="K35" s="211">
        <f t="shared" si="1"/>
        <v>200</v>
      </c>
      <c r="O35" s="198" t="s">
        <v>899</v>
      </c>
      <c r="P35" s="277" t="s">
        <v>905</v>
      </c>
    </row>
    <row r="36" spans="1:22" x14ac:dyDescent="0.3">
      <c r="A36" s="272" t="s">
        <v>512</v>
      </c>
      <c r="B36" s="369">
        <f>iohsrf2!B37+hsrf2pwh!B35</f>
        <v>555.44559314059779</v>
      </c>
      <c r="C36" s="370"/>
      <c r="D36" s="222"/>
      <c r="E36" s="213"/>
      <c r="G36" s="210">
        <v>40</v>
      </c>
      <c r="H36" s="211">
        <v>150</v>
      </c>
      <c r="I36" s="211">
        <f t="shared" si="0"/>
        <v>150</v>
      </c>
      <c r="J36" s="211">
        <v>180</v>
      </c>
      <c r="K36" s="211">
        <f t="shared" si="1"/>
        <v>180</v>
      </c>
      <c r="N36" s="214" t="s">
        <v>897</v>
      </c>
      <c r="O36" s="276" t="s">
        <v>898</v>
      </c>
    </row>
    <row r="37" spans="1:22" ht="15.6" x14ac:dyDescent="0.35">
      <c r="A37" s="241" t="s">
        <v>487</v>
      </c>
      <c r="B37" s="344">
        <f>LOOKUP(B12,G12:H13)</f>
        <v>250</v>
      </c>
      <c r="C37" s="345"/>
      <c r="D37" s="222"/>
      <c r="E37" s="213"/>
      <c r="G37" s="210">
        <v>44</v>
      </c>
      <c r="H37" s="211">
        <v>136.36000000000001</v>
      </c>
      <c r="I37" s="211">
        <f t="shared" si="0"/>
        <v>136.36000000000001</v>
      </c>
      <c r="J37" s="211">
        <v>163.63999999999999</v>
      </c>
      <c r="K37" s="211">
        <f t="shared" si="1"/>
        <v>163.63999999999999</v>
      </c>
      <c r="O37" s="198" t="s">
        <v>900</v>
      </c>
      <c r="P37" s="277" t="s">
        <v>850</v>
      </c>
      <c r="U37" s="252" t="s">
        <v>917</v>
      </c>
      <c r="V37" s="252" t="s">
        <v>918</v>
      </c>
    </row>
    <row r="38" spans="1:22" ht="15.6" x14ac:dyDescent="0.35">
      <c r="A38" s="242" t="s">
        <v>834</v>
      </c>
      <c r="B38" s="335">
        <f>(B33*60*((2*9.81*B3)^0.5))/(3.14*B37)</f>
        <v>3.929787189469506</v>
      </c>
      <c r="C38" s="336"/>
      <c r="D38" s="212"/>
      <c r="E38" s="213"/>
      <c r="G38" s="210">
        <v>48</v>
      </c>
      <c r="H38" s="211">
        <v>125</v>
      </c>
      <c r="I38" s="211">
        <f t="shared" si="0"/>
        <v>125</v>
      </c>
      <c r="J38" s="211">
        <v>150</v>
      </c>
      <c r="K38" s="211">
        <f t="shared" si="1"/>
        <v>150</v>
      </c>
      <c r="O38" s="198" t="s">
        <v>895</v>
      </c>
      <c r="P38" s="277" t="s">
        <v>840</v>
      </c>
    </row>
    <row r="39" spans="1:22" x14ac:dyDescent="0.3">
      <c r="A39" s="213"/>
      <c r="B39" s="213"/>
      <c r="C39" s="213"/>
      <c r="D39" s="213"/>
      <c r="E39" s="213"/>
      <c r="G39" s="210">
        <v>52</v>
      </c>
      <c r="H39" s="211">
        <v>115.38</v>
      </c>
      <c r="I39" s="211">
        <f t="shared" si="0"/>
        <v>115.38</v>
      </c>
      <c r="J39" s="211">
        <v>138.46</v>
      </c>
      <c r="K39" s="211">
        <f t="shared" si="1"/>
        <v>138.46</v>
      </c>
      <c r="O39" s="198" t="s">
        <v>901</v>
      </c>
      <c r="P39" s="277" t="s">
        <v>487</v>
      </c>
      <c r="U39" s="252" t="s">
        <v>424</v>
      </c>
      <c r="V39" s="278" t="s">
        <v>906</v>
      </c>
    </row>
    <row r="40" spans="1:22" x14ac:dyDescent="0.3">
      <c r="A40" s="183" t="s">
        <v>947</v>
      </c>
      <c r="B40" s="221"/>
      <c r="C40" s="213"/>
      <c r="D40" s="213"/>
      <c r="G40" s="210">
        <v>56</v>
      </c>
      <c r="H40" s="211">
        <v>107.14</v>
      </c>
      <c r="I40" s="211">
        <f t="shared" si="0"/>
        <v>107.14</v>
      </c>
      <c r="J40" s="211">
        <v>128.57</v>
      </c>
      <c r="K40" s="211">
        <f t="shared" si="1"/>
        <v>128.57</v>
      </c>
      <c r="N40" s="280" t="s">
        <v>424</v>
      </c>
      <c r="O40" s="282" t="s">
        <v>902</v>
      </c>
      <c r="P40" s="283"/>
      <c r="Q40" s="283"/>
      <c r="R40" s="283"/>
      <c r="S40" s="283"/>
      <c r="T40" s="283"/>
      <c r="U40" s="213">
        <f>B38/(1.198-(0.00104*B23))</f>
        <v>3.9842447486730319</v>
      </c>
      <c r="V40" s="279">
        <f>B38*(0.284+0.00235*B23)</f>
        <v>2.9956326853732702</v>
      </c>
    </row>
    <row r="41" spans="1:22" ht="15.6" x14ac:dyDescent="0.35">
      <c r="G41" s="210">
        <v>60</v>
      </c>
      <c r="H41" s="211">
        <v>100</v>
      </c>
      <c r="I41" s="211">
        <f t="shared" si="0"/>
        <v>100</v>
      </c>
      <c r="J41" s="211">
        <v>120</v>
      </c>
      <c r="K41" s="211">
        <f t="shared" si="1"/>
        <v>120</v>
      </c>
      <c r="O41" s="198" t="s">
        <v>899</v>
      </c>
      <c r="P41" s="277" t="s">
        <v>905</v>
      </c>
      <c r="Q41" s="277"/>
    </row>
    <row r="42" spans="1:22" ht="15.6" x14ac:dyDescent="0.35">
      <c r="A42" s="241" t="s">
        <v>835</v>
      </c>
      <c r="B42" s="337">
        <f>(B38*(0.284+(0.0023*B23)))</f>
        <v>2.9556417678506333</v>
      </c>
      <c r="C42" s="338"/>
      <c r="G42" s="210">
        <v>64</v>
      </c>
      <c r="H42" s="211">
        <v>93.75</v>
      </c>
      <c r="I42" s="211">
        <f t="shared" si="0"/>
        <v>93.75</v>
      </c>
      <c r="J42" s="211">
        <v>112.5</v>
      </c>
      <c r="K42" s="211">
        <f t="shared" si="1"/>
        <v>112.5</v>
      </c>
      <c r="O42" s="198" t="s">
        <v>903</v>
      </c>
      <c r="P42" s="277" t="s">
        <v>904</v>
      </c>
      <c r="Q42" s="277"/>
    </row>
    <row r="43" spans="1:22" ht="15.6" x14ac:dyDescent="0.35">
      <c r="A43" s="242" t="s">
        <v>836</v>
      </c>
      <c r="B43" s="335">
        <f>IF(B23&lt;190,B38,(B38/(1.198-(0.00104*B23))))</f>
        <v>3.9842447486730319</v>
      </c>
      <c r="C43" s="336"/>
      <c r="G43" s="210">
        <v>68</v>
      </c>
      <c r="H43" s="211">
        <v>88.24</v>
      </c>
      <c r="I43" s="211">
        <f t="shared" si="0"/>
        <v>88.24</v>
      </c>
      <c r="J43" s="211">
        <v>105.88</v>
      </c>
      <c r="K43" s="211">
        <f t="shared" si="1"/>
        <v>105.88</v>
      </c>
      <c r="N43" s="214" t="s">
        <v>907</v>
      </c>
      <c r="O43" s="276" t="s">
        <v>920</v>
      </c>
    </row>
    <row r="44" spans="1:22" ht="15.6" x14ac:dyDescent="0.35">
      <c r="A44" s="242" t="s">
        <v>837</v>
      </c>
      <c r="B44" s="337">
        <f>(B38)*(-0.0438+(0.00121*B23))</f>
        <v>0.79565552514904647</v>
      </c>
      <c r="C44" s="338"/>
      <c r="G44" s="210">
        <v>72</v>
      </c>
      <c r="H44" s="211">
        <v>83.33</v>
      </c>
      <c r="I44" s="211">
        <f t="shared" si="0"/>
        <v>83.33</v>
      </c>
      <c r="J44" s="211">
        <v>100</v>
      </c>
      <c r="K44" s="211">
        <f t="shared" si="1"/>
        <v>100</v>
      </c>
      <c r="N44" s="214" t="s">
        <v>908</v>
      </c>
      <c r="O44" s="276" t="s">
        <v>921</v>
      </c>
      <c r="U44" s="198" t="s">
        <v>916</v>
      </c>
      <c r="V44" s="198" t="s">
        <v>915</v>
      </c>
    </row>
    <row r="45" spans="1:22" ht="15.6" x14ac:dyDescent="0.35">
      <c r="A45" s="242" t="s">
        <v>838</v>
      </c>
      <c r="B45" s="337">
        <f>(B38)*(0.155+(0.00119*B23))-B44</f>
        <v>0.7652453262574832</v>
      </c>
      <c r="C45" s="338"/>
      <c r="G45" s="210">
        <v>76</v>
      </c>
      <c r="H45" s="211">
        <v>78.95</v>
      </c>
      <c r="I45" s="211">
        <f t="shared" si="0"/>
        <v>78.95</v>
      </c>
      <c r="J45" s="211">
        <v>94.74</v>
      </c>
      <c r="K45" s="211">
        <f t="shared" si="1"/>
        <v>94.74</v>
      </c>
      <c r="N45" s="280" t="s">
        <v>126</v>
      </c>
      <c r="O45" s="282" t="s">
        <v>912</v>
      </c>
      <c r="P45" s="284"/>
      <c r="Q45" s="283"/>
      <c r="R45" s="283"/>
      <c r="S45" s="283"/>
      <c r="T45" s="283"/>
      <c r="U45" s="213">
        <f>(B38*(0.54+(0.0019*B23)))</f>
        <v>3.6417399481737327</v>
      </c>
      <c r="V45" s="279">
        <f>B38*(0.64+(0.0036*B23))</f>
        <v>5.3944098628903348</v>
      </c>
    </row>
    <row r="46" spans="1:22" x14ac:dyDescent="0.3">
      <c r="A46" s="242" t="s">
        <v>491</v>
      </c>
      <c r="B46" s="337">
        <f>(B38*(0.19+(0.0031*B23)))</f>
        <v>3.2260964524026883</v>
      </c>
      <c r="C46" s="338"/>
      <c r="G46" s="210">
        <v>80</v>
      </c>
      <c r="H46" s="211">
        <v>75</v>
      </c>
      <c r="I46" s="211">
        <f t="shared" si="0"/>
        <v>75</v>
      </c>
      <c r="J46" s="211">
        <v>90</v>
      </c>
      <c r="K46" s="211">
        <f t="shared" si="1"/>
        <v>90</v>
      </c>
      <c r="N46" s="214" t="s">
        <v>125</v>
      </c>
      <c r="O46" s="276" t="s">
        <v>922</v>
      </c>
    </row>
    <row r="47" spans="1:22" x14ac:dyDescent="0.3">
      <c r="A47" s="242" t="s">
        <v>508</v>
      </c>
      <c r="B47" s="337">
        <f>(B38*(0.84+(0.0016*B23)))</f>
        <v>4.5807305998787626</v>
      </c>
      <c r="C47" s="338"/>
      <c r="G47" s="210">
        <v>84</v>
      </c>
      <c r="H47" s="211">
        <v>71.430000000000007</v>
      </c>
      <c r="I47" s="211">
        <f t="shared" si="0"/>
        <v>71.430000000000007</v>
      </c>
      <c r="J47" s="211">
        <v>85.71</v>
      </c>
      <c r="K47" s="211">
        <f t="shared" si="1"/>
        <v>85.71</v>
      </c>
      <c r="N47" s="214" t="s">
        <v>909</v>
      </c>
      <c r="O47" s="276" t="s">
        <v>923</v>
      </c>
    </row>
    <row r="48" spans="1:22" x14ac:dyDescent="0.3">
      <c r="A48" s="242" t="s">
        <v>507</v>
      </c>
      <c r="B48" s="337">
        <f>(B38*(0.88+(0.002*B23)))</f>
        <v>5.0578494276386374</v>
      </c>
      <c r="C48" s="338"/>
      <c r="G48" s="210">
        <v>88</v>
      </c>
      <c r="H48" s="211">
        <v>68.180000000000007</v>
      </c>
      <c r="I48" s="211">
        <f t="shared" si="0"/>
        <v>68.180000000000007</v>
      </c>
      <c r="J48" s="211">
        <v>81.819999999999993</v>
      </c>
      <c r="K48" s="211">
        <f t="shared" si="1"/>
        <v>81.819999999999993</v>
      </c>
      <c r="N48" s="214" t="s">
        <v>910</v>
      </c>
      <c r="O48" s="276" t="s">
        <v>924</v>
      </c>
      <c r="V48" s="198" t="s">
        <v>916</v>
      </c>
    </row>
    <row r="49" spans="1:22" x14ac:dyDescent="0.3">
      <c r="A49" s="242" t="s">
        <v>505</v>
      </c>
      <c r="B49" s="337">
        <f>(B38*(0.91+(0.0026*B23)))</f>
        <v>5.6556340535943646</v>
      </c>
      <c r="C49" s="338"/>
      <c r="G49" s="210">
        <v>92</v>
      </c>
      <c r="H49" s="211">
        <v>65.22</v>
      </c>
      <c r="I49" s="211">
        <f t="shared" si="0"/>
        <v>65.22</v>
      </c>
      <c r="J49" s="211">
        <v>78.260000000000005</v>
      </c>
      <c r="K49" s="211">
        <f t="shared" si="1"/>
        <v>78.260000000000005</v>
      </c>
      <c r="N49" s="280" t="s">
        <v>911</v>
      </c>
      <c r="O49" s="282" t="s">
        <v>913</v>
      </c>
      <c r="P49" s="283"/>
      <c r="Q49" s="283"/>
      <c r="R49" s="283"/>
      <c r="S49" s="283"/>
      <c r="T49" s="283"/>
      <c r="U49" s="213">
        <f>(B43*(1.54+203.5/B23)+0.4*B43)+(B38*(-0.0438+(0.00121*B23)))</f>
        <v>12.508803779147275</v>
      </c>
      <c r="V49" s="279">
        <f>B38*(1.42+0.035*B23)</f>
        <v>33.573940074892477</v>
      </c>
    </row>
    <row r="50" spans="1:22" ht="15.6" x14ac:dyDescent="0.35">
      <c r="A50" s="242" t="s">
        <v>506</v>
      </c>
      <c r="B50" s="337">
        <f>(B38*(0.86+(0.0012*B23)))</f>
        <v>4.3393990034870589</v>
      </c>
      <c r="C50" s="338"/>
      <c r="G50" s="210">
        <v>96</v>
      </c>
      <c r="H50" s="211">
        <v>62.5</v>
      </c>
      <c r="I50" s="211">
        <f t="shared" si="0"/>
        <v>62.5</v>
      </c>
      <c r="J50" s="211">
        <v>75</v>
      </c>
      <c r="K50" s="211">
        <f t="shared" si="1"/>
        <v>75</v>
      </c>
      <c r="N50" s="214"/>
      <c r="O50" s="198" t="s">
        <v>914</v>
      </c>
      <c r="P50" s="277" t="s">
        <v>836</v>
      </c>
      <c r="R50" s="191"/>
      <c r="S50" s="191"/>
      <c r="T50" s="191"/>
    </row>
    <row r="51" spans="1:22" x14ac:dyDescent="0.3">
      <c r="A51" s="242" t="s">
        <v>503</v>
      </c>
      <c r="B51" s="337">
        <f>(B38*(1.58+(0.000072*B23)))</f>
        <v>6.2666506805944167</v>
      </c>
      <c r="C51" s="338"/>
      <c r="G51" s="210">
        <v>100</v>
      </c>
      <c r="H51" s="211">
        <v>60</v>
      </c>
      <c r="I51" s="211">
        <f t="shared" si="0"/>
        <v>60</v>
      </c>
      <c r="J51" s="211">
        <v>72</v>
      </c>
      <c r="K51" s="211">
        <f t="shared" si="1"/>
        <v>72</v>
      </c>
    </row>
    <row r="52" spans="1:22" x14ac:dyDescent="0.3">
      <c r="A52" s="242" t="s">
        <v>504</v>
      </c>
      <c r="B52" s="337">
        <f>(B38*(1.23+(0.0006*B23)))</f>
        <v>5.3135292533191336</v>
      </c>
      <c r="C52" s="338"/>
      <c r="G52" s="210">
        <v>104</v>
      </c>
      <c r="H52" s="211">
        <v>57.69</v>
      </c>
      <c r="I52" s="211">
        <f t="shared" si="0"/>
        <v>57.69</v>
      </c>
      <c r="J52" s="211">
        <v>69.23</v>
      </c>
      <c r="K52" s="211">
        <f t="shared" si="1"/>
        <v>69.23</v>
      </c>
    </row>
    <row r="53" spans="1:22" x14ac:dyDescent="0.3">
      <c r="A53" s="242" t="s">
        <v>509</v>
      </c>
      <c r="B53" s="337">
        <f>(B38*(1.084+(0.00061*B23)))</f>
        <v>4.7477785071611134</v>
      </c>
      <c r="C53" s="338"/>
      <c r="G53" s="210">
        <v>108</v>
      </c>
      <c r="H53" s="211">
        <v>55.56</v>
      </c>
      <c r="I53" s="211">
        <f t="shared" si="0"/>
        <v>55.56</v>
      </c>
      <c r="J53" s="211">
        <v>66.67</v>
      </c>
      <c r="K53" s="211">
        <f t="shared" si="1"/>
        <v>66.67</v>
      </c>
    </row>
    <row r="54" spans="1:22" x14ac:dyDescent="0.3">
      <c r="A54" s="242" t="s">
        <v>492</v>
      </c>
      <c r="B54" s="337">
        <f>(B38*(-0.041+(0.0012*B23)))</f>
        <v>0.79866074577503365</v>
      </c>
      <c r="C54" s="338"/>
      <c r="E54" s="213"/>
    </row>
    <row r="55" spans="1:22" x14ac:dyDescent="0.3">
      <c r="A55" s="242" t="s">
        <v>493</v>
      </c>
      <c r="B55" s="337">
        <f>B43*(1.54+203.5/B23)+0.4*B43</f>
        <v>11.713148253998229</v>
      </c>
      <c r="C55" s="338"/>
      <c r="D55" s="213"/>
      <c r="E55" s="213"/>
      <c r="F55" s="303"/>
      <c r="G55" s="384" t="s">
        <v>954</v>
      </c>
      <c r="H55" s="343" t="s">
        <v>761</v>
      </c>
      <c r="I55" s="343"/>
    </row>
    <row r="56" spans="1:22" x14ac:dyDescent="0.3">
      <c r="A56" s="242" t="s">
        <v>494</v>
      </c>
      <c r="B56" s="337">
        <f>(B38*(0.21+(0.0022*B23)))</f>
        <v>2.5848556807846159</v>
      </c>
      <c r="C56" s="338"/>
      <c r="D56" s="213"/>
      <c r="E56" s="224"/>
      <c r="G56" s="384"/>
      <c r="H56" s="304" t="s">
        <v>425</v>
      </c>
      <c r="I56" s="304" t="s">
        <v>955</v>
      </c>
    </row>
    <row r="57" spans="1:22" x14ac:dyDescent="0.3">
      <c r="A57" s="242" t="s">
        <v>495</v>
      </c>
      <c r="B57" s="337">
        <f>(B38*(0.12+(0.0013*B23)))</f>
        <v>1.5113383183248978</v>
      </c>
      <c r="C57" s="338"/>
      <c r="G57" s="210">
        <v>0</v>
      </c>
      <c r="H57" s="210">
        <v>0.87</v>
      </c>
      <c r="I57" s="210">
        <v>0.85</v>
      </c>
      <c r="J57" s="212" t="s">
        <v>956</v>
      </c>
    </row>
    <row r="58" spans="1:22" x14ac:dyDescent="0.3">
      <c r="A58" s="242" t="s">
        <v>502</v>
      </c>
      <c r="B58" s="337">
        <f>(B38*(1.42+(0.0035*B23)))</f>
        <v>8.3796620356312754</v>
      </c>
      <c r="C58" s="338"/>
      <c r="G58" s="210">
        <v>50</v>
      </c>
      <c r="H58" s="210">
        <v>0.88</v>
      </c>
      <c r="I58" s="210">
        <v>0.86</v>
      </c>
    </row>
    <row r="59" spans="1:22" x14ac:dyDescent="0.3">
      <c r="A59" s="242" t="s">
        <v>473</v>
      </c>
      <c r="B59" s="337">
        <f>(B38*(0.57+(0.00033*B23)))</f>
        <v>2.5039187536470209</v>
      </c>
      <c r="C59" s="338"/>
      <c r="G59" s="210">
        <v>100</v>
      </c>
      <c r="H59" s="211">
        <v>0.9</v>
      </c>
      <c r="I59" s="210">
        <v>0.88</v>
      </c>
    </row>
    <row r="60" spans="1:22" x14ac:dyDescent="0.3">
      <c r="A60" s="242" t="s">
        <v>474</v>
      </c>
      <c r="B60" s="337">
        <f>(B43*(1.37-0.00056*B23))</f>
        <v>5.0043102182908621</v>
      </c>
      <c r="C60" s="338"/>
      <c r="G60" s="210">
        <v>300</v>
      </c>
      <c r="H60" s="210">
        <v>0.92</v>
      </c>
      <c r="I60" s="211">
        <v>0.9</v>
      </c>
    </row>
    <row r="61" spans="1:22" x14ac:dyDescent="0.3">
      <c r="A61" s="242" t="s">
        <v>496</v>
      </c>
      <c r="B61" s="337">
        <f>(B38*(0.37+(0.00094*B23)))</f>
        <v>2.2058505095292893</v>
      </c>
      <c r="C61" s="338"/>
    </row>
    <row r="62" spans="1:22" x14ac:dyDescent="0.3">
      <c r="A62" s="242" t="s">
        <v>501</v>
      </c>
      <c r="B62" s="337">
        <f>(B38*(0.54+(0.0019*B23)))</f>
        <v>3.6417399481737327</v>
      </c>
      <c r="C62" s="338"/>
    </row>
    <row r="63" spans="1:22" x14ac:dyDescent="0.3">
      <c r="A63" s="242" t="s">
        <v>497</v>
      </c>
      <c r="B63" s="337">
        <f>(B38*(2.32+(0.0059*B23)))</f>
        <v>13.836034547240397</v>
      </c>
      <c r="C63" s="338"/>
    </row>
    <row r="64" spans="1:22" x14ac:dyDescent="0.3">
      <c r="A64" s="242" t="s">
        <v>500</v>
      </c>
      <c r="B64" s="337">
        <f>(B38*(0.55+(0.0028*B23)))</f>
        <v>4.4008743354758897</v>
      </c>
      <c r="C64" s="338"/>
    </row>
    <row r="65" spans="1:9" ht="15.6" x14ac:dyDescent="0.35">
      <c r="A65" s="272" t="s">
        <v>827</v>
      </c>
      <c r="B65" s="387">
        <v>2</v>
      </c>
      <c r="C65" s="387"/>
      <c r="F65" s="214" t="s">
        <v>802</v>
      </c>
    </row>
    <row r="66" spans="1:9" x14ac:dyDescent="0.3">
      <c r="A66" s="242" t="s">
        <v>475</v>
      </c>
      <c r="B66" s="337">
        <f>B38*(0.15+(0.0012*B23))</f>
        <v>1.5492500989637095</v>
      </c>
      <c r="C66" s="338"/>
      <c r="F66" s="198">
        <f>IF(B62*B68&lt;30,0,1.7)</f>
        <v>1.7</v>
      </c>
      <c r="G66" s="254" t="s">
        <v>805</v>
      </c>
    </row>
    <row r="67" spans="1:9" x14ac:dyDescent="0.3">
      <c r="A67" s="242" t="s">
        <v>498</v>
      </c>
      <c r="B67" s="363">
        <f>(B43*(1.1+53.7/B23))</f>
        <v>5.4338997484172191</v>
      </c>
      <c r="C67" s="364"/>
      <c r="F67" s="213">
        <f>B43*(2.63+33.8/B37)</f>
        <v>11.017233579030668</v>
      </c>
      <c r="G67" s="254" t="s">
        <v>806</v>
      </c>
      <c r="H67" s="213">
        <f>(B43*(1.1+53.7/B23))*2</f>
        <v>10.867799496834438</v>
      </c>
      <c r="I67" s="254" t="s">
        <v>807</v>
      </c>
    </row>
    <row r="68" spans="1:9" x14ac:dyDescent="0.3">
      <c r="A68" s="242" t="s">
        <v>499</v>
      </c>
      <c r="B68" s="363">
        <f>(B38*(-0.083+(0.012*B23)))</f>
        <v>9.271647868706868</v>
      </c>
      <c r="C68" s="364"/>
    </row>
    <row r="69" spans="1:9" ht="15.6" x14ac:dyDescent="0.3">
      <c r="A69" s="269" t="s">
        <v>873</v>
      </c>
      <c r="B69" s="337">
        <f>(B51+B52)/2</f>
        <v>5.7900899669567751</v>
      </c>
      <c r="C69" s="338"/>
      <c r="F69" s="214" t="s">
        <v>801</v>
      </c>
      <c r="G69" s="252" t="s">
        <v>808</v>
      </c>
      <c r="H69" s="214"/>
    </row>
    <row r="70" spans="1:9" x14ac:dyDescent="0.3">
      <c r="A70" s="270" t="s">
        <v>874</v>
      </c>
      <c r="B70" s="348">
        <f>B36+B46/2+2</f>
        <v>559.05864136679918</v>
      </c>
      <c r="C70" s="349"/>
      <c r="F70" s="319">
        <f>((((B43*3.28)^3)*3)*(LOOKUP(B12,G12:H13))^0.5)*(0.4536/1000)</f>
        <v>48.020188750155555</v>
      </c>
      <c r="G70" s="253">
        <f>B72/F70</f>
        <v>0.56376715509368236</v>
      </c>
    </row>
    <row r="71" spans="1:9" x14ac:dyDescent="0.3">
      <c r="A71" s="271" t="s">
        <v>413</v>
      </c>
      <c r="F71" s="251">
        <f>((B43*3.28)^2.33)*(2100*0.4536/1000)</f>
        <v>379.91338713809398</v>
      </c>
      <c r="G71" s="253">
        <f>B73/F71</f>
        <v>0.74030111541481824</v>
      </c>
    </row>
    <row r="72" spans="1:9" x14ac:dyDescent="0.3">
      <c r="A72" s="241" t="s">
        <v>803</v>
      </c>
      <c r="B72" s="341">
        <f>1014*B38^2.4/1000</f>
        <v>27.072205198736849</v>
      </c>
      <c r="C72" s="342"/>
    </row>
    <row r="73" spans="1:9" x14ac:dyDescent="0.3">
      <c r="A73" s="241" t="s">
        <v>804</v>
      </c>
      <c r="B73" s="385">
        <f>13851*B38^2.2/1000</f>
        <v>281.25030425935262</v>
      </c>
      <c r="C73" s="386"/>
    </row>
    <row r="74" spans="1:9" x14ac:dyDescent="0.3">
      <c r="A74" s="261" t="s">
        <v>820</v>
      </c>
    </row>
    <row r="75" spans="1:9" x14ac:dyDescent="0.3">
      <c r="A75" s="262" t="s">
        <v>44</v>
      </c>
      <c r="B75" s="373">
        <f>MAX(B28,C16)/B37</f>
        <v>317.05880425643284</v>
      </c>
      <c r="C75" s="374"/>
    </row>
    <row r="76" spans="1:9" x14ac:dyDescent="0.3">
      <c r="A76" s="244" t="s">
        <v>822</v>
      </c>
      <c r="B76" s="371">
        <f>IF(AND(B75&gt;=10,B75&lt;=10000),1000*(-0.0011*B75^2+18.162*B75+3279.8),"Fora da faixa de variacao da curva!  ERRO!")</f>
        <v>8927643.089013163</v>
      </c>
      <c r="C76" s="372"/>
    </row>
    <row r="77" spans="1:9" x14ac:dyDescent="0.3">
      <c r="A77" s="305"/>
    </row>
    <row r="78" spans="1:9" x14ac:dyDescent="0.3">
      <c r="A78" s="244" t="s">
        <v>957</v>
      </c>
      <c r="B78" s="306" t="str">
        <f>IF(B5/B4&gt;=1.2,"ajustável","fixa")</f>
        <v>ajustável</v>
      </c>
    </row>
    <row r="80" spans="1:9" x14ac:dyDescent="0.3">
      <c r="A80" s="183" t="s">
        <v>511</v>
      </c>
      <c r="B80" s="225"/>
      <c r="C80" s="191"/>
      <c r="D80" s="212" t="s">
        <v>521</v>
      </c>
      <c r="F80" s="151"/>
    </row>
    <row r="81" spans="1:6" x14ac:dyDescent="0.3">
      <c r="A81" s="191"/>
      <c r="B81" s="225"/>
      <c r="C81" s="191"/>
    </row>
    <row r="82" spans="1:6" ht="15.6" x14ac:dyDescent="0.35">
      <c r="A82" s="244" t="s">
        <v>828</v>
      </c>
      <c r="B82" s="352">
        <f>B46/2+B47+B48+2*(1.3+0.1*B43)</f>
        <v>14.64847720345335</v>
      </c>
      <c r="C82" s="352"/>
    </row>
    <row r="83" spans="1:6" ht="15.6" x14ac:dyDescent="0.35">
      <c r="A83" s="244" t="s">
        <v>829</v>
      </c>
      <c r="B83" s="352">
        <f>B10*B82+2</f>
        <v>31.2969544069067</v>
      </c>
      <c r="C83" s="352"/>
    </row>
    <row r="84" spans="1:6" ht="15.6" x14ac:dyDescent="0.35">
      <c r="A84" s="244" t="s">
        <v>830</v>
      </c>
      <c r="B84" s="352">
        <f>IF(B10&gt;3,2.25*B82,1.5*B82)</f>
        <v>21.972715805180023</v>
      </c>
      <c r="C84" s="352"/>
    </row>
    <row r="85" spans="1:6" ht="15.6" x14ac:dyDescent="0.35">
      <c r="A85" s="244" t="s">
        <v>866</v>
      </c>
      <c r="B85" s="352">
        <f>B105/2+2.1+0.2*B43</f>
        <v>7.5451471151205585</v>
      </c>
      <c r="C85" s="352"/>
    </row>
    <row r="86" spans="1:6" ht="15.6" x14ac:dyDescent="0.35">
      <c r="A86" s="244" t="s">
        <v>867</v>
      </c>
      <c r="B86" s="352">
        <f>B49+2.1+0.2*B43</f>
        <v>8.5524830033289714</v>
      </c>
      <c r="C86" s="352"/>
    </row>
    <row r="87" spans="1:6" ht="15.6" x14ac:dyDescent="0.35">
      <c r="A87" s="244" t="s">
        <v>831</v>
      </c>
      <c r="B87" s="352">
        <f>B85+B86</f>
        <v>16.09763011844953</v>
      </c>
      <c r="C87" s="352"/>
    </row>
    <row r="88" spans="1:6" ht="15.6" x14ac:dyDescent="0.35">
      <c r="A88" s="244" t="s">
        <v>832</v>
      </c>
      <c r="B88" s="352">
        <f>B85+B63</f>
        <v>21.381181662360955</v>
      </c>
      <c r="C88" s="352"/>
    </row>
    <row r="89" spans="1:6" ht="15.6" x14ac:dyDescent="0.35">
      <c r="A89" s="244" t="s">
        <v>833</v>
      </c>
      <c r="B89" s="352">
        <f>B87</f>
        <v>16.09763011844953</v>
      </c>
      <c r="C89" s="352"/>
    </row>
    <row r="90" spans="1:6" x14ac:dyDescent="0.3">
      <c r="A90" s="238"/>
      <c r="B90" s="239"/>
      <c r="C90" s="239"/>
    </row>
    <row r="91" spans="1:6" x14ac:dyDescent="0.3">
      <c r="A91" s="183" t="s">
        <v>875</v>
      </c>
      <c r="B91" s="239"/>
      <c r="C91" s="239"/>
      <c r="F91" s="151"/>
    </row>
    <row r="92" spans="1:6" x14ac:dyDescent="0.3">
      <c r="A92" s="238"/>
      <c r="B92" s="239"/>
      <c r="C92" s="239"/>
      <c r="F92" s="151"/>
    </row>
    <row r="93" spans="1:6" x14ac:dyDescent="0.3">
      <c r="A93" s="244" t="s">
        <v>709</v>
      </c>
      <c r="B93" s="340">
        <f>IF(AND(B43&gt;=1,B43&lt;=9),485*EXP(0.535*B43),"Fora da faixa de validade da curva! ERRO!")</f>
        <v>4087.6267809781161</v>
      </c>
      <c r="C93" s="340"/>
      <c r="F93" s="151"/>
    </row>
    <row r="94" spans="1:6" x14ac:dyDescent="0.3">
      <c r="A94" s="244" t="s">
        <v>710</v>
      </c>
      <c r="B94" s="340">
        <f>IF(AND(B43&gt;=1,B43&lt;=9),285*EXP(0.381*B43),"Fora da faixa de validade da curva! ERRO!")</f>
        <v>1300.4770393866822</v>
      </c>
      <c r="C94" s="340"/>
      <c r="F94" s="285"/>
    </row>
    <row r="95" spans="1:6" x14ac:dyDescent="0.3">
      <c r="A95" s="244" t="s">
        <v>711</v>
      </c>
      <c r="B95" s="340" t="str">
        <f>IF(AND(B45&gt;=1,B45&lt;=9),370*EXP(0.314*B45),"Fora da faixa de validade da curva! ERRO!")</f>
        <v>Fora da faixa de validade da curva! ERRO!</v>
      </c>
      <c r="C95" s="340"/>
      <c r="F95" s="151"/>
    </row>
    <row r="96" spans="1:6" x14ac:dyDescent="0.3">
      <c r="A96" s="244" t="s">
        <v>712</v>
      </c>
      <c r="B96" s="340">
        <f>IF(B10&lt;=3,B94,2*B94)</f>
        <v>1300.4770393866822</v>
      </c>
      <c r="C96" s="340"/>
      <c r="F96" s="151"/>
    </row>
    <row r="97" spans="1:6" ht="15.6" x14ac:dyDescent="0.35">
      <c r="A97" s="185" t="s">
        <v>868</v>
      </c>
      <c r="B97" s="339">
        <f>SUM(B93:C96)</f>
        <v>6688.5808597514806</v>
      </c>
      <c r="C97" s="339"/>
      <c r="F97" s="151"/>
    </row>
    <row r="98" spans="1:6" ht="15.6" x14ac:dyDescent="0.35">
      <c r="A98" s="185" t="s">
        <v>869</v>
      </c>
      <c r="B98" s="339">
        <f>0.1*((B83+B84)*3*B87+2*B87*B87)</f>
        <v>309.08137336787098</v>
      </c>
      <c r="C98" s="339"/>
      <c r="F98" s="151"/>
    </row>
    <row r="99" spans="1:6" ht="15.6" x14ac:dyDescent="0.35">
      <c r="A99" s="185" t="s">
        <v>872</v>
      </c>
      <c r="B99" s="339">
        <f>(B83*B88*B58*2)+(B84*B89*B58)</f>
        <v>14178.726593992029</v>
      </c>
      <c r="C99" s="339"/>
      <c r="F99" s="151"/>
    </row>
    <row r="100" spans="1:6" x14ac:dyDescent="0.3">
      <c r="A100" s="191"/>
      <c r="B100" s="191"/>
      <c r="C100" s="191"/>
      <c r="F100" s="151"/>
    </row>
    <row r="101" spans="1:6" x14ac:dyDescent="0.3">
      <c r="A101" s="183" t="s">
        <v>692</v>
      </c>
      <c r="B101" s="183" t="s">
        <v>518</v>
      </c>
      <c r="C101" s="183" t="s">
        <v>519</v>
      </c>
      <c r="F101" s="151"/>
    </row>
    <row r="102" spans="1:6" x14ac:dyDescent="0.3">
      <c r="A102" s="191"/>
      <c r="B102" s="191"/>
      <c r="C102" s="191"/>
    </row>
    <row r="103" spans="1:6" x14ac:dyDescent="0.3">
      <c r="A103" s="187" t="s">
        <v>761</v>
      </c>
      <c r="B103" s="226">
        <v>0.98</v>
      </c>
      <c r="C103" s="226">
        <v>0.98</v>
      </c>
      <c r="D103" s="212" t="s">
        <v>952</v>
      </c>
    </row>
    <row r="104" spans="1:6" x14ac:dyDescent="0.3">
      <c r="A104" s="187" t="s">
        <v>824</v>
      </c>
      <c r="B104" s="227">
        <f>B28/B103</f>
        <v>80882.348024600229</v>
      </c>
      <c r="C104" s="227">
        <f>C16*C103</f>
        <v>73500</v>
      </c>
    </row>
    <row r="105" spans="1:6" ht="15.6" x14ac:dyDescent="0.35">
      <c r="A105" s="187" t="s">
        <v>886</v>
      </c>
      <c r="B105" s="354">
        <f>9*((C104)/(B37^2))^0.2</f>
        <v>9.2965963307719033</v>
      </c>
      <c r="C105" s="355"/>
    </row>
    <row r="106" spans="1:6" x14ac:dyDescent="0.3">
      <c r="A106" s="228" t="s">
        <v>520</v>
      </c>
      <c r="B106" s="353">
        <f>310*(MAX(B104:C104)/B37^1.5)^1.25</f>
        <v>13490.913743522704</v>
      </c>
      <c r="C106" s="353"/>
      <c r="D106" s="212" t="s">
        <v>548</v>
      </c>
    </row>
    <row r="107" spans="1:6" x14ac:dyDescent="0.3">
      <c r="A107" s="228" t="s">
        <v>46</v>
      </c>
      <c r="B107" s="375">
        <f>MAX(B104,C104)/B37</f>
        <v>323.52939209840093</v>
      </c>
      <c r="C107" s="376"/>
      <c r="D107" s="212"/>
    </row>
    <row r="108" spans="1:6" x14ac:dyDescent="0.3">
      <c r="A108" s="185" t="s">
        <v>413</v>
      </c>
      <c r="B108" s="229"/>
      <c r="C108" s="229"/>
      <c r="D108" s="212"/>
    </row>
    <row r="109" spans="1:6" x14ac:dyDescent="0.3">
      <c r="A109" s="228" t="s">
        <v>689</v>
      </c>
      <c r="B109" s="353">
        <f>50*(C104/1000/(B37^0.5))^0.74</f>
        <v>155.87800255876346</v>
      </c>
      <c r="C109" s="353"/>
      <c r="D109" s="212" t="s">
        <v>547</v>
      </c>
    </row>
    <row r="110" spans="1:6" x14ac:dyDescent="0.3">
      <c r="A110" s="228" t="s">
        <v>690</v>
      </c>
      <c r="B110" s="353">
        <f>B109*0.65</f>
        <v>101.32070166319625</v>
      </c>
      <c r="C110" s="353"/>
      <c r="D110" s="212"/>
    </row>
    <row r="111" spans="1:6" x14ac:dyDescent="0.3">
      <c r="A111" s="228" t="s">
        <v>691</v>
      </c>
      <c r="B111" s="353">
        <f>1.3*(B109+B110)</f>
        <v>334.35831548854765</v>
      </c>
      <c r="C111" s="353"/>
      <c r="D111" s="212"/>
    </row>
    <row r="112" spans="1:6" x14ac:dyDescent="0.3">
      <c r="A112" s="185" t="s">
        <v>820</v>
      </c>
      <c r="B112" s="212"/>
      <c r="C112" s="212"/>
      <c r="D112" s="212"/>
    </row>
    <row r="113" spans="1:8" x14ac:dyDescent="0.3">
      <c r="A113" s="187" t="s">
        <v>822</v>
      </c>
      <c r="B113" s="371">
        <f>IF(AND(B107/1000&gt;=0,B107/1000&lt;=8),1000*32000*(B107/1000)^0.58, "Relacao MVA/rpm fora da validade do grafico B16.")</f>
        <v>16630294.823980421</v>
      </c>
      <c r="C113" s="372"/>
      <c r="D113" s="212"/>
    </row>
    <row r="114" spans="1:8" x14ac:dyDescent="0.3">
      <c r="A114" s="230"/>
      <c r="B114" s="230"/>
      <c r="C114" s="230"/>
      <c r="D114" s="212"/>
      <c r="E114" s="151"/>
    </row>
    <row r="115" spans="1:8" x14ac:dyDescent="0.3">
      <c r="A115" s="183" t="s">
        <v>693</v>
      </c>
      <c r="B115" s="191"/>
      <c r="C115" s="191"/>
      <c r="E115" s="151"/>
    </row>
    <row r="116" spans="1:8" x14ac:dyDescent="0.3">
      <c r="A116" s="191"/>
      <c r="B116" s="191"/>
      <c r="C116" s="191"/>
      <c r="E116" s="151"/>
    </row>
    <row r="117" spans="1:8" x14ac:dyDescent="0.3">
      <c r="A117" s="185" t="s">
        <v>545</v>
      </c>
      <c r="B117" s="191"/>
      <c r="C117" s="191"/>
      <c r="E117" s="151"/>
      <c r="G117" s="192" t="s">
        <v>417</v>
      </c>
      <c r="H117" s="192" t="s">
        <v>413</v>
      </c>
    </row>
    <row r="118" spans="1:8" x14ac:dyDescent="0.3">
      <c r="A118" s="185" t="s">
        <v>541</v>
      </c>
      <c r="B118" s="191"/>
      <c r="C118" s="191"/>
      <c r="E118" s="151"/>
      <c r="G118" s="194" t="s">
        <v>419</v>
      </c>
      <c r="H118" s="194" t="s">
        <v>42</v>
      </c>
    </row>
    <row r="119" spans="1:8" x14ac:dyDescent="0.3">
      <c r="A119" s="187" t="s">
        <v>537</v>
      </c>
      <c r="B119" s="352">
        <f>1.05*B109</f>
        <v>163.67190268670163</v>
      </c>
      <c r="C119" s="352"/>
      <c r="E119" s="151"/>
      <c r="G119" s="178">
        <v>5</v>
      </c>
      <c r="H119" s="179">
        <f>8.053996037+0.500809115*B119</f>
        <v>90.022376771893178</v>
      </c>
    </row>
    <row r="120" spans="1:8" x14ac:dyDescent="0.3">
      <c r="A120" s="187" t="s">
        <v>538</v>
      </c>
      <c r="B120" s="352">
        <f>B89-2*(0.5+0.02*B89)</f>
        <v>14.453724913711548</v>
      </c>
      <c r="C120" s="352"/>
      <c r="E120" s="151"/>
      <c r="G120" s="178">
        <v>10</v>
      </c>
      <c r="H120" s="179">
        <f>5.60006605+0.569848085*B119</f>
        <v>98.868186364323265</v>
      </c>
    </row>
    <row r="121" spans="1:8" x14ac:dyDescent="0.3">
      <c r="A121" s="185" t="s">
        <v>413</v>
      </c>
      <c r="B121" s="191"/>
      <c r="C121" s="191"/>
      <c r="E121" s="151"/>
      <c r="G121" s="178">
        <v>15</v>
      </c>
      <c r="H121" s="179">
        <f>7.432298547+0.630713342*B119</f>
        <v>110.66235128202835</v>
      </c>
    </row>
    <row r="122" spans="1:8" x14ac:dyDescent="0.3">
      <c r="A122" s="187" t="s">
        <v>629</v>
      </c>
      <c r="B122" s="356">
        <f>(VLOOKUP(B120+5,G119:H125,2)-VLOOKUP(B120,G119:H125,2))*(B120-(VLOOKUP(B120,G119:H125,1)))/5+VLOOKUP(B120,G119:H125,2)</f>
        <v>109.37377959040444</v>
      </c>
      <c r="C122" s="356"/>
      <c r="E122" s="151"/>
      <c r="G122" s="178">
        <v>20</v>
      </c>
      <c r="H122" s="179">
        <f>8.307959049+0.691964188*B119</f>
        <v>121.56305429001853</v>
      </c>
    </row>
    <row r="123" spans="1:8" x14ac:dyDescent="0.3">
      <c r="A123" s="185" t="s">
        <v>820</v>
      </c>
      <c r="E123" s="151"/>
      <c r="G123" s="178">
        <v>25</v>
      </c>
      <c r="H123" s="179">
        <f>11.40042933+0.74151255*B119</f>
        <v>132.76519925456799</v>
      </c>
    </row>
    <row r="124" spans="1:8" x14ac:dyDescent="0.3">
      <c r="A124" s="187" t="s">
        <v>822</v>
      </c>
      <c r="B124" s="371">
        <f>IF(AND(B107&gt;=22,B107&lt;=11100),1000*25.12*B107^0.6961,"Relacao kVA/rpm fora da faixa de validade do Grafico B17.")</f>
        <v>1403364.8373795389</v>
      </c>
      <c r="C124" s="372"/>
      <c r="E124" s="151"/>
      <c r="G124" s="178">
        <v>30</v>
      </c>
      <c r="H124" s="179">
        <f>15.01585205+0.788540291*B119</f>
        <v>144.07774182309538</v>
      </c>
    </row>
    <row r="125" spans="1:8" x14ac:dyDescent="0.3">
      <c r="A125" s="231"/>
      <c r="B125" s="191"/>
      <c r="C125" s="191"/>
      <c r="E125" s="151"/>
      <c r="G125" s="178">
        <v>35</v>
      </c>
      <c r="H125" s="179">
        <f>16.01304491+0.844996697*B119</f>
        <v>154.31526207196831</v>
      </c>
    </row>
    <row r="126" spans="1:8" x14ac:dyDescent="0.3">
      <c r="A126" s="185" t="s">
        <v>694</v>
      </c>
      <c r="B126" s="191"/>
      <c r="C126" s="191"/>
      <c r="D126" s="151"/>
      <c r="E126" s="151"/>
    </row>
    <row r="127" spans="1:8" x14ac:dyDescent="0.3">
      <c r="A127" s="193"/>
      <c r="B127" s="193"/>
      <c r="C127" s="193"/>
      <c r="D127" s="151"/>
      <c r="E127" s="151"/>
    </row>
    <row r="128" spans="1:8" x14ac:dyDescent="0.3">
      <c r="A128" s="185" t="s">
        <v>412</v>
      </c>
      <c r="B128" s="193"/>
      <c r="C128" s="193"/>
      <c r="D128" s="151"/>
      <c r="E128" s="151"/>
    </row>
    <row r="129" spans="1:9" x14ac:dyDescent="0.3">
      <c r="A129" s="187" t="s">
        <v>523</v>
      </c>
      <c r="B129" s="350"/>
      <c r="C129" s="351"/>
      <c r="D129" s="151"/>
    </row>
    <row r="130" spans="1:9" x14ac:dyDescent="0.3">
      <c r="A130" s="187" t="s">
        <v>524</v>
      </c>
      <c r="B130" s="352">
        <f>iohsrf2!B36</f>
        <v>620</v>
      </c>
      <c r="C130" s="352"/>
      <c r="D130" s="232" t="s">
        <v>528</v>
      </c>
    </row>
    <row r="131" spans="1:9" x14ac:dyDescent="0.3">
      <c r="A131" s="187" t="s">
        <v>525</v>
      </c>
      <c r="B131" s="352"/>
      <c r="C131" s="352"/>
      <c r="D131" s="151"/>
    </row>
    <row r="132" spans="1:9" x14ac:dyDescent="0.3">
      <c r="A132" s="187" t="s">
        <v>526</v>
      </c>
      <c r="B132" s="352">
        <f>B130+1</f>
        <v>621</v>
      </c>
      <c r="C132" s="352"/>
      <c r="D132" s="232" t="s">
        <v>528</v>
      </c>
    </row>
    <row r="133" spans="1:9" x14ac:dyDescent="0.3">
      <c r="A133" s="187" t="s">
        <v>527</v>
      </c>
      <c r="B133" s="352">
        <f>B36-B58+B63/6</f>
        <v>549.3719368628399</v>
      </c>
      <c r="C133" s="352"/>
      <c r="D133" s="151"/>
    </row>
    <row r="134" spans="1:9" x14ac:dyDescent="0.3">
      <c r="A134" s="185" t="s">
        <v>414</v>
      </c>
      <c r="B134" s="193"/>
      <c r="C134" s="233"/>
    </row>
    <row r="135" spans="1:9" ht="15.6" x14ac:dyDescent="0.3">
      <c r="A135" s="228" t="s">
        <v>818</v>
      </c>
      <c r="B135" s="352">
        <f>B67</f>
        <v>5.4338997484172191</v>
      </c>
      <c r="C135" s="352"/>
      <c r="D135" s="212" t="s">
        <v>530</v>
      </c>
    </row>
    <row r="136" spans="1:9" ht="15.6" x14ac:dyDescent="0.3">
      <c r="A136" s="228" t="s">
        <v>817</v>
      </c>
      <c r="B136" s="352">
        <f>B62</f>
        <v>3.6417399481737327</v>
      </c>
      <c r="C136" s="352"/>
      <c r="D136" s="212" t="s">
        <v>126</v>
      </c>
    </row>
    <row r="137" spans="1:9" x14ac:dyDescent="0.3">
      <c r="A137" s="257"/>
      <c r="B137" s="239"/>
      <c r="C137" s="239"/>
      <c r="D137" s="212"/>
      <c r="E137" s="151"/>
    </row>
    <row r="138" spans="1:9" ht="16.8" x14ac:dyDescent="0.35">
      <c r="A138" s="185" t="s">
        <v>819</v>
      </c>
      <c r="B138" s="359">
        <f>B135^2*B136*(B130-B133)/1000</f>
        <v>7.594679834217267</v>
      </c>
      <c r="C138" s="359"/>
      <c r="D138" s="5"/>
      <c r="E138" s="151"/>
    </row>
    <row r="139" spans="1:9" x14ac:dyDescent="0.3">
      <c r="A139" s="263"/>
      <c r="B139" s="266"/>
      <c r="C139" s="266"/>
      <c r="D139" s="5"/>
      <c r="E139" s="151"/>
    </row>
    <row r="140" spans="1:9" x14ac:dyDescent="0.3">
      <c r="A140" s="185" t="s">
        <v>820</v>
      </c>
      <c r="B140" s="258"/>
      <c r="C140" s="266"/>
      <c r="D140" s="5"/>
      <c r="E140" s="151"/>
    </row>
    <row r="141" spans="1:9" x14ac:dyDescent="0.3">
      <c r="A141" s="187" t="s">
        <v>826</v>
      </c>
      <c r="B141" s="360">
        <f>2*B65*B10*((B130-B133)+2)*2084.8</f>
        <v>1211319.8882268111</v>
      </c>
      <c r="C141" s="360"/>
      <c r="D141" s="5"/>
      <c r="E141" s="151"/>
      <c r="I141" s="151"/>
    </row>
    <row r="142" spans="1:9" x14ac:dyDescent="0.3">
      <c r="A142" s="229"/>
      <c r="B142" s="229"/>
      <c r="C142" s="229"/>
      <c r="D142" s="212"/>
      <c r="I142" s="151"/>
    </row>
    <row r="143" spans="1:9" x14ac:dyDescent="0.3">
      <c r="A143" s="185" t="s">
        <v>522</v>
      </c>
      <c r="B143" s="191"/>
      <c r="C143" s="191"/>
      <c r="I143" s="151"/>
    </row>
    <row r="144" spans="1:9" x14ac:dyDescent="0.3">
      <c r="A144" s="185" t="s">
        <v>546</v>
      </c>
      <c r="B144" s="358">
        <f>IF(B10&gt;10,3*B65,2*B65)</f>
        <v>4</v>
      </c>
      <c r="C144" s="358"/>
      <c r="I144" s="151"/>
    </row>
    <row r="145" spans="1:9" x14ac:dyDescent="0.3">
      <c r="A145" s="185" t="s">
        <v>532</v>
      </c>
      <c r="B145" s="357">
        <v>2</v>
      </c>
      <c r="C145" s="357"/>
      <c r="D145" s="212" t="s">
        <v>484</v>
      </c>
      <c r="I145" s="151"/>
    </row>
    <row r="146" spans="1:9" x14ac:dyDescent="0.3">
      <c r="A146" s="185" t="s">
        <v>529</v>
      </c>
      <c r="B146" s="358">
        <f>TRUNC(B136/B145)+1</f>
        <v>2</v>
      </c>
      <c r="C146" s="358"/>
      <c r="I146" s="151"/>
    </row>
    <row r="147" spans="1:9" x14ac:dyDescent="0.3">
      <c r="A147" s="185" t="s">
        <v>531</v>
      </c>
      <c r="B147" s="193"/>
      <c r="C147" s="193"/>
      <c r="I147" s="151"/>
    </row>
    <row r="148" spans="1:9" x14ac:dyDescent="0.3">
      <c r="A148" s="187" t="s">
        <v>533</v>
      </c>
      <c r="B148" s="352"/>
      <c r="C148" s="352"/>
      <c r="I148" s="151"/>
    </row>
    <row r="149" spans="1:9" x14ac:dyDescent="0.3">
      <c r="A149" s="187" t="s">
        <v>534</v>
      </c>
      <c r="B149" s="352">
        <f>B132-B133+1.5</f>
        <v>73.128063137160098</v>
      </c>
      <c r="C149" s="352"/>
      <c r="I149" s="151"/>
    </row>
    <row r="150" spans="1:9" x14ac:dyDescent="0.3">
      <c r="A150" s="185" t="s">
        <v>535</v>
      </c>
      <c r="B150" s="193"/>
      <c r="C150" s="193"/>
      <c r="I150" s="151"/>
    </row>
    <row r="151" spans="1:9" x14ac:dyDescent="0.3">
      <c r="A151" s="187" t="s">
        <v>618</v>
      </c>
      <c r="B151" s="352">
        <f>B136+0.5</f>
        <v>4.1417399481737327</v>
      </c>
      <c r="C151" s="352"/>
      <c r="G151" s="195"/>
      <c r="H151" s="195"/>
      <c r="I151" s="151"/>
    </row>
    <row r="152" spans="1:9" x14ac:dyDescent="0.3">
      <c r="A152" s="187" t="s">
        <v>619</v>
      </c>
      <c r="B152" s="352">
        <f>((B153)-(B151/2))</f>
        <v>68.557193163073237</v>
      </c>
      <c r="C152" s="352"/>
    </row>
    <row r="153" spans="1:9" x14ac:dyDescent="0.3">
      <c r="A153" s="187" t="s">
        <v>620</v>
      </c>
      <c r="B153" s="352">
        <f>B130-B133</f>
        <v>70.628063137160098</v>
      </c>
      <c r="C153" s="352"/>
    </row>
    <row r="154" spans="1:9" x14ac:dyDescent="0.3">
      <c r="A154" s="185" t="s">
        <v>536</v>
      </c>
      <c r="B154" s="193"/>
      <c r="C154" s="193"/>
    </row>
    <row r="155" spans="1:9" x14ac:dyDescent="0.3">
      <c r="A155" s="187" t="s">
        <v>621</v>
      </c>
      <c r="B155" s="352">
        <f>(B135+0.4)</f>
        <v>5.8338997484172195</v>
      </c>
      <c r="C155" s="352"/>
    </row>
    <row r="156" spans="1:9" x14ac:dyDescent="0.3">
      <c r="A156" s="185" t="s">
        <v>413</v>
      </c>
      <c r="B156" s="193"/>
      <c r="C156" s="193"/>
    </row>
    <row r="157" spans="1:9" x14ac:dyDescent="0.3">
      <c r="A157" s="187" t="s">
        <v>622</v>
      </c>
      <c r="B157" s="357">
        <f>((100*((2*B155)+(B149)))+(((B153)^2)*(B155^2)*B151*0.005))/(1000)</f>
        <v>11.995395866046445</v>
      </c>
      <c r="C157" s="357"/>
      <c r="E157" s="151"/>
    </row>
    <row r="158" spans="1:9" x14ac:dyDescent="0.3">
      <c r="A158" s="187" t="s">
        <v>623</v>
      </c>
      <c r="B158" s="357">
        <f>((B151*B155/1000)*(((B152^0.5)*30.074)+((19.989+(1.113*B152))*B155)))</f>
        <v>19.590350951066092</v>
      </c>
      <c r="C158" s="357"/>
      <c r="E158" s="151"/>
    </row>
    <row r="159" spans="1:9" x14ac:dyDescent="0.3">
      <c r="A159" s="187" t="s">
        <v>624</v>
      </c>
      <c r="B159" s="357">
        <f>B158/B146</f>
        <v>9.7951754755330462</v>
      </c>
      <c r="C159" s="357"/>
    </row>
    <row r="160" spans="1:9" x14ac:dyDescent="0.3">
      <c r="A160" s="185" t="s">
        <v>820</v>
      </c>
    </row>
    <row r="161" spans="1:11" x14ac:dyDescent="0.3">
      <c r="A161" s="187" t="s">
        <v>823</v>
      </c>
      <c r="B161" s="375">
        <f>ROUND(0.4999999+B138/54.5,0)</f>
        <v>1</v>
      </c>
      <c r="C161" s="376"/>
    </row>
    <row r="162" spans="1:11" ht="16.8" x14ac:dyDescent="0.35">
      <c r="A162" s="187" t="s">
        <v>821</v>
      </c>
      <c r="B162" s="377">
        <f>B138/B161</f>
        <v>7.594679834217267</v>
      </c>
      <c r="C162" s="378"/>
    </row>
    <row r="163" spans="1:11" x14ac:dyDescent="0.3">
      <c r="A163" s="187" t="s">
        <v>822</v>
      </c>
      <c r="B163" s="371">
        <f>IF(AND(B162&gt;=0.16,B162&lt;=54.5),1000*72.9*B162^0.716,"Fora da faixa de variacao da curva!")</f>
        <v>311295.11745250673</v>
      </c>
      <c r="C163" s="372"/>
    </row>
    <row r="164" spans="1:11" x14ac:dyDescent="0.3">
      <c r="A164" s="191"/>
      <c r="B164" s="191"/>
      <c r="C164" s="191"/>
    </row>
    <row r="165" spans="1:11" x14ac:dyDescent="0.3">
      <c r="A165" s="185" t="s">
        <v>540</v>
      </c>
      <c r="B165" s="191"/>
      <c r="C165" s="191"/>
      <c r="G165" s="192" t="s">
        <v>415</v>
      </c>
      <c r="H165" s="151"/>
      <c r="I165" s="151"/>
      <c r="J165" s="192" t="s">
        <v>416</v>
      </c>
      <c r="K165" s="192"/>
    </row>
    <row r="166" spans="1:11" x14ac:dyDescent="0.3">
      <c r="A166" s="185" t="s">
        <v>541</v>
      </c>
      <c r="B166" s="193"/>
      <c r="C166" s="193"/>
      <c r="D166" s="151"/>
      <c r="G166" s="192" t="s">
        <v>417</v>
      </c>
      <c r="H166" s="192" t="s">
        <v>413</v>
      </c>
      <c r="I166" s="151"/>
      <c r="J166" s="192" t="s">
        <v>7</v>
      </c>
      <c r="K166" s="192" t="s">
        <v>413</v>
      </c>
    </row>
    <row r="167" spans="1:11" x14ac:dyDescent="0.3">
      <c r="A167" s="187" t="s">
        <v>537</v>
      </c>
      <c r="B167" s="357">
        <f>1.1*B159</f>
        <v>10.774693023086352</v>
      </c>
      <c r="C167" s="357"/>
      <c r="D167" s="151"/>
      <c r="G167" s="194" t="s">
        <v>419</v>
      </c>
      <c r="H167" s="194" t="s">
        <v>42</v>
      </c>
      <c r="J167" s="194" t="s">
        <v>419</v>
      </c>
      <c r="K167" s="194" t="s">
        <v>42</v>
      </c>
    </row>
    <row r="168" spans="1:11" x14ac:dyDescent="0.3">
      <c r="A168" s="187" t="s">
        <v>538</v>
      </c>
      <c r="B168" s="357">
        <v>5</v>
      </c>
      <c r="C168" s="357"/>
      <c r="D168" s="151" t="s">
        <v>418</v>
      </c>
      <c r="G168" s="178">
        <v>5</v>
      </c>
      <c r="H168" s="179">
        <f>8.053996037+0.500809115*B167</f>
        <v>13.45006051428855</v>
      </c>
      <c r="J168" s="178">
        <v>5</v>
      </c>
      <c r="K168" s="179">
        <f>-0.018874907+0.250814212*B167</f>
        <v>2.6835712331273012</v>
      </c>
    </row>
    <row r="169" spans="1:11" x14ac:dyDescent="0.3">
      <c r="A169" s="187" t="s">
        <v>539</v>
      </c>
      <c r="B169" s="357">
        <v>5</v>
      </c>
      <c r="C169" s="357"/>
      <c r="D169" s="151" t="s">
        <v>418</v>
      </c>
      <c r="G169" s="178">
        <v>10</v>
      </c>
      <c r="H169" s="179">
        <f>5.60006605+0.569848085*B167</f>
        <v>11.740004235668618</v>
      </c>
      <c r="J169" s="178">
        <v>6</v>
      </c>
      <c r="K169" s="179">
        <f>-0.165278806+0.300675426*B167</f>
        <v>3.0744066087357171</v>
      </c>
    </row>
    <row r="170" spans="1:11" x14ac:dyDescent="0.3">
      <c r="A170" s="185" t="s">
        <v>413</v>
      </c>
      <c r="B170" s="193"/>
      <c r="C170" s="191"/>
      <c r="G170" s="178">
        <v>15</v>
      </c>
      <c r="H170" s="179">
        <f>7.432298547+0.630713342*B167</f>
        <v>14.228041192614874</v>
      </c>
      <c r="J170" s="178">
        <v>7</v>
      </c>
      <c r="K170" s="179">
        <f>-0.143628177+0.35121065*B167</f>
        <v>3.6405587631886225</v>
      </c>
    </row>
    <row r="171" spans="1:11" x14ac:dyDescent="0.3">
      <c r="A171" s="187" t="s">
        <v>543</v>
      </c>
      <c r="B171" s="379">
        <f>(VLOOKUP(B168+5,G168:H174,2)-VLOOKUP(B168,G168:H174,2))*(B168-(VLOOKUP(B168,G168:H174,1)))/5+VLOOKUP(B168,G168:H174,2)</f>
        <v>13.45006051428855</v>
      </c>
      <c r="C171" s="379"/>
      <c r="G171" s="178">
        <v>20</v>
      </c>
      <c r="H171" s="179">
        <f>8.307959049+0.691964188*B167</f>
        <v>15.763660757669214</v>
      </c>
      <c r="J171" s="178">
        <v>8</v>
      </c>
      <c r="K171" s="179">
        <f>-0.4215396+0.401517395*B167</f>
        <v>3.9046870745543067</v>
      </c>
    </row>
    <row r="172" spans="1:11" x14ac:dyDescent="0.3">
      <c r="A172" s="187" t="s">
        <v>544</v>
      </c>
      <c r="B172" s="379">
        <f>(VLOOKUP(B169+5,J168:K178,2)-VLOOKUP(B169,J168:K178,2))*(B169-(VLOOKUP(B169,J168:K178,1)))/5+VLOOKUP(B169,J168:K178,2)</f>
        <v>2.6835712331273012</v>
      </c>
      <c r="C172" s="379"/>
      <c r="G172" s="178">
        <v>25</v>
      </c>
      <c r="H172" s="179">
        <f>11.40042933+0.74151255*B167</f>
        <v>19.389999429015969</v>
      </c>
      <c r="J172" s="178">
        <v>9</v>
      </c>
      <c r="K172" s="179">
        <f>-0.302152726+0.451841229*B167</f>
        <v>4.5662978116490622</v>
      </c>
    </row>
    <row r="173" spans="1:11" x14ac:dyDescent="0.3">
      <c r="A173" s="185" t="s">
        <v>820</v>
      </c>
      <c r="G173" s="178">
        <v>30</v>
      </c>
      <c r="H173" s="179">
        <f>15.01585205+0.788540291*B167</f>
        <v>23.512131621860181</v>
      </c>
      <c r="J173" s="178">
        <v>10</v>
      </c>
      <c r="K173" s="179">
        <f>-0.4215396+0.501517395*B167</f>
        <v>4.9821563768629424</v>
      </c>
    </row>
    <row r="174" spans="1:11" x14ac:dyDescent="0.3">
      <c r="A174" s="187" t="s">
        <v>822</v>
      </c>
      <c r="B174" s="371">
        <f>IF(AND(B107&gt;=22,B107&lt;=11100),1000*(59.506*B107^0.6621),"Fora da validade da curva! ERRO!")</f>
        <v>2731332.964886229</v>
      </c>
      <c r="C174" s="372"/>
      <c r="G174" s="178">
        <v>35</v>
      </c>
      <c r="H174" s="179">
        <f>16.01304491+0.844996697*B167</f>
        <v>25.117624925696916</v>
      </c>
      <c r="J174" s="178">
        <v>11</v>
      </c>
      <c r="K174" s="179">
        <f>-0.544905009+0.552590674*B167</f>
        <v>5.4090898707703845</v>
      </c>
    </row>
    <row r="175" spans="1:11" x14ac:dyDescent="0.3">
      <c r="J175" s="178">
        <v>12</v>
      </c>
      <c r="K175" s="179">
        <f>-0.704817419+0.602544412*B167</f>
        <v>5.7874136530760678</v>
      </c>
    </row>
    <row r="176" spans="1:11" x14ac:dyDescent="0.3">
      <c r="A176" s="185" t="s">
        <v>938</v>
      </c>
      <c r="J176" s="178">
        <v>13</v>
      </c>
      <c r="K176" s="179">
        <f>-0.828182828+0.653617691*B167</f>
        <v>6.2143471469835108</v>
      </c>
    </row>
    <row r="177" spans="1:11" x14ac:dyDescent="0.3">
      <c r="A177" s="185" t="s">
        <v>820</v>
      </c>
      <c r="J177" s="178">
        <v>14</v>
      </c>
      <c r="K177" s="179">
        <f>-0.559801382+0.702007772*B167</f>
        <v>7.004116861120794</v>
      </c>
    </row>
    <row r="178" spans="1:11" x14ac:dyDescent="0.3">
      <c r="A178" s="187" t="s">
        <v>864</v>
      </c>
      <c r="B178" s="346">
        <f>IF(AND((MAX(B28,C16)*B10/1000)&gt;=30),1565*MAX(B16,C16)*B10/1000+772973,1565*30+772973)</f>
        <v>1007723</v>
      </c>
      <c r="C178" s="347"/>
      <c r="J178" s="178">
        <v>15</v>
      </c>
      <c r="K178" s="179">
        <f>-0.68316679+0.753081051*B167</f>
        <v>7.431050356028237</v>
      </c>
    </row>
    <row r="179" spans="1:11" x14ac:dyDescent="0.3">
      <c r="A179" s="187" t="s">
        <v>865</v>
      </c>
      <c r="B179" s="346">
        <f>IF(AND(MAX(B28,C16)*B10/1000&gt;=30),6190*(MAX(B16,C16)*B10/1000)^(1+15.34/(MAX(B16,C16)*B10/1000)),6190*30^(1+15.34/30))</f>
        <v>1549970.7677236767</v>
      </c>
      <c r="C179" s="347"/>
    </row>
  </sheetData>
  <mergeCells count="115">
    <mergeCell ref="I3:I11"/>
    <mergeCell ref="J3:J11"/>
    <mergeCell ref="K3:K11"/>
    <mergeCell ref="L3:L11"/>
    <mergeCell ref="M3:M11"/>
    <mergeCell ref="G3:G11"/>
    <mergeCell ref="H3:H11"/>
    <mergeCell ref="G55:G56"/>
    <mergeCell ref="B73:C73"/>
    <mergeCell ref="B9:C9"/>
    <mergeCell ref="B65:C65"/>
    <mergeCell ref="G15:G17"/>
    <mergeCell ref="H15:K17"/>
    <mergeCell ref="J18:K18"/>
    <mergeCell ref="H18:I18"/>
    <mergeCell ref="B50:C50"/>
    <mergeCell ref="B58:C58"/>
    <mergeCell ref="B59:C59"/>
    <mergeCell ref="B60:C60"/>
    <mergeCell ref="B61:C61"/>
    <mergeCell ref="B62:C62"/>
    <mergeCell ref="B52:C52"/>
    <mergeCell ref="B53:C53"/>
    <mergeCell ref="B54:C54"/>
    <mergeCell ref="B174:C174"/>
    <mergeCell ref="B113:C113"/>
    <mergeCell ref="B76:C76"/>
    <mergeCell ref="B75:C75"/>
    <mergeCell ref="B161:C161"/>
    <mergeCell ref="B162:C162"/>
    <mergeCell ref="B163:C163"/>
    <mergeCell ref="B107:C107"/>
    <mergeCell ref="B124:C124"/>
    <mergeCell ref="B89:C89"/>
    <mergeCell ref="B167:C167"/>
    <mergeCell ref="B168:C168"/>
    <mergeCell ref="B169:C169"/>
    <mergeCell ref="B171:C171"/>
    <mergeCell ref="B172:C172"/>
    <mergeCell ref="B153:C153"/>
    <mergeCell ref="B155:C155"/>
    <mergeCell ref="B157:C157"/>
    <mergeCell ref="B158:C158"/>
    <mergeCell ref="B159:C159"/>
    <mergeCell ref="B146:C146"/>
    <mergeCell ref="B148:C148"/>
    <mergeCell ref="B86:C86"/>
    <mergeCell ref="B87:C87"/>
    <mergeCell ref="B144:C144"/>
    <mergeCell ref="B138:C138"/>
    <mergeCell ref="B141:C141"/>
    <mergeCell ref="B149:C149"/>
    <mergeCell ref="B88:C88"/>
    <mergeCell ref="B12:C12"/>
    <mergeCell ref="B18:C18"/>
    <mergeCell ref="B67:C67"/>
    <mergeCell ref="B68:C68"/>
    <mergeCell ref="B69:C69"/>
    <mergeCell ref="B64:C64"/>
    <mergeCell ref="B66:C66"/>
    <mergeCell ref="B20:C20"/>
    <mergeCell ref="B25:C25"/>
    <mergeCell ref="B21:C21"/>
    <mergeCell ref="B35:C35"/>
    <mergeCell ref="B36:C36"/>
    <mergeCell ref="B82:C82"/>
    <mergeCell ref="B83:C83"/>
    <mergeCell ref="B84:C84"/>
    <mergeCell ref="B85:C85"/>
    <mergeCell ref="B51:C51"/>
    <mergeCell ref="B38:C38"/>
    <mergeCell ref="B42:C42"/>
    <mergeCell ref="H55:I55"/>
    <mergeCell ref="B37:C37"/>
    <mergeCell ref="B178:C178"/>
    <mergeCell ref="B179:C179"/>
    <mergeCell ref="B99:C99"/>
    <mergeCell ref="B70:C70"/>
    <mergeCell ref="B129:C129"/>
    <mergeCell ref="B131:C131"/>
    <mergeCell ref="B106:C106"/>
    <mergeCell ref="B105:C105"/>
    <mergeCell ref="B109:C109"/>
    <mergeCell ref="B110:C110"/>
    <mergeCell ref="B111:C111"/>
    <mergeCell ref="B119:C119"/>
    <mergeCell ref="B120:C120"/>
    <mergeCell ref="B151:C151"/>
    <mergeCell ref="B152:C152"/>
    <mergeCell ref="B122:C122"/>
    <mergeCell ref="B133:C133"/>
    <mergeCell ref="B135:C135"/>
    <mergeCell ref="B136:C136"/>
    <mergeCell ref="B145:C145"/>
    <mergeCell ref="B130:C130"/>
    <mergeCell ref="B132:C132"/>
    <mergeCell ref="B10:C10"/>
    <mergeCell ref="B43:C43"/>
    <mergeCell ref="B44:C44"/>
    <mergeCell ref="B45:C45"/>
    <mergeCell ref="B47:C47"/>
    <mergeCell ref="B98:C98"/>
    <mergeCell ref="B93:C93"/>
    <mergeCell ref="B94:C94"/>
    <mergeCell ref="B95:C95"/>
    <mergeCell ref="B96:C96"/>
    <mergeCell ref="B97:C97"/>
    <mergeCell ref="B55:C55"/>
    <mergeCell ref="B56:C56"/>
    <mergeCell ref="B57:C57"/>
    <mergeCell ref="B46:C46"/>
    <mergeCell ref="B63:C63"/>
    <mergeCell ref="B72:C72"/>
    <mergeCell ref="B48:C48"/>
    <mergeCell ref="B49:C49"/>
  </mergeCells>
  <phoneticPr fontId="55" type="noConversion"/>
  <pageMargins left="0.78740157499999996" right="0.78740157499999996" top="0.984251969" bottom="0.984251969" header="0.49212598499999999" footer="0.49212598499999999"/>
  <pageSetup paperSize="9" scale="6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9457" r:id="rId4">
          <objectPr defaultSize="0" autoPict="0" r:id="rId5">
            <anchor moveWithCells="1">
              <from>
                <xdr:col>3</xdr:col>
                <xdr:colOff>53340</xdr:colOff>
                <xdr:row>46</xdr:row>
                <xdr:rowOff>53340</xdr:rowOff>
              </from>
              <to>
                <xdr:col>3</xdr:col>
                <xdr:colOff>3535680</xdr:colOff>
                <xdr:row>69</xdr:row>
                <xdr:rowOff>160020</xdr:rowOff>
              </to>
            </anchor>
          </objectPr>
        </oleObject>
      </mc:Choice>
      <mc:Fallback>
        <oleObject progId="Paint.Picture" shapeId="19457" r:id="rId4"/>
      </mc:Fallback>
    </mc:AlternateContent>
    <mc:AlternateContent xmlns:mc="http://schemas.openxmlformats.org/markup-compatibility/2006">
      <mc:Choice Requires="x14">
        <oleObject progId="Paint.Picture" shapeId="19458" r:id="rId6">
          <objectPr defaultSize="0" autoPict="0" r:id="rId7">
            <anchor moveWithCells="1">
              <from>
                <xdr:col>3</xdr:col>
                <xdr:colOff>1752600</xdr:colOff>
                <xdr:row>40</xdr:row>
                <xdr:rowOff>121920</xdr:rowOff>
              </from>
              <to>
                <xdr:col>3</xdr:col>
                <xdr:colOff>3558540</xdr:colOff>
                <xdr:row>46</xdr:row>
                <xdr:rowOff>76200</xdr:rowOff>
              </to>
            </anchor>
          </objectPr>
        </oleObject>
      </mc:Choice>
      <mc:Fallback>
        <oleObject progId="Paint.Picture" shapeId="19458" r:id="rId6"/>
      </mc:Fallback>
    </mc:AlternateContent>
    <mc:AlternateContent xmlns:mc="http://schemas.openxmlformats.org/markup-compatibility/2006">
      <mc:Choice Requires="x14">
        <oleObject progId="Paint.Picture" shapeId="19459" r:id="rId8">
          <objectPr defaultSize="0" autoPict="0" r:id="rId9">
            <anchor moveWithCells="1">
              <from>
                <xdr:col>3</xdr:col>
                <xdr:colOff>15240</xdr:colOff>
                <xdr:row>40</xdr:row>
                <xdr:rowOff>53340</xdr:rowOff>
              </from>
              <to>
                <xdr:col>3</xdr:col>
                <xdr:colOff>1821180</xdr:colOff>
                <xdr:row>47</xdr:row>
                <xdr:rowOff>53340</xdr:rowOff>
              </to>
            </anchor>
          </objectPr>
        </oleObject>
      </mc:Choice>
      <mc:Fallback>
        <oleObject progId="Paint.Picture" shapeId="19459" r:id="rId8"/>
      </mc:Fallback>
    </mc:AlternateContent>
    <mc:AlternateContent xmlns:mc="http://schemas.openxmlformats.org/markup-compatibility/2006">
      <mc:Choice Requires="x14">
        <oleObject progId="Equation.2" shapeId="19460" r:id="rId10">
          <objectPr defaultSize="0" autoLine="0" autoPict="0" r:id="rId11">
            <anchor moveWithCells="1">
              <from>
                <xdr:col>3</xdr:col>
                <xdr:colOff>38100</xdr:colOff>
                <xdr:row>80</xdr:row>
                <xdr:rowOff>45720</xdr:rowOff>
              </from>
              <to>
                <xdr:col>3</xdr:col>
                <xdr:colOff>2171700</xdr:colOff>
                <xdr:row>81</xdr:row>
                <xdr:rowOff>144780</xdr:rowOff>
              </to>
            </anchor>
          </objectPr>
        </oleObject>
      </mc:Choice>
      <mc:Fallback>
        <oleObject progId="Equation.2" shapeId="19460" r:id="rId10"/>
      </mc:Fallback>
    </mc:AlternateContent>
    <mc:AlternateContent xmlns:mc="http://schemas.openxmlformats.org/markup-compatibility/2006">
      <mc:Choice Requires="x14">
        <oleObject progId="Equation.2" shapeId="19461" r:id="rId12">
          <objectPr defaultSize="0" autoLine="0" autoPict="0" r:id="rId13">
            <anchor moveWithCells="1">
              <from>
                <xdr:col>3</xdr:col>
                <xdr:colOff>45720</xdr:colOff>
                <xdr:row>82</xdr:row>
                <xdr:rowOff>7620</xdr:rowOff>
              </from>
              <to>
                <xdr:col>3</xdr:col>
                <xdr:colOff>1432560</xdr:colOff>
                <xdr:row>83</xdr:row>
                <xdr:rowOff>0</xdr:rowOff>
              </to>
            </anchor>
          </objectPr>
        </oleObject>
      </mc:Choice>
      <mc:Fallback>
        <oleObject progId="Equation.2" shapeId="19461" r:id="rId12"/>
      </mc:Fallback>
    </mc:AlternateContent>
    <mc:AlternateContent xmlns:mc="http://schemas.openxmlformats.org/markup-compatibility/2006">
      <mc:Choice Requires="x14">
        <oleObject progId="Equation.2" shapeId="19462" r:id="rId14">
          <objectPr defaultSize="0" autoLine="0" autoPict="0" r:id="rId15">
            <anchor moveWithCells="1">
              <from>
                <xdr:col>3</xdr:col>
                <xdr:colOff>1508760</xdr:colOff>
                <xdr:row>81</xdr:row>
                <xdr:rowOff>99060</xdr:rowOff>
              </from>
              <to>
                <xdr:col>3</xdr:col>
                <xdr:colOff>3459480</xdr:colOff>
                <xdr:row>83</xdr:row>
                <xdr:rowOff>45720</xdr:rowOff>
              </to>
            </anchor>
          </objectPr>
        </oleObject>
      </mc:Choice>
      <mc:Fallback>
        <oleObject progId="Equation.2" shapeId="19462" r:id="rId14"/>
      </mc:Fallback>
    </mc:AlternateContent>
    <mc:AlternateContent xmlns:mc="http://schemas.openxmlformats.org/markup-compatibility/2006">
      <mc:Choice Requires="x14">
        <oleObject progId="Equation.2" shapeId="19463" r:id="rId16">
          <objectPr defaultSize="0" autoLine="0" autoPict="0" r:id="rId17">
            <anchor moveWithCells="1">
              <from>
                <xdr:col>3</xdr:col>
                <xdr:colOff>99060</xdr:colOff>
                <xdr:row>84</xdr:row>
                <xdr:rowOff>0</xdr:rowOff>
              </from>
              <to>
                <xdr:col>3</xdr:col>
                <xdr:colOff>1783080</xdr:colOff>
                <xdr:row>85</xdr:row>
                <xdr:rowOff>106680</xdr:rowOff>
              </to>
            </anchor>
          </objectPr>
        </oleObject>
      </mc:Choice>
      <mc:Fallback>
        <oleObject progId="Equation.2" shapeId="19463" r:id="rId16"/>
      </mc:Fallback>
    </mc:AlternateContent>
    <mc:AlternateContent xmlns:mc="http://schemas.openxmlformats.org/markup-compatibility/2006">
      <mc:Choice Requires="x14">
        <oleObject progId="Equation.2" shapeId="19464" r:id="rId18">
          <objectPr defaultSize="0" autoLine="0" autoPict="0" r:id="rId19">
            <anchor moveWithCells="1">
              <from>
                <xdr:col>3</xdr:col>
                <xdr:colOff>1859280</xdr:colOff>
                <xdr:row>84</xdr:row>
                <xdr:rowOff>68580</xdr:rowOff>
              </from>
              <to>
                <xdr:col>3</xdr:col>
                <xdr:colOff>3429000</xdr:colOff>
                <xdr:row>85</xdr:row>
                <xdr:rowOff>30480</xdr:rowOff>
              </to>
            </anchor>
          </objectPr>
        </oleObject>
      </mc:Choice>
      <mc:Fallback>
        <oleObject progId="Equation.2" shapeId="19464" r:id="rId18"/>
      </mc:Fallback>
    </mc:AlternateContent>
    <mc:AlternateContent xmlns:mc="http://schemas.openxmlformats.org/markup-compatibility/2006">
      <mc:Choice Requires="x14">
        <oleObject progId="Equation.2" shapeId="19465" r:id="rId20">
          <objectPr defaultSize="0" autoLine="0" autoPict="0" r:id="rId21">
            <anchor moveWithCells="1">
              <from>
                <xdr:col>3</xdr:col>
                <xdr:colOff>60960</xdr:colOff>
                <xdr:row>86</xdr:row>
                <xdr:rowOff>7620</xdr:rowOff>
              </from>
              <to>
                <xdr:col>3</xdr:col>
                <xdr:colOff>975360</xdr:colOff>
                <xdr:row>86</xdr:row>
                <xdr:rowOff>190500</xdr:rowOff>
              </to>
            </anchor>
          </objectPr>
        </oleObject>
      </mc:Choice>
      <mc:Fallback>
        <oleObject progId="Equation.2" shapeId="19465" r:id="rId20"/>
      </mc:Fallback>
    </mc:AlternateContent>
    <mc:AlternateContent xmlns:mc="http://schemas.openxmlformats.org/markup-compatibility/2006">
      <mc:Choice Requires="x14">
        <oleObject progId="Equation.2" shapeId="19466" r:id="rId22">
          <objectPr defaultSize="0" autoLine="0" autoPict="0" r:id="rId23">
            <anchor moveWithCells="1">
              <from>
                <xdr:col>3</xdr:col>
                <xdr:colOff>45720</xdr:colOff>
                <xdr:row>87</xdr:row>
                <xdr:rowOff>30480</xdr:rowOff>
              </from>
              <to>
                <xdr:col>3</xdr:col>
                <xdr:colOff>838200</xdr:colOff>
                <xdr:row>87</xdr:row>
                <xdr:rowOff>190500</xdr:rowOff>
              </to>
            </anchor>
          </objectPr>
        </oleObject>
      </mc:Choice>
      <mc:Fallback>
        <oleObject progId="Equation.2" shapeId="19466" r:id="rId22"/>
      </mc:Fallback>
    </mc:AlternateContent>
    <mc:AlternateContent xmlns:mc="http://schemas.openxmlformats.org/markup-compatibility/2006">
      <mc:Choice Requires="x14">
        <oleObject progId="Equation.2" shapeId="19467" r:id="rId24">
          <objectPr defaultSize="0" autoLine="0" autoPict="0" r:id="rId25">
            <anchor moveWithCells="1">
              <from>
                <xdr:col>3</xdr:col>
                <xdr:colOff>76200</xdr:colOff>
                <xdr:row>88</xdr:row>
                <xdr:rowOff>7620</xdr:rowOff>
              </from>
              <to>
                <xdr:col>3</xdr:col>
                <xdr:colOff>769620</xdr:colOff>
                <xdr:row>88</xdr:row>
                <xdr:rowOff>182880</xdr:rowOff>
              </to>
            </anchor>
          </objectPr>
        </oleObject>
      </mc:Choice>
      <mc:Fallback>
        <oleObject progId="Equation.2" shapeId="19467" r:id="rId24"/>
      </mc:Fallback>
    </mc:AlternateContent>
    <mc:AlternateContent xmlns:mc="http://schemas.openxmlformats.org/markup-compatibility/2006">
      <mc:Choice Requires="x14">
        <oleObject progId="Equation.2" shapeId="19468" r:id="rId26">
          <objectPr defaultSize="0" autoLine="0" autoPict="0" r:id="rId27">
            <anchor moveWithCells="1">
              <from>
                <xdr:col>3</xdr:col>
                <xdr:colOff>563880</xdr:colOff>
                <xdr:row>143</xdr:row>
                <xdr:rowOff>30480</xdr:rowOff>
              </from>
              <to>
                <xdr:col>3</xdr:col>
                <xdr:colOff>2179320</xdr:colOff>
                <xdr:row>145</xdr:row>
                <xdr:rowOff>99060</xdr:rowOff>
              </to>
            </anchor>
          </objectPr>
        </oleObject>
      </mc:Choice>
      <mc:Fallback>
        <oleObject progId="Equation.2" shapeId="19468" r:id="rId26"/>
      </mc:Fallback>
    </mc:AlternateContent>
    <mc:AlternateContent xmlns:mc="http://schemas.openxmlformats.org/markup-compatibility/2006">
      <mc:Choice Requires="x14">
        <oleObject progId="Equation.2" shapeId="19469" r:id="rId28">
          <objectPr defaultSize="0" autoLine="0" autoPict="0" r:id="rId29">
            <anchor moveWithCells="1">
              <from>
                <xdr:col>3</xdr:col>
                <xdr:colOff>60960</xdr:colOff>
                <xdr:row>92</xdr:row>
                <xdr:rowOff>7620</xdr:rowOff>
              </from>
              <to>
                <xdr:col>3</xdr:col>
                <xdr:colOff>1280160</xdr:colOff>
                <xdr:row>93</xdr:row>
                <xdr:rowOff>0</xdr:rowOff>
              </to>
            </anchor>
          </objectPr>
        </oleObject>
      </mc:Choice>
      <mc:Fallback>
        <oleObject progId="Equation.2" shapeId="19469" r:id="rId28"/>
      </mc:Fallback>
    </mc:AlternateContent>
    <mc:AlternateContent xmlns:mc="http://schemas.openxmlformats.org/markup-compatibility/2006">
      <mc:Choice Requires="x14">
        <oleObject progId="Equation.2" shapeId="19470" r:id="rId30">
          <objectPr defaultSize="0" autoLine="0" autoPict="0" r:id="rId31">
            <anchor moveWithCells="1">
              <from>
                <xdr:col>3</xdr:col>
                <xdr:colOff>60960</xdr:colOff>
                <xdr:row>93</xdr:row>
                <xdr:rowOff>7620</xdr:rowOff>
              </from>
              <to>
                <xdr:col>3</xdr:col>
                <xdr:colOff>1264920</xdr:colOff>
                <xdr:row>94</xdr:row>
                <xdr:rowOff>0</xdr:rowOff>
              </to>
            </anchor>
          </objectPr>
        </oleObject>
      </mc:Choice>
      <mc:Fallback>
        <oleObject progId="Equation.2" shapeId="19470" r:id="rId30"/>
      </mc:Fallback>
    </mc:AlternateContent>
    <mc:AlternateContent xmlns:mc="http://schemas.openxmlformats.org/markup-compatibility/2006">
      <mc:Choice Requires="x14">
        <oleObject progId="Equation.2" shapeId="19471" r:id="rId32">
          <objectPr defaultSize="0" autoLine="0" autoPict="0" r:id="rId33">
            <anchor moveWithCells="1">
              <from>
                <xdr:col>3</xdr:col>
                <xdr:colOff>60960</xdr:colOff>
                <xdr:row>94</xdr:row>
                <xdr:rowOff>7620</xdr:rowOff>
              </from>
              <to>
                <xdr:col>3</xdr:col>
                <xdr:colOff>1287780</xdr:colOff>
                <xdr:row>95</xdr:row>
                <xdr:rowOff>0</xdr:rowOff>
              </to>
            </anchor>
          </objectPr>
        </oleObject>
      </mc:Choice>
      <mc:Fallback>
        <oleObject progId="Equation.2" shapeId="19471" r:id="rId32"/>
      </mc:Fallback>
    </mc:AlternateContent>
    <mc:AlternateContent xmlns:mc="http://schemas.openxmlformats.org/markup-compatibility/2006">
      <mc:Choice Requires="x14">
        <oleObject progId="Equation.2" shapeId="19472" r:id="rId34">
          <objectPr defaultSize="0" autoLine="0" autoPict="0" r:id="rId35">
            <anchor moveWithCells="1">
              <from>
                <xdr:col>3</xdr:col>
                <xdr:colOff>1440180</xdr:colOff>
                <xdr:row>94</xdr:row>
                <xdr:rowOff>45720</xdr:rowOff>
              </from>
              <to>
                <xdr:col>3</xdr:col>
                <xdr:colOff>2895600</xdr:colOff>
                <xdr:row>96</xdr:row>
                <xdr:rowOff>83820</xdr:rowOff>
              </to>
            </anchor>
          </objectPr>
        </oleObject>
      </mc:Choice>
      <mc:Fallback>
        <oleObject progId="Equation.2" shapeId="19472" r:id="rId34"/>
      </mc:Fallback>
    </mc:AlternateContent>
    <mc:AlternateContent xmlns:mc="http://schemas.openxmlformats.org/markup-compatibility/2006">
      <mc:Choice Requires="x14">
        <oleObject progId="Equation.2" shapeId="19473" r:id="rId36">
          <objectPr defaultSize="0" autoLine="0" autoPict="0" r:id="rId37">
            <anchor moveWithCells="1">
              <from>
                <xdr:col>3</xdr:col>
                <xdr:colOff>30480</xdr:colOff>
                <xdr:row>97</xdr:row>
                <xdr:rowOff>7620</xdr:rowOff>
              </from>
              <to>
                <xdr:col>3</xdr:col>
                <xdr:colOff>2583180</xdr:colOff>
                <xdr:row>98</xdr:row>
                <xdr:rowOff>0</xdr:rowOff>
              </to>
            </anchor>
          </objectPr>
        </oleObject>
      </mc:Choice>
      <mc:Fallback>
        <oleObject progId="Equation.2" shapeId="19473" r:id="rId36"/>
      </mc:Fallback>
    </mc:AlternateContent>
    <mc:AlternateContent xmlns:mc="http://schemas.openxmlformats.org/markup-compatibility/2006">
      <mc:Choice Requires="x14">
        <oleObject progId="Equation.2" shapeId="19474" r:id="rId38">
          <objectPr defaultSize="0" autoLine="0" autoPict="0" r:id="rId39">
            <anchor moveWithCells="1">
              <from>
                <xdr:col>3</xdr:col>
                <xdr:colOff>30480</xdr:colOff>
                <xdr:row>140</xdr:row>
                <xdr:rowOff>0</xdr:rowOff>
              </from>
              <to>
                <xdr:col>3</xdr:col>
                <xdr:colOff>2232660</xdr:colOff>
                <xdr:row>141</xdr:row>
                <xdr:rowOff>7620</xdr:rowOff>
              </to>
            </anchor>
          </objectPr>
        </oleObject>
      </mc:Choice>
      <mc:Fallback>
        <oleObject progId="Equation.2" shapeId="19474" r:id="rId38"/>
      </mc:Fallback>
    </mc:AlternateContent>
    <mc:AlternateContent xmlns:mc="http://schemas.openxmlformats.org/markup-compatibility/2006">
      <mc:Choice Requires="x14">
        <oleObject progId="Equation.2" shapeId="19477" r:id="rId40">
          <objectPr defaultSize="0" autoLine="0" autoPict="0" r:id="rId41">
            <anchor moveWithCells="1">
              <from>
                <xdr:col>3</xdr:col>
                <xdr:colOff>45720</xdr:colOff>
                <xdr:row>177</xdr:row>
                <xdr:rowOff>22860</xdr:rowOff>
              </from>
              <to>
                <xdr:col>3</xdr:col>
                <xdr:colOff>2125980</xdr:colOff>
                <xdr:row>178</xdr:row>
                <xdr:rowOff>0</xdr:rowOff>
              </to>
            </anchor>
          </objectPr>
        </oleObject>
      </mc:Choice>
      <mc:Fallback>
        <oleObject progId="Equation.2" shapeId="19477" r:id="rId40"/>
      </mc:Fallback>
    </mc:AlternateContent>
    <mc:AlternateContent xmlns:mc="http://schemas.openxmlformats.org/markup-compatibility/2006">
      <mc:Choice Requires="x14">
        <oleObject progId="Equation.2" shapeId="19478" r:id="rId42">
          <objectPr defaultSize="0" autoLine="0" r:id="rId43">
            <anchor moveWithCells="1">
              <from>
                <xdr:col>3</xdr:col>
                <xdr:colOff>60960</xdr:colOff>
                <xdr:row>177</xdr:row>
                <xdr:rowOff>182880</xdr:rowOff>
              </from>
              <to>
                <xdr:col>3</xdr:col>
                <xdr:colOff>2278380</xdr:colOff>
                <xdr:row>179</xdr:row>
                <xdr:rowOff>0</xdr:rowOff>
              </to>
            </anchor>
          </objectPr>
        </oleObject>
      </mc:Choice>
      <mc:Fallback>
        <oleObject progId="Equation.2" shapeId="19478" r:id="rId4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E76-83B5-4938-9DDC-5C5406D4E7DD}">
  <dimension ref="A1:AW127"/>
  <sheetViews>
    <sheetView tabSelected="1" topLeftCell="A34" zoomScaleNormal="100" workbookViewId="0">
      <selection activeCell="G45" sqref="G45"/>
    </sheetView>
  </sheetViews>
  <sheetFormatPr defaultColWidth="9.109375" defaultRowHeight="14.4" x14ac:dyDescent="0.3"/>
  <cols>
    <col min="1" max="1" width="65.5546875" style="92" bestFit="1" customWidth="1"/>
    <col min="2" max="2" width="11.6640625" style="107" bestFit="1" customWidth="1"/>
    <col min="3" max="3" width="2.6640625" style="92" customWidth="1"/>
    <col min="4" max="4" width="12.44140625" style="92" bestFit="1" customWidth="1"/>
    <col min="5" max="5" width="2.6640625" style="92" customWidth="1"/>
    <col min="6" max="6" width="68.44140625" style="92" bestFit="1" customWidth="1"/>
    <col min="7" max="7" width="9.109375" style="202"/>
    <col min="8" max="8" width="2.6640625" style="92" customWidth="1"/>
    <col min="9" max="9" width="6.77734375" style="92" customWidth="1"/>
    <col min="10" max="10" width="8.21875" style="92" bestFit="1" customWidth="1"/>
    <col min="11" max="11" width="2.6640625" style="92" customWidth="1"/>
    <col min="12" max="12" width="9.21875" style="92" customWidth="1"/>
    <col min="13" max="16" width="9.109375" style="92"/>
    <col min="17" max="17" width="13.6640625" style="101" bestFit="1" customWidth="1"/>
    <col min="18" max="18" width="9.6640625" style="101" customWidth="1"/>
    <col min="19" max="19" width="11" style="101" bestFit="1" customWidth="1"/>
    <col min="20" max="20" width="12.109375" style="101" bestFit="1" customWidth="1"/>
    <col min="21" max="21" width="8.6640625" style="101" bestFit="1" customWidth="1"/>
    <col min="22" max="22" width="8.109375" style="101" bestFit="1" customWidth="1"/>
    <col min="23" max="23" width="11.5546875" style="101" customWidth="1"/>
    <col min="24" max="25" width="11" style="101" customWidth="1"/>
    <col min="26" max="26" width="9.33203125" style="101" customWidth="1"/>
    <col min="27" max="28" width="9.88671875" style="92" bestFit="1" customWidth="1"/>
    <col min="29" max="29" width="9.109375" style="92"/>
    <col min="30" max="30" width="14.33203125" style="92" bestFit="1" customWidth="1"/>
    <col min="31" max="16384" width="9.109375" style="92"/>
  </cols>
  <sheetData>
    <row r="1" spans="1:26" x14ac:dyDescent="0.3">
      <c r="A1" s="180" t="s">
        <v>891</v>
      </c>
      <c r="F1" s="237" t="s">
        <v>574</v>
      </c>
    </row>
    <row r="3" spans="1:26" x14ac:dyDescent="0.3">
      <c r="A3" s="181" t="s">
        <v>480</v>
      </c>
      <c r="F3" s="181" t="s">
        <v>480</v>
      </c>
    </row>
    <row r="5" spans="1:26" ht="15.6" x14ac:dyDescent="0.35">
      <c r="A5" s="172" t="s">
        <v>572</v>
      </c>
      <c r="B5" s="234">
        <f>iohsrf2!B36</f>
        <v>620</v>
      </c>
      <c r="F5" s="204" t="s">
        <v>704</v>
      </c>
      <c r="G5" s="203">
        <f>iohsrf2!B13-B32</f>
        <v>114.39815504260594</v>
      </c>
      <c r="I5" s="5" t="s">
        <v>941</v>
      </c>
    </row>
    <row r="6" spans="1:26" ht="15.6" x14ac:dyDescent="0.35">
      <c r="A6" s="172" t="s">
        <v>573</v>
      </c>
      <c r="B6" s="234">
        <f>iohsrf2!B37</f>
        <v>580</v>
      </c>
      <c r="F6" s="204" t="s">
        <v>705</v>
      </c>
      <c r="G6" s="203">
        <f>B10</f>
        <v>128.14911897480707</v>
      </c>
      <c r="I6" s="5" t="s">
        <v>940</v>
      </c>
    </row>
    <row r="7" spans="1:26" ht="15.6" x14ac:dyDescent="0.35">
      <c r="A7" s="172" t="s">
        <v>593</v>
      </c>
      <c r="B7" s="234">
        <f>iohsrf2!B38</f>
        <v>622</v>
      </c>
      <c r="F7" s="204" t="s">
        <v>706</v>
      </c>
      <c r="G7" s="203">
        <f>iohsrf2!B37</f>
        <v>580</v>
      </c>
    </row>
    <row r="8" spans="1:26" ht="15.6" x14ac:dyDescent="0.35">
      <c r="A8" s="172" t="s">
        <v>592</v>
      </c>
      <c r="B8" s="234">
        <f>iohsrf2!B39</f>
        <v>4</v>
      </c>
      <c r="F8" s="204" t="s">
        <v>707</v>
      </c>
      <c r="G8" s="203">
        <v>2.4</v>
      </c>
      <c r="I8" s="5" t="s">
        <v>600</v>
      </c>
    </row>
    <row r="9" spans="1:26" x14ac:dyDescent="0.3">
      <c r="A9" s="172" t="s">
        <v>929</v>
      </c>
      <c r="B9" s="175">
        <f>hsrf2tunl!F36</f>
        <v>1</v>
      </c>
      <c r="D9" s="291"/>
      <c r="F9" s="204" t="s">
        <v>569</v>
      </c>
      <c r="G9" s="203">
        <f>B25</f>
        <v>566.49077521302968</v>
      </c>
    </row>
    <row r="10" spans="1:26" ht="15.6" x14ac:dyDescent="0.35">
      <c r="A10" s="172" t="s">
        <v>705</v>
      </c>
      <c r="B10" s="203">
        <f>hsrf2pwh!B17*hsrf2pwh!B10/B9</f>
        <v>128.14911897480707</v>
      </c>
      <c r="D10" s="5" t="s">
        <v>940</v>
      </c>
      <c r="F10" s="204" t="s">
        <v>568</v>
      </c>
      <c r="G10" s="203">
        <f>hsrf2pwh!B133</f>
        <v>549.3719368628399</v>
      </c>
      <c r="I10" s="5" t="s">
        <v>570</v>
      </c>
      <c r="M10" s="101"/>
      <c r="N10" s="101"/>
      <c r="O10" s="101"/>
      <c r="P10" s="101"/>
      <c r="T10" s="92"/>
      <c r="U10" s="92"/>
      <c r="V10" s="92"/>
      <c r="W10" s="92"/>
      <c r="X10" s="92"/>
      <c r="Y10" s="92"/>
      <c r="Z10" s="92"/>
    </row>
    <row r="11" spans="1:26" ht="15.6" x14ac:dyDescent="0.35">
      <c r="A11" s="174" t="s">
        <v>586</v>
      </c>
      <c r="B11" s="203">
        <f>G19</f>
        <v>53.395466239502944</v>
      </c>
      <c r="F11" s="204" t="s">
        <v>960</v>
      </c>
      <c r="G11" s="309">
        <f>(G9-G10)/G5</f>
        <v>0.14964260869254503</v>
      </c>
      <c r="I11" s="5"/>
    </row>
    <row r="12" spans="1:26" ht="15.6" x14ac:dyDescent="0.35">
      <c r="A12" s="172" t="s">
        <v>575</v>
      </c>
      <c r="B12" s="203">
        <v>0.8</v>
      </c>
      <c r="F12" s="204" t="s">
        <v>596</v>
      </c>
      <c r="G12" s="205">
        <v>3.5000000000000003E-2</v>
      </c>
      <c r="I12" s="5" t="s">
        <v>599</v>
      </c>
    </row>
    <row r="13" spans="1:26" ht="15.6" x14ac:dyDescent="0.35">
      <c r="F13" s="204" t="s">
        <v>598</v>
      </c>
      <c r="G13" s="205">
        <v>2.1999999999999999E-2</v>
      </c>
      <c r="I13" s="5" t="s">
        <v>599</v>
      </c>
    </row>
    <row r="14" spans="1:26" ht="15.6" x14ac:dyDescent="0.35">
      <c r="A14" s="182" t="s">
        <v>579</v>
      </c>
      <c r="F14" s="204" t="s">
        <v>597</v>
      </c>
      <c r="G14" s="205">
        <v>1.2E-2</v>
      </c>
      <c r="I14" s="5" t="s">
        <v>599</v>
      </c>
    </row>
    <row r="16" spans="1:26" ht="15.6" x14ac:dyDescent="0.35">
      <c r="A16" s="172" t="s">
        <v>708</v>
      </c>
      <c r="B16" s="203">
        <f>B10/B11</f>
        <v>2.4</v>
      </c>
      <c r="D16" s="5" t="s">
        <v>582</v>
      </c>
      <c r="F16" s="182" t="s">
        <v>580</v>
      </c>
    </row>
    <row r="17" spans="1:9" ht="16.8" x14ac:dyDescent="0.35">
      <c r="A17" s="172" t="s">
        <v>701</v>
      </c>
      <c r="B17" s="203">
        <f>B12*B16*G20^0.5</f>
        <v>5.339504302193788</v>
      </c>
    </row>
    <row r="18" spans="1:9" ht="15.6" x14ac:dyDescent="0.35">
      <c r="A18" s="174" t="s">
        <v>583</v>
      </c>
      <c r="B18" s="203">
        <f>B6-B17</f>
        <v>574.66049569780625</v>
      </c>
      <c r="F18" s="235" t="s">
        <v>577</v>
      </c>
      <c r="G18" s="205">
        <f>(G9-G10)/G5</f>
        <v>0.14964260869254503</v>
      </c>
      <c r="I18" s="5" t="s">
        <v>578</v>
      </c>
    </row>
    <row r="19" spans="1:9" ht="15.6" x14ac:dyDescent="0.35">
      <c r="A19" s="174" t="s">
        <v>696</v>
      </c>
      <c r="B19" s="203">
        <f>0.2*B16^2/2/9.81</f>
        <v>5.8715596330275219E-2</v>
      </c>
      <c r="F19" s="204" t="s">
        <v>566</v>
      </c>
      <c r="G19" s="203">
        <f>G6/G8</f>
        <v>53.395466239502944</v>
      </c>
    </row>
    <row r="20" spans="1:9" ht="15.6" x14ac:dyDescent="0.35">
      <c r="F20" s="204" t="s">
        <v>702</v>
      </c>
      <c r="G20" s="203">
        <f>(G19/0.8927)^0.5</f>
        <v>7.7339155254844769</v>
      </c>
    </row>
    <row r="21" spans="1:9" ht="16.8" x14ac:dyDescent="0.35">
      <c r="A21" s="183" t="s">
        <v>581</v>
      </c>
      <c r="F21" s="235" t="s">
        <v>703</v>
      </c>
      <c r="G21" s="203">
        <f>6.35*G5*G13^2*G8^2/(G19^0.5)^(4/3)</f>
        <v>0.14282064894771768</v>
      </c>
    </row>
    <row r="23" spans="1:9" ht="15.6" x14ac:dyDescent="0.35">
      <c r="A23" s="174" t="s">
        <v>584</v>
      </c>
      <c r="B23" s="203">
        <f>(B11*0.8)^0.5</f>
        <v>6.5357763878212936</v>
      </c>
      <c r="D23" s="5" t="s">
        <v>931</v>
      </c>
      <c r="F23" s="180" t="s">
        <v>601</v>
      </c>
    </row>
    <row r="24" spans="1:9" ht="15.6" x14ac:dyDescent="0.35">
      <c r="A24" s="174" t="s">
        <v>585</v>
      </c>
      <c r="B24" s="203">
        <f>B11/B23</f>
        <v>8.1697204847766169</v>
      </c>
    </row>
    <row r="25" spans="1:9" ht="15.6" x14ac:dyDescent="0.35">
      <c r="A25" s="174" t="s">
        <v>576</v>
      </c>
      <c r="B25" s="203">
        <f>B18-B24</f>
        <v>566.49077521302968</v>
      </c>
      <c r="F25" s="181" t="s">
        <v>480</v>
      </c>
    </row>
    <row r="26" spans="1:9" x14ac:dyDescent="0.3">
      <c r="A26" s="294" t="s">
        <v>628</v>
      </c>
      <c r="B26" s="197">
        <v>5</v>
      </c>
    </row>
    <row r="27" spans="1:9" ht="15.6" x14ac:dyDescent="0.35">
      <c r="A27" s="172" t="s">
        <v>587</v>
      </c>
      <c r="B27" s="236">
        <f>TRUNC(B23/B26)+1</f>
        <v>2</v>
      </c>
      <c r="F27" s="174" t="s">
        <v>707</v>
      </c>
      <c r="G27" s="203">
        <f>G8</f>
        <v>2.4</v>
      </c>
    </row>
    <row r="28" spans="1:9" ht="15.6" x14ac:dyDescent="0.35">
      <c r="F28" s="174" t="s">
        <v>704</v>
      </c>
      <c r="G28" s="203">
        <f>G5</f>
        <v>114.39815504260594</v>
      </c>
    </row>
    <row r="29" spans="1:9" ht="15.6" x14ac:dyDescent="0.35">
      <c r="A29" s="172" t="s">
        <v>588</v>
      </c>
      <c r="B29" s="203">
        <f>B7-B25+2.5</f>
        <v>58.009224786970321</v>
      </c>
      <c r="F29" s="204" t="s">
        <v>566</v>
      </c>
      <c r="G29" s="203">
        <f>G19</f>
        <v>53.395466239502944</v>
      </c>
    </row>
    <row r="30" spans="1:9" ht="15.6" x14ac:dyDescent="0.35">
      <c r="A30" s="174" t="s">
        <v>589</v>
      </c>
      <c r="B30" s="203">
        <f>1.2*B23+1.2</f>
        <v>9.0429316653855523</v>
      </c>
      <c r="F30" s="174" t="s">
        <v>571</v>
      </c>
      <c r="G30" s="203">
        <f>G20</f>
        <v>7.7339155254844769</v>
      </c>
    </row>
    <row r="31" spans="1:9" ht="15.6" x14ac:dyDescent="0.35">
      <c r="A31" s="174" t="s">
        <v>590</v>
      </c>
      <c r="B31" s="203">
        <f>B27*B30+2*2</f>
        <v>22.085863330771105</v>
      </c>
      <c r="F31" s="174" t="s">
        <v>611</v>
      </c>
      <c r="G31" s="203">
        <f>B19</f>
        <v>5.8715596330275219E-2</v>
      </c>
    </row>
    <row r="32" spans="1:9" ht="15.6" x14ac:dyDescent="0.35">
      <c r="A32" s="174" t="s">
        <v>591</v>
      </c>
      <c r="B32" s="203">
        <f>0.2*B29+B8</f>
        <v>15.601844957394064</v>
      </c>
      <c r="F32" s="174" t="s">
        <v>595</v>
      </c>
      <c r="G32" s="203">
        <f>G21</f>
        <v>0.14282064894771768</v>
      </c>
    </row>
    <row r="33" spans="1:49" ht="16.8" x14ac:dyDescent="0.35">
      <c r="F33" s="307" t="s">
        <v>959</v>
      </c>
      <c r="G33" s="308">
        <f>0.85*G8^2/(2*9.81)</f>
        <v>0.24954128440366971</v>
      </c>
    </row>
    <row r="34" spans="1:49" ht="15.6" x14ac:dyDescent="0.35">
      <c r="A34" s="183" t="s">
        <v>693</v>
      </c>
      <c r="D34" s="5" t="s">
        <v>809</v>
      </c>
      <c r="F34" s="174" t="s">
        <v>572</v>
      </c>
      <c r="G34" s="203">
        <f>B5</f>
        <v>620</v>
      </c>
      <c r="S34" s="194"/>
    </row>
    <row r="35" spans="1:49" ht="15.6" x14ac:dyDescent="0.35">
      <c r="D35" s="5" t="s">
        <v>810</v>
      </c>
      <c r="F35" s="174" t="s">
        <v>573</v>
      </c>
      <c r="G35" s="203">
        <f>B6</f>
        <v>580</v>
      </c>
    </row>
    <row r="36" spans="1:49" x14ac:dyDescent="0.3">
      <c r="A36" s="184" t="s">
        <v>694</v>
      </c>
      <c r="B36" s="171"/>
      <c r="D36" s="5" t="s">
        <v>594</v>
      </c>
      <c r="F36" s="174" t="s">
        <v>512</v>
      </c>
      <c r="G36" s="203">
        <f>hsrf2pwh!B36</f>
        <v>555.44559314059779</v>
      </c>
      <c r="S36" s="194"/>
    </row>
    <row r="37" spans="1:49" ht="15.6" x14ac:dyDescent="0.35">
      <c r="A37" s="107"/>
      <c r="B37" s="171"/>
      <c r="D37" s="5" t="s">
        <v>811</v>
      </c>
      <c r="F37" s="174" t="s">
        <v>576</v>
      </c>
      <c r="G37" s="203">
        <f>B25</f>
        <v>566.49077521302968</v>
      </c>
    </row>
    <row r="38" spans="1:49" x14ac:dyDescent="0.3">
      <c r="A38" s="185" t="s">
        <v>412</v>
      </c>
      <c r="B38" s="186"/>
      <c r="D38" s="5"/>
      <c r="Q38" s="92"/>
      <c r="R38" s="92"/>
      <c r="S38" s="92"/>
      <c r="T38" s="92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</row>
    <row r="39" spans="1:49" x14ac:dyDescent="0.3">
      <c r="A39" s="187" t="s">
        <v>523</v>
      </c>
      <c r="B39" s="188">
        <f>B5</f>
        <v>620</v>
      </c>
      <c r="D39" s="5"/>
      <c r="F39" s="182" t="s">
        <v>580</v>
      </c>
      <c r="Q39" s="92"/>
      <c r="R39" s="92"/>
      <c r="S39" s="92"/>
      <c r="T39" s="92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</row>
    <row r="40" spans="1:49" x14ac:dyDescent="0.3">
      <c r="A40" s="187" t="s">
        <v>524</v>
      </c>
      <c r="B40" s="188"/>
      <c r="D40" s="5"/>
      <c r="Q40" s="92"/>
      <c r="R40" s="92"/>
      <c r="S40" s="92"/>
      <c r="T40" s="92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</row>
    <row r="41" spans="1:49" x14ac:dyDescent="0.3">
      <c r="A41" s="187" t="s">
        <v>525</v>
      </c>
      <c r="B41" s="188">
        <f>B7</f>
        <v>622</v>
      </c>
      <c r="D41" s="5"/>
      <c r="F41" s="172" t="s">
        <v>607</v>
      </c>
      <c r="G41" s="175" t="str">
        <f>IF(AND(iohsrf2!B4&gt;=100,(G5/(G34-G10))&gt;6),"sim",IF(AND(iohsrf2!B4&lt;100,G5/(G34-G10)&gt;4),"sim", "nao"))</f>
        <v>nao</v>
      </c>
      <c r="Q41" s="92"/>
      <c r="R41" s="92"/>
      <c r="S41" s="92"/>
      <c r="T41" s="92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</row>
    <row r="42" spans="1:49" x14ac:dyDescent="0.3">
      <c r="A42" s="187" t="s">
        <v>526</v>
      </c>
      <c r="B42" s="188"/>
      <c r="D42" s="5"/>
      <c r="F42" s="172" t="s">
        <v>961</v>
      </c>
      <c r="G42" s="173">
        <f>hsrf2rout!E73</f>
        <v>609.8454136435289</v>
      </c>
      <c r="Q42" s="92"/>
      <c r="R42" s="92"/>
      <c r="S42" s="92"/>
      <c r="T42" s="92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</row>
    <row r="43" spans="1:49" x14ac:dyDescent="0.3">
      <c r="A43" s="187" t="s">
        <v>527</v>
      </c>
      <c r="B43" s="188">
        <f>B25</f>
        <v>566.49077521302968</v>
      </c>
      <c r="D43" s="5"/>
      <c r="F43" s="307" t="s">
        <v>962</v>
      </c>
      <c r="G43" s="203">
        <f>G10+G30</f>
        <v>557.10585238832437</v>
      </c>
      <c r="Q43" s="92"/>
      <c r="R43" s="92"/>
      <c r="S43" s="92"/>
      <c r="T43" s="92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</row>
    <row r="44" spans="1:49" ht="15.6" x14ac:dyDescent="0.35">
      <c r="A44" s="185" t="s">
        <v>414</v>
      </c>
      <c r="B44" s="189"/>
      <c r="D44" s="5"/>
      <c r="F44" s="172" t="s">
        <v>602</v>
      </c>
      <c r="G44" s="203">
        <f>G31/0.2*(G28*G29/(((G35-G36)-G31-G32-G33)*(G31+G32+G33)))</f>
        <v>164.93721449701741</v>
      </c>
      <c r="J44" s="5"/>
      <c r="Q44" s="92"/>
      <c r="R44" s="92"/>
      <c r="S44" s="92"/>
      <c r="T44" s="92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</row>
    <row r="45" spans="1:49" ht="15.6" x14ac:dyDescent="0.35">
      <c r="A45" s="187" t="s">
        <v>818</v>
      </c>
      <c r="B45" s="188">
        <f>B23</f>
        <v>6.5357763878212936</v>
      </c>
      <c r="D45" s="5"/>
      <c r="F45" s="174" t="s">
        <v>603</v>
      </c>
      <c r="G45" s="203">
        <f>IF(G41="nao",0,ROUND(SQRT(4*G44/PI()),2))</f>
        <v>0</v>
      </c>
      <c r="O45" s="5"/>
      <c r="Q45" s="92"/>
      <c r="R45" s="92"/>
      <c r="S45" s="92"/>
      <c r="T45" s="92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</row>
    <row r="46" spans="1:49" ht="15.6" x14ac:dyDescent="0.35">
      <c r="A46" s="187" t="s">
        <v>817</v>
      </c>
      <c r="B46" s="188">
        <f>B24</f>
        <v>8.1697204847766169</v>
      </c>
      <c r="C46" s="5"/>
      <c r="D46" s="5"/>
      <c r="F46" s="174" t="s">
        <v>604</v>
      </c>
      <c r="G46" s="203">
        <f>IF(G41="nao",0,G27*SQRT(G28*G29/(9.81*G42)))</f>
        <v>0</v>
      </c>
      <c r="M46" s="5"/>
      <c r="N46" s="5"/>
      <c r="O46" s="202"/>
      <c r="Q46" s="92"/>
      <c r="R46" s="92"/>
      <c r="S46" s="92"/>
      <c r="T46" s="92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</row>
    <row r="47" spans="1:49" ht="15.6" x14ac:dyDescent="0.35">
      <c r="A47" s="5"/>
      <c r="B47" s="5"/>
      <c r="C47" s="5"/>
      <c r="D47" s="5"/>
      <c r="E47" s="107"/>
      <c r="F47" s="174" t="s">
        <v>605</v>
      </c>
      <c r="G47" s="203">
        <f>IF(G41="nao",0,G34-2/3*(G31+G32)+G46)</f>
        <v>0</v>
      </c>
      <c r="K47" s="5"/>
      <c r="M47" s="202"/>
      <c r="N47" s="202"/>
      <c r="Q47" s="92"/>
      <c r="R47" s="92"/>
      <c r="S47" s="92"/>
      <c r="T47" s="92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</row>
    <row r="48" spans="1:49" ht="16.8" x14ac:dyDescent="0.35">
      <c r="A48" s="185" t="s">
        <v>819</v>
      </c>
      <c r="B48" s="256">
        <f>B45^2*B46*(B39-B43)/1000</f>
        <v>18.673693543159693</v>
      </c>
      <c r="D48" s="5"/>
      <c r="E48" s="107"/>
      <c r="F48" s="174" t="s">
        <v>614</v>
      </c>
      <c r="G48" s="203">
        <f>IF(G41="nao",0,G35+2*(G31+G32)-G46)</f>
        <v>0</v>
      </c>
      <c r="M48" s="170"/>
      <c r="O48" s="202"/>
      <c r="Q48" s="92"/>
      <c r="R48" s="92"/>
      <c r="S48" s="92"/>
      <c r="T48" s="92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</row>
    <row r="49" spans="1:48" ht="15.6" x14ac:dyDescent="0.35">
      <c r="A49" s="107"/>
      <c r="B49" s="171"/>
      <c r="D49" s="5"/>
      <c r="E49" s="107"/>
      <c r="F49" s="174" t="s">
        <v>684</v>
      </c>
      <c r="G49" s="203">
        <f>IF(G41="nao",0,IF(G43&gt;G48-2,G43+1,G48-2))</f>
        <v>0</v>
      </c>
      <c r="M49" s="202"/>
      <c r="N49" s="202"/>
      <c r="O49" s="202"/>
      <c r="Q49" s="92"/>
      <c r="R49" s="92"/>
      <c r="S49" s="92"/>
      <c r="T49" s="92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</row>
    <row r="50" spans="1:48" x14ac:dyDescent="0.3">
      <c r="A50" s="185" t="s">
        <v>820</v>
      </c>
      <c r="B50" s="258"/>
      <c r="D50" s="5"/>
      <c r="E50" s="107"/>
      <c r="L50" s="202"/>
      <c r="M50" s="202"/>
      <c r="N50" s="202"/>
      <c r="Q50" s="92"/>
      <c r="R50" s="92"/>
      <c r="S50" s="92"/>
      <c r="T50" s="92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</row>
    <row r="51" spans="1:48" x14ac:dyDescent="0.3">
      <c r="A51" s="187" t="s">
        <v>826</v>
      </c>
      <c r="B51" s="267">
        <f>2*B27*(B29-1)*2084.8</f>
        <v>475411.32734350296</v>
      </c>
      <c r="D51" s="5"/>
      <c r="L51" s="202"/>
      <c r="Q51" s="92"/>
      <c r="R51" s="92"/>
      <c r="S51" s="92"/>
      <c r="T51" s="92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</row>
    <row r="52" spans="1:48" x14ac:dyDescent="0.3">
      <c r="A52" s="107"/>
      <c r="B52" s="171"/>
      <c r="D52" s="5"/>
      <c r="Q52" s="92"/>
      <c r="R52" s="92"/>
      <c r="S52" s="92"/>
      <c r="T52" s="92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</row>
    <row r="53" spans="1:48" x14ac:dyDescent="0.3">
      <c r="A53" s="185" t="s">
        <v>616</v>
      </c>
      <c r="B53" s="171"/>
      <c r="D53" s="5"/>
      <c r="Q53" s="92"/>
      <c r="R53" s="92"/>
      <c r="S53" s="92"/>
      <c r="T53" s="92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</row>
    <row r="54" spans="1:48" x14ac:dyDescent="0.3">
      <c r="A54" s="185" t="s">
        <v>546</v>
      </c>
      <c r="B54" s="176">
        <f>B27</f>
        <v>2</v>
      </c>
      <c r="D54" s="5" t="s">
        <v>936</v>
      </c>
      <c r="Q54" s="92"/>
      <c r="R54" s="92"/>
      <c r="S54" s="92"/>
      <c r="T54" s="92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</row>
    <row r="55" spans="1:48" x14ac:dyDescent="0.3">
      <c r="A55" s="185" t="s">
        <v>531</v>
      </c>
      <c r="B55" s="189"/>
      <c r="D55" s="5"/>
      <c r="Q55" s="92"/>
      <c r="R55" s="92"/>
      <c r="S55" s="92"/>
      <c r="T55" s="92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</row>
    <row r="56" spans="1:48" x14ac:dyDescent="0.3">
      <c r="A56" s="187" t="s">
        <v>533</v>
      </c>
      <c r="B56" s="188"/>
      <c r="D56" s="5"/>
      <c r="Q56" s="92"/>
      <c r="R56" s="92"/>
      <c r="S56" s="92"/>
      <c r="T56" s="92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</row>
    <row r="57" spans="1:48" x14ac:dyDescent="0.3">
      <c r="A57" s="187" t="s">
        <v>534</v>
      </c>
      <c r="B57" s="188">
        <f>((2*B59)+1)</f>
        <v>17.639440969553235</v>
      </c>
      <c r="D57" s="5"/>
      <c r="Q57" s="92"/>
      <c r="R57" s="92"/>
      <c r="S57" s="92"/>
      <c r="T57" s="92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</row>
    <row r="58" spans="1:48" x14ac:dyDescent="0.3">
      <c r="A58" s="185" t="s">
        <v>535</v>
      </c>
      <c r="B58" s="189"/>
      <c r="D58" s="5"/>
      <c r="Q58" s="92"/>
      <c r="R58" s="92"/>
      <c r="S58" s="92"/>
      <c r="T58" s="92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</row>
    <row r="59" spans="1:48" x14ac:dyDescent="0.3">
      <c r="A59" s="187" t="s">
        <v>618</v>
      </c>
      <c r="B59" s="188">
        <f>B46+0.15</f>
        <v>8.3197204847766173</v>
      </c>
      <c r="D59" s="5"/>
      <c r="Q59" s="92"/>
      <c r="R59" s="92"/>
      <c r="S59" s="92"/>
      <c r="T59" s="92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</row>
    <row r="60" spans="1:48" x14ac:dyDescent="0.3">
      <c r="A60" s="187" t="s">
        <v>619</v>
      </c>
      <c r="B60" s="188"/>
      <c r="D60" s="5"/>
      <c r="Q60" s="92"/>
      <c r="R60" s="92"/>
      <c r="S60" s="92"/>
      <c r="T60" s="92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</row>
    <row r="61" spans="1:48" x14ac:dyDescent="0.3">
      <c r="A61" s="187" t="s">
        <v>620</v>
      </c>
      <c r="B61" s="188">
        <f>B39-B43</f>
        <v>53.509224786970321</v>
      </c>
      <c r="D61" s="5"/>
      <c r="Q61" s="92"/>
      <c r="R61" s="92"/>
      <c r="S61" s="92"/>
      <c r="T61" s="92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</row>
    <row r="62" spans="1:48" x14ac:dyDescent="0.3">
      <c r="A62" s="185" t="s">
        <v>536</v>
      </c>
      <c r="B62" s="189"/>
      <c r="D62" s="5"/>
      <c r="Q62" s="92"/>
      <c r="R62" s="92"/>
      <c r="S62" s="92"/>
      <c r="T62" s="92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</row>
    <row r="63" spans="1:48" x14ac:dyDescent="0.3">
      <c r="A63" s="187" t="s">
        <v>621</v>
      </c>
      <c r="B63" s="188">
        <f>B45+0.6</f>
        <v>7.1357763878212932</v>
      </c>
      <c r="D63" s="5"/>
      <c r="Q63" s="92"/>
      <c r="R63" s="92"/>
      <c r="S63" s="92"/>
      <c r="T63" s="92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</row>
    <row r="64" spans="1:48" x14ac:dyDescent="0.3">
      <c r="A64" s="185" t="s">
        <v>413</v>
      </c>
      <c r="B64" s="189"/>
      <c r="D64" s="5"/>
      <c r="Q64" s="92"/>
      <c r="R64" s="92"/>
      <c r="S64" s="92"/>
      <c r="T64" s="92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</row>
    <row r="65" spans="1:48" x14ac:dyDescent="0.3">
      <c r="A65" s="187" t="s">
        <v>622</v>
      </c>
      <c r="B65" s="188">
        <f>((100*((2*B63)+(B57)))+(((B61)^2)*(B63^2)*B59*0.0125))/(1000)</f>
        <v>18.353170565183454</v>
      </c>
      <c r="D65" s="5"/>
      <c r="Q65" s="92"/>
      <c r="R65" s="92"/>
      <c r="S65" s="92"/>
      <c r="T65" s="92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</row>
    <row r="66" spans="1:48" x14ac:dyDescent="0.3">
      <c r="A66" s="187" t="s">
        <v>623</v>
      </c>
      <c r="B66" s="188">
        <f>(((((B45)^2)*B59*(B61))^0.7)*0.1019*0.706)</f>
        <v>71.182153131325521</v>
      </c>
      <c r="D66" s="281">
        <f>0.913*(B69*1000)^0.669/10</f>
        <v>65.754245616412433</v>
      </c>
      <c r="Q66" s="92"/>
      <c r="R66" s="92"/>
      <c r="S66" s="92"/>
      <c r="T66" s="92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</row>
    <row r="67" spans="1:48" x14ac:dyDescent="0.3">
      <c r="A67" s="185" t="s">
        <v>820</v>
      </c>
      <c r="B67" s="258"/>
      <c r="Q67" s="92"/>
      <c r="R67" s="92"/>
      <c r="S67" s="92"/>
      <c r="T67" s="92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</row>
    <row r="68" spans="1:48" x14ac:dyDescent="0.3">
      <c r="A68" s="187" t="s">
        <v>823</v>
      </c>
      <c r="B68" s="259">
        <f>ROUND(0.4999999+B48/125.39,0)</f>
        <v>1</v>
      </c>
      <c r="D68" s="138"/>
      <c r="Q68" s="92"/>
      <c r="R68" s="92"/>
      <c r="S68" s="92"/>
      <c r="T68" s="92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</row>
    <row r="69" spans="1:48" ht="16.8" x14ac:dyDescent="0.35">
      <c r="A69" s="187" t="s">
        <v>821</v>
      </c>
      <c r="B69" s="256">
        <f>B48/B68</f>
        <v>18.673693543159693</v>
      </c>
      <c r="D69" s="138"/>
      <c r="Q69" s="92"/>
      <c r="R69" s="92"/>
      <c r="S69" s="92"/>
      <c r="T69" s="92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</row>
    <row r="70" spans="1:48" x14ac:dyDescent="0.3">
      <c r="A70" s="187" t="s">
        <v>822</v>
      </c>
      <c r="B70" s="188">
        <f>IF(AND(B69&gt;=0,B69&lt;=125.39),(IF(B69&lt;=9.17,(-4.3986*B69^2+124.79*B69+110.2)*1000,(-0.128*B69^2+57.311*B69+369.83)*1000) ),"O parametro z esta fora da validade da curva.")*B68</f>
        <v>1395403.5763424132</v>
      </c>
      <c r="D70" s="138"/>
      <c r="Q70" s="92"/>
      <c r="R70" s="92"/>
      <c r="S70" s="92"/>
      <c r="T70" s="92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</row>
    <row r="71" spans="1:48" x14ac:dyDescent="0.3">
      <c r="B71" s="171"/>
      <c r="D71" s="5"/>
      <c r="Q71" s="92"/>
      <c r="R71" s="92"/>
      <c r="S71" s="92"/>
      <c r="T71" s="92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</row>
    <row r="72" spans="1:48" x14ac:dyDescent="0.3">
      <c r="A72" s="185" t="s">
        <v>522</v>
      </c>
      <c r="B72" s="177"/>
      <c r="D72" s="5"/>
      <c r="Q72" s="92"/>
      <c r="R72" s="92"/>
      <c r="S72" s="92"/>
      <c r="T72" s="92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</row>
    <row r="73" spans="1:48" x14ac:dyDescent="0.3">
      <c r="A73" s="185" t="s">
        <v>546</v>
      </c>
      <c r="B73" s="259">
        <f>B9</f>
        <v>1</v>
      </c>
      <c r="D73" s="5" t="s">
        <v>936</v>
      </c>
      <c r="Q73" s="92"/>
      <c r="R73" s="92"/>
      <c r="S73" s="92"/>
      <c r="T73" s="92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</row>
    <row r="74" spans="1:48" x14ac:dyDescent="0.3">
      <c r="A74" s="185" t="s">
        <v>532</v>
      </c>
      <c r="B74" s="188">
        <v>2</v>
      </c>
      <c r="D74" s="5"/>
      <c r="Q74" s="92"/>
      <c r="R74" s="92"/>
      <c r="S74" s="92"/>
      <c r="T74" s="92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</row>
    <row r="75" spans="1:48" x14ac:dyDescent="0.3">
      <c r="A75" s="185" t="s">
        <v>529</v>
      </c>
      <c r="B75" s="188">
        <f>TRUNC(B46/B74)+1</f>
        <v>5</v>
      </c>
      <c r="D75" s="5"/>
      <c r="Q75" s="92"/>
      <c r="R75" s="92"/>
      <c r="S75" s="92"/>
      <c r="T75" s="92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</row>
    <row r="76" spans="1:48" x14ac:dyDescent="0.3">
      <c r="A76" s="185" t="s">
        <v>531</v>
      </c>
      <c r="B76" s="189"/>
      <c r="D76" s="5"/>
      <c r="Q76" s="92"/>
      <c r="R76" s="92"/>
      <c r="S76" s="92"/>
      <c r="T76" s="92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</row>
    <row r="77" spans="1:48" x14ac:dyDescent="0.3">
      <c r="A77" s="187" t="s">
        <v>533</v>
      </c>
      <c r="B77" s="188"/>
      <c r="D77" s="5"/>
      <c r="Q77" s="92"/>
      <c r="R77" s="92"/>
      <c r="S77" s="92"/>
      <c r="T77" s="92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</row>
    <row r="78" spans="1:48" x14ac:dyDescent="0.3">
      <c r="A78" s="187" t="s">
        <v>534</v>
      </c>
      <c r="B78" s="188">
        <f>B41-B43-1.5</f>
        <v>54.009224786970321</v>
      </c>
      <c r="D78" s="5"/>
      <c r="Q78" s="92"/>
      <c r="R78" s="92"/>
      <c r="S78" s="92"/>
      <c r="T78" s="92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</row>
    <row r="79" spans="1:48" x14ac:dyDescent="0.3">
      <c r="A79" s="185" t="s">
        <v>535</v>
      </c>
      <c r="B79" s="189"/>
      <c r="D79" s="5"/>
      <c r="Q79" s="92"/>
      <c r="R79" s="92"/>
      <c r="S79" s="92"/>
      <c r="T79" s="92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</row>
    <row r="80" spans="1:48" x14ac:dyDescent="0.3">
      <c r="A80" s="187" t="s">
        <v>618</v>
      </c>
      <c r="B80" s="188">
        <f>B46+0.15</f>
        <v>8.3197204847766173</v>
      </c>
      <c r="D80" s="5"/>
      <c r="Q80" s="92"/>
      <c r="R80" s="92"/>
      <c r="S80" s="92"/>
      <c r="T80" s="92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</row>
    <row r="81" spans="1:48" x14ac:dyDescent="0.3">
      <c r="A81" s="187" t="s">
        <v>619</v>
      </c>
      <c r="B81" s="188">
        <f>B82-B80/2</f>
        <v>49.349364544582016</v>
      </c>
      <c r="D81" s="5"/>
      <c r="Q81" s="92"/>
      <c r="R81" s="92"/>
      <c r="S81" s="92"/>
      <c r="T81" s="92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</row>
    <row r="82" spans="1:48" x14ac:dyDescent="0.3">
      <c r="A82" s="187" t="s">
        <v>620</v>
      </c>
      <c r="B82" s="188">
        <f>B39-B43</f>
        <v>53.509224786970321</v>
      </c>
      <c r="D82" s="5"/>
      <c r="P82" s="192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</row>
    <row r="83" spans="1:48" x14ac:dyDescent="0.3">
      <c r="A83" s="185" t="s">
        <v>536</v>
      </c>
      <c r="B83" s="189"/>
      <c r="D83" s="5"/>
      <c r="M83" s="192"/>
      <c r="N83" s="192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</row>
    <row r="84" spans="1:48" x14ac:dyDescent="0.3">
      <c r="A84" s="187" t="s">
        <v>621</v>
      </c>
      <c r="B84" s="188">
        <f>(B45+0.4)</f>
        <v>6.9357763878212939</v>
      </c>
      <c r="D84" s="5"/>
      <c r="J84" s="151"/>
      <c r="N84" s="192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</row>
    <row r="85" spans="1:48" x14ac:dyDescent="0.3">
      <c r="A85" s="185" t="s">
        <v>413</v>
      </c>
      <c r="B85" s="189"/>
      <c r="D85" s="5"/>
      <c r="J85" s="151"/>
      <c r="L85" s="192" t="s">
        <v>415</v>
      </c>
      <c r="N85" s="194"/>
      <c r="O85" s="192" t="s">
        <v>416</v>
      </c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</row>
    <row r="86" spans="1:48" x14ac:dyDescent="0.3">
      <c r="A86" s="187" t="s">
        <v>622</v>
      </c>
      <c r="B86" s="188">
        <f>((100*((2*B84)+(B78)))+(((B82)^2)*(B84^2)*B80*0.005))/(1000)</f>
        <v>12.51770309275938</v>
      </c>
      <c r="D86" s="5"/>
      <c r="J86" s="151"/>
      <c r="L86" s="192" t="s">
        <v>417</v>
      </c>
      <c r="M86" s="192" t="s">
        <v>413</v>
      </c>
      <c r="N86" s="299"/>
      <c r="O86" s="192" t="s">
        <v>7</v>
      </c>
      <c r="P86" s="192" t="s">
        <v>413</v>
      </c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</row>
    <row r="87" spans="1:48" x14ac:dyDescent="0.3">
      <c r="A87" s="187" t="s">
        <v>623</v>
      </c>
      <c r="B87" s="188">
        <f>((B80*B84/1000)*(((B81^0.5)*30.074)+((19.989+(1.113*B81))*B84)))</f>
        <v>42.173326986844486</v>
      </c>
      <c r="D87" s="281">
        <f>0.503*(B91*1000)^0.716/10</f>
        <v>57.51337157750261</v>
      </c>
      <c r="J87" s="151"/>
      <c r="L87" s="194" t="s">
        <v>419</v>
      </c>
      <c r="M87" s="194" t="s">
        <v>42</v>
      </c>
      <c r="N87" s="299"/>
      <c r="O87" s="194" t="s">
        <v>419</v>
      </c>
      <c r="P87" s="194" t="s">
        <v>42</v>
      </c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</row>
    <row r="88" spans="1:48" x14ac:dyDescent="0.3">
      <c r="A88" s="187" t="s">
        <v>624</v>
      </c>
      <c r="B88" s="188">
        <f>B87/B75</f>
        <v>8.4346653973688976</v>
      </c>
      <c r="D88" s="5"/>
      <c r="J88" s="151"/>
      <c r="L88" s="178">
        <v>5</v>
      </c>
      <c r="M88" s="179">
        <f>8.053996037+0.500809115*B88</f>
        <v>12.27815334997744</v>
      </c>
      <c r="N88" s="299"/>
      <c r="O88" s="300">
        <v>5</v>
      </c>
      <c r="P88" s="301">
        <f>-0.018874907+0.250814212*B88</f>
        <v>2.0966590481247471</v>
      </c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</row>
    <row r="89" spans="1:48" x14ac:dyDescent="0.3">
      <c r="A89" s="185" t="s">
        <v>820</v>
      </c>
      <c r="B89" s="258"/>
      <c r="D89" s="5"/>
      <c r="J89" s="151"/>
      <c r="L89" s="178">
        <v>10</v>
      </c>
      <c r="M89" s="179">
        <f>5.60006605+0.569848085*B88</f>
        <v>10.40654397430643</v>
      </c>
      <c r="N89" s="299"/>
      <c r="O89" s="300">
        <v>6</v>
      </c>
      <c r="P89" s="301">
        <f>-0.165278806+0.300675426*B88</f>
        <v>2.3708178055213529</v>
      </c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</row>
    <row r="90" spans="1:48" x14ac:dyDescent="0.3">
      <c r="A90" s="187" t="s">
        <v>823</v>
      </c>
      <c r="B90" s="259">
        <f>ROUND(0.4999999+B48/54.43,0)</f>
        <v>1</v>
      </c>
      <c r="D90" s="138"/>
      <c r="J90" s="151"/>
      <c r="L90" s="178">
        <v>15</v>
      </c>
      <c r="M90" s="179">
        <f>7.432298547+0.630713342*B88</f>
        <v>12.752154548426295</v>
      </c>
      <c r="N90" s="299"/>
      <c r="O90" s="300">
        <v>7</v>
      </c>
      <c r="P90" s="301">
        <f>-0.143628177+0.35121065*B88</f>
        <v>2.8187161397424387</v>
      </c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</row>
    <row r="91" spans="1:48" ht="16.8" x14ac:dyDescent="0.35">
      <c r="A91" s="187" t="s">
        <v>821</v>
      </c>
      <c r="B91" s="256">
        <f>B48/B90</f>
        <v>18.673693543159693</v>
      </c>
      <c r="D91" s="138"/>
      <c r="J91" s="151"/>
      <c r="L91" s="178">
        <v>20</v>
      </c>
      <c r="M91" s="179">
        <f>8.307959049+0.691964188*B88</f>
        <v>14.144445441742068</v>
      </c>
      <c r="N91" s="299"/>
      <c r="O91" s="300">
        <v>8</v>
      </c>
      <c r="P91" s="301">
        <f>-0.4215396+0.401517395*B88</f>
        <v>2.9651252780481996</v>
      </c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</row>
    <row r="92" spans="1:48" x14ac:dyDescent="0.3">
      <c r="A92" s="187" t="s">
        <v>822</v>
      </c>
      <c r="B92" s="188">
        <f>IF(AND(B91&gt;=0,B91&lt;=54.43),1000*72.896*B91^0.716,"O parametro z esta fora da validade da curva.")*B90</f>
        <v>592795.01214841357</v>
      </c>
      <c r="D92" s="138"/>
      <c r="J92" s="151"/>
      <c r="L92" s="178">
        <v>25</v>
      </c>
      <c r="M92" s="179">
        <f>11.40042933+0.74151255*B88</f>
        <v>17.654839577199773</v>
      </c>
      <c r="N92" s="299"/>
      <c r="O92" s="300">
        <v>9</v>
      </c>
      <c r="P92" s="301">
        <f>-0.302152726+0.451841229*B88</f>
        <v>3.5089768533509362</v>
      </c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</row>
    <row r="93" spans="1:48" x14ac:dyDescent="0.3">
      <c r="B93" s="171"/>
      <c r="C93" s="191"/>
      <c r="D93" s="5"/>
      <c r="J93" s="151"/>
      <c r="L93" s="178">
        <v>30</v>
      </c>
      <c r="M93" s="179">
        <f>15.01585205+0.788540291*B88</f>
        <v>21.666925556928902</v>
      </c>
      <c r="N93" s="299"/>
      <c r="O93" s="300">
        <v>10</v>
      </c>
      <c r="P93" s="301">
        <f>-0.4215396+0.501517395*B88</f>
        <v>3.8085918177850893</v>
      </c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</row>
    <row r="94" spans="1:48" x14ac:dyDescent="0.3">
      <c r="A94" s="185" t="s">
        <v>540</v>
      </c>
      <c r="B94" s="186"/>
      <c r="C94" s="193"/>
      <c r="D94" s="5"/>
      <c r="H94" s="195"/>
      <c r="I94" s="195"/>
      <c r="J94" s="151"/>
      <c r="L94" s="178">
        <v>35</v>
      </c>
      <c r="M94" s="179">
        <f>16.01304491+0.844996697*B88</f>
        <v>23.140309311076912</v>
      </c>
      <c r="N94" s="299"/>
      <c r="O94" s="300">
        <v>11</v>
      </c>
      <c r="P94" s="301">
        <f>-0.544905009+0.552590674*B88</f>
        <v>4.1160124278965569</v>
      </c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</row>
    <row r="95" spans="1:48" x14ac:dyDescent="0.3">
      <c r="A95" s="185" t="s">
        <v>541</v>
      </c>
      <c r="B95" s="189"/>
      <c r="C95" s="193"/>
      <c r="D95" s="5"/>
      <c r="H95" s="151"/>
      <c r="I95" s="151"/>
      <c r="J95" s="151"/>
      <c r="N95" s="299"/>
      <c r="O95" s="300">
        <v>12</v>
      </c>
      <c r="P95" s="301">
        <f>-0.704817419+0.602544412*B88</f>
        <v>4.3774430832743887</v>
      </c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</row>
    <row r="96" spans="1:48" x14ac:dyDescent="0.3">
      <c r="A96" s="187" t="s">
        <v>537</v>
      </c>
      <c r="B96" s="188">
        <f>1.1*B66</f>
        <v>78.300368444458073</v>
      </c>
      <c r="C96" s="193"/>
      <c r="D96" s="5"/>
      <c r="G96" s="195"/>
      <c r="H96" s="151"/>
      <c r="I96" s="151"/>
      <c r="J96" s="151"/>
      <c r="O96" s="300">
        <v>13</v>
      </c>
      <c r="P96" s="301">
        <f>-0.828182828+0.653617691*B88</f>
        <v>4.6848636933858563</v>
      </c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</row>
    <row r="97" spans="1:48" x14ac:dyDescent="0.3">
      <c r="A97" s="187" t="s">
        <v>538</v>
      </c>
      <c r="B97" s="188">
        <v>5</v>
      </c>
      <c r="C97" s="193"/>
      <c r="D97" s="5"/>
      <c r="G97" s="151"/>
      <c r="H97" s="151"/>
      <c r="I97" s="151"/>
      <c r="J97" s="198"/>
      <c r="O97" s="300">
        <v>14</v>
      </c>
      <c r="P97" s="301">
        <f>-0.559801382+0.702007772*B88</f>
        <v>5.3613992811724343</v>
      </c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</row>
    <row r="98" spans="1:48" x14ac:dyDescent="0.3">
      <c r="A98" s="187" t="s">
        <v>539</v>
      </c>
      <c r="B98" s="188">
        <v>5</v>
      </c>
      <c r="C98" s="193"/>
      <c r="D98" s="5"/>
      <c r="G98" s="151"/>
      <c r="O98" s="300">
        <v>15</v>
      </c>
      <c r="P98" s="301">
        <f>-0.68316679+0.753081051*B88</f>
        <v>5.6688198922839028</v>
      </c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</row>
    <row r="99" spans="1:48" x14ac:dyDescent="0.3">
      <c r="A99" s="185" t="s">
        <v>413</v>
      </c>
      <c r="B99" s="189"/>
      <c r="C99" s="193"/>
      <c r="D99" s="5"/>
      <c r="G99" s="15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</row>
    <row r="100" spans="1:48" x14ac:dyDescent="0.3">
      <c r="A100" s="187" t="s">
        <v>543</v>
      </c>
      <c r="B100" s="188">
        <f>(VLOOKUP(B97+5,L87:P93,2)-VLOOKUP(B97,L87:P93,2))*(B97-(VLOOKUP(B97,L87:P93,1)))/5+VLOOKUP(B97,L87:P93,2)</f>
        <v>12.27815334997744</v>
      </c>
      <c r="C100" s="193"/>
      <c r="D100" s="5"/>
      <c r="T100" s="92"/>
    </row>
    <row r="101" spans="1:48" x14ac:dyDescent="0.3">
      <c r="A101" s="187" t="s">
        <v>544</v>
      </c>
      <c r="B101" s="188">
        <f>(VLOOKUP(B98+5,O87:P97,2)-VLOOKUP(B98,O87:P97,2))*(B98-(VLOOKUP(B98,O87:P97,1)))/5+VLOOKUP(B98,O87:P97,2)</f>
        <v>2.0966590481247471</v>
      </c>
      <c r="D101" s="5"/>
      <c r="T101" s="92"/>
    </row>
    <row r="102" spans="1:48" x14ac:dyDescent="0.3">
      <c r="A102" s="185" t="s">
        <v>820</v>
      </c>
      <c r="B102" s="258"/>
      <c r="D102" s="5"/>
    </row>
    <row r="103" spans="1:48" x14ac:dyDescent="0.3">
      <c r="A103" s="187" t="s">
        <v>823</v>
      </c>
      <c r="B103" s="259">
        <f>ROUND(0.4999999+B48/54.43,0)</f>
        <v>1</v>
      </c>
      <c r="D103" s="260"/>
    </row>
    <row r="104" spans="1:48" ht="16.8" x14ac:dyDescent="0.35">
      <c r="A104" s="187" t="s">
        <v>821</v>
      </c>
      <c r="B104" s="256">
        <f>B48/B103</f>
        <v>18.673693543159693</v>
      </c>
      <c r="D104" s="138"/>
    </row>
    <row r="105" spans="1:48" x14ac:dyDescent="0.3">
      <c r="A105" s="187" t="s">
        <v>822</v>
      </c>
      <c r="B105" s="188">
        <f>IF(AND(B104&gt;=0,B104&lt;=125.39),(-0.71*(B104^2)+97.3*B104+57.78)*1000,"O parametro z esta fora da validade da curva.")*B103</f>
        <v>1627148.5320633086</v>
      </c>
      <c r="D105" s="138"/>
    </row>
    <row r="106" spans="1:48" x14ac:dyDescent="0.3">
      <c r="B106" s="171"/>
      <c r="D106" s="5"/>
    </row>
    <row r="107" spans="1:48" x14ac:dyDescent="0.3">
      <c r="A107" s="185" t="s">
        <v>617</v>
      </c>
      <c r="B107" s="177"/>
      <c r="D107" s="5"/>
    </row>
    <row r="108" spans="1:48" x14ac:dyDescent="0.3">
      <c r="A108" s="185" t="s">
        <v>546</v>
      </c>
      <c r="B108" s="259">
        <f>B9</f>
        <v>1</v>
      </c>
      <c r="D108" s="5" t="s">
        <v>936</v>
      </c>
    </row>
    <row r="109" spans="1:48" x14ac:dyDescent="0.3">
      <c r="A109" s="185" t="s">
        <v>420</v>
      </c>
      <c r="B109" s="151"/>
      <c r="D109" s="5"/>
    </row>
    <row r="110" spans="1:48" x14ac:dyDescent="0.3">
      <c r="A110" s="187" t="s">
        <v>421</v>
      </c>
      <c r="B110" s="196">
        <f>1/(1^2+0.2^2)^0.5</f>
        <v>0.98058067569092011</v>
      </c>
      <c r="D110" s="5"/>
    </row>
    <row r="111" spans="1:48" x14ac:dyDescent="0.3">
      <c r="A111" s="187" t="s">
        <v>628</v>
      </c>
      <c r="B111" s="197">
        <v>5</v>
      </c>
      <c r="D111" s="5"/>
    </row>
    <row r="112" spans="1:48" x14ac:dyDescent="0.3">
      <c r="A112" s="187" t="s">
        <v>422</v>
      </c>
      <c r="B112" s="199">
        <f>TRUNC(B45/B111)+1</f>
        <v>2</v>
      </c>
      <c r="D112" s="5"/>
    </row>
    <row r="113" spans="1:4" x14ac:dyDescent="0.3">
      <c r="A113" s="187" t="s">
        <v>423</v>
      </c>
      <c r="B113" s="200">
        <f>B112*B108</f>
        <v>2</v>
      </c>
      <c r="D113" s="5"/>
    </row>
    <row r="114" spans="1:4" x14ac:dyDescent="0.3">
      <c r="A114" s="185" t="s">
        <v>531</v>
      </c>
      <c r="B114" s="189"/>
      <c r="D114" s="5"/>
    </row>
    <row r="115" spans="1:4" x14ac:dyDescent="0.3">
      <c r="A115" s="187" t="s">
        <v>533</v>
      </c>
      <c r="B115" s="188">
        <f>(((B41-B43)*2*B112)/B110)+(B46*B112)</f>
        <v>242.77353726808923</v>
      </c>
      <c r="D115" s="5"/>
    </row>
    <row r="116" spans="1:4" x14ac:dyDescent="0.3">
      <c r="A116" s="187" t="s">
        <v>534</v>
      </c>
      <c r="B116" s="188"/>
      <c r="D116" s="5"/>
    </row>
    <row r="117" spans="1:4" x14ac:dyDescent="0.3">
      <c r="A117" s="185" t="s">
        <v>535</v>
      </c>
      <c r="B117" s="189"/>
      <c r="D117" s="5"/>
    </row>
    <row r="118" spans="1:4" x14ac:dyDescent="0.3">
      <c r="A118" s="187" t="s">
        <v>618</v>
      </c>
      <c r="B118" s="188"/>
      <c r="D118" s="5"/>
    </row>
    <row r="119" spans="1:4" x14ac:dyDescent="0.3">
      <c r="A119" s="187" t="s">
        <v>619</v>
      </c>
      <c r="B119" s="188"/>
      <c r="D119" s="5"/>
    </row>
    <row r="120" spans="1:4" x14ac:dyDescent="0.3">
      <c r="A120" s="187" t="s">
        <v>620</v>
      </c>
      <c r="B120" s="188"/>
    </row>
    <row r="121" spans="1:4" x14ac:dyDescent="0.3">
      <c r="A121" s="185" t="s">
        <v>536</v>
      </c>
      <c r="B121" s="189"/>
    </row>
    <row r="122" spans="1:4" x14ac:dyDescent="0.3">
      <c r="A122" s="187" t="s">
        <v>621</v>
      </c>
      <c r="B122" s="188"/>
    </row>
    <row r="123" spans="1:4" x14ac:dyDescent="0.3">
      <c r="A123" s="185" t="s">
        <v>413</v>
      </c>
      <c r="B123" s="189"/>
    </row>
    <row r="124" spans="1:4" x14ac:dyDescent="0.3">
      <c r="A124" s="187" t="s">
        <v>622</v>
      </c>
      <c r="B124" s="188">
        <f>(40*B115)/(1000)</f>
        <v>9.7109414907235703</v>
      </c>
    </row>
    <row r="125" spans="1:4" x14ac:dyDescent="0.3">
      <c r="A125" s="187" t="s">
        <v>623</v>
      </c>
      <c r="B125" s="188">
        <f>(180*B45*B46)/1000</f>
        <v>9.6111839231105289</v>
      </c>
    </row>
    <row r="126" spans="1:4" x14ac:dyDescent="0.3">
      <c r="A126" s="185" t="s">
        <v>820</v>
      </c>
      <c r="B126" s="258"/>
    </row>
    <row r="127" spans="1:4" x14ac:dyDescent="0.3">
      <c r="A127" s="187" t="s">
        <v>822</v>
      </c>
      <c r="B127" s="188">
        <f>IF(AND(B10/B108&gt;=2,B10/B108&lt;=1000),5.35*1000*B10,"Vazao fora da validade da curva.")*B108</f>
        <v>685597.78651521786</v>
      </c>
      <c r="D127" s="138" t="s">
        <v>825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23553" r:id="rId4">
          <objectPr defaultSize="0" autoLine="0" autoPict="0" r:id="rId5">
            <anchor moveWithCells="1">
              <from>
                <xdr:col>7</xdr:col>
                <xdr:colOff>137160</xdr:colOff>
                <xdr:row>43</xdr:row>
                <xdr:rowOff>7620</xdr:rowOff>
              </from>
              <to>
                <xdr:col>13</xdr:col>
                <xdr:colOff>381000</xdr:colOff>
                <xdr:row>44</xdr:row>
                <xdr:rowOff>182880</xdr:rowOff>
              </to>
            </anchor>
          </objectPr>
        </oleObject>
      </mc:Choice>
      <mc:Fallback>
        <oleObject progId="Equation.2" shapeId="23553" r:id="rId4"/>
      </mc:Fallback>
    </mc:AlternateContent>
    <mc:AlternateContent xmlns:mc="http://schemas.openxmlformats.org/markup-compatibility/2006">
      <mc:Choice Requires="x14">
        <oleObject progId="Equation.2" shapeId="23554" r:id="rId6">
          <objectPr defaultSize="0" autoLine="0" autoPict="0" r:id="rId7">
            <anchor moveWithCells="1">
              <from>
                <xdr:col>7</xdr:col>
                <xdr:colOff>129540</xdr:colOff>
                <xdr:row>45</xdr:row>
                <xdr:rowOff>7620</xdr:rowOff>
              </from>
              <to>
                <xdr:col>11</xdr:col>
                <xdr:colOff>365760</xdr:colOff>
                <xdr:row>46</xdr:row>
                <xdr:rowOff>160020</xdr:rowOff>
              </to>
            </anchor>
          </objectPr>
        </oleObject>
      </mc:Choice>
      <mc:Fallback>
        <oleObject progId="Equation.2" shapeId="23554" r:id="rId6"/>
      </mc:Fallback>
    </mc:AlternateContent>
    <mc:AlternateContent xmlns:mc="http://schemas.openxmlformats.org/markup-compatibility/2006">
      <mc:Choice Requires="x14">
        <oleObject progId="Equation.2" shapeId="23555" r:id="rId8">
          <objectPr defaultSize="0" autoLine="0" autoPict="0" r:id="rId9">
            <anchor moveWithCells="1">
              <from>
                <xdr:col>7</xdr:col>
                <xdr:colOff>137160</xdr:colOff>
                <xdr:row>47</xdr:row>
                <xdr:rowOff>0</xdr:rowOff>
              </from>
              <to>
                <xdr:col>13</xdr:col>
                <xdr:colOff>7620</xdr:colOff>
                <xdr:row>48</xdr:row>
                <xdr:rowOff>60960</xdr:rowOff>
              </to>
            </anchor>
          </objectPr>
        </oleObject>
      </mc:Choice>
      <mc:Fallback>
        <oleObject progId="Equation.2" shapeId="23555" r:id="rId8"/>
      </mc:Fallback>
    </mc:AlternateContent>
    <mc:AlternateContent xmlns:mc="http://schemas.openxmlformats.org/markup-compatibility/2006">
      <mc:Choice Requires="x14">
        <oleObject progId="Equation.2" shapeId="23556" r:id="rId10">
          <objectPr defaultSize="0" autoLine="0" autoPict="0" r:id="rId11">
            <anchor moveWithCells="1">
              <from>
                <xdr:col>7</xdr:col>
                <xdr:colOff>137160</xdr:colOff>
                <xdr:row>48</xdr:row>
                <xdr:rowOff>45720</xdr:rowOff>
              </from>
              <to>
                <xdr:col>12</xdr:col>
                <xdr:colOff>472440</xdr:colOff>
                <xdr:row>49</xdr:row>
                <xdr:rowOff>45720</xdr:rowOff>
              </to>
            </anchor>
          </objectPr>
        </oleObject>
      </mc:Choice>
      <mc:Fallback>
        <oleObject progId="Equation.2" shapeId="23556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iohsrf2</vt:lpstr>
      <vt:lpstr>hsrf2rout</vt:lpstr>
      <vt:lpstr>hsrf2intk</vt:lpstr>
      <vt:lpstr>hsrf2tunl</vt:lpstr>
      <vt:lpstr>hsrf2stnk</vt:lpstr>
      <vt:lpstr>hsrf2pwh</vt:lpstr>
      <vt:lpstr>hsrf2new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Rodolpho Sauret Cavalcanti de Albuquerque</dc:creator>
  <cp:lastModifiedBy>Luiz Rodolpho Albuquerque</cp:lastModifiedBy>
  <dcterms:created xsi:type="dcterms:W3CDTF">2017-02-02T09:51:35Z</dcterms:created>
  <dcterms:modified xsi:type="dcterms:W3CDTF">2022-05-20T13:09:46Z</dcterms:modified>
</cp:coreProperties>
</file>