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open_data_repositories\LWD_flow_resistance\"/>
    </mc:Choice>
  </mc:AlternateContent>
  <xr:revisionPtr revIDLastSave="0" documentId="13_ncr:1_{C1EDCB2B-02B1-45E2-A390-EC3F0F926E59}" xr6:coauthVersionLast="36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E24" i="1"/>
  <c r="F30" i="1" l="1"/>
  <c r="G30" i="1"/>
  <c r="H30" i="1"/>
  <c r="I30" i="1"/>
  <c r="J30" i="1"/>
  <c r="K30" i="1"/>
  <c r="L30" i="1"/>
  <c r="E30" i="1"/>
  <c r="I15" i="1" l="1"/>
  <c r="J15" i="1"/>
  <c r="K15" i="1"/>
  <c r="L15" i="1"/>
  <c r="H18" i="2" l="1"/>
  <c r="H20" i="2" s="1"/>
  <c r="H21" i="2" s="1"/>
  <c r="H22" i="2" s="1"/>
  <c r="T14" i="1" l="1"/>
  <c r="T15" i="1" s="1"/>
  <c r="S14" i="1"/>
  <c r="S15" i="1" s="1"/>
  <c r="R14" i="1"/>
  <c r="R15" i="1" s="1"/>
  <c r="Q14" i="1"/>
  <c r="P14" i="1"/>
  <c r="P15" i="1" s="1"/>
  <c r="O14" i="1"/>
  <c r="O15" i="1" s="1"/>
  <c r="N14" i="1"/>
  <c r="N15" i="1" s="1"/>
  <c r="M14" i="1"/>
  <c r="M15" i="1" s="1"/>
  <c r="J18" i="1"/>
  <c r="I18" i="1"/>
  <c r="I16" i="1"/>
  <c r="H14" i="1"/>
  <c r="H15" i="1" s="1"/>
  <c r="G14" i="1"/>
  <c r="G15" i="1" s="1"/>
  <c r="F14" i="1"/>
  <c r="F15" i="1" s="1"/>
  <c r="E14" i="1"/>
  <c r="E15" i="1" s="1"/>
  <c r="T23" i="1"/>
  <c r="Q16" i="1" l="1"/>
  <c r="Q15" i="1"/>
  <c r="Q18" i="1"/>
  <c r="J16" i="1"/>
  <c r="O16" i="1" l="1"/>
  <c r="P16" i="1"/>
  <c r="O18" i="1"/>
  <c r="P18" i="1"/>
  <c r="N16" i="1"/>
  <c r="N18" i="1" s="1"/>
  <c r="N26" i="1"/>
  <c r="N28" i="1" s="1"/>
  <c r="O26" i="1"/>
  <c r="O28" i="1" s="1"/>
  <c r="P26" i="1"/>
  <c r="P28" i="1" s="1"/>
  <c r="Q26" i="1"/>
  <c r="Q28" i="1" s="1"/>
  <c r="R26" i="1"/>
  <c r="R28" i="1" s="1"/>
  <c r="S26" i="1"/>
  <c r="S28" i="1" s="1"/>
  <c r="N23" i="1"/>
  <c r="O23" i="1"/>
  <c r="P23" i="1"/>
  <c r="Q23" i="1"/>
  <c r="R23" i="1"/>
  <c r="R25" i="1" s="1"/>
  <c r="R27" i="1" s="1"/>
  <c r="S23" i="1"/>
  <c r="T25" i="1"/>
  <c r="T27" i="1" s="1"/>
  <c r="M26" i="1"/>
  <c r="M28" i="1" s="1"/>
  <c r="F26" i="1"/>
  <c r="F28" i="1" s="1"/>
  <c r="G26" i="1"/>
  <c r="G28" i="1" s="1"/>
  <c r="H26" i="1"/>
  <c r="H28" i="1" s="1"/>
  <c r="I26" i="1"/>
  <c r="I28" i="1" s="1"/>
  <c r="J26" i="1"/>
  <c r="J28" i="1" s="1"/>
  <c r="L26" i="1"/>
  <c r="L28" i="1" s="1"/>
  <c r="E26" i="1"/>
  <c r="E28" i="1" s="1"/>
  <c r="M23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L36" i="1" s="1"/>
  <c r="S25" i="1"/>
  <c r="S27" i="1" s="1"/>
  <c r="K26" i="1"/>
  <c r="K28" i="1" s="1"/>
  <c r="M16" i="1"/>
  <c r="M18" i="1" s="1"/>
  <c r="H22" i="1"/>
  <c r="H23" i="1"/>
  <c r="H25" i="1" s="1"/>
  <c r="H27" i="1" s="1"/>
  <c r="H16" i="1"/>
  <c r="H18" i="1" s="1"/>
  <c r="G22" i="1"/>
  <c r="G23" i="1"/>
  <c r="G25" i="1"/>
  <c r="G27" i="1" s="1"/>
  <c r="G16" i="1"/>
  <c r="G18" i="1" s="1"/>
  <c r="F22" i="1"/>
  <c r="F23" i="1"/>
  <c r="F16" i="1"/>
  <c r="F18" i="1" s="1"/>
  <c r="E23" i="1"/>
  <c r="E16" i="1"/>
  <c r="E18" i="1" s="1"/>
  <c r="E22" i="1"/>
  <c r="K16" i="1"/>
  <c r="K18" i="1"/>
  <c r="L16" i="1"/>
  <c r="L18" i="1"/>
  <c r="T16" i="1"/>
  <c r="T18" i="1"/>
  <c r="R16" i="1"/>
  <c r="R18" i="1"/>
  <c r="S16" i="1"/>
  <c r="S18" i="1"/>
  <c r="G36" i="1" l="1"/>
  <c r="L25" i="1"/>
  <c r="L27" i="1" s="1"/>
  <c r="K25" i="1"/>
  <c r="K27" i="1" s="1"/>
  <c r="K36" i="1"/>
  <c r="T26" i="1"/>
  <c r="T28" i="1" s="1"/>
  <c r="T36" i="1"/>
  <c r="J25" i="1"/>
  <c r="J27" i="1" s="1"/>
  <c r="J36" i="1"/>
  <c r="I25" i="1"/>
  <c r="I27" i="1" s="1"/>
  <c r="I36" i="1"/>
  <c r="S36" i="1"/>
  <c r="H36" i="1"/>
  <c r="M25" i="1"/>
  <c r="M27" i="1" s="1"/>
  <c r="M36" i="1"/>
  <c r="R36" i="1"/>
  <c r="Q25" i="1"/>
  <c r="Q27" i="1" s="1"/>
  <c r="Q36" i="1"/>
  <c r="E25" i="1"/>
  <c r="E27" i="1" s="1"/>
  <c r="E36" i="1"/>
  <c r="P25" i="1"/>
  <c r="P27" i="1" s="1"/>
  <c r="P36" i="1"/>
  <c r="O25" i="1"/>
  <c r="O27" i="1" s="1"/>
  <c r="O36" i="1"/>
  <c r="F25" i="1"/>
  <c r="F27" i="1" s="1"/>
  <c r="F36" i="1"/>
  <c r="N25" i="1"/>
  <c r="N27" i="1" s="1"/>
  <c r="N36" i="1"/>
</calcChain>
</file>

<file path=xl/sharedStrings.xml><?xml version="1.0" encoding="utf-8"?>
<sst xmlns="http://schemas.openxmlformats.org/spreadsheetml/2006/main" count="79" uniqueCount="47">
  <si>
    <t>Sediment</t>
  </si>
  <si>
    <t>Case #</t>
  </si>
  <si>
    <t>No sediment</t>
  </si>
  <si>
    <t>Porosity</t>
  </si>
  <si>
    <r>
      <t>Discharge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</si>
  <si>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t>No-flow WSE (m)</t>
  </si>
  <si>
    <t>Upstream WSE (m)</t>
  </si>
  <si>
    <t>Downstream WSE (m)</t>
  </si>
  <si>
    <t>delta_H (m)</t>
  </si>
  <si>
    <t>LWD width</t>
  </si>
  <si>
    <t>Full</t>
  </si>
  <si>
    <t>Half</t>
  </si>
  <si>
    <t>Flow diversion split (%)</t>
  </si>
  <si>
    <t>Flow through LWD (m3/s)</t>
  </si>
  <si>
    <t>Flow diversion through openning (m3/s)</t>
  </si>
  <si>
    <t>Channel width (m)</t>
  </si>
  <si>
    <t>Upstream average velocity (m/s)</t>
  </si>
  <si>
    <t>Downstream average velocity (m/s)</t>
  </si>
  <si>
    <t>Sediment depth (m)</t>
  </si>
  <si>
    <t>Upstream water depth (m)</t>
  </si>
  <si>
    <t>Downstream water depth (m)</t>
  </si>
  <si>
    <t>Fr_upstream</t>
  </si>
  <si>
    <t>Fr_downstream</t>
  </si>
  <si>
    <t>Manning's n</t>
  </si>
  <si>
    <t>Results for all cases</t>
  </si>
  <si>
    <t>Cd</t>
  </si>
  <si>
    <t>cm^3</t>
  </si>
  <si>
    <t>m^3</t>
  </si>
  <si>
    <t>solid volume</t>
  </si>
  <si>
    <t>structure width W</t>
  </si>
  <si>
    <t>structure length</t>
  </si>
  <si>
    <t>structure height</t>
  </si>
  <si>
    <t>m</t>
  </si>
  <si>
    <t>branch diameter</t>
  </si>
  <si>
    <t>number of branches</t>
  </si>
  <si>
    <t>number per unit area n</t>
  </si>
  <si>
    <t>projected area/volume a</t>
  </si>
  <si>
    <t>1/m</t>
  </si>
  <si>
    <t>1/m^2</t>
  </si>
  <si>
    <t>-</t>
  </si>
  <si>
    <t>Specific discharge (m2/s)</t>
  </si>
  <si>
    <t>SRH-2D</t>
  </si>
  <si>
    <t>Scour depth (m)</t>
  </si>
  <si>
    <t>Scour depth (inch)</t>
  </si>
  <si>
    <t>N/A</t>
  </si>
  <si>
    <t>Cd computed from Manning's n using the conversion equation</t>
  </si>
  <si>
    <t>Simulated flow partition (using calibrated Cd)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</si>
</sst>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E+00"/>
    <numFmt numFmtId="166" formatCode="0.0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6" borderId="1" applyNumberFormat="0" applyAlignment="0" applyProtection="0"/>
    <xf numFmtId="0" fontId="7" fillId="8" borderId="0" applyNumberFormat="0" applyBorder="0" applyAlignment="0" applyProtection="0"/>
  </cellStyleXfs>
  <cellXfs count="16">
    <xf numFmtId="0" fontId="0" fillId="0" borderId="0" xfId="0"/>
    <xf numFmtId="0" fontId="0" fillId="5" borderId="2" xfId="4" applyFont="1"/>
    <xf numFmtId="0" fontId="0" fillId="0" borderId="0" xfId="0" applyAlignment="1">
      <alignment wrapText="1"/>
    </xf>
    <xf numFmtId="0" fontId="4" fillId="4" borderId="1" xfId="3"/>
    <xf numFmtId="164" fontId="4" fillId="4" borderId="1" xfId="3" applyNumberFormat="1"/>
    <xf numFmtId="11" fontId="0" fillId="0" borderId="0" xfId="0" applyNumberFormat="1"/>
    <xf numFmtId="165" fontId="0" fillId="0" borderId="0" xfId="0" applyNumberFormat="1"/>
    <xf numFmtId="167" fontId="4" fillId="4" borderId="1" xfId="3" applyNumberFormat="1"/>
    <xf numFmtId="0" fontId="6" fillId="6" borderId="1" xfId="5"/>
    <xf numFmtId="164" fontId="6" fillId="6" borderId="1" xfId="5" applyNumberFormat="1"/>
    <xf numFmtId="166" fontId="6" fillId="6" borderId="1" xfId="5" applyNumberFormat="1"/>
    <xf numFmtId="0" fontId="0" fillId="7" borderId="0" xfId="0" applyFill="1"/>
    <xf numFmtId="167" fontId="0" fillId="0" borderId="0" xfId="0" applyNumberFormat="1"/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7" fillId="8" borderId="0" xfId="6" applyAlignment="1">
      <alignment horizontal="center" vertical="center"/>
    </xf>
  </cellXfs>
  <cellStyles count="7">
    <cellStyle name="Bad" xfId="2" builtinId="27"/>
    <cellStyle name="Calculation" xfId="3" builtinId="22"/>
    <cellStyle name="Good" xfId="1" builtinId="26"/>
    <cellStyle name="Input" xfId="5" builtinId="20"/>
    <cellStyle name="Neutral" xfId="6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44"/>
  <sheetViews>
    <sheetView tabSelected="1" topLeftCell="C10" zoomScale="115" zoomScaleNormal="115" workbookViewId="0">
      <selection activeCell="W28" sqref="W28"/>
    </sheetView>
  </sheetViews>
  <sheetFormatPr defaultRowHeight="14.5" x14ac:dyDescent="0.35"/>
  <cols>
    <col min="4" max="4" width="22.81640625" style="2" customWidth="1"/>
    <col min="5" max="5" width="12.1796875" bestFit="1" customWidth="1"/>
    <col min="6" max="7" width="10.54296875" bestFit="1" customWidth="1"/>
    <col min="8" max="8" width="11.7265625" bestFit="1" customWidth="1"/>
    <col min="9" max="9" width="11.1796875" bestFit="1" customWidth="1"/>
    <col min="10" max="12" width="9.453125" bestFit="1" customWidth="1"/>
    <col min="13" max="20" width="10.54296875" bestFit="1" customWidth="1"/>
    <col min="24" max="24" width="10.26953125" bestFit="1" customWidth="1"/>
  </cols>
  <sheetData>
    <row r="3" spans="4:20" x14ac:dyDescent="0.35">
      <c r="H3" t="s">
        <v>24</v>
      </c>
    </row>
    <row r="5" spans="4:20" x14ac:dyDescent="0.35">
      <c r="D5" s="2" t="s">
        <v>15</v>
      </c>
      <c r="E5">
        <v>1.5</v>
      </c>
    </row>
    <row r="6" spans="4:20" x14ac:dyDescent="0.35">
      <c r="D6" s="2" t="s">
        <v>18</v>
      </c>
      <c r="E6">
        <v>0.28000000000000003</v>
      </c>
    </row>
    <row r="10" spans="4:20" x14ac:dyDescent="0.35">
      <c r="E10" s="13" t="s">
        <v>0</v>
      </c>
      <c r="F10" s="13"/>
      <c r="G10" s="13"/>
      <c r="H10" s="13"/>
      <c r="I10" s="13"/>
      <c r="J10" s="13"/>
      <c r="K10" s="13"/>
      <c r="L10" s="13"/>
      <c r="M10" s="14" t="s">
        <v>2</v>
      </c>
      <c r="N10" s="14"/>
      <c r="O10" s="14"/>
      <c r="P10" s="14"/>
      <c r="Q10" s="14"/>
      <c r="R10" s="14"/>
      <c r="S10" s="14"/>
      <c r="T10" s="14"/>
    </row>
    <row r="11" spans="4:20" x14ac:dyDescent="0.35">
      <c r="D11" s="2" t="s">
        <v>1</v>
      </c>
      <c r="E11" s="1">
        <v>1</v>
      </c>
      <c r="F11" s="1">
        <v>2</v>
      </c>
      <c r="G11" s="1">
        <v>3</v>
      </c>
      <c r="H11" s="1">
        <v>4</v>
      </c>
      <c r="I11">
        <v>5</v>
      </c>
      <c r="J11">
        <v>6</v>
      </c>
      <c r="K11">
        <v>7</v>
      </c>
      <c r="L11">
        <v>8</v>
      </c>
      <c r="M11" s="1">
        <v>9</v>
      </c>
      <c r="N11" s="1">
        <v>10</v>
      </c>
      <c r="O11" s="1">
        <v>11</v>
      </c>
      <c r="P11" s="1">
        <v>12</v>
      </c>
      <c r="Q11">
        <v>13</v>
      </c>
      <c r="R11">
        <v>14</v>
      </c>
      <c r="S11">
        <v>15</v>
      </c>
      <c r="T11">
        <v>16</v>
      </c>
    </row>
    <row r="12" spans="4:20" x14ac:dyDescent="0.35">
      <c r="D12" s="2" t="s">
        <v>9</v>
      </c>
      <c r="E12" t="s">
        <v>10</v>
      </c>
      <c r="F12" t="s">
        <v>10</v>
      </c>
      <c r="G12" t="s">
        <v>10</v>
      </c>
      <c r="H12" t="s">
        <v>10</v>
      </c>
      <c r="I12" t="s">
        <v>11</v>
      </c>
      <c r="J12" t="s">
        <v>11</v>
      </c>
      <c r="K12" t="s">
        <v>11</v>
      </c>
      <c r="L12" t="s">
        <v>11</v>
      </c>
      <c r="M12" t="s">
        <v>10</v>
      </c>
      <c r="N12" t="s">
        <v>10</v>
      </c>
      <c r="O12" t="s">
        <v>10</v>
      </c>
      <c r="P12" t="s">
        <v>10</v>
      </c>
      <c r="Q12" t="s">
        <v>11</v>
      </c>
      <c r="R12" t="s">
        <v>11</v>
      </c>
      <c r="S12" t="s">
        <v>11</v>
      </c>
      <c r="T12" t="s">
        <v>11</v>
      </c>
    </row>
    <row r="13" spans="4:20" x14ac:dyDescent="0.35">
      <c r="D13" s="2" t="s">
        <v>3</v>
      </c>
      <c r="E13" s="8">
        <v>0.66</v>
      </c>
      <c r="F13" s="8">
        <v>0.66</v>
      </c>
      <c r="G13" s="8">
        <v>0.66</v>
      </c>
      <c r="H13" s="8">
        <v>0.66</v>
      </c>
      <c r="I13" s="8">
        <v>0.66</v>
      </c>
      <c r="J13" s="8">
        <v>0.66</v>
      </c>
      <c r="K13" s="8">
        <v>0.66</v>
      </c>
      <c r="L13" s="8">
        <v>0.66</v>
      </c>
      <c r="M13" s="8">
        <v>0.66</v>
      </c>
      <c r="N13" s="8">
        <v>0.66</v>
      </c>
      <c r="O13" s="8">
        <v>0.66</v>
      </c>
      <c r="P13" s="8">
        <v>0.66</v>
      </c>
      <c r="Q13" s="8">
        <v>0.66</v>
      </c>
      <c r="R13" s="8">
        <v>0.66</v>
      </c>
      <c r="S13" s="8">
        <v>0.66</v>
      </c>
      <c r="T13" s="8">
        <v>0.66</v>
      </c>
    </row>
    <row r="14" spans="4:20" ht="16.5" x14ac:dyDescent="0.35">
      <c r="D14" s="2" t="s">
        <v>4</v>
      </c>
      <c r="E14" s="9">
        <f>(0.11377+0.11924)/2</f>
        <v>0.116505</v>
      </c>
      <c r="F14" s="9">
        <f>( 0.16884+0.16241)/2</f>
        <v>0.16562499999999999</v>
      </c>
      <c r="G14" s="9">
        <f>(0.11337+0.12037)/2</f>
        <v>0.11687</v>
      </c>
      <c r="H14" s="9">
        <f>(0.14629+0.15266)/2</f>
        <v>0.149475</v>
      </c>
      <c r="I14" s="9">
        <v>0.1206</v>
      </c>
      <c r="J14" s="9">
        <v>0.15090000000000001</v>
      </c>
      <c r="K14" s="9">
        <v>0.12859999999999999</v>
      </c>
      <c r="L14" s="9">
        <v>0.155</v>
      </c>
      <c r="M14" s="9">
        <f>(0.1109+0.1143)/2</f>
        <v>0.11260000000000001</v>
      </c>
      <c r="N14" s="9">
        <f>(0.1438+0.1432)/2</f>
        <v>0.14350000000000002</v>
      </c>
      <c r="O14" s="9">
        <f>(0.1156+0.1068)/2</f>
        <v>0.11119999999999999</v>
      </c>
      <c r="P14" s="9">
        <f>(0.1366+0.1352)/2</f>
        <v>0.13589999999999999</v>
      </c>
      <c r="Q14" s="9">
        <f>(0.1183+0.1187)/2</f>
        <v>0.11849999999999999</v>
      </c>
      <c r="R14" s="9">
        <f>(0.1542+ 0.148)/2</f>
        <v>0.15110000000000001</v>
      </c>
      <c r="S14" s="9">
        <f>(0.1144+0.1252)/2</f>
        <v>0.1198</v>
      </c>
      <c r="T14" s="9">
        <f>(0.1448+0.1582)/2</f>
        <v>0.15150000000000002</v>
      </c>
    </row>
    <row r="15" spans="4:20" x14ac:dyDescent="0.35">
      <c r="D15" s="2" t="s">
        <v>40</v>
      </c>
      <c r="E15" s="10">
        <f t="shared" ref="E15:L15" si="0">E14/1.5</f>
        <v>7.7670000000000003E-2</v>
      </c>
      <c r="F15" s="10">
        <f t="shared" si="0"/>
        <v>0.11041666666666666</v>
      </c>
      <c r="G15" s="10">
        <f t="shared" si="0"/>
        <v>7.7913333333333334E-2</v>
      </c>
      <c r="H15" s="10">
        <f t="shared" si="0"/>
        <v>9.9650000000000002E-2</v>
      </c>
      <c r="I15" s="10">
        <f t="shared" si="0"/>
        <v>8.0399999999999999E-2</v>
      </c>
      <c r="J15" s="10">
        <f t="shared" si="0"/>
        <v>0.10060000000000001</v>
      </c>
      <c r="K15" s="10">
        <f t="shared" si="0"/>
        <v>8.5733333333333328E-2</v>
      </c>
      <c r="L15" s="10">
        <f t="shared" si="0"/>
        <v>0.10333333333333333</v>
      </c>
      <c r="M15" s="10">
        <f>M14/1.5</f>
        <v>7.506666666666667E-2</v>
      </c>
      <c r="N15" s="10">
        <f t="shared" ref="N15:T15" si="1">N14/1.5</f>
        <v>9.5666666666666678E-2</v>
      </c>
      <c r="O15" s="10">
        <f t="shared" si="1"/>
        <v>7.4133333333333329E-2</v>
      </c>
      <c r="P15" s="10">
        <f t="shared" si="1"/>
        <v>9.06E-2</v>
      </c>
      <c r="Q15" s="10">
        <f t="shared" si="1"/>
        <v>7.9000000000000001E-2</v>
      </c>
      <c r="R15" s="10">
        <f t="shared" si="1"/>
        <v>0.10073333333333334</v>
      </c>
      <c r="S15" s="10">
        <f t="shared" si="1"/>
        <v>7.9866666666666669E-2</v>
      </c>
      <c r="T15" s="10">
        <f t="shared" si="1"/>
        <v>0.10100000000000002</v>
      </c>
    </row>
    <row r="16" spans="4:20" x14ac:dyDescent="0.35">
      <c r="D16" s="2" t="s">
        <v>13</v>
      </c>
      <c r="E16" s="4">
        <f>E14</f>
        <v>0.116505</v>
      </c>
      <c r="F16" s="4">
        <f>F14</f>
        <v>0.16562499999999999</v>
      </c>
      <c r="G16" s="4">
        <f>G14</f>
        <v>0.11687</v>
      </c>
      <c r="H16" s="4">
        <f>H14</f>
        <v>0.149475</v>
      </c>
      <c r="I16" s="4">
        <f>I14-I17</f>
        <v>2.6599999999999999E-2</v>
      </c>
      <c r="J16" s="4">
        <f>J14-J17</f>
        <v>3.39E-2</v>
      </c>
      <c r="K16" s="4">
        <f>K14-K17</f>
        <v>2.2599999999999995E-2</v>
      </c>
      <c r="L16" s="4">
        <f>L14-L17</f>
        <v>2.5999999999999995E-2</v>
      </c>
      <c r="M16" s="4">
        <f>M14</f>
        <v>0.11260000000000001</v>
      </c>
      <c r="N16" s="4">
        <f>N14</f>
        <v>0.14350000000000002</v>
      </c>
      <c r="O16" s="4">
        <f t="shared" ref="O16:P16" si="2">O14</f>
        <v>0.11119999999999999</v>
      </c>
      <c r="P16" s="4">
        <f t="shared" si="2"/>
        <v>0.13589999999999999</v>
      </c>
      <c r="Q16" s="4">
        <f>Q14-Q17</f>
        <v>1.5599999999999989E-2</v>
      </c>
      <c r="R16" s="4">
        <f>R14-R17</f>
        <v>2.1600000000000008E-2</v>
      </c>
      <c r="S16" s="4">
        <f t="shared" ref="S16:T16" si="3">S14-S17</f>
        <v>1.8500000000000003E-2</v>
      </c>
      <c r="T16" s="4">
        <f t="shared" si="3"/>
        <v>2.4900000000000033E-2</v>
      </c>
    </row>
    <row r="17" spans="3:20" ht="29" x14ac:dyDescent="0.35">
      <c r="D17" s="2" t="s">
        <v>14</v>
      </c>
      <c r="E17" s="8">
        <v>0</v>
      </c>
      <c r="F17" s="8">
        <v>0</v>
      </c>
      <c r="G17" s="8">
        <v>0</v>
      </c>
      <c r="H17" s="8">
        <v>0</v>
      </c>
      <c r="I17" s="10">
        <v>9.4E-2</v>
      </c>
      <c r="J17" s="10">
        <v>0.11700000000000001</v>
      </c>
      <c r="K17" s="10">
        <v>0.106</v>
      </c>
      <c r="L17" s="10">
        <v>0.129</v>
      </c>
      <c r="M17" s="10">
        <v>0</v>
      </c>
      <c r="N17" s="10">
        <v>0</v>
      </c>
      <c r="O17" s="10">
        <v>0</v>
      </c>
      <c r="P17" s="10">
        <v>0</v>
      </c>
      <c r="Q17" s="10">
        <v>0.10290000000000001</v>
      </c>
      <c r="R17" s="10">
        <v>0.1295</v>
      </c>
      <c r="S17" s="10">
        <v>0.1013</v>
      </c>
      <c r="T17" s="10">
        <v>0.12659999999999999</v>
      </c>
    </row>
    <row r="18" spans="3:20" x14ac:dyDescent="0.35">
      <c r="D18" s="2" t="s">
        <v>12</v>
      </c>
      <c r="E18" s="3">
        <f>100*E17/E14</f>
        <v>0</v>
      </c>
      <c r="F18" s="3">
        <f>100*F17/F14</f>
        <v>0</v>
      </c>
      <c r="G18" s="3">
        <f>100*G17/G14</f>
        <v>0</v>
      </c>
      <c r="H18" s="3">
        <f>100*H17/H14</f>
        <v>0</v>
      </c>
      <c r="I18" s="7">
        <f>100*I17/I14</f>
        <v>77.943615257048094</v>
      </c>
      <c r="J18" s="7">
        <f t="shared" ref="J18:L18" si="4">100*J17/J14</f>
        <v>77.534791252485093</v>
      </c>
      <c r="K18" s="7">
        <f t="shared" si="4"/>
        <v>82.426127527216181</v>
      </c>
      <c r="L18" s="7">
        <f t="shared" si="4"/>
        <v>83.225806451612911</v>
      </c>
      <c r="M18" s="3">
        <f t="shared" ref="M18:N18" si="5">100*M17/M14</f>
        <v>0</v>
      </c>
      <c r="N18" s="3">
        <f t="shared" si="5"/>
        <v>0</v>
      </c>
      <c r="O18" s="3">
        <f t="shared" ref="O18" si="6">100*O17/O14</f>
        <v>0</v>
      </c>
      <c r="P18" s="3">
        <f t="shared" ref="P18:T18" si="7">100*P17/P14</f>
        <v>0</v>
      </c>
      <c r="Q18" s="7">
        <f t="shared" si="7"/>
        <v>86.835443037974699</v>
      </c>
      <c r="R18" s="7">
        <f t="shared" si="7"/>
        <v>85.704831237590994</v>
      </c>
      <c r="S18" s="7">
        <f t="shared" si="7"/>
        <v>84.557595993322209</v>
      </c>
      <c r="T18" s="7">
        <f t="shared" si="7"/>
        <v>83.564356435643546</v>
      </c>
    </row>
    <row r="19" spans="3:20" x14ac:dyDescent="0.35">
      <c r="D19" s="2" t="s">
        <v>5</v>
      </c>
      <c r="E19" s="8">
        <v>0.76500000000000001</v>
      </c>
      <c r="F19" s="8">
        <v>0.76500000000000001</v>
      </c>
      <c r="G19" s="8">
        <v>0.628</v>
      </c>
      <c r="H19" s="8">
        <v>0.622</v>
      </c>
      <c r="I19" s="8">
        <v>0.76</v>
      </c>
      <c r="J19" s="8">
        <v>0.76</v>
      </c>
      <c r="K19" s="8">
        <v>0.64</v>
      </c>
      <c r="L19" s="8">
        <v>0.64</v>
      </c>
      <c r="M19" s="8">
        <v>0.48</v>
      </c>
      <c r="N19" s="8">
        <v>0.48</v>
      </c>
      <c r="O19" s="8">
        <v>0.35</v>
      </c>
      <c r="P19" s="8">
        <v>0.35</v>
      </c>
      <c r="Q19" s="8">
        <v>0.48</v>
      </c>
      <c r="R19" s="8">
        <v>0.48</v>
      </c>
      <c r="S19" s="8">
        <v>0.35</v>
      </c>
      <c r="T19" s="8">
        <v>0.35</v>
      </c>
    </row>
    <row r="20" spans="3:20" x14ac:dyDescent="0.35">
      <c r="D20" s="2" t="s">
        <v>6</v>
      </c>
      <c r="E20" s="8">
        <v>0.78</v>
      </c>
      <c r="F20" s="8">
        <v>0.79</v>
      </c>
      <c r="G20" s="8">
        <v>0.65400000000000003</v>
      </c>
      <c r="H20" s="8">
        <v>0.65700000000000003</v>
      </c>
      <c r="I20" s="8">
        <v>0.76</v>
      </c>
      <c r="J20" s="8">
        <v>0.76</v>
      </c>
      <c r="K20" s="8">
        <v>0.64</v>
      </c>
      <c r="L20" s="8">
        <v>0.64</v>
      </c>
      <c r="M20" s="8">
        <v>0.52</v>
      </c>
      <c r="N20" s="8">
        <v>0.54</v>
      </c>
      <c r="O20" s="8">
        <v>0.41</v>
      </c>
      <c r="P20" s="8">
        <v>0.44</v>
      </c>
      <c r="Q20" s="8">
        <v>0.48</v>
      </c>
      <c r="R20" s="8">
        <v>0.48</v>
      </c>
      <c r="S20" s="8">
        <v>0.35</v>
      </c>
      <c r="T20" s="8">
        <v>0.36</v>
      </c>
    </row>
    <row r="21" spans="3:20" x14ac:dyDescent="0.35">
      <c r="D21" s="2" t="s">
        <v>7</v>
      </c>
      <c r="E21" s="8">
        <v>0.75</v>
      </c>
      <c r="F21" s="8">
        <v>0.74</v>
      </c>
      <c r="G21" s="8">
        <v>0.60299999999999998</v>
      </c>
      <c r="H21" s="8">
        <v>0.58399999999999996</v>
      </c>
      <c r="I21" s="8">
        <v>0.76</v>
      </c>
      <c r="J21" s="8">
        <v>0.76</v>
      </c>
      <c r="K21" s="8">
        <v>0.64</v>
      </c>
      <c r="L21" s="8">
        <v>0.64</v>
      </c>
      <c r="M21" s="8">
        <v>0.44</v>
      </c>
      <c r="N21" s="8">
        <v>0.42</v>
      </c>
      <c r="O21" s="8">
        <v>0.28999999999999998</v>
      </c>
      <c r="P21" s="8">
        <v>0.26</v>
      </c>
      <c r="Q21" s="8">
        <v>0.48</v>
      </c>
      <c r="R21" s="8">
        <v>0.48</v>
      </c>
      <c r="S21" s="8">
        <v>0.34499999999999997</v>
      </c>
      <c r="T21" s="8">
        <v>0.34</v>
      </c>
    </row>
    <row r="22" spans="3:20" x14ac:dyDescent="0.35">
      <c r="D22" s="2" t="s">
        <v>8</v>
      </c>
      <c r="E22" s="3">
        <f>E20-E21</f>
        <v>3.0000000000000027E-2</v>
      </c>
      <c r="F22" s="3">
        <f>F20-F21</f>
        <v>5.0000000000000044E-2</v>
      </c>
      <c r="G22" s="3">
        <f>G20-G21</f>
        <v>5.1000000000000045E-2</v>
      </c>
      <c r="H22" s="3">
        <f>H20-H21</f>
        <v>7.3000000000000065E-2</v>
      </c>
      <c r="I22" s="3">
        <f t="shared" ref="I22:T22" si="8">I20-I21</f>
        <v>0</v>
      </c>
      <c r="J22" s="3">
        <f t="shared" si="8"/>
        <v>0</v>
      </c>
      <c r="K22" s="3">
        <f t="shared" si="8"/>
        <v>0</v>
      </c>
      <c r="L22" s="3">
        <f t="shared" si="8"/>
        <v>0</v>
      </c>
      <c r="M22" s="3">
        <f t="shared" si="8"/>
        <v>8.0000000000000016E-2</v>
      </c>
      <c r="N22" s="3">
        <f t="shared" si="8"/>
        <v>0.12000000000000005</v>
      </c>
      <c r="O22" s="3">
        <f t="shared" si="8"/>
        <v>0.12</v>
      </c>
      <c r="P22" s="3">
        <f t="shared" si="8"/>
        <v>0.18</v>
      </c>
      <c r="Q22" s="3">
        <f t="shared" si="8"/>
        <v>0</v>
      </c>
      <c r="R22" s="3">
        <f t="shared" si="8"/>
        <v>0</v>
      </c>
      <c r="S22" s="3">
        <f t="shared" si="8"/>
        <v>5.0000000000000044E-3</v>
      </c>
      <c r="T22" s="3">
        <f t="shared" si="8"/>
        <v>1.9999999999999962E-2</v>
      </c>
    </row>
    <row r="23" spans="3:20" ht="29" x14ac:dyDescent="0.35">
      <c r="D23" s="2" t="s">
        <v>19</v>
      </c>
      <c r="E23" s="3">
        <f>E20-$E$6</f>
        <v>0.5</v>
      </c>
      <c r="F23" s="3">
        <f>F20-$E$6</f>
        <v>0.51</v>
      </c>
      <c r="G23" s="3">
        <f>G20-$E$6</f>
        <v>0.374</v>
      </c>
      <c r="H23" s="3">
        <f>H20-$E$6</f>
        <v>0.377</v>
      </c>
      <c r="I23" s="3">
        <f t="shared" ref="I23:L23" si="9">I20-$E$6</f>
        <v>0.48</v>
      </c>
      <c r="J23" s="3">
        <f t="shared" si="9"/>
        <v>0.48</v>
      </c>
      <c r="K23" s="3">
        <f t="shared" si="9"/>
        <v>0.36</v>
      </c>
      <c r="L23" s="3">
        <f t="shared" si="9"/>
        <v>0.36</v>
      </c>
      <c r="M23" s="3">
        <f>M20</f>
        <v>0.52</v>
      </c>
      <c r="N23" s="3">
        <f t="shared" ref="N23:S23" si="10">N20</f>
        <v>0.54</v>
      </c>
      <c r="O23" s="3">
        <f t="shared" si="10"/>
        <v>0.41</v>
      </c>
      <c r="P23" s="3">
        <f t="shared" si="10"/>
        <v>0.44</v>
      </c>
      <c r="Q23" s="3">
        <f t="shared" si="10"/>
        <v>0.48</v>
      </c>
      <c r="R23" s="3">
        <f t="shared" si="10"/>
        <v>0.48</v>
      </c>
      <c r="S23" s="3">
        <f t="shared" si="10"/>
        <v>0.35</v>
      </c>
      <c r="T23" s="3">
        <f>T20</f>
        <v>0.36</v>
      </c>
    </row>
    <row r="24" spans="3:20" ht="29" x14ac:dyDescent="0.35">
      <c r="D24" s="2" t="s">
        <v>20</v>
      </c>
      <c r="E24" s="3">
        <f>E21</f>
        <v>0.75</v>
      </c>
      <c r="F24" s="3">
        <f t="shared" ref="F24:T24" si="11">F21</f>
        <v>0.74</v>
      </c>
      <c r="G24" s="3">
        <f t="shared" si="11"/>
        <v>0.60299999999999998</v>
      </c>
      <c r="H24" s="3">
        <f t="shared" si="11"/>
        <v>0.58399999999999996</v>
      </c>
      <c r="I24" s="3">
        <f t="shared" si="11"/>
        <v>0.76</v>
      </c>
      <c r="J24" s="3">
        <f t="shared" si="11"/>
        <v>0.76</v>
      </c>
      <c r="K24" s="3">
        <f t="shared" si="11"/>
        <v>0.64</v>
      </c>
      <c r="L24" s="3">
        <f t="shared" si="11"/>
        <v>0.64</v>
      </c>
      <c r="M24" s="3">
        <f t="shared" si="11"/>
        <v>0.44</v>
      </c>
      <c r="N24" s="3">
        <f t="shared" si="11"/>
        <v>0.42</v>
      </c>
      <c r="O24" s="3">
        <f t="shared" si="11"/>
        <v>0.28999999999999998</v>
      </c>
      <c r="P24" s="3">
        <f t="shared" si="11"/>
        <v>0.26</v>
      </c>
      <c r="Q24" s="3">
        <f t="shared" si="11"/>
        <v>0.48</v>
      </c>
      <c r="R24" s="3">
        <f t="shared" si="11"/>
        <v>0.48</v>
      </c>
      <c r="S24" s="3">
        <f t="shared" si="11"/>
        <v>0.34499999999999997</v>
      </c>
      <c r="T24" s="3">
        <f t="shared" si="11"/>
        <v>0.34</v>
      </c>
    </row>
    <row r="25" spans="3:20" ht="29" x14ac:dyDescent="0.35">
      <c r="D25" s="2" t="s">
        <v>16</v>
      </c>
      <c r="E25" s="4">
        <f>E14/$E$5/E23</f>
        <v>0.15534000000000001</v>
      </c>
      <c r="F25" s="4">
        <f>F14/$E$5/F23</f>
        <v>0.21650326797385619</v>
      </c>
      <c r="G25" s="4">
        <f>G14/$E$5/G23</f>
        <v>0.20832442067736184</v>
      </c>
      <c r="H25" s="4">
        <f>H14/$E$5/H23</f>
        <v>0.26432360742705568</v>
      </c>
      <c r="I25" s="4">
        <f t="shared" ref="I25:T25" si="12">I14/$E$5/I23</f>
        <v>0.16750000000000001</v>
      </c>
      <c r="J25" s="4">
        <f t="shared" si="12"/>
        <v>0.20958333333333337</v>
      </c>
      <c r="K25" s="4">
        <f t="shared" si="12"/>
        <v>0.23814814814814814</v>
      </c>
      <c r="L25" s="4">
        <f t="shared" si="12"/>
        <v>0.28703703703703703</v>
      </c>
      <c r="M25" s="4">
        <f t="shared" si="12"/>
        <v>0.14435897435897435</v>
      </c>
      <c r="N25" s="4">
        <f t="shared" si="12"/>
        <v>0.17716049382716051</v>
      </c>
      <c r="O25" s="4">
        <f t="shared" si="12"/>
        <v>0.1808130081300813</v>
      </c>
      <c r="P25" s="4">
        <f t="shared" si="12"/>
        <v>0.2059090909090909</v>
      </c>
      <c r="Q25" s="4">
        <f t="shared" si="12"/>
        <v>0.16458333333333333</v>
      </c>
      <c r="R25" s="4">
        <f t="shared" si="12"/>
        <v>0.20986111111111114</v>
      </c>
      <c r="S25" s="4">
        <f t="shared" si="12"/>
        <v>0.22819047619047622</v>
      </c>
      <c r="T25" s="4">
        <f t="shared" si="12"/>
        <v>0.28055555555555561</v>
      </c>
    </row>
    <row r="26" spans="3:20" ht="29" x14ac:dyDescent="0.35">
      <c r="D26" s="2" t="s">
        <v>17</v>
      </c>
      <c r="E26" s="4">
        <f>E14/$E$5/E24</f>
        <v>0.10356</v>
      </c>
      <c r="F26" s="4">
        <f>F14/$E$5/F24</f>
        <v>0.14921171171171171</v>
      </c>
      <c r="G26" s="4">
        <f>G14/$E$5/G24</f>
        <v>0.12920950801547817</v>
      </c>
      <c r="H26" s="4">
        <f>H14/$E$5/H24</f>
        <v>0.17063356164383564</v>
      </c>
      <c r="I26" s="4">
        <f t="shared" ref="I26:T26" si="13">I14/$E$5/I24</f>
        <v>0.10578947368421053</v>
      </c>
      <c r="J26" s="4">
        <f t="shared" si="13"/>
        <v>0.13236842105263158</v>
      </c>
      <c r="K26" s="4">
        <f t="shared" si="13"/>
        <v>0.13395833333333332</v>
      </c>
      <c r="L26" s="4">
        <f t="shared" si="13"/>
        <v>0.16145833333333334</v>
      </c>
      <c r="M26" s="4">
        <f t="shared" si="13"/>
        <v>0.17060606060606062</v>
      </c>
      <c r="N26" s="4">
        <f t="shared" si="13"/>
        <v>0.2277777777777778</v>
      </c>
      <c r="O26" s="4">
        <f t="shared" si="13"/>
        <v>0.25563218390804598</v>
      </c>
      <c r="P26" s="4">
        <f t="shared" si="13"/>
        <v>0.34846153846153843</v>
      </c>
      <c r="Q26" s="4">
        <f t="shared" si="13"/>
        <v>0.16458333333333333</v>
      </c>
      <c r="R26" s="4">
        <f t="shared" si="13"/>
        <v>0.20986111111111114</v>
      </c>
      <c r="S26" s="4">
        <f t="shared" si="13"/>
        <v>0.23149758454106284</v>
      </c>
      <c r="T26" s="4">
        <f t="shared" si="13"/>
        <v>0.29705882352941182</v>
      </c>
    </row>
    <row r="27" spans="3:20" x14ac:dyDescent="0.35">
      <c r="D27" s="2" t="s">
        <v>21</v>
      </c>
      <c r="E27" s="4">
        <f t="shared" ref="E27:H28" si="14">E25/SQRT(9.81*E23)</f>
        <v>7.0139682390723435E-2</v>
      </c>
      <c r="F27" s="4">
        <f t="shared" si="14"/>
        <v>9.679320366441535E-2</v>
      </c>
      <c r="G27" s="4">
        <f t="shared" si="14"/>
        <v>0.10876017006111939</v>
      </c>
      <c r="H27" s="4">
        <f t="shared" si="14"/>
        <v>0.13744557865649812</v>
      </c>
      <c r="I27" s="4">
        <f t="shared" ref="I27:T27" si="15">I25/SQRT(9.81*I23)</f>
        <v>7.7189759712135791E-2</v>
      </c>
      <c r="J27" s="4">
        <f t="shared" si="15"/>
        <v>9.6583206803990823E-2</v>
      </c>
      <c r="K27" s="4">
        <f t="shared" si="15"/>
        <v>0.12672475337390954</v>
      </c>
      <c r="L27" s="4">
        <f t="shared" si="15"/>
        <v>0.1527397882811507</v>
      </c>
      <c r="M27" s="4">
        <f t="shared" si="15"/>
        <v>6.3915709223872713E-2</v>
      </c>
      <c r="N27" s="4">
        <f t="shared" si="15"/>
        <v>7.6972483391857832E-2</v>
      </c>
      <c r="O27" s="4">
        <f t="shared" si="15"/>
        <v>9.0157786248801677E-2</v>
      </c>
      <c r="P27" s="4">
        <f t="shared" si="15"/>
        <v>9.910936172834553E-2</v>
      </c>
      <c r="Q27" s="4">
        <f t="shared" si="15"/>
        <v>7.5845659418640896E-2</v>
      </c>
      <c r="R27" s="4">
        <f t="shared" si="15"/>
        <v>9.6711216355752236E-2</v>
      </c>
      <c r="S27" s="4">
        <f t="shared" si="15"/>
        <v>0.12314846099988166</v>
      </c>
      <c r="T27" s="4">
        <f t="shared" si="15"/>
        <v>0.14929082531996343</v>
      </c>
    </row>
    <row r="28" spans="3:20" x14ac:dyDescent="0.35">
      <c r="D28" s="2" t="s">
        <v>22</v>
      </c>
      <c r="E28" s="4">
        <f t="shared" si="14"/>
        <v>3.817920723958821E-2</v>
      </c>
      <c r="F28" s="4">
        <f t="shared" si="14"/>
        <v>5.537994867809036E-2</v>
      </c>
      <c r="G28" s="4">
        <f t="shared" si="14"/>
        <v>5.3125289913803254E-2</v>
      </c>
      <c r="H28" s="4">
        <f t="shared" si="14"/>
        <v>7.1289165125666562E-2</v>
      </c>
      <c r="I28" s="4">
        <f t="shared" ref="I28:T28" si="16">I26/SQRT(9.81*I24)</f>
        <v>3.8743705657060895E-2</v>
      </c>
      <c r="J28" s="4">
        <f t="shared" si="16"/>
        <v>4.8477820759954299E-2</v>
      </c>
      <c r="K28" s="4">
        <f t="shared" si="16"/>
        <v>5.3462005329618083E-2</v>
      </c>
      <c r="L28" s="4">
        <f t="shared" si="16"/>
        <v>6.4437098181110444E-2</v>
      </c>
      <c r="M28" s="4">
        <f t="shared" si="16"/>
        <v>8.2117101770505574E-2</v>
      </c>
      <c r="N28" s="4">
        <f t="shared" si="16"/>
        <v>0.11221533303974375</v>
      </c>
      <c r="O28" s="4">
        <f t="shared" si="16"/>
        <v>0.15155910349065155</v>
      </c>
      <c r="P28" s="4">
        <f t="shared" si="16"/>
        <v>0.21818941206070577</v>
      </c>
      <c r="Q28" s="4">
        <f t="shared" si="16"/>
        <v>7.5845659418640896E-2</v>
      </c>
      <c r="R28" s="4">
        <f t="shared" si="16"/>
        <v>9.6711216355752236E-2</v>
      </c>
      <c r="S28" s="4">
        <f t="shared" si="16"/>
        <v>0.12583527793765187</v>
      </c>
      <c r="T28" s="4">
        <f t="shared" si="16"/>
        <v>0.16265540319118621</v>
      </c>
    </row>
    <row r="29" spans="3:20" x14ac:dyDescent="0.35">
      <c r="D29" s="2" t="s">
        <v>43</v>
      </c>
      <c r="E29" s="4">
        <v>4.5</v>
      </c>
      <c r="F29" s="4">
        <v>7</v>
      </c>
      <c r="G29" s="4">
        <v>9</v>
      </c>
      <c r="H29" s="4">
        <v>10.5</v>
      </c>
      <c r="I29" s="4">
        <v>3</v>
      </c>
      <c r="J29" s="4">
        <v>9</v>
      </c>
      <c r="K29" s="4">
        <v>10.5</v>
      </c>
      <c r="L29" s="4">
        <v>10.5</v>
      </c>
      <c r="M29" s="4" t="s">
        <v>44</v>
      </c>
      <c r="N29" s="4" t="s">
        <v>44</v>
      </c>
      <c r="O29" s="4" t="s">
        <v>44</v>
      </c>
      <c r="P29" s="4" t="s">
        <v>44</v>
      </c>
      <c r="Q29" s="4" t="s">
        <v>44</v>
      </c>
      <c r="R29" s="4" t="s">
        <v>44</v>
      </c>
      <c r="S29" s="4" t="s">
        <v>44</v>
      </c>
      <c r="T29" s="4" t="s">
        <v>44</v>
      </c>
    </row>
    <row r="30" spans="3:20" x14ac:dyDescent="0.35">
      <c r="D30" s="2" t="s">
        <v>42</v>
      </c>
      <c r="E30" s="4">
        <f>E29*2.54/100</f>
        <v>0.1143</v>
      </c>
      <c r="F30" s="4">
        <f t="shared" ref="F30:L30" si="17">F29*2.54/100</f>
        <v>0.17780000000000001</v>
      </c>
      <c r="G30" s="4">
        <f t="shared" si="17"/>
        <v>0.2286</v>
      </c>
      <c r="H30" s="4">
        <f t="shared" si="17"/>
        <v>0.26669999999999999</v>
      </c>
      <c r="I30" s="4">
        <f t="shared" si="17"/>
        <v>7.6200000000000004E-2</v>
      </c>
      <c r="J30" s="4">
        <f t="shared" si="17"/>
        <v>0.2286</v>
      </c>
      <c r="K30" s="4">
        <f t="shared" si="17"/>
        <v>0.26669999999999999</v>
      </c>
      <c r="L30" s="4">
        <f t="shared" si="17"/>
        <v>0.26669999999999999</v>
      </c>
      <c r="M30" s="4" t="s">
        <v>44</v>
      </c>
      <c r="N30" s="4" t="s">
        <v>44</v>
      </c>
      <c r="O30" s="4" t="s">
        <v>44</v>
      </c>
      <c r="P30" s="4" t="s">
        <v>44</v>
      </c>
      <c r="Q30" s="4" t="s">
        <v>44</v>
      </c>
      <c r="R30" s="4" t="s">
        <v>44</v>
      </c>
      <c r="S30" s="4" t="s">
        <v>44</v>
      </c>
      <c r="T30" s="4" t="s">
        <v>44</v>
      </c>
    </row>
    <row r="31" spans="3:20" x14ac:dyDescent="0.35">
      <c r="C31" s="15" t="s">
        <v>41</v>
      </c>
      <c r="D31" s="2" t="s">
        <v>23</v>
      </c>
      <c r="E31">
        <v>2.1</v>
      </c>
      <c r="F31">
        <v>2.2000000000000002</v>
      </c>
      <c r="G31">
        <v>2.5</v>
      </c>
      <c r="H31">
        <v>2.6</v>
      </c>
      <c r="I31">
        <v>1.3</v>
      </c>
      <c r="J31">
        <v>1.17</v>
      </c>
      <c r="K31">
        <v>1.27</v>
      </c>
      <c r="L31">
        <v>1.6</v>
      </c>
      <c r="M31">
        <v>2.4</v>
      </c>
      <c r="N31">
        <v>2.36</v>
      </c>
      <c r="O31">
        <v>1.82</v>
      </c>
      <c r="P31">
        <v>1.97</v>
      </c>
      <c r="Q31">
        <v>2.64</v>
      </c>
      <c r="R31">
        <v>2.38</v>
      </c>
      <c r="S31">
        <v>1.8</v>
      </c>
      <c r="T31">
        <v>1.7</v>
      </c>
    </row>
    <row r="32" spans="3:20" x14ac:dyDescent="0.35">
      <c r="C32" s="15"/>
      <c r="D32" s="2" t="s">
        <v>25</v>
      </c>
      <c r="E32" s="11">
        <v>36.5</v>
      </c>
      <c r="F32" s="11">
        <v>34.4</v>
      </c>
      <c r="G32">
        <v>58.3</v>
      </c>
      <c r="H32">
        <v>53.4</v>
      </c>
      <c r="I32">
        <v>16.5</v>
      </c>
      <c r="J32">
        <v>14.1</v>
      </c>
      <c r="K32">
        <v>20.5</v>
      </c>
      <c r="L32">
        <v>25.6</v>
      </c>
      <c r="M32">
        <v>60</v>
      </c>
      <c r="N32">
        <v>56.1</v>
      </c>
      <c r="O32">
        <v>51.5</v>
      </c>
      <c r="P32">
        <v>52.5</v>
      </c>
      <c r="Q32">
        <v>64.8</v>
      </c>
      <c r="R32">
        <v>53.4</v>
      </c>
      <c r="S32">
        <v>45.4</v>
      </c>
      <c r="T32">
        <v>40</v>
      </c>
    </row>
    <row r="33" spans="3:20" x14ac:dyDescent="0.35">
      <c r="C33" s="15"/>
    </row>
    <row r="34" spans="3:20" ht="29" x14ac:dyDescent="0.35">
      <c r="C34" s="15"/>
      <c r="D34" s="2" t="s">
        <v>46</v>
      </c>
      <c r="E34">
        <v>0</v>
      </c>
      <c r="F34">
        <v>0</v>
      </c>
      <c r="G34">
        <v>0</v>
      </c>
      <c r="H34">
        <v>0</v>
      </c>
      <c r="I34">
        <v>0.77900000000000003</v>
      </c>
      <c r="J34">
        <v>0.77700000000000002</v>
      </c>
      <c r="K34">
        <v>0.82299999999999995</v>
      </c>
      <c r="L34">
        <v>0.83099999999999996</v>
      </c>
      <c r="M34">
        <v>0</v>
      </c>
      <c r="N34">
        <v>0</v>
      </c>
      <c r="O34">
        <v>0</v>
      </c>
      <c r="P34">
        <v>0</v>
      </c>
      <c r="Q34">
        <v>0.86799999999999999</v>
      </c>
      <c r="R34">
        <v>0.85599999999999998</v>
      </c>
      <c r="S34">
        <v>0.84599999999999997</v>
      </c>
      <c r="T34">
        <v>0.83699999999999997</v>
      </c>
    </row>
    <row r="35" spans="3:20" x14ac:dyDescent="0.35">
      <c r="C35" s="15"/>
    </row>
    <row r="36" spans="3:20" ht="43.5" x14ac:dyDescent="0.35">
      <c r="C36" s="15"/>
      <c r="D36" s="2" t="s">
        <v>45</v>
      </c>
      <c r="E36" s="12">
        <f>2*9.8*0.2*E31^2/((E23+E24)/2)^(4/3)</f>
        <v>32.350770844181419</v>
      </c>
      <c r="F36" s="12">
        <f t="shared" ref="F36:T36" si="18">2*9.8*0.2*F31^2/((F23+F24)/2)^(4/3)</f>
        <v>35.505154395881647</v>
      </c>
      <c r="G36" s="12">
        <f>2*9.8*0.2*G31^2/((G23+G24)/2)^(4/3)</f>
        <v>63.681506220493667</v>
      </c>
      <c r="H36" s="12">
        <f t="shared" si="18"/>
        <v>70.411172060852621</v>
      </c>
      <c r="I36" s="12">
        <f t="shared" si="18"/>
        <v>12.530945822065508</v>
      </c>
      <c r="J36" s="12">
        <f t="shared" si="18"/>
        <v>10.150066115873059</v>
      </c>
      <c r="K36" s="12">
        <f t="shared" si="18"/>
        <v>15.931873025183457</v>
      </c>
      <c r="L36" s="12">
        <f t="shared" si="18"/>
        <v>25.28711943981007</v>
      </c>
      <c r="M36" s="12">
        <f t="shared" si="18"/>
        <v>60.078659499654563</v>
      </c>
      <c r="N36" s="12">
        <f t="shared" si="18"/>
        <v>58.092726032860426</v>
      </c>
      <c r="O36" s="12">
        <f t="shared" si="18"/>
        <v>52.642695322679842</v>
      </c>
      <c r="P36" s="12">
        <f t="shared" si="18"/>
        <v>61.677646503377666</v>
      </c>
      <c r="Q36" s="12">
        <f t="shared" si="18"/>
        <v>72.695177994582039</v>
      </c>
      <c r="R36" s="12">
        <f t="shared" si="18"/>
        <v>59.081520637125571</v>
      </c>
      <c r="S36" s="12">
        <f t="shared" si="18"/>
        <v>51.986590079794674</v>
      </c>
      <c r="T36" s="12">
        <f t="shared" si="18"/>
        <v>45.929655078657383</v>
      </c>
    </row>
    <row r="37" spans="3:20" x14ac:dyDescent="0.35">
      <c r="C37" s="1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42" spans="3:20" x14ac:dyDescent="0.35">
      <c r="H42" s="5"/>
    </row>
    <row r="43" spans="3:20" x14ac:dyDescent="0.35">
      <c r="H43" s="5"/>
    </row>
    <row r="44" spans="3:20" x14ac:dyDescent="0.35">
      <c r="H44" s="6"/>
    </row>
  </sheetData>
  <mergeCells count="3">
    <mergeCell ref="E10:L10"/>
    <mergeCell ref="M10:T10"/>
    <mergeCell ref="C31:C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FD0D-9602-47A5-B6A3-F95EADBEF8AC}">
  <dimension ref="G11:I22"/>
  <sheetViews>
    <sheetView workbookViewId="0">
      <selection activeCell="L22" sqref="L22"/>
    </sheetView>
  </sheetViews>
  <sheetFormatPr defaultRowHeight="14.5" x14ac:dyDescent="0.35"/>
  <cols>
    <col min="7" max="7" width="23.26953125" bestFit="1" customWidth="1"/>
    <col min="8" max="8" width="9.1796875" customWidth="1"/>
  </cols>
  <sheetData>
    <row r="11" spans="7:9" x14ac:dyDescent="0.35">
      <c r="G11" t="s">
        <v>29</v>
      </c>
      <c r="H11">
        <v>0.152</v>
      </c>
      <c r="I11" t="s">
        <v>32</v>
      </c>
    </row>
    <row r="12" spans="7:9" x14ac:dyDescent="0.35">
      <c r="G12" t="s">
        <v>30</v>
      </c>
      <c r="H12">
        <v>0.2</v>
      </c>
      <c r="I12" t="s">
        <v>32</v>
      </c>
    </row>
    <row r="13" spans="7:9" x14ac:dyDescent="0.35">
      <c r="G13" t="s">
        <v>31</v>
      </c>
      <c r="H13">
        <v>0.73</v>
      </c>
      <c r="I13" t="s">
        <v>32</v>
      </c>
    </row>
    <row r="17" spans="7:9" x14ac:dyDescent="0.35">
      <c r="G17" t="s">
        <v>28</v>
      </c>
      <c r="H17">
        <v>74779</v>
      </c>
      <c r="I17" t="s">
        <v>26</v>
      </c>
    </row>
    <row r="18" spans="7:9" x14ac:dyDescent="0.35">
      <c r="H18">
        <f>H17/1000000</f>
        <v>7.4778999999999998E-2</v>
      </c>
      <c r="I18" t="s">
        <v>27</v>
      </c>
    </row>
    <row r="19" spans="7:9" x14ac:dyDescent="0.35">
      <c r="G19" t="s">
        <v>33</v>
      </c>
      <c r="H19">
        <v>1.4999999999999999E-2</v>
      </c>
      <c r="I19" t="s">
        <v>32</v>
      </c>
    </row>
    <row r="20" spans="7:9" x14ac:dyDescent="0.35">
      <c r="G20" t="s">
        <v>34</v>
      </c>
      <c r="H20">
        <f>H18/(3.14/4*H19^2/H11)</f>
        <v>64.353336164189656</v>
      </c>
      <c r="I20" t="s">
        <v>39</v>
      </c>
    </row>
    <row r="21" spans="7:9" x14ac:dyDescent="0.35">
      <c r="G21" t="s">
        <v>35</v>
      </c>
      <c r="H21">
        <f>H20/H12/H13</f>
        <v>440.7762750971894</v>
      </c>
      <c r="I21" t="s">
        <v>38</v>
      </c>
    </row>
    <row r="22" spans="7:9" x14ac:dyDescent="0.35">
      <c r="G22" t="s">
        <v>36</v>
      </c>
      <c r="H22">
        <f>H21*H19</f>
        <v>6.6116441264578407</v>
      </c>
      <c r="I22" t="s">
        <v>37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Xiaofeng Liu</dc:creator>
  <cp:lastModifiedBy>Liu, Xiaofeng</cp:lastModifiedBy>
  <dcterms:created xsi:type="dcterms:W3CDTF">2015-06-05T18:17:20Z</dcterms:created>
  <dcterms:modified xsi:type="dcterms:W3CDTF">2025-07-17T21:16:47Z</dcterms:modified>
</cp:coreProperties>
</file>