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def8\Desktop\Excels - VW\"/>
    </mc:Choice>
  </mc:AlternateContent>
  <xr:revisionPtr revIDLastSave="0" documentId="13_ncr:1_{45EBECEF-2ADF-4B49-8121-C8C121C00C9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LL - Audi" sheetId="22" r:id="rId1"/>
    <sheet name="Consol Brands (2)" sheetId="35" r:id="rId2"/>
    <sheet name="Consol Brands (raw)" sheetId="23" r:id="rId3"/>
    <sheet name="2020" sheetId="1" r:id="rId4"/>
    <sheet name="2019" sheetId="2" r:id="rId5"/>
    <sheet name="2018" sheetId="3" r:id="rId6"/>
    <sheet name="2017" sheetId="4" r:id="rId7"/>
    <sheet name="2016" sheetId="5" r:id="rId8"/>
    <sheet name="2015" sheetId="6" r:id="rId9"/>
    <sheet name="2014" sheetId="7" r:id="rId10"/>
    <sheet name="2013" sheetId="8" r:id="rId11"/>
    <sheet name="2012" sheetId="9" r:id="rId12"/>
    <sheet name="2011" sheetId="10" r:id="rId13"/>
    <sheet name="2020 (2)" sheetId="11" r:id="rId14"/>
    <sheet name="2019 (2)" sheetId="12" r:id="rId15"/>
    <sheet name="2018 (2)" sheetId="13" r:id="rId16"/>
    <sheet name="2017 (2)" sheetId="14" r:id="rId17"/>
    <sheet name="2016 (2)" sheetId="15" r:id="rId18"/>
    <sheet name="2015 (2)" sheetId="16" r:id="rId19"/>
    <sheet name="2014 (2)" sheetId="17" r:id="rId20"/>
    <sheet name="2013 (2)" sheetId="18" r:id="rId21"/>
    <sheet name="2012 (2)" sheetId="19" r:id="rId22"/>
    <sheet name="2011 (2)" sheetId="20" r:id="rId23"/>
    <sheet name="OLD ALL - Audi" sheetId="21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0" i="22" l="1"/>
  <c r="L89" i="22"/>
  <c r="K89" i="22"/>
  <c r="J89" i="22"/>
  <c r="I89" i="22"/>
  <c r="H89" i="22"/>
  <c r="G89" i="22"/>
  <c r="F89" i="22"/>
  <c r="E89" i="22"/>
  <c r="D89" i="22"/>
  <c r="C89" i="22"/>
  <c r="L86" i="22"/>
  <c r="K86" i="22"/>
  <c r="J86" i="22"/>
  <c r="I86" i="22"/>
  <c r="H86" i="22"/>
  <c r="G86" i="22"/>
  <c r="F86" i="22"/>
  <c r="E86" i="22"/>
  <c r="D86" i="22"/>
  <c r="C86" i="22"/>
  <c r="L84" i="22"/>
  <c r="K84" i="22"/>
  <c r="J84" i="22"/>
  <c r="I84" i="22"/>
  <c r="H84" i="22"/>
  <c r="G84" i="22"/>
  <c r="F84" i="22"/>
  <c r="E84" i="22"/>
  <c r="D84" i="22"/>
  <c r="C84" i="22"/>
  <c r="L82" i="22"/>
  <c r="K82" i="22"/>
  <c r="J82" i="22"/>
  <c r="I82" i="22"/>
  <c r="H82" i="22"/>
  <c r="G82" i="22"/>
  <c r="F82" i="22"/>
  <c r="E82" i="22"/>
  <c r="D82" i="22"/>
  <c r="C82" i="22"/>
  <c r="L80" i="22"/>
  <c r="K80" i="22"/>
  <c r="J80" i="22"/>
  <c r="I80" i="22"/>
  <c r="H80" i="22"/>
  <c r="G80" i="22"/>
  <c r="E80" i="22"/>
  <c r="D80" i="22"/>
  <c r="C80" i="22"/>
  <c r="L78" i="22"/>
  <c r="K78" i="22"/>
  <c r="J78" i="22"/>
  <c r="I78" i="22"/>
  <c r="H78" i="22"/>
  <c r="G78" i="22"/>
  <c r="F78" i="22"/>
  <c r="E78" i="22"/>
  <c r="D78" i="22"/>
  <c r="C78" i="22"/>
  <c r="L76" i="22"/>
  <c r="K76" i="22"/>
  <c r="J76" i="22"/>
  <c r="I76" i="22"/>
  <c r="H76" i="22"/>
  <c r="G76" i="22"/>
  <c r="F76" i="22"/>
  <c r="E76" i="22"/>
  <c r="D76" i="22"/>
  <c r="C76" i="22"/>
  <c r="L74" i="22"/>
  <c r="K74" i="22"/>
  <c r="J74" i="22"/>
  <c r="I74" i="22"/>
  <c r="H74" i="22"/>
  <c r="G74" i="22"/>
  <c r="F74" i="22"/>
  <c r="E74" i="22"/>
  <c r="D74" i="22"/>
  <c r="C74" i="22"/>
  <c r="L72" i="22"/>
  <c r="K72" i="22"/>
  <c r="J72" i="22"/>
  <c r="I72" i="22"/>
  <c r="H72" i="22"/>
  <c r="G72" i="22"/>
  <c r="F72" i="22"/>
  <c r="E72" i="22"/>
  <c r="D72" i="22"/>
  <c r="C72" i="22"/>
  <c r="L70" i="22"/>
  <c r="K70" i="22"/>
  <c r="J70" i="22"/>
  <c r="I70" i="22"/>
  <c r="H70" i="22"/>
  <c r="G70" i="22"/>
  <c r="F70" i="22"/>
  <c r="E70" i="22"/>
  <c r="D70" i="22"/>
  <c r="C70" i="22"/>
  <c r="L68" i="22"/>
  <c r="K68" i="22"/>
  <c r="J68" i="22"/>
  <c r="I68" i="22"/>
  <c r="H68" i="22"/>
  <c r="G68" i="22"/>
  <c r="F68" i="22"/>
  <c r="E68" i="22"/>
  <c r="D68" i="22"/>
  <c r="C68" i="22"/>
  <c r="L63" i="22"/>
  <c r="K63" i="22"/>
  <c r="J63" i="22"/>
  <c r="I63" i="22"/>
  <c r="H63" i="22"/>
  <c r="G63" i="22"/>
  <c r="F63" i="22"/>
  <c r="E63" i="22"/>
  <c r="D63" i="22"/>
  <c r="C63" i="22"/>
  <c r="L61" i="22"/>
  <c r="K61" i="22"/>
  <c r="J61" i="22"/>
  <c r="I61" i="22"/>
  <c r="H61" i="22"/>
  <c r="G61" i="22"/>
  <c r="F61" i="22"/>
  <c r="E61" i="22"/>
  <c r="D61" i="22"/>
  <c r="C61" i="22"/>
  <c r="L59" i="22"/>
  <c r="K59" i="22"/>
  <c r="J59" i="22"/>
  <c r="I59" i="22"/>
  <c r="H59" i="22"/>
  <c r="G59" i="22"/>
  <c r="F59" i="22"/>
  <c r="E59" i="22"/>
  <c r="D59" i="22"/>
  <c r="C59" i="22"/>
  <c r="L57" i="22"/>
  <c r="K57" i="22"/>
  <c r="J57" i="22"/>
  <c r="I57" i="22"/>
  <c r="H57" i="22"/>
  <c r="G57" i="22"/>
  <c r="F57" i="22"/>
  <c r="E57" i="22"/>
  <c r="D57" i="22"/>
  <c r="C57" i="22"/>
  <c r="L55" i="22"/>
  <c r="K55" i="22"/>
  <c r="J55" i="22"/>
  <c r="I55" i="22"/>
  <c r="H55" i="22"/>
  <c r="G55" i="22"/>
  <c r="F55" i="22"/>
  <c r="E55" i="22"/>
  <c r="D55" i="22"/>
  <c r="C55" i="22"/>
  <c r="L53" i="22"/>
  <c r="K53" i="22"/>
  <c r="J53" i="22"/>
  <c r="I53" i="22"/>
  <c r="H53" i="22"/>
  <c r="G53" i="22"/>
  <c r="F53" i="22"/>
  <c r="E53" i="22"/>
  <c r="D53" i="22"/>
  <c r="C53" i="22"/>
  <c r="L51" i="22"/>
  <c r="K51" i="22"/>
  <c r="J51" i="22"/>
  <c r="I51" i="22"/>
  <c r="H51" i="22"/>
  <c r="G51" i="22"/>
  <c r="F51" i="22"/>
  <c r="E51" i="22"/>
  <c r="D51" i="22"/>
  <c r="C51" i="22"/>
  <c r="H49" i="22"/>
  <c r="G49" i="22"/>
  <c r="L49" i="22"/>
  <c r="K49" i="22"/>
  <c r="J49" i="22"/>
  <c r="I49" i="22"/>
  <c r="F49" i="22"/>
  <c r="E49" i="22"/>
  <c r="D49" i="22"/>
  <c r="C49" i="22"/>
  <c r="L46" i="22"/>
  <c r="K46" i="22"/>
  <c r="J46" i="22"/>
  <c r="I46" i="22"/>
  <c r="H46" i="22"/>
  <c r="G46" i="22"/>
  <c r="F46" i="22"/>
  <c r="E46" i="22"/>
  <c r="D46" i="22"/>
  <c r="C46" i="22"/>
  <c r="L44" i="22"/>
  <c r="K44" i="22"/>
  <c r="J44" i="22"/>
  <c r="I44" i="22"/>
  <c r="H44" i="22"/>
  <c r="G44" i="22"/>
  <c r="F44" i="22"/>
  <c r="E44" i="22"/>
  <c r="D44" i="22"/>
  <c r="C44" i="22"/>
  <c r="L42" i="22"/>
  <c r="K42" i="22"/>
  <c r="J42" i="22"/>
  <c r="I42" i="22"/>
  <c r="H42" i="22"/>
  <c r="G42" i="22"/>
  <c r="F42" i="22"/>
  <c r="E42" i="22"/>
  <c r="D42" i="22"/>
  <c r="C42" i="22"/>
  <c r="L40" i="22"/>
  <c r="K40" i="22"/>
  <c r="J40" i="22"/>
  <c r="I40" i="22"/>
  <c r="H40" i="22"/>
  <c r="G40" i="22"/>
  <c r="F40" i="22"/>
  <c r="E40" i="22"/>
  <c r="D40" i="22"/>
  <c r="C40" i="22"/>
  <c r="L38" i="22"/>
  <c r="K38" i="22"/>
  <c r="J38" i="22"/>
  <c r="I38" i="22"/>
  <c r="H38" i="22"/>
  <c r="G38" i="22"/>
  <c r="F38" i="22"/>
  <c r="E38" i="22"/>
  <c r="D38" i="22"/>
  <c r="C38" i="22"/>
  <c r="L36" i="22"/>
  <c r="K36" i="22"/>
  <c r="J36" i="22"/>
  <c r="I36" i="22"/>
  <c r="H36" i="22"/>
  <c r="G36" i="22"/>
  <c r="F36" i="22"/>
  <c r="E36" i="22"/>
  <c r="D36" i="22"/>
  <c r="C36" i="22"/>
  <c r="D34" i="22"/>
  <c r="L34" i="22"/>
  <c r="K34" i="22"/>
  <c r="J34" i="22"/>
  <c r="I34" i="22"/>
  <c r="H34" i="22"/>
  <c r="G34" i="22"/>
  <c r="F34" i="22"/>
  <c r="E34" i="22"/>
  <c r="C34" i="22"/>
  <c r="E32" i="22"/>
  <c r="F32" i="22"/>
  <c r="G32" i="22"/>
  <c r="H32" i="22"/>
  <c r="I32" i="22"/>
  <c r="J32" i="22"/>
  <c r="K32" i="22"/>
  <c r="L32" i="22"/>
  <c r="D32" i="22"/>
  <c r="C32" i="22"/>
  <c r="C16" i="22"/>
  <c r="C17" i="22" s="1"/>
  <c r="D16" i="22"/>
  <c r="E16" i="22"/>
  <c r="F16" i="22"/>
  <c r="G16" i="22"/>
  <c r="H16" i="22"/>
  <c r="I16" i="22"/>
  <c r="J16" i="22"/>
  <c r="K16" i="22"/>
  <c r="L16" i="22"/>
  <c r="L24" i="22"/>
  <c r="K24" i="22"/>
  <c r="J24" i="22"/>
  <c r="I24" i="22"/>
  <c r="H24" i="22"/>
  <c r="G24" i="22"/>
  <c r="F24" i="22"/>
  <c r="E24" i="22"/>
  <c r="D24" i="22"/>
  <c r="C24" i="22"/>
  <c r="L23" i="22"/>
  <c r="K23" i="22"/>
  <c r="J23" i="22"/>
  <c r="I23" i="22"/>
  <c r="H23" i="22"/>
  <c r="G23" i="22"/>
  <c r="F23" i="22"/>
  <c r="E23" i="22"/>
  <c r="D23" i="22"/>
  <c r="C23" i="22"/>
  <c r="L22" i="22"/>
  <c r="K22" i="22"/>
  <c r="J22" i="22"/>
  <c r="I22" i="22"/>
  <c r="H22" i="22"/>
  <c r="G22" i="22"/>
  <c r="F22" i="22"/>
  <c r="E22" i="22"/>
  <c r="D22" i="22"/>
  <c r="C22" i="22"/>
  <c r="L21" i="22"/>
  <c r="K21" i="22"/>
  <c r="J21" i="22"/>
  <c r="I21" i="22"/>
  <c r="H21" i="22"/>
  <c r="G21" i="22"/>
  <c r="F21" i="22"/>
  <c r="E21" i="22"/>
  <c r="E8" i="22" s="1"/>
  <c r="D21" i="22"/>
  <c r="C21" i="22"/>
  <c r="F17" i="21"/>
  <c r="F16" i="21"/>
  <c r="C14" i="21"/>
  <c r="C21" i="21"/>
  <c r="C8" i="21" s="1"/>
  <c r="C9" i="21" s="1"/>
  <c r="C16" i="21"/>
  <c r="D16" i="21"/>
  <c r="E16" i="21"/>
  <c r="G16" i="21"/>
  <c r="H16" i="21"/>
  <c r="I16" i="21"/>
  <c r="I17" i="21" s="1"/>
  <c r="J16" i="21"/>
  <c r="J17" i="21" s="1"/>
  <c r="K16" i="21"/>
  <c r="L16" i="21"/>
  <c r="D21" i="21"/>
  <c r="D8" i="21" s="1"/>
  <c r="E21" i="21"/>
  <c r="E8" i="21" s="1"/>
  <c r="F21" i="21"/>
  <c r="G21" i="21"/>
  <c r="H21" i="21"/>
  <c r="H61" i="21" s="1"/>
  <c r="I21" i="21"/>
  <c r="I8" i="21" s="1"/>
  <c r="J21" i="21"/>
  <c r="J8" i="21" s="1"/>
  <c r="K21" i="21"/>
  <c r="K8" i="21" s="1"/>
  <c r="L21" i="21"/>
  <c r="L8" i="21" s="1"/>
  <c r="C22" i="21"/>
  <c r="C63" i="21" s="1"/>
  <c r="D22" i="21"/>
  <c r="D10" i="21" s="1"/>
  <c r="E22" i="21"/>
  <c r="E10" i="21" s="1"/>
  <c r="F22" i="21"/>
  <c r="F10" i="21" s="1"/>
  <c r="G22" i="21"/>
  <c r="H22" i="21"/>
  <c r="H10" i="21" s="1"/>
  <c r="I22" i="21"/>
  <c r="I10" i="21" s="1"/>
  <c r="J22" i="21"/>
  <c r="J10" i="21" s="1"/>
  <c r="K22" i="21"/>
  <c r="K10" i="21" s="1"/>
  <c r="L22" i="21"/>
  <c r="L63" i="21" s="1"/>
  <c r="C23" i="21"/>
  <c r="C12" i="21" s="1"/>
  <c r="D23" i="21"/>
  <c r="D12" i="21" s="1"/>
  <c r="E23" i="21"/>
  <c r="E65" i="21" s="1"/>
  <c r="F23" i="21"/>
  <c r="G23" i="21"/>
  <c r="H23" i="21"/>
  <c r="H65" i="21" s="1"/>
  <c r="I23" i="21"/>
  <c r="I12" i="21" s="1"/>
  <c r="J23" i="21"/>
  <c r="J12" i="21" s="1"/>
  <c r="K23" i="21"/>
  <c r="K65" i="21" s="1"/>
  <c r="L23" i="21"/>
  <c r="L65" i="21" s="1"/>
  <c r="C24" i="21"/>
  <c r="C67" i="21" s="1"/>
  <c r="D24" i="21"/>
  <c r="D14" i="21" s="1"/>
  <c r="E24" i="21"/>
  <c r="E14" i="21" s="1"/>
  <c r="F24" i="21"/>
  <c r="G24" i="21"/>
  <c r="H24" i="21"/>
  <c r="H14" i="21" s="1"/>
  <c r="I24" i="21"/>
  <c r="I14" i="21" s="1"/>
  <c r="J24" i="21"/>
  <c r="J14" i="21" s="1"/>
  <c r="K24" i="21"/>
  <c r="L24" i="21"/>
  <c r="L67" i="21" s="1"/>
  <c r="G38" i="21"/>
  <c r="F38" i="21"/>
  <c r="G36" i="21"/>
  <c r="F36" i="21"/>
  <c r="G34" i="21"/>
  <c r="F34" i="21"/>
  <c r="G32" i="21"/>
  <c r="F32" i="21"/>
  <c r="J30" i="21"/>
  <c r="D30" i="21"/>
  <c r="C30" i="21"/>
  <c r="L29" i="21"/>
  <c r="L30" i="21" s="1"/>
  <c r="K29" i="21"/>
  <c r="K30" i="21" s="1"/>
  <c r="J29" i="21"/>
  <c r="I29" i="21"/>
  <c r="H29" i="21"/>
  <c r="I30" i="21" s="1"/>
  <c r="G29" i="21"/>
  <c r="G30" i="21" s="1"/>
  <c r="F29" i="21"/>
  <c r="E29" i="21"/>
  <c r="F30" i="21" s="1"/>
  <c r="V17" i="21"/>
  <c r="U17" i="21"/>
  <c r="V16" i="21"/>
  <c r="U16" i="21"/>
  <c r="T16" i="21"/>
  <c r="T17" i="21" s="1"/>
  <c r="S16" i="21"/>
  <c r="S17" i="21" s="1"/>
  <c r="R16" i="21"/>
  <c r="R17" i="21" s="1"/>
  <c r="Q16" i="21"/>
  <c r="P16" i="21"/>
  <c r="P17" i="21" s="1"/>
  <c r="O16" i="21"/>
  <c r="O17" i="21" s="1"/>
  <c r="N16" i="21"/>
  <c r="D17" i="22" l="1"/>
  <c r="L17" i="22"/>
  <c r="K17" i="22"/>
  <c r="J14" i="22"/>
  <c r="F12" i="22"/>
  <c r="J10" i="22"/>
  <c r="I10" i="22"/>
  <c r="I17" i="22"/>
  <c r="H14" i="22"/>
  <c r="I14" i="22"/>
  <c r="J17" i="22"/>
  <c r="H10" i="22"/>
  <c r="G8" i="22"/>
  <c r="K25" i="22"/>
  <c r="E25" i="22"/>
  <c r="E61" i="21"/>
  <c r="K12" i="21"/>
  <c r="E12" i="21"/>
  <c r="C10" i="21"/>
  <c r="C11" i="21" s="1"/>
  <c r="H8" i="21"/>
  <c r="I61" i="21"/>
  <c r="H8" i="22"/>
  <c r="H12" i="21"/>
  <c r="E67" i="21"/>
  <c r="K63" i="21"/>
  <c r="I25" i="22"/>
  <c r="I8" i="22"/>
  <c r="J63" i="21"/>
  <c r="J65" i="21"/>
  <c r="H63" i="21"/>
  <c r="C61" i="21"/>
  <c r="F25" i="22"/>
  <c r="I63" i="21"/>
  <c r="K25" i="21"/>
  <c r="E25" i="21"/>
  <c r="K67" i="21"/>
  <c r="I65" i="21"/>
  <c r="E63" i="21"/>
  <c r="K14" i="21"/>
  <c r="J67" i="21"/>
  <c r="I67" i="21"/>
  <c r="K61" i="21"/>
  <c r="K10" i="22"/>
  <c r="C10" i="22"/>
  <c r="C11" i="22" s="1"/>
  <c r="G14" i="21"/>
  <c r="H67" i="21"/>
  <c r="C65" i="21"/>
  <c r="J61" i="21"/>
  <c r="L12" i="22"/>
  <c r="M12" i="22" s="1"/>
  <c r="N12" i="22" s="1"/>
  <c r="O12" i="22" s="1"/>
  <c r="P12" i="22" s="1"/>
  <c r="Q12" i="22" s="1"/>
  <c r="R12" i="22" s="1"/>
  <c r="S12" i="22" s="1"/>
  <c r="T12" i="22" s="1"/>
  <c r="U12" i="22" s="1"/>
  <c r="V12" i="22" s="1"/>
  <c r="L10" i="21"/>
  <c r="L12" i="21"/>
  <c r="L14" i="21"/>
  <c r="L61" i="21"/>
  <c r="L25" i="22"/>
  <c r="L25" i="21"/>
  <c r="D67" i="21"/>
  <c r="D65" i="21"/>
  <c r="D61" i="21"/>
  <c r="D63" i="21"/>
  <c r="D10" i="22"/>
  <c r="F14" i="22"/>
  <c r="J12" i="22"/>
  <c r="F10" i="22"/>
  <c r="J8" i="22"/>
  <c r="C12" i="22"/>
  <c r="C13" i="22" s="1"/>
  <c r="C8" i="22"/>
  <c r="C9" i="22" s="1"/>
  <c r="H17" i="22"/>
  <c r="G17" i="22"/>
  <c r="E14" i="22"/>
  <c r="I12" i="22"/>
  <c r="E10" i="22"/>
  <c r="F8" i="22"/>
  <c r="F9" i="22" s="1"/>
  <c r="D12" i="22"/>
  <c r="L8" i="22"/>
  <c r="D8" i="22"/>
  <c r="E9" i="22" s="1"/>
  <c r="G14" i="22"/>
  <c r="K12" i="22"/>
  <c r="G10" i="22"/>
  <c r="K8" i="22"/>
  <c r="F17" i="22"/>
  <c r="L14" i="22"/>
  <c r="M14" i="22" s="1"/>
  <c r="N14" i="22" s="1"/>
  <c r="O14" i="22" s="1"/>
  <c r="P14" i="22" s="1"/>
  <c r="Q14" i="22" s="1"/>
  <c r="R14" i="22" s="1"/>
  <c r="S14" i="22" s="1"/>
  <c r="T14" i="22" s="1"/>
  <c r="U14" i="22" s="1"/>
  <c r="V14" i="22" s="1"/>
  <c r="D14" i="22"/>
  <c r="H12" i="22"/>
  <c r="L10" i="22"/>
  <c r="E17" i="22"/>
  <c r="K14" i="22"/>
  <c r="C14" i="22"/>
  <c r="C15" i="22" s="1"/>
  <c r="G12" i="22"/>
  <c r="E12" i="22"/>
  <c r="G25" i="22"/>
  <c r="H25" i="22"/>
  <c r="J25" i="22"/>
  <c r="G12" i="21"/>
  <c r="G10" i="21"/>
  <c r="G8" i="21"/>
  <c r="G67" i="21"/>
  <c r="G65" i="21"/>
  <c r="G63" i="21"/>
  <c r="G61" i="21"/>
  <c r="F63" i="21"/>
  <c r="G17" i="21"/>
  <c r="F8" i="21"/>
  <c r="F12" i="21"/>
  <c r="F61" i="21"/>
  <c r="F14" i="21"/>
  <c r="F15" i="21" s="1"/>
  <c r="F65" i="21"/>
  <c r="F67" i="21"/>
  <c r="K17" i="21"/>
  <c r="H17" i="21"/>
  <c r="L17" i="21"/>
  <c r="J25" i="21"/>
  <c r="F25" i="21"/>
  <c r="H25" i="21"/>
  <c r="G25" i="21"/>
  <c r="I25" i="21"/>
  <c r="M8" i="21"/>
  <c r="M16" i="21" s="1"/>
  <c r="Q17" i="21"/>
  <c r="E30" i="21"/>
  <c r="H30" i="21"/>
  <c r="G8" i="19"/>
  <c r="G7" i="19"/>
  <c r="G6" i="19"/>
  <c r="G4" i="19"/>
  <c r="G7" i="18"/>
  <c r="G6" i="18"/>
  <c r="G5" i="18"/>
  <c r="G4" i="18"/>
  <c r="G8" i="17"/>
  <c r="G7" i="17"/>
  <c r="G6" i="17"/>
  <c r="G5" i="17"/>
  <c r="G4" i="17"/>
  <c r="G9" i="16"/>
  <c r="G8" i="16"/>
  <c r="G7" i="16"/>
  <c r="G6" i="16"/>
  <c r="G5" i="16"/>
  <c r="G4" i="16"/>
  <c r="G9" i="15"/>
  <c r="G8" i="15"/>
  <c r="G7" i="15"/>
  <c r="G6" i="15"/>
  <c r="G5" i="15"/>
  <c r="G4" i="15"/>
  <c r="G10" i="14"/>
  <c r="G9" i="14"/>
  <c r="G6" i="14"/>
  <c r="G5" i="14"/>
  <c r="G4" i="14"/>
  <c r="G6" i="13"/>
  <c r="G6" i="12"/>
  <c r="G5" i="12"/>
  <c r="G4" i="12"/>
  <c r="I11" i="22" l="1"/>
  <c r="G13" i="22"/>
  <c r="K11" i="22"/>
  <c r="I15" i="22"/>
  <c r="K15" i="22"/>
  <c r="J11" i="22"/>
  <c r="H9" i="22"/>
  <c r="J15" i="22"/>
  <c r="D11" i="22"/>
  <c r="I9" i="22"/>
  <c r="D13" i="22"/>
  <c r="J9" i="22"/>
  <c r="K9" i="22"/>
  <c r="I13" i="22"/>
  <c r="J13" i="22"/>
  <c r="D15" i="22"/>
  <c r="L9" i="22"/>
  <c r="M8" i="22"/>
  <c r="N8" i="22" s="1"/>
  <c r="M10" i="22"/>
  <c r="N10" i="22" s="1"/>
  <c r="O10" i="22" s="1"/>
  <c r="P10" i="22" s="1"/>
  <c r="Q10" i="22" s="1"/>
  <c r="R10" i="22" s="1"/>
  <c r="S10" i="22" s="1"/>
  <c r="T10" i="22" s="1"/>
  <c r="U10" i="22" s="1"/>
  <c r="V10" i="22" s="1"/>
  <c r="L11" i="22"/>
  <c r="L13" i="22"/>
  <c r="E11" i="22"/>
  <c r="E13" i="22"/>
  <c r="G11" i="22"/>
  <c r="H11" i="22"/>
  <c r="K13" i="22"/>
  <c r="F15" i="22"/>
  <c r="G15" i="22"/>
  <c r="H15" i="22"/>
  <c r="F11" i="22"/>
  <c r="E15" i="22"/>
  <c r="H13" i="22"/>
  <c r="D9" i="22"/>
  <c r="F13" i="22"/>
  <c r="L15" i="22"/>
  <c r="G9" i="22"/>
  <c r="G15" i="21"/>
  <c r="M17" i="21"/>
  <c r="N17" i="21"/>
  <c r="O8" i="22" l="1"/>
  <c r="N16" i="22"/>
  <c r="P8" i="22" l="1"/>
  <c r="O16" i="22"/>
  <c r="O17" i="22" s="1"/>
  <c r="Q8" i="22" l="1"/>
  <c r="P16" i="22"/>
  <c r="P17" i="22" s="1"/>
  <c r="R8" i="22" l="1"/>
  <c r="Q16" i="22"/>
  <c r="Q17" i="22" s="1"/>
  <c r="S8" i="22" l="1"/>
  <c r="R16" i="22"/>
  <c r="R17" i="22" s="1"/>
  <c r="M16" i="22"/>
  <c r="M17" i="22" s="1"/>
  <c r="T8" i="22" l="1"/>
  <c r="S16" i="22"/>
  <c r="S17" i="22" s="1"/>
  <c r="N17" i="22"/>
  <c r="T16" i="22" l="1"/>
  <c r="T17" i="22" s="1"/>
  <c r="U8" i="22"/>
  <c r="U16" i="22" l="1"/>
  <c r="U17" i="22" s="1"/>
  <c r="V8" i="22"/>
  <c r="V16" i="22" s="1"/>
  <c r="V17" i="22" l="1"/>
</calcChain>
</file>

<file path=xl/sharedStrings.xml><?xml version="1.0" encoding="utf-8"?>
<sst xmlns="http://schemas.openxmlformats.org/spreadsheetml/2006/main" count="806" uniqueCount="88">
  <si>
    <t>PRODUCTION</t>
  </si>
  <si>
    <t>Units</t>
  </si>
  <si>
    <t>Audi</t>
  </si>
  <si>
    <t>Europe/Other markets</t>
  </si>
  <si>
    <t>A4</t>
  </si>
  <si>
    <t>North America</t>
  </si>
  <si>
    <t>Q5</t>
  </si>
  <si>
    <t>South America</t>
  </si>
  <si>
    <t>A3</t>
  </si>
  <si>
    <t>Asia-Pacific</t>
  </si>
  <si>
    <t>A6</t>
  </si>
  <si>
    <t>Q3</t>
  </si>
  <si>
    <t>Q2</t>
  </si>
  <si>
    <t>Q7</t>
  </si>
  <si>
    <t>A1</t>
  </si>
  <si>
    <t>A5</t>
  </si>
  <si>
    <t>e-tron</t>
  </si>
  <si>
    <t>Q8</t>
  </si>
  <si>
    <t>A8</t>
  </si>
  <si>
    <t>A7</t>
  </si>
  <si>
    <t>TT</t>
  </si>
  <si>
    <t>R8</t>
  </si>
  <si>
    <t>Lamborghini</t>
  </si>
  <si>
    <t>Urus</t>
  </si>
  <si>
    <t>Huracán Coupé</t>
  </si>
  <si>
    <t>Huracán Spyder</t>
  </si>
  <si>
    <t>Aventador Roadster</t>
  </si>
  <si>
    <t>Aventador Coupé</t>
  </si>
  <si>
    <t>AUDI BRAND</t>
  </si>
  <si>
    <t>%</t>
  </si>
  <si>
    <t>Deliveries (thousand units)</t>
  </si>
  <si>
    <t>−8.3</t>
  </si>
  <si>
    <t>−9.4</t>
  </si>
  <si>
    <t>Vehicle sales</t>
  </si>
  <si>
    <t>−15.2</t>
  </si>
  <si>
    <t>Production</t>
  </si>
  <si>
    <t>−7.7</t>
  </si>
  <si>
    <t>Sales revenue (€ million)</t>
  </si>
  <si>
    <t>−10.2</t>
  </si>
  <si>
    <t>Operating result before special items</t>
  </si>
  <si>
    <t>−39.3</t>
  </si>
  <si>
    <t>Operating return on sales (%)</t>
  </si>
  <si>
    <t>−18.2</t>
  </si>
  <si>
    <t>−3.7</t>
  </si>
  <si>
    <t>−6.0</t>
  </si>
  <si>
    <t>−4.2</t>
  </si>
  <si>
    <t>−3.4</t>
  </si>
  <si>
    <t>−3.5</t>
  </si>
  <si>
    <t>−4.1</t>
  </si>
  <si>
    <t>−0.4</t>
  </si>
  <si>
    <t>−0.9</t>
  </si>
  <si>
    <t>−7.0</t>
  </si>
  <si>
    <t>Q8/e-tron</t>
  </si>
  <si>
    <t>−0.3</t>
  </si>
  <si>
    <t>−1.2</t>
  </si>
  <si>
    <t>as % of sales revenue</t>
  </si>
  <si>
    <t>−5.6</t>
  </si>
  <si>
    <t>Huracán Roadster</t>
  </si>
  <si>
    <t>Gallardo Coupé</t>
  </si>
  <si>
    <t>–</t>
  </si>
  <si>
    <t>Gallardo Spyder</t>
  </si>
  <si>
    <t>Operating profit</t>
  </si>
  <si>
    <t>2012*</t>
  </si>
  <si>
    <t>–6.2</t>
  </si>
  <si>
    <t>Aventador</t>
  </si>
  <si>
    <t>Gallardo</t>
  </si>
  <si>
    <t>–15.9</t>
  </si>
  <si>
    <t>Murciélago</t>
  </si>
  <si>
    <t>Murciélago Roadster</t>
  </si>
  <si>
    <t>Total</t>
  </si>
  <si>
    <t>Sales revenue (€ million)</t>
  </si>
  <si>
    <t>Historical</t>
  </si>
  <si>
    <t>Forecast Period</t>
  </si>
  <si>
    <t>Unit Deliveries by Region</t>
  </si>
  <si>
    <t>Europe/Other</t>
  </si>
  <si>
    <t>change y/y</t>
  </si>
  <si>
    <t>Total Deliveries</t>
  </si>
  <si>
    <t>Mix By Region</t>
  </si>
  <si>
    <t>Unit Production by model family</t>
  </si>
  <si>
    <t>Octavia</t>
  </si>
  <si>
    <t>Rapid</t>
  </si>
  <si>
    <t>Fabia</t>
  </si>
  <si>
    <t>Yeti</t>
  </si>
  <si>
    <t>Superb</t>
  </si>
  <si>
    <t>Other</t>
  </si>
  <si>
    <t>-</t>
  </si>
  <si>
    <t>Total (Lamborghini)</t>
  </si>
  <si>
    <t>Total (Audi)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</si>
</sst>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.00\);_(* &quot;-&quot;??_);_(@_)"/>
    <numFmt numFmtId="165" formatCode="0.0%"/>
    <numFmt numFmtId="166" formatCode="0.000%"/>
  </numFmts>
  <fonts count="15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rgb="FF00B0F0"/>
      <name val="Arial"/>
      <family val="2"/>
      <scheme val="minor"/>
    </font>
    <font>
      <sz val="11"/>
      <color rgb="FF0000FF"/>
      <name val="Arial"/>
      <family val="2"/>
      <scheme val="minor"/>
    </font>
    <font>
      <sz val="11"/>
      <color rgb="FF00B050"/>
      <name val="Arial"/>
      <family val="2"/>
      <scheme val="minor"/>
    </font>
    <font>
      <sz val="10"/>
      <color rgb="FF000000"/>
      <name val="Arial"/>
      <family val="2"/>
    </font>
    <font>
      <b/>
      <sz val="11"/>
      <color rgb="FF0000FF"/>
      <name val="Arial"/>
      <family val="2"/>
      <scheme val="minor"/>
    </font>
    <font>
      <b/>
      <sz val="10"/>
      <color rgb="FF0000FF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 applyFont="1" applyAlignment="1"/>
    <xf numFmtId="0" fontId="1" fillId="0" borderId="0" xfId="0" applyFont="1"/>
    <xf numFmtId="3" fontId="1" fillId="0" borderId="0" xfId="0" applyNumberFormat="1" applyFont="1"/>
    <xf numFmtId="0" fontId="1" fillId="0" borderId="0" xfId="0" applyFont="1"/>
    <xf numFmtId="0" fontId="0" fillId="0" borderId="0" xfId="0"/>
    <xf numFmtId="0" fontId="5" fillId="0" borderId="0" xfId="0" applyFont="1"/>
    <xf numFmtId="0" fontId="6" fillId="0" borderId="1" xfId="0" applyFont="1" applyBorder="1"/>
    <xf numFmtId="0" fontId="0" fillId="0" borderId="1" xfId="0" applyBorder="1"/>
    <xf numFmtId="164" fontId="0" fillId="2" borderId="0" xfId="0" applyNumberFormat="1" applyFill="1"/>
    <xf numFmtId="165" fontId="0" fillId="0" borderId="0" xfId="1" applyNumberFormat="1" applyFont="1"/>
    <xf numFmtId="9" fontId="7" fillId="3" borderId="0" xfId="0" applyNumberFormat="1" applyFont="1" applyFill="1"/>
    <xf numFmtId="43" fontId="0" fillId="2" borderId="0" xfId="0" applyNumberFormat="1" applyFill="1"/>
    <xf numFmtId="0" fontId="0" fillId="2" borderId="0" xfId="0" applyFill="1"/>
    <xf numFmtId="0" fontId="8" fillId="0" borderId="1" xfId="0" applyFont="1" applyBorder="1"/>
    <xf numFmtId="165" fontId="0" fillId="0" borderId="0" xfId="0" applyNumberFormat="1"/>
    <xf numFmtId="0" fontId="3" fillId="0" borderId="1" xfId="0" applyFont="1" applyBorder="1"/>
    <xf numFmtId="9" fontId="7" fillId="0" borderId="0" xfId="0" applyNumberFormat="1" applyFont="1"/>
    <xf numFmtId="164" fontId="0" fillId="0" borderId="0" xfId="0" applyNumberFormat="1"/>
    <xf numFmtId="165" fontId="0" fillId="0" borderId="0" xfId="1" applyNumberFormat="1" applyFont="1" applyAlignment="1"/>
    <xf numFmtId="165" fontId="0" fillId="0" borderId="0" xfId="0" applyNumberFormat="1" applyFont="1" applyAlignment="1"/>
    <xf numFmtId="165" fontId="9" fillId="0" borderId="0" xfId="0" applyNumberFormat="1" applyFont="1" applyAlignment="1"/>
    <xf numFmtId="3" fontId="0" fillId="0" borderId="0" xfId="0" applyNumberFormat="1"/>
    <xf numFmtId="1" fontId="0" fillId="0" borderId="0" xfId="0" applyNumberFormat="1"/>
    <xf numFmtId="2" fontId="0" fillId="0" borderId="0" xfId="1" applyNumberFormat="1" applyFont="1"/>
    <xf numFmtId="166" fontId="0" fillId="0" borderId="0" xfId="1" applyNumberFormat="1" applyFont="1"/>
    <xf numFmtId="0" fontId="9" fillId="0" borderId="0" xfId="0" applyFont="1"/>
    <xf numFmtId="0" fontId="0" fillId="2" borderId="0" xfId="0" applyNumberFormat="1" applyFill="1"/>
    <xf numFmtId="0" fontId="0" fillId="0" borderId="0" xfId="0" applyNumberFormat="1"/>
    <xf numFmtId="0" fontId="5" fillId="0" borderId="0" xfId="0" applyNumberFormat="1" applyFont="1"/>
    <xf numFmtId="0" fontId="6" fillId="0" borderId="1" xfId="0" applyNumberFormat="1" applyFont="1" applyBorder="1"/>
    <xf numFmtId="0" fontId="8" fillId="0" borderId="1" xfId="0" applyNumberFormat="1" applyFont="1" applyBorder="1"/>
    <xf numFmtId="0" fontId="3" fillId="0" borderId="1" xfId="0" applyNumberFormat="1" applyFont="1" applyBorder="1"/>
    <xf numFmtId="164" fontId="0" fillId="0" borderId="0" xfId="0" applyNumberFormat="1" applyFill="1"/>
    <xf numFmtId="165" fontId="0" fillId="0" borderId="0" xfId="0" applyNumberFormat="1" applyFill="1"/>
    <xf numFmtId="165" fontId="0" fillId="0" borderId="0" xfId="1" applyNumberFormat="1" applyFont="1" applyFill="1"/>
    <xf numFmtId="165" fontId="10" fillId="0" borderId="0" xfId="0" applyNumberFormat="1" applyFont="1" applyFill="1"/>
    <xf numFmtId="165" fontId="11" fillId="0" borderId="0" xfId="1" applyNumberFormat="1" applyFont="1" applyFill="1"/>
    <xf numFmtId="0" fontId="0" fillId="0" borderId="0" xfId="0" applyFill="1"/>
    <xf numFmtId="0" fontId="9" fillId="0" borderId="0" xfId="0" applyFont="1" applyFill="1"/>
    <xf numFmtId="166" fontId="0" fillId="0" borderId="0" xfId="1" applyNumberFormat="1" applyFont="1" applyFill="1"/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1" fillId="4" borderId="0" xfId="0" applyFont="1" applyFill="1"/>
    <xf numFmtId="0" fontId="0" fillId="4" borderId="0" xfId="0" applyFont="1" applyFill="1" applyAlignment="1"/>
    <xf numFmtId="0" fontId="12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ont="1" applyFill="1" applyAlignment="1"/>
    <xf numFmtId="0" fontId="1" fillId="5" borderId="0" xfId="0" applyFont="1" applyFill="1"/>
    <xf numFmtId="0" fontId="14" fillId="4" borderId="0" xfId="0" applyFont="1" applyFill="1"/>
    <xf numFmtId="0" fontId="1" fillId="0" borderId="0" xfId="0" applyNumberFormat="1" applyFont="1"/>
    <xf numFmtId="0" fontId="9" fillId="4" borderId="0" xfId="0" applyFont="1" applyFill="1" applyAlignment="1"/>
    <xf numFmtId="0" fontId="1" fillId="0" borderId="0" xfId="0" applyFont="1" applyFill="1"/>
    <xf numFmtId="0" fontId="9" fillId="0" borderId="0" xfId="0" applyFont="1" applyFill="1" applyAlignment="1"/>
    <xf numFmtId="0" fontId="14" fillId="0" borderId="0" xfId="0" applyFont="1" applyFill="1"/>
    <xf numFmtId="164" fontId="1" fillId="0" borderId="0" xfId="0" applyNumberFormat="1" applyFont="1"/>
    <xf numFmtId="164" fontId="0" fillId="0" borderId="0" xfId="0" applyNumberFormat="1" applyFont="1" applyAlignment="1"/>
    <xf numFmtId="164" fontId="12" fillId="0" borderId="0" xfId="0" applyNumberFormat="1" applyFont="1" applyAlignment="1"/>
    <xf numFmtId="165" fontId="1" fillId="0" borderId="0" xfId="1" applyNumberFormat="1" applyFont="1"/>
    <xf numFmtId="164" fontId="9" fillId="0" borderId="0" xfId="0" applyNumberFormat="1" applyFont="1" applyAlignment="1"/>
    <xf numFmtId="164" fontId="13" fillId="0" borderId="0" xfId="0" applyNumberFormat="1" applyFont="1"/>
    <xf numFmtId="164" fontId="9" fillId="0" borderId="0" xfId="0" applyNumberFormat="1" applyFont="1" applyFill="1" applyAlignment="1"/>
    <xf numFmtId="0" fontId="12" fillId="0" borderId="0" xfId="0" applyFont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0055-547E-45F2-B2F8-C601A5391BD1}">
  <dimension ref="B2:W89"/>
  <sheetViews>
    <sheetView tabSelected="1" topLeftCell="A19" zoomScale="75" zoomScaleNormal="75" workbookViewId="0">
      <selection activeCell="M45" sqref="M45"/>
    </sheetView>
  </sheetViews>
  <sheetFormatPr defaultRowHeight="12.5" x14ac:dyDescent="0.25"/>
  <cols>
    <col min="1" max="1" width="8.7265625" style="4"/>
    <col min="2" max="2" width="23.7265625" style="27" bestFit="1" customWidth="1"/>
    <col min="3" max="4" width="10.1796875" style="4" bestFit="1" customWidth="1"/>
    <col min="5" max="5" width="11.6328125" style="4" bestFit="1" customWidth="1"/>
    <col min="6" max="6" width="11.453125" style="4" bestFit="1" customWidth="1"/>
    <col min="7" max="22" width="10.1796875" style="4" bestFit="1" customWidth="1"/>
    <col min="23" max="16384" width="8.7265625" style="4"/>
  </cols>
  <sheetData>
    <row r="2" spans="2:23" ht="14" x14ac:dyDescent="0.3">
      <c r="C2" s="46" t="s">
        <v>71</v>
      </c>
      <c r="D2" s="46"/>
      <c r="E2" s="46"/>
      <c r="F2" s="46"/>
      <c r="G2" s="46"/>
      <c r="H2" s="46"/>
      <c r="I2" s="46"/>
      <c r="J2" s="46"/>
      <c r="K2" s="46"/>
      <c r="L2" s="46"/>
      <c r="M2" s="46" t="s">
        <v>72</v>
      </c>
      <c r="N2" s="46"/>
      <c r="O2" s="46"/>
      <c r="P2" s="46"/>
      <c r="Q2" s="46"/>
      <c r="R2" s="46"/>
      <c r="S2" s="46"/>
      <c r="T2" s="46"/>
      <c r="U2" s="46"/>
      <c r="V2" s="46"/>
    </row>
    <row r="3" spans="2:23" x14ac:dyDescent="0.25">
      <c r="C3" s="4">
        <v>2011</v>
      </c>
      <c r="D3" s="4">
        <v>2012</v>
      </c>
      <c r="E3" s="4">
        <v>2013</v>
      </c>
      <c r="F3" s="4">
        <v>2014</v>
      </c>
      <c r="G3" s="4">
        <v>2015</v>
      </c>
      <c r="H3" s="4">
        <v>2016</v>
      </c>
      <c r="I3" s="4">
        <v>2017</v>
      </c>
      <c r="J3" s="4">
        <v>2018</v>
      </c>
      <c r="K3" s="4">
        <v>2019</v>
      </c>
      <c r="L3" s="4">
        <v>2020</v>
      </c>
      <c r="M3" s="4">
        <v>2021</v>
      </c>
      <c r="N3" s="4">
        <v>2022</v>
      </c>
      <c r="O3" s="4">
        <v>2023</v>
      </c>
      <c r="P3" s="4">
        <v>2024</v>
      </c>
      <c r="Q3" s="4">
        <v>2025</v>
      </c>
      <c r="R3" s="4">
        <v>2026</v>
      </c>
      <c r="S3" s="4">
        <v>2027</v>
      </c>
      <c r="T3" s="4">
        <v>2028</v>
      </c>
      <c r="U3" s="4">
        <v>2029</v>
      </c>
      <c r="V3" s="4">
        <v>2030</v>
      </c>
    </row>
    <row r="5" spans="2:23" ht="18" x14ac:dyDescent="0.4">
      <c r="B5" s="28" t="s">
        <v>2</v>
      </c>
    </row>
    <row r="7" spans="2:23" s="7" customFormat="1" ht="14" x14ac:dyDescent="0.3">
      <c r="B7" s="29" t="s">
        <v>73</v>
      </c>
    </row>
    <row r="8" spans="2:23" s="17" customFormat="1" x14ac:dyDescent="0.25">
      <c r="B8" s="27" t="s">
        <v>74</v>
      </c>
      <c r="C8" s="40" t="str">
        <f t="shared" ref="C8:L8" si="0" xml:space="preserve"> IFERROR(C21*C16, "-")</f>
        <v>-</v>
      </c>
      <c r="D8" s="40" t="str">
        <f t="shared" si="0"/>
        <v>-</v>
      </c>
      <c r="E8" s="32">
        <f xml:space="preserve"> IFERROR(E21*E16, "-")</f>
        <v>784266.00000000012</v>
      </c>
      <c r="F8" s="32">
        <f t="shared" si="0"/>
        <v>819680</v>
      </c>
      <c r="G8" s="32">
        <f t="shared" si="0"/>
        <v>857850.00000000012</v>
      </c>
      <c r="H8" s="32">
        <f t="shared" si="0"/>
        <v>909306.00000000012</v>
      </c>
      <c r="I8" s="32">
        <f t="shared" si="0"/>
        <v>910888</v>
      </c>
      <c r="J8" s="32">
        <f t="shared" si="0"/>
        <v>781740</v>
      </c>
      <c r="K8" s="32">
        <f t="shared" si="0"/>
        <v>806490</v>
      </c>
      <c r="L8" s="32">
        <f t="shared" si="0"/>
        <v>657900</v>
      </c>
      <c r="M8" s="32">
        <f>L8*(1+M9)</f>
        <v>697374</v>
      </c>
      <c r="N8" s="32">
        <f xml:space="preserve"> M8*(1+N9)</f>
        <v>739216.44000000006</v>
      </c>
      <c r="O8" s="32">
        <f t="shared" ref="O8" si="1">N8*(1+O9)</f>
        <v>783569.42640000011</v>
      </c>
      <c r="P8" s="32">
        <f t="shared" ref="P8" si="2" xml:space="preserve"> O8*(1+P9)</f>
        <v>830583.59198400017</v>
      </c>
      <c r="Q8" s="32">
        <f t="shared" ref="Q8" si="3">P8*(1+Q9)</f>
        <v>880418.60750304023</v>
      </c>
      <c r="R8" s="32">
        <f t="shared" ref="R8" si="4" xml:space="preserve"> Q8*(1+R9)</f>
        <v>933243.72395322274</v>
      </c>
      <c r="S8" s="32">
        <f t="shared" ref="S8" si="5">R8*(1+S9)</f>
        <v>989238.34739041619</v>
      </c>
      <c r="T8" s="32">
        <f xml:space="preserve"> S8*(1+T9)</f>
        <v>1048592.6482338412</v>
      </c>
      <c r="U8" s="32">
        <f t="shared" ref="U8" si="6">T8*(1+U9)</f>
        <v>1111508.2071278717</v>
      </c>
      <c r="V8" s="32">
        <f t="shared" ref="V8" si="7" xml:space="preserve"> U8*(1+V9)</f>
        <v>1178198.6995555439</v>
      </c>
      <c r="W8" s="32"/>
    </row>
    <row r="9" spans="2:23" s="14" customFormat="1" ht="14" x14ac:dyDescent="0.3">
      <c r="B9" s="27" t="s">
        <v>75</v>
      </c>
      <c r="C9" s="41" t="str">
        <f t="shared" ref="C9:L9" si="8" xml:space="preserve"> IFERROR(C8/B8-1,"-")</f>
        <v>-</v>
      </c>
      <c r="D9" s="42" t="str">
        <f t="shared" si="8"/>
        <v>-</v>
      </c>
      <c r="E9" s="34" t="str">
        <f t="shared" si="8"/>
        <v>-</v>
      </c>
      <c r="F9" s="34">
        <f t="shared" si="8"/>
        <v>4.5155597718121054E-2</v>
      </c>
      <c r="G9" s="34">
        <f t="shared" si="8"/>
        <v>4.6566952957251662E-2</v>
      </c>
      <c r="H9" s="34">
        <f t="shared" si="8"/>
        <v>5.9982514425598765E-2</v>
      </c>
      <c r="I9" s="34">
        <f t="shared" si="8"/>
        <v>1.739788366072359E-3</v>
      </c>
      <c r="J9" s="34">
        <f t="shared" si="8"/>
        <v>-0.14178252430595195</v>
      </c>
      <c r="K9" s="34">
        <f t="shared" si="8"/>
        <v>3.1660142758461962E-2</v>
      </c>
      <c r="L9" s="34">
        <f t="shared" si="8"/>
        <v>-0.18424283004129005</v>
      </c>
      <c r="M9" s="35">
        <v>0.06</v>
      </c>
      <c r="N9" s="35">
        <v>0.06</v>
      </c>
      <c r="O9" s="35">
        <v>0.06</v>
      </c>
      <c r="P9" s="35">
        <v>0.06</v>
      </c>
      <c r="Q9" s="35">
        <v>0.06</v>
      </c>
      <c r="R9" s="35">
        <v>0.06</v>
      </c>
      <c r="S9" s="35">
        <v>0.06</v>
      </c>
      <c r="T9" s="35">
        <v>0.06</v>
      </c>
      <c r="U9" s="35">
        <v>0.06</v>
      </c>
      <c r="V9" s="35">
        <v>0.06</v>
      </c>
      <c r="W9" s="33"/>
    </row>
    <row r="10" spans="2:23" s="17" customFormat="1" x14ac:dyDescent="0.25">
      <c r="B10" s="27" t="s">
        <v>5</v>
      </c>
      <c r="C10" s="40" t="str">
        <f t="shared" ref="C10:L10" si="9" xml:space="preserve"> IFERROR(C22*C16, "-")</f>
        <v>-</v>
      </c>
      <c r="D10" s="40" t="str">
        <f t="shared" si="9"/>
        <v>-</v>
      </c>
      <c r="E10" s="32">
        <f t="shared" si="9"/>
        <v>190938</v>
      </c>
      <c r="F10" s="32">
        <f t="shared" si="9"/>
        <v>219744</v>
      </c>
      <c r="G10" s="32">
        <f t="shared" si="9"/>
        <v>243810.00000000003</v>
      </c>
      <c r="H10" s="32">
        <f t="shared" si="9"/>
        <v>256326.99999999997</v>
      </c>
      <c r="I10" s="32">
        <f t="shared" si="9"/>
        <v>278536.00000000006</v>
      </c>
      <c r="J10" s="32">
        <f t="shared" si="9"/>
        <v>276336</v>
      </c>
      <c r="K10" s="32">
        <f t="shared" si="9"/>
        <v>272538</v>
      </c>
      <c r="L10" s="32">
        <f t="shared" si="9"/>
        <v>224400</v>
      </c>
      <c r="M10" s="32">
        <f>L10*(1+M11)</f>
        <v>237864</v>
      </c>
      <c r="N10" s="32">
        <f>M10*(1+N11)</f>
        <v>252135.84000000003</v>
      </c>
      <c r="O10" s="32">
        <f t="shared" ref="O10:V10" si="10">N10*(1+O11)</f>
        <v>267263.99040000007</v>
      </c>
      <c r="P10" s="32">
        <f t="shared" si="10"/>
        <v>283299.82982400007</v>
      </c>
      <c r="Q10" s="32">
        <f t="shared" si="10"/>
        <v>300297.81961344008</v>
      </c>
      <c r="R10" s="32">
        <f t="shared" si="10"/>
        <v>318315.6887902465</v>
      </c>
      <c r="S10" s="32">
        <f t="shared" si="10"/>
        <v>337414.63011766132</v>
      </c>
      <c r="T10" s="32">
        <f t="shared" si="10"/>
        <v>357659.50792472099</v>
      </c>
      <c r="U10" s="32">
        <f t="shared" si="10"/>
        <v>379119.07840020425</v>
      </c>
      <c r="V10" s="32">
        <f t="shared" si="10"/>
        <v>401866.22310421651</v>
      </c>
      <c r="W10" s="32"/>
    </row>
    <row r="11" spans="2:23" s="14" customFormat="1" ht="14" x14ac:dyDescent="0.3">
      <c r="B11" s="27" t="s">
        <v>75</v>
      </c>
      <c r="C11" s="41" t="str">
        <f t="shared" ref="C11:L11" si="11" xml:space="preserve"> IFERROR(C10/B10-1,"-")</f>
        <v>-</v>
      </c>
      <c r="D11" s="41" t="str">
        <f t="shared" si="11"/>
        <v>-</v>
      </c>
      <c r="E11" s="33" t="str">
        <f t="shared" si="11"/>
        <v>-</v>
      </c>
      <c r="F11" s="34">
        <f t="shared" si="11"/>
        <v>0.15086572604719861</v>
      </c>
      <c r="G11" s="34">
        <f t="shared" si="11"/>
        <v>0.10951834862385335</v>
      </c>
      <c r="H11" s="33">
        <f t="shared" si="11"/>
        <v>5.1339157540707614E-2</v>
      </c>
      <c r="I11" s="33">
        <f t="shared" si="11"/>
        <v>8.6643233057774216E-2</v>
      </c>
      <c r="J11" s="33">
        <f t="shared" si="11"/>
        <v>-7.8984404170379108E-3</v>
      </c>
      <c r="K11" s="33">
        <f t="shared" si="11"/>
        <v>-1.3744137571651938E-2</v>
      </c>
      <c r="L11" s="33">
        <f t="shared" si="11"/>
        <v>-0.17662858023468286</v>
      </c>
      <c r="M11" s="35">
        <v>0.06</v>
      </c>
      <c r="N11" s="35">
        <v>0.06</v>
      </c>
      <c r="O11" s="35">
        <v>0.06</v>
      </c>
      <c r="P11" s="35">
        <v>0.06</v>
      </c>
      <c r="Q11" s="35">
        <v>0.06</v>
      </c>
      <c r="R11" s="35">
        <v>0.06</v>
      </c>
      <c r="S11" s="35">
        <v>0.06</v>
      </c>
      <c r="T11" s="35">
        <v>0.06</v>
      </c>
      <c r="U11" s="35">
        <v>0.06</v>
      </c>
      <c r="V11" s="35">
        <v>0.06</v>
      </c>
      <c r="W11" s="33"/>
    </row>
    <row r="12" spans="2:23" s="17" customFormat="1" x14ac:dyDescent="0.25">
      <c r="B12" s="27" t="s">
        <v>7</v>
      </c>
      <c r="C12" s="40" t="str">
        <f t="shared" ref="C12:L12" si="12" xml:space="preserve"> IFERROR(C23*C16, "-")</f>
        <v>-</v>
      </c>
      <c r="D12" s="40" t="str">
        <f t="shared" si="12"/>
        <v>-</v>
      </c>
      <c r="E12" s="32">
        <f t="shared" si="12"/>
        <v>22091.999999999996</v>
      </c>
      <c r="F12" s="32">
        <f xml:space="preserve"> IFERROR(F23*F16, "-")</f>
        <v>22672.000000000004</v>
      </c>
      <c r="G12" s="32">
        <f t="shared" si="12"/>
        <v>27090</v>
      </c>
      <c r="H12" s="32">
        <f t="shared" si="12"/>
        <v>22452</v>
      </c>
      <c r="I12" s="32">
        <f t="shared" si="12"/>
        <v>22584</v>
      </c>
      <c r="J12" s="32">
        <f t="shared" si="12"/>
        <v>18180</v>
      </c>
      <c r="K12" s="32">
        <f t="shared" si="12"/>
        <v>16686.000000000004</v>
      </c>
      <c r="L12" s="32">
        <f t="shared" si="12"/>
        <v>13600</v>
      </c>
      <c r="M12" s="32">
        <f>L12*(1+M13)</f>
        <v>14416</v>
      </c>
      <c r="N12" s="32">
        <f>M12*(1+N13)</f>
        <v>15280.960000000001</v>
      </c>
      <c r="O12" s="32">
        <f t="shared" ref="O12:V12" si="13">N12*(1+O13)</f>
        <v>16197.817600000002</v>
      </c>
      <c r="P12" s="32">
        <f t="shared" si="13"/>
        <v>17169.686656000002</v>
      </c>
      <c r="Q12" s="32">
        <f t="shared" si="13"/>
        <v>18199.867855360004</v>
      </c>
      <c r="R12" s="32">
        <f t="shared" si="13"/>
        <v>19291.859926681605</v>
      </c>
      <c r="S12" s="32">
        <f t="shared" si="13"/>
        <v>20449.371522282501</v>
      </c>
      <c r="T12" s="32">
        <f t="shared" si="13"/>
        <v>21676.333813619451</v>
      </c>
      <c r="U12" s="32">
        <f t="shared" si="13"/>
        <v>22976.913842436617</v>
      </c>
      <c r="V12" s="32">
        <f t="shared" si="13"/>
        <v>24355.528672982815</v>
      </c>
      <c r="W12" s="32"/>
    </row>
    <row r="13" spans="2:23" s="14" customFormat="1" ht="14" x14ac:dyDescent="0.3">
      <c r="B13" s="27" t="s">
        <v>75</v>
      </c>
      <c r="C13" s="41" t="str">
        <f t="shared" ref="C13:L13" si="14" xml:space="preserve"> IFERROR(C12/B12-1,"-")</f>
        <v>-</v>
      </c>
      <c r="D13" s="41" t="str">
        <f t="shared" si="14"/>
        <v>-</v>
      </c>
      <c r="E13" s="33" t="str">
        <f t="shared" si="14"/>
        <v>-</v>
      </c>
      <c r="F13" s="34">
        <f t="shared" si="14"/>
        <v>2.6253847546623632E-2</v>
      </c>
      <c r="G13" s="34">
        <f t="shared" si="14"/>
        <v>0.19486591390261099</v>
      </c>
      <c r="H13" s="33">
        <f t="shared" si="14"/>
        <v>-0.17120708748615721</v>
      </c>
      <c r="I13" s="33">
        <f t="shared" si="14"/>
        <v>5.8792089791555036E-3</v>
      </c>
      <c r="J13" s="33">
        <f t="shared" si="14"/>
        <v>-0.19500531349628059</v>
      </c>
      <c r="K13" s="33">
        <f t="shared" si="14"/>
        <v>-8.2178217821782029E-2</v>
      </c>
      <c r="L13" s="33">
        <f t="shared" si="14"/>
        <v>-0.18494546326261552</v>
      </c>
      <c r="M13" s="35">
        <v>0.06</v>
      </c>
      <c r="N13" s="35">
        <v>0.06</v>
      </c>
      <c r="O13" s="35">
        <v>0.06</v>
      </c>
      <c r="P13" s="35">
        <v>0.06</v>
      </c>
      <c r="Q13" s="35">
        <v>0.06</v>
      </c>
      <c r="R13" s="35">
        <v>0.06</v>
      </c>
      <c r="S13" s="35">
        <v>0.06</v>
      </c>
      <c r="T13" s="35">
        <v>0.06</v>
      </c>
      <c r="U13" s="35">
        <v>0.06</v>
      </c>
      <c r="V13" s="35">
        <v>0.06</v>
      </c>
      <c r="W13" s="33"/>
    </row>
    <row r="14" spans="2:23" s="17" customFormat="1" x14ac:dyDescent="0.25">
      <c r="B14" s="27" t="s">
        <v>9</v>
      </c>
      <c r="C14" s="40" t="str">
        <f t="shared" ref="C14:L14" si="15" xml:space="preserve"> IFERROR(C24*C16, "-")</f>
        <v>-</v>
      </c>
      <c r="D14" s="40" t="str">
        <f t="shared" si="15"/>
        <v>-</v>
      </c>
      <c r="E14" s="32">
        <f t="shared" si="15"/>
        <v>580704</v>
      </c>
      <c r="F14" s="32">
        <f t="shared" si="15"/>
        <v>681904</v>
      </c>
      <c r="G14" s="32">
        <f t="shared" si="15"/>
        <v>677250</v>
      </c>
      <c r="H14" s="32">
        <f t="shared" si="15"/>
        <v>681044</v>
      </c>
      <c r="I14" s="32">
        <f t="shared" si="15"/>
        <v>669992.00000000012</v>
      </c>
      <c r="J14" s="32">
        <f t="shared" si="15"/>
        <v>739926</v>
      </c>
      <c r="K14" s="32">
        <f t="shared" si="15"/>
        <v>758286</v>
      </c>
      <c r="L14" s="32">
        <f t="shared" si="15"/>
        <v>804100</v>
      </c>
      <c r="M14" s="32">
        <f>L14*(1+M15)</f>
        <v>852346</v>
      </c>
      <c r="N14" s="32">
        <f>M14*(1+N15)</f>
        <v>903486.76</v>
      </c>
      <c r="O14" s="32">
        <f t="shared" ref="O14:V14" si="16">N14*(1+O15)</f>
        <v>957695.96560000011</v>
      </c>
      <c r="P14" s="32">
        <f t="shared" si="16"/>
        <v>1015157.7235360001</v>
      </c>
      <c r="Q14" s="32">
        <f t="shared" si="16"/>
        <v>1076067.1869481602</v>
      </c>
      <c r="R14" s="32">
        <f t="shared" si="16"/>
        <v>1140631.2181650498</v>
      </c>
      <c r="S14" s="32">
        <f t="shared" si="16"/>
        <v>1209069.0912549528</v>
      </c>
      <c r="T14" s="32">
        <f t="shared" si="16"/>
        <v>1281613.2367302501</v>
      </c>
      <c r="U14" s="32">
        <f t="shared" si="16"/>
        <v>1358510.0309340651</v>
      </c>
      <c r="V14" s="32">
        <f t="shared" si="16"/>
        <v>1440020.6327901091</v>
      </c>
      <c r="W14" s="32"/>
    </row>
    <row r="15" spans="2:23" s="14" customFormat="1" ht="14" x14ac:dyDescent="0.3">
      <c r="B15" s="27" t="s">
        <v>75</v>
      </c>
      <c r="C15" s="41" t="str">
        <f t="shared" ref="C15:L15" si="17" xml:space="preserve"> IFERROR(C14/B14-1,"-")</f>
        <v>-</v>
      </c>
      <c r="D15" s="41" t="str">
        <f t="shared" si="17"/>
        <v>-</v>
      </c>
      <c r="E15" s="33" t="str">
        <f t="shared" si="17"/>
        <v>-</v>
      </c>
      <c r="F15" s="34">
        <f t="shared" si="17"/>
        <v>0.17427122940430917</v>
      </c>
      <c r="G15" s="34">
        <f t="shared" si="17"/>
        <v>-6.8250076257068137E-3</v>
      </c>
      <c r="H15" s="33">
        <f t="shared" si="17"/>
        <v>5.6020671834624558E-3</v>
      </c>
      <c r="I15" s="33">
        <f t="shared" si="17"/>
        <v>-1.6228026383023564E-2</v>
      </c>
      <c r="J15" s="33">
        <f t="shared" si="17"/>
        <v>0.10438035081015884</v>
      </c>
      <c r="K15" s="33">
        <f t="shared" si="17"/>
        <v>2.4813292140024812E-2</v>
      </c>
      <c r="L15" s="33">
        <f t="shared" si="17"/>
        <v>6.0417837069390634E-2</v>
      </c>
      <c r="M15" s="35">
        <v>0.06</v>
      </c>
      <c r="N15" s="35">
        <v>0.06</v>
      </c>
      <c r="O15" s="35">
        <v>0.06</v>
      </c>
      <c r="P15" s="35">
        <v>0.06</v>
      </c>
      <c r="Q15" s="35">
        <v>0.06</v>
      </c>
      <c r="R15" s="35">
        <v>0.06</v>
      </c>
      <c r="S15" s="35">
        <v>0.06</v>
      </c>
      <c r="T15" s="35">
        <v>0.06</v>
      </c>
      <c r="U15" s="35">
        <v>0.06</v>
      </c>
      <c r="V15" s="35">
        <v>0.06</v>
      </c>
      <c r="W15" s="33"/>
    </row>
    <row r="16" spans="2:23" s="17" customFormat="1" x14ac:dyDescent="0.25">
      <c r="B16" s="27" t="s">
        <v>76</v>
      </c>
      <c r="C16" s="32">
        <f xml:space="preserve"> '2011 (2)'!C4 * 1000</f>
        <v>1304000</v>
      </c>
      <c r="D16" s="32">
        <f xml:space="preserve"> '2012 (2)'!C4 * 1000</f>
        <v>1457000</v>
      </c>
      <c r="E16" s="32">
        <f xml:space="preserve"> '2013 (2)'!C4 * 1000</f>
        <v>1578000</v>
      </c>
      <c r="F16" s="32">
        <f xml:space="preserve"> '2014 (2)'!C4 * 1000</f>
        <v>1744000</v>
      </c>
      <c r="G16" s="32">
        <f xml:space="preserve"> '2015 (2)'!C4 * 1000</f>
        <v>1806000</v>
      </c>
      <c r="H16" s="32">
        <f xml:space="preserve"> '2016 (2)'!C4 * 1000</f>
        <v>1871000</v>
      </c>
      <c r="I16" s="32">
        <f xml:space="preserve"> '2017 (2)'!C4 * 1000</f>
        <v>1882000</v>
      </c>
      <c r="J16" s="32">
        <f xml:space="preserve"> '2018 (2)'!C4 * 1000</f>
        <v>1818000</v>
      </c>
      <c r="K16" s="32">
        <f xml:space="preserve"> '2019 (2)'!C4 * 1000</f>
        <v>1854000</v>
      </c>
      <c r="L16" s="32">
        <f xml:space="preserve"> '2020 (2)'!C4 * 1000</f>
        <v>1700000</v>
      </c>
      <c r="M16" s="32">
        <f>M8+M10+M12+M14</f>
        <v>1802000</v>
      </c>
      <c r="N16" s="32">
        <f t="shared" ref="N16:V16" si="18">N8+N10+N12+N14</f>
        <v>1910120</v>
      </c>
      <c r="O16" s="32">
        <f t="shared" si="18"/>
        <v>2024727.2000000002</v>
      </c>
      <c r="P16" s="32">
        <f t="shared" si="18"/>
        <v>2146210.8320000004</v>
      </c>
      <c r="Q16" s="32">
        <f t="shared" si="18"/>
        <v>2274983.4819200002</v>
      </c>
      <c r="R16" s="32">
        <f t="shared" si="18"/>
        <v>2411482.4908352005</v>
      </c>
      <c r="S16" s="32">
        <f t="shared" si="18"/>
        <v>2556171.4402853129</v>
      </c>
      <c r="T16" s="32">
        <f t="shared" si="18"/>
        <v>2709541.7267024317</v>
      </c>
      <c r="U16" s="32">
        <f t="shared" si="18"/>
        <v>2872114.2303045774</v>
      </c>
      <c r="V16" s="32">
        <f t="shared" si="18"/>
        <v>3044441.0841228524</v>
      </c>
      <c r="W16" s="32"/>
    </row>
    <row r="17" spans="2:23" s="14" customFormat="1" ht="13" x14ac:dyDescent="0.3">
      <c r="B17" s="27" t="s">
        <v>75</v>
      </c>
      <c r="C17" s="33" t="str">
        <f t="shared" ref="C17:L17" si="19" xml:space="preserve"> IFERROR(C16/B16-1,"")</f>
        <v/>
      </c>
      <c r="D17" s="33">
        <f t="shared" si="19"/>
        <v>0.11733128834355822</v>
      </c>
      <c r="E17" s="33">
        <f t="shared" si="19"/>
        <v>8.3047357584076886E-2</v>
      </c>
      <c r="F17" s="34">
        <f t="shared" si="19"/>
        <v>0.10519645120405574</v>
      </c>
      <c r="G17" s="34">
        <f t="shared" si="19"/>
        <v>3.5550458715596367E-2</v>
      </c>
      <c r="H17" s="34">
        <f t="shared" si="19"/>
        <v>3.5991140642303465E-2</v>
      </c>
      <c r="I17" s="34">
        <f t="shared" si="19"/>
        <v>5.8792089791555036E-3</v>
      </c>
      <c r="J17" s="34">
        <f t="shared" si="19"/>
        <v>-3.4006376195536703E-2</v>
      </c>
      <c r="K17" s="34">
        <f t="shared" si="19"/>
        <v>1.980198019801982E-2</v>
      </c>
      <c r="L17" s="34">
        <f t="shared" si="19"/>
        <v>-8.3063646170442262E-2</v>
      </c>
      <c r="M17" s="36">
        <f t="shared" ref="M17:V17" si="20">IFERROR(M16/L16-1,"")</f>
        <v>6.0000000000000053E-2</v>
      </c>
      <c r="N17" s="36">
        <f t="shared" si="20"/>
        <v>6.0000000000000053E-2</v>
      </c>
      <c r="O17" s="36">
        <f t="shared" si="20"/>
        <v>6.0000000000000053E-2</v>
      </c>
      <c r="P17" s="36">
        <f t="shared" si="20"/>
        <v>6.0000000000000053E-2</v>
      </c>
      <c r="Q17" s="36">
        <f t="shared" si="20"/>
        <v>5.9999999999999831E-2</v>
      </c>
      <c r="R17" s="36">
        <f t="shared" si="20"/>
        <v>6.0000000000000053E-2</v>
      </c>
      <c r="S17" s="36">
        <f t="shared" si="20"/>
        <v>6.0000000000000053E-2</v>
      </c>
      <c r="T17" s="36">
        <f t="shared" si="20"/>
        <v>6.0000000000000053E-2</v>
      </c>
      <c r="U17" s="36">
        <f t="shared" si="20"/>
        <v>5.9999999999999831E-2</v>
      </c>
      <c r="V17" s="36">
        <f t="shared" si="20"/>
        <v>6.0000000000000053E-2</v>
      </c>
      <c r="W17" s="33"/>
    </row>
    <row r="18" spans="2:23" x14ac:dyDescent="0.25">
      <c r="C18" s="37"/>
      <c r="D18" s="37"/>
      <c r="E18" s="37"/>
      <c r="F18" s="37"/>
      <c r="G18" s="38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spans="2:23" x14ac:dyDescent="0.25">
      <c r="C19" s="37"/>
      <c r="D19" s="37"/>
      <c r="E19" s="37"/>
      <c r="F19" s="37"/>
      <c r="G19" s="39"/>
      <c r="H19" s="38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spans="2:23" s="7" customFormat="1" ht="14" x14ac:dyDescent="0.3">
      <c r="B20" s="30" t="s">
        <v>77</v>
      </c>
    </row>
    <row r="21" spans="2:23" x14ac:dyDescent="0.25">
      <c r="B21" s="27" t="s">
        <v>74</v>
      </c>
      <c r="C21" s="14" t="str">
        <f xml:space="preserve"> '2011'!J4</f>
        <v>-</v>
      </c>
      <c r="D21" s="14" t="str">
        <f xml:space="preserve"> '2012'!J4</f>
        <v>-</v>
      </c>
      <c r="E21" s="14">
        <f xml:space="preserve"> '2013'!J4</f>
        <v>0.49700000000000005</v>
      </c>
      <c r="F21" s="14">
        <f xml:space="preserve"> '2014'!J4</f>
        <v>0.47000000000000003</v>
      </c>
      <c r="G21" s="14">
        <f xml:space="preserve"> '2015'!J4</f>
        <v>0.47500000000000003</v>
      </c>
      <c r="H21" s="14">
        <f xml:space="preserve"> '2016'!J4</f>
        <v>0.48600000000000004</v>
      </c>
      <c r="I21" s="14">
        <f xml:space="preserve"> '2017'!J4</f>
        <v>0.48399999999999999</v>
      </c>
      <c r="J21" s="14">
        <f xml:space="preserve"> '2018'!J4</f>
        <v>0.43</v>
      </c>
      <c r="K21" s="14">
        <f xml:space="preserve"> '2019'!J4</f>
        <v>0.435</v>
      </c>
      <c r="L21" s="14">
        <f xml:space="preserve"> '2020'!J4</f>
        <v>0.38700000000000001</v>
      </c>
    </row>
    <row r="22" spans="2:23" x14ac:dyDescent="0.25">
      <c r="B22" s="27" t="s">
        <v>5</v>
      </c>
      <c r="C22" s="14" t="str">
        <f xml:space="preserve"> '2011'!J5</f>
        <v>-</v>
      </c>
      <c r="D22" s="14" t="str">
        <f xml:space="preserve"> '2012'!J5</f>
        <v>-</v>
      </c>
      <c r="E22" s="14">
        <f xml:space="preserve"> '2013'!J5</f>
        <v>0.121</v>
      </c>
      <c r="F22" s="14">
        <f xml:space="preserve"> '2014'!J5</f>
        <v>0.126</v>
      </c>
      <c r="G22" s="14">
        <f xml:space="preserve"> '2015'!J5</f>
        <v>0.13500000000000001</v>
      </c>
      <c r="H22" s="14">
        <f xml:space="preserve"> '2016'!J5</f>
        <v>0.13699999999999998</v>
      </c>
      <c r="I22" s="14">
        <f xml:space="preserve"> '2017'!J5</f>
        <v>0.14800000000000002</v>
      </c>
      <c r="J22" s="14">
        <f xml:space="preserve"> '2018'!J5</f>
        <v>0.152</v>
      </c>
      <c r="K22" s="14">
        <f xml:space="preserve"> '2019'!J5</f>
        <v>0.14699999999999999</v>
      </c>
      <c r="L22" s="14">
        <f xml:space="preserve"> '2020'!J5</f>
        <v>0.13200000000000001</v>
      </c>
    </row>
    <row r="23" spans="2:23" x14ac:dyDescent="0.25">
      <c r="B23" s="27" t="s">
        <v>7</v>
      </c>
      <c r="C23" s="14" t="str">
        <f xml:space="preserve"> '2011'!J6</f>
        <v>-</v>
      </c>
      <c r="D23" s="14" t="str">
        <f xml:space="preserve"> '2012'!J6</f>
        <v>-</v>
      </c>
      <c r="E23" s="14">
        <f xml:space="preserve"> '2013'!J6</f>
        <v>1.3999999999999999E-2</v>
      </c>
      <c r="F23" s="14">
        <f xml:space="preserve"> '2014'!J6</f>
        <v>1.3000000000000001E-2</v>
      </c>
      <c r="G23" s="14">
        <f xml:space="preserve"> '2015'!J6</f>
        <v>1.4999999999999999E-2</v>
      </c>
      <c r="H23" s="14">
        <f xml:space="preserve"> '2016'!J6</f>
        <v>1.2E-2</v>
      </c>
      <c r="I23" s="14">
        <f xml:space="preserve"> '2017'!J6</f>
        <v>1.2E-2</v>
      </c>
      <c r="J23" s="14">
        <f xml:space="preserve"> '2018'!J6</f>
        <v>0.01</v>
      </c>
      <c r="K23" s="14">
        <f xml:space="preserve"> '2019'!J6</f>
        <v>9.0000000000000011E-3</v>
      </c>
      <c r="L23" s="14">
        <f xml:space="preserve"> '2020'!J6</f>
        <v>8.0000000000000002E-3</v>
      </c>
    </row>
    <row r="24" spans="2:23" x14ac:dyDescent="0.25">
      <c r="B24" s="27" t="s">
        <v>9</v>
      </c>
      <c r="C24" s="14" t="str">
        <f xml:space="preserve"> '2011'!J7</f>
        <v>-</v>
      </c>
      <c r="D24" s="14" t="str">
        <f xml:space="preserve"> '2012'!J7</f>
        <v>-</v>
      </c>
      <c r="E24" s="14">
        <f xml:space="preserve"> '2013'!J7</f>
        <v>0.36799999999999999</v>
      </c>
      <c r="F24" s="14">
        <f xml:space="preserve"> '2014'!J7</f>
        <v>0.39100000000000001</v>
      </c>
      <c r="G24" s="14">
        <f xml:space="preserve"> '2015'!J7</f>
        <v>0.375</v>
      </c>
      <c r="H24" s="14">
        <f xml:space="preserve"> '2016'!J7</f>
        <v>0.36399999999999999</v>
      </c>
      <c r="I24" s="14">
        <f xml:space="preserve"> '2017'!J7</f>
        <v>0.35600000000000004</v>
      </c>
      <c r="J24" s="14">
        <f xml:space="preserve"> '2018'!J7</f>
        <v>0.40700000000000003</v>
      </c>
      <c r="K24" s="14">
        <f xml:space="preserve"> '2019'!J7</f>
        <v>0.40899999999999997</v>
      </c>
      <c r="L24" s="14">
        <f xml:space="preserve"> '2020'!J7</f>
        <v>0.47299999999999998</v>
      </c>
    </row>
    <row r="25" spans="2:23" x14ac:dyDescent="0.25">
      <c r="B25" s="27" t="s">
        <v>76</v>
      </c>
      <c r="E25" s="14">
        <f>SUM(E21:E24)</f>
        <v>1</v>
      </c>
      <c r="F25" s="14">
        <f t="shared" ref="F25:L25" si="21">SUM(F21:F24)</f>
        <v>1</v>
      </c>
      <c r="G25" s="14">
        <f t="shared" si="21"/>
        <v>1</v>
      </c>
      <c r="H25" s="14">
        <f t="shared" si="21"/>
        <v>0.999</v>
      </c>
      <c r="I25" s="14">
        <f t="shared" si="21"/>
        <v>1</v>
      </c>
      <c r="J25" s="14">
        <f t="shared" si="21"/>
        <v>0.999</v>
      </c>
      <c r="K25" s="14">
        <f t="shared" si="21"/>
        <v>1</v>
      </c>
      <c r="L25" s="14">
        <f t="shared" si="21"/>
        <v>1</v>
      </c>
    </row>
    <row r="28" spans="2:23" s="7" customFormat="1" ht="14" x14ac:dyDescent="0.3">
      <c r="B28" s="31" t="s">
        <v>78</v>
      </c>
    </row>
    <row r="30" spans="2:23" ht="14" x14ac:dyDescent="0.3">
      <c r="B30" s="54" t="s">
        <v>2</v>
      </c>
      <c r="C30"/>
      <c r="D30"/>
      <c r="E30"/>
      <c r="F30"/>
      <c r="G30"/>
      <c r="H30"/>
      <c r="I30"/>
      <c r="J30"/>
      <c r="K30"/>
      <c r="L30"/>
      <c r="N30" s="16"/>
      <c r="O30" s="16"/>
      <c r="P30" s="16"/>
      <c r="Q30" s="16"/>
      <c r="R30" s="16"/>
      <c r="S30" s="16"/>
      <c r="T30" s="16"/>
      <c r="U30" s="16"/>
      <c r="V30" s="16"/>
    </row>
    <row r="31" spans="2:23" x14ac:dyDescent="0.25">
      <c r="B31" s="52" t="s">
        <v>14</v>
      </c>
      <c r="C31" s="55">
        <v>117566</v>
      </c>
      <c r="D31" s="55">
        <v>123111</v>
      </c>
      <c r="E31" s="55">
        <v>120520</v>
      </c>
      <c r="F31" s="55">
        <v>115377</v>
      </c>
      <c r="G31" s="55">
        <v>116250</v>
      </c>
      <c r="H31" s="55">
        <v>105252</v>
      </c>
      <c r="I31" s="55">
        <v>95346</v>
      </c>
      <c r="J31" s="55">
        <v>80387</v>
      </c>
      <c r="K31" s="55">
        <v>81287</v>
      </c>
      <c r="L31" s="55">
        <v>62099</v>
      </c>
    </row>
    <row r="32" spans="2:23" x14ac:dyDescent="0.25">
      <c r="B32" s="27" t="s">
        <v>75</v>
      </c>
      <c r="C32" s="58" t="str">
        <f>IFERROR(B31/C31-1,"")</f>
        <v/>
      </c>
      <c r="D32" s="58">
        <f>IFERROR(C31/D31-1,"")</f>
        <v>-4.5040654368821653E-2</v>
      </c>
      <c r="E32" s="58">
        <f t="shared" ref="E32:L32" si="22">IFERROR(D31/E31-1,"")</f>
        <v>2.1498506471954837E-2</v>
      </c>
      <c r="F32" s="58">
        <f t="shared" si="22"/>
        <v>4.4575608656838073E-2</v>
      </c>
      <c r="G32" s="58">
        <f t="shared" si="22"/>
        <v>-7.509677419354821E-3</v>
      </c>
      <c r="H32" s="58">
        <f t="shared" si="22"/>
        <v>0.10449207616007294</v>
      </c>
      <c r="I32" s="58">
        <f t="shared" si="22"/>
        <v>0.10389528664023651</v>
      </c>
      <c r="J32" s="58">
        <f t="shared" si="22"/>
        <v>0.18608730267331786</v>
      </c>
      <c r="K32" s="58">
        <f t="shared" si="22"/>
        <v>-1.1071881112601045E-2</v>
      </c>
      <c r="L32" s="58">
        <f t="shared" si="22"/>
        <v>0.30899048293853371</v>
      </c>
      <c r="M32" s="9"/>
    </row>
    <row r="33" spans="2:13" x14ac:dyDescent="0.25">
      <c r="B33" s="52" t="s">
        <v>8</v>
      </c>
      <c r="C33" s="55">
        <v>189068</v>
      </c>
      <c r="D33" s="55">
        <v>164666</v>
      </c>
      <c r="E33" s="55">
        <v>221097</v>
      </c>
      <c r="F33" s="55">
        <v>351526</v>
      </c>
      <c r="G33" s="55">
        <v>370144</v>
      </c>
      <c r="H33" s="55">
        <v>361983</v>
      </c>
      <c r="I33" s="55">
        <v>313380</v>
      </c>
      <c r="J33" s="55">
        <v>304903</v>
      </c>
      <c r="K33" s="55">
        <v>240795</v>
      </c>
      <c r="L33" s="55">
        <v>206482</v>
      </c>
    </row>
    <row r="34" spans="2:13" x14ac:dyDescent="0.25">
      <c r="B34" s="27" t="s">
        <v>75</v>
      </c>
      <c r="C34" s="58" t="str">
        <f>IFERROR(B33/C33-1,"")</f>
        <v/>
      </c>
      <c r="D34" s="58">
        <f>IFERROR(C33/D33-1,"")</f>
        <v>0.14819088336390029</v>
      </c>
      <c r="E34" s="58">
        <f t="shared" ref="E34" si="23">IFERROR(D33/E33-1,"")</f>
        <v>-0.25523186655630792</v>
      </c>
      <c r="F34" s="58">
        <f t="shared" ref="F34" si="24">IFERROR(E33/F33-1,"")</f>
        <v>-0.37103656628528192</v>
      </c>
      <c r="G34" s="58">
        <f t="shared" ref="G34" si="25">IFERROR(F33/G33-1,"")</f>
        <v>-5.0299342958416204E-2</v>
      </c>
      <c r="H34" s="58">
        <f t="shared" ref="H34" si="26">IFERROR(G33/H33-1,"")</f>
        <v>2.2545257650221195E-2</v>
      </c>
      <c r="I34" s="58">
        <f t="shared" ref="I34" si="27">IFERROR(H33/I33-1,"")</f>
        <v>0.15509285851043453</v>
      </c>
      <c r="J34" s="58">
        <f t="shared" ref="J34" si="28">IFERROR(I33/J33-1,"")</f>
        <v>2.7802284661023302E-2</v>
      </c>
      <c r="K34" s="58">
        <f t="shared" ref="K34" si="29">IFERROR(J33/K33-1,"")</f>
        <v>0.26623476401088064</v>
      </c>
      <c r="L34" s="58">
        <f t="shared" ref="L34" si="30">IFERROR(K33/L33-1,"")</f>
        <v>0.16617913425867625</v>
      </c>
    </row>
    <row r="35" spans="2:13" x14ac:dyDescent="0.25">
      <c r="B35" s="52" t="s">
        <v>4</v>
      </c>
      <c r="C35" s="55">
        <v>321045</v>
      </c>
      <c r="D35" s="55">
        <v>329759</v>
      </c>
      <c r="E35" s="55">
        <v>338449</v>
      </c>
      <c r="F35" s="55">
        <v>328465</v>
      </c>
      <c r="G35" s="55">
        <v>318788</v>
      </c>
      <c r="H35" s="55">
        <v>357999</v>
      </c>
      <c r="I35" s="55">
        <v>325307</v>
      </c>
      <c r="J35" s="55">
        <v>344623</v>
      </c>
      <c r="K35" s="55">
        <v>323387</v>
      </c>
      <c r="L35" s="55">
        <v>243566</v>
      </c>
    </row>
    <row r="36" spans="2:13" x14ac:dyDescent="0.25">
      <c r="B36" s="27" t="s">
        <v>75</v>
      </c>
      <c r="C36" s="58" t="str">
        <f>IFERROR(B35/C35-1,"")</f>
        <v/>
      </c>
      <c r="D36" s="58">
        <f>IFERROR(C35/D35-1,"")</f>
        <v>-2.6425359125907155E-2</v>
      </c>
      <c r="E36" s="58">
        <f t="shared" ref="E36" si="31">IFERROR(D35/E35-1,"")</f>
        <v>-2.5675951177282275E-2</v>
      </c>
      <c r="F36" s="58">
        <f t="shared" ref="F36" si="32">IFERROR(E35/F35-1,"")</f>
        <v>3.0395932595558062E-2</v>
      </c>
      <c r="G36" s="58">
        <f t="shared" ref="G36" si="33">IFERROR(F35/G35-1,"")</f>
        <v>3.0355596822966957E-2</v>
      </c>
      <c r="H36" s="58">
        <f t="shared" ref="H36" si="34">IFERROR(G35/H35-1,"")</f>
        <v>-0.1095282389056953</v>
      </c>
      <c r="I36" s="58">
        <f t="shared" ref="I36" si="35">IFERROR(H35/I35-1,"")</f>
        <v>0.1004958393148625</v>
      </c>
      <c r="J36" s="58">
        <f t="shared" ref="J36" si="36">IFERROR(I35/J35-1,"")</f>
        <v>-5.6049654259872406E-2</v>
      </c>
      <c r="K36" s="58">
        <f t="shared" ref="K36" si="37">IFERROR(J35/K35-1,"")</f>
        <v>6.5667451072553895E-2</v>
      </c>
      <c r="L36" s="58">
        <f t="shared" ref="L36" si="38">IFERROR(K35/L35-1,"")</f>
        <v>0.32771815442221008</v>
      </c>
    </row>
    <row r="37" spans="2:13" x14ac:dyDescent="0.25">
      <c r="B37" s="52" t="s">
        <v>15</v>
      </c>
      <c r="C37" s="55">
        <v>111758</v>
      </c>
      <c r="D37" s="55">
        <v>103357</v>
      </c>
      <c r="E37" s="55">
        <v>98207</v>
      </c>
      <c r="F37" s="55">
        <v>88545</v>
      </c>
      <c r="G37" s="55">
        <v>79133</v>
      </c>
      <c r="H37" s="55">
        <v>65117</v>
      </c>
      <c r="I37" s="55">
        <v>119595</v>
      </c>
      <c r="J37" s="55">
        <v>111544</v>
      </c>
      <c r="K37" s="55">
        <v>93077</v>
      </c>
      <c r="L37" s="55">
        <v>56786</v>
      </c>
    </row>
    <row r="38" spans="2:13" x14ac:dyDescent="0.25">
      <c r="B38" s="27" t="s">
        <v>75</v>
      </c>
      <c r="C38" s="58" t="str">
        <f>IFERROR(B37/C37-1,"")</f>
        <v/>
      </c>
      <c r="D38" s="58">
        <f>IFERROR(C37/D37-1,"")</f>
        <v>8.1281383941097296E-2</v>
      </c>
      <c r="E38" s="58">
        <f t="shared" ref="E38" si="39">IFERROR(D37/E37-1,"")</f>
        <v>5.2440253749732602E-2</v>
      </c>
      <c r="F38" s="58">
        <f t="shared" ref="F38" si="40">IFERROR(E37/F37-1,"")</f>
        <v>0.10911965667174872</v>
      </c>
      <c r="G38" s="58">
        <f t="shared" ref="G38" si="41">IFERROR(F37/G37-1,"")</f>
        <v>0.11893900142797564</v>
      </c>
      <c r="H38" s="58">
        <f t="shared" ref="H38" si="42">IFERROR(G37/H37-1,"")</f>
        <v>0.21524333123454698</v>
      </c>
      <c r="I38" s="58">
        <f t="shared" ref="I38" si="43">IFERROR(H37/I37-1,"")</f>
        <v>-0.45552071574898612</v>
      </c>
      <c r="J38" s="58">
        <f t="shared" ref="J38" si="44">IFERROR(I37/J37-1,"")</f>
        <v>7.2177795309474213E-2</v>
      </c>
      <c r="K38" s="58">
        <f t="shared" ref="K38" si="45">IFERROR(J37/K37-1,"")</f>
        <v>0.19840562115237925</v>
      </c>
      <c r="L38" s="58">
        <f t="shared" ref="L38" si="46">IFERROR(K37/L37-1,"")</f>
        <v>0.63908357693797768</v>
      </c>
    </row>
    <row r="39" spans="2:13" x14ac:dyDescent="0.25">
      <c r="B39" s="52" t="s">
        <v>10</v>
      </c>
      <c r="C39" s="55">
        <v>241862</v>
      </c>
      <c r="D39" s="55">
        <v>284888</v>
      </c>
      <c r="E39" s="55">
        <v>288739</v>
      </c>
      <c r="F39" s="55">
        <v>307693</v>
      </c>
      <c r="G39" s="55">
        <v>293960</v>
      </c>
      <c r="H39" s="55">
        <v>276211</v>
      </c>
      <c r="I39" s="55">
        <v>259618</v>
      </c>
      <c r="J39" s="55">
        <v>254705</v>
      </c>
      <c r="K39" s="55">
        <v>232569</v>
      </c>
      <c r="L39" s="55">
        <v>271679</v>
      </c>
    </row>
    <row r="40" spans="2:13" x14ac:dyDescent="0.25">
      <c r="B40" s="27" t="s">
        <v>75</v>
      </c>
      <c r="C40" s="58" t="str">
        <f>IFERROR(B39/C39-1,"")</f>
        <v/>
      </c>
      <c r="D40" s="58">
        <f>IFERROR(C39/D39-1,"")</f>
        <v>-0.15102777231754239</v>
      </c>
      <c r="E40" s="58">
        <f t="shared" ref="E40" si="47">IFERROR(D39/E39-1,"")</f>
        <v>-1.3337304624591706E-2</v>
      </c>
      <c r="F40" s="58">
        <f t="shared" ref="F40" si="48">IFERROR(E39/F39-1,"")</f>
        <v>-6.1600361399186898E-2</v>
      </c>
      <c r="G40" s="58">
        <f t="shared" ref="G40" si="49">IFERROR(F39/G39-1,"")</f>
        <v>4.6717240440876218E-2</v>
      </c>
      <c r="H40" s="58">
        <f t="shared" ref="H40" si="50">IFERROR(G39/H39-1,"")</f>
        <v>6.4258845592680913E-2</v>
      </c>
      <c r="I40" s="58">
        <f t="shared" ref="I40" si="51">IFERROR(H39/I39-1,"")</f>
        <v>6.391313391213238E-2</v>
      </c>
      <c r="J40" s="58">
        <f t="shared" ref="J40" si="52">IFERROR(I39/J39-1,"")</f>
        <v>1.9288981370605196E-2</v>
      </c>
      <c r="K40" s="58">
        <f t="shared" ref="K40" si="53">IFERROR(J39/K39-1,"")</f>
        <v>9.5180355077417955E-2</v>
      </c>
      <c r="L40" s="58">
        <f t="shared" ref="L40" si="54">IFERROR(K39/L39-1,"")</f>
        <v>-0.14395665472855834</v>
      </c>
    </row>
    <row r="41" spans="2:13" x14ac:dyDescent="0.25">
      <c r="B41" s="52" t="s">
        <v>19</v>
      </c>
      <c r="C41" s="55">
        <v>37301</v>
      </c>
      <c r="D41" s="55">
        <v>28950</v>
      </c>
      <c r="E41" s="55">
        <v>30799</v>
      </c>
      <c r="F41" s="55">
        <v>27709</v>
      </c>
      <c r="G41" s="55">
        <v>29158</v>
      </c>
      <c r="H41" s="55">
        <v>26308</v>
      </c>
      <c r="I41" s="55">
        <v>16968</v>
      </c>
      <c r="J41" s="55">
        <v>20058</v>
      </c>
      <c r="K41" s="55">
        <v>17068</v>
      </c>
      <c r="L41" s="55">
        <v>18083</v>
      </c>
    </row>
    <row r="42" spans="2:13" x14ac:dyDescent="0.25">
      <c r="B42" s="27" t="s">
        <v>75</v>
      </c>
      <c r="C42" s="58" t="str">
        <f>IFERROR(B41/C41-1,"")</f>
        <v/>
      </c>
      <c r="D42" s="58">
        <f>IFERROR(C41/D41-1,"")</f>
        <v>0.2884628670120899</v>
      </c>
      <c r="E42" s="58">
        <f t="shared" ref="E42" si="55">IFERROR(D41/E41-1,"")</f>
        <v>-6.0034416701840954E-2</v>
      </c>
      <c r="F42" s="58">
        <f t="shared" ref="F42" si="56">IFERROR(E41/F41-1,"")</f>
        <v>0.11151611389801142</v>
      </c>
      <c r="G42" s="58">
        <f t="shared" ref="G42" si="57">IFERROR(F41/G41-1,"")</f>
        <v>-4.9694766444886462E-2</v>
      </c>
      <c r="H42" s="58">
        <f t="shared" ref="H42" si="58">IFERROR(G41/H41-1,"")</f>
        <v>0.10833206629162229</v>
      </c>
      <c r="I42" s="58">
        <f t="shared" ref="I42" si="59">IFERROR(H41/I41-1,"")</f>
        <v>0.55044790193305038</v>
      </c>
      <c r="J42" s="58">
        <f t="shared" ref="J42" si="60">IFERROR(I41/J41-1,"")</f>
        <v>-0.15405324558779543</v>
      </c>
      <c r="K42" s="58">
        <f t="shared" ref="K42" si="61">IFERROR(J41/K41-1,"")</f>
        <v>0.17518162643543467</v>
      </c>
      <c r="L42" s="58">
        <f t="shared" ref="L42" si="62">IFERROR(K41/L41-1,"")</f>
        <v>-5.6130066913675836E-2</v>
      </c>
    </row>
    <row r="43" spans="2:13" x14ac:dyDescent="0.25">
      <c r="B43" s="52" t="s">
        <v>18</v>
      </c>
      <c r="C43" s="55">
        <v>38542</v>
      </c>
      <c r="D43" s="55">
        <v>35932</v>
      </c>
      <c r="E43" s="55">
        <v>39717</v>
      </c>
      <c r="F43" s="55">
        <v>39557</v>
      </c>
      <c r="G43" s="55">
        <v>27065</v>
      </c>
      <c r="H43" s="55">
        <v>24179</v>
      </c>
      <c r="I43" s="55">
        <v>15854</v>
      </c>
      <c r="J43" s="55">
        <v>24541</v>
      </c>
      <c r="K43" s="55">
        <v>23826</v>
      </c>
      <c r="L43" s="55">
        <v>20591</v>
      </c>
    </row>
    <row r="44" spans="2:13" x14ac:dyDescent="0.25">
      <c r="B44" s="52" t="s">
        <v>75</v>
      </c>
      <c r="C44" s="58" t="str">
        <f>IFERROR(B43/C43-1,"")</f>
        <v/>
      </c>
      <c r="D44" s="58">
        <f>IFERROR(C43/D43-1,"")</f>
        <v>7.2637203606812806E-2</v>
      </c>
      <c r="E44" s="58">
        <f t="shared" ref="E44" si="63">IFERROR(D43/E43-1,"")</f>
        <v>-9.5299242138127238E-2</v>
      </c>
      <c r="F44" s="58">
        <f t="shared" ref="F44" si="64">IFERROR(E43/F43-1,"")</f>
        <v>4.0447961169958191E-3</v>
      </c>
      <c r="G44" s="58">
        <f t="shared" ref="G44" si="65">IFERROR(F43/G43-1,"")</f>
        <v>0.46155551450212462</v>
      </c>
      <c r="H44" s="58">
        <f t="shared" ref="H44" si="66">IFERROR(G43/H43-1,"")</f>
        <v>0.11935977501137351</v>
      </c>
      <c r="I44" s="58">
        <f t="shared" ref="I44" si="67">IFERROR(H43/I43-1,"")</f>
        <v>0.52510407468146836</v>
      </c>
      <c r="J44" s="58">
        <f t="shared" ref="J44" si="68">IFERROR(I43/J43-1,"")</f>
        <v>-0.35397905545821273</v>
      </c>
      <c r="K44" s="58">
        <f t="shared" ref="K44" si="69">IFERROR(J43/K43-1,"")</f>
        <v>3.000923361034169E-2</v>
      </c>
      <c r="L44" s="58">
        <f t="shared" ref="L44" si="70">IFERROR(K43/L43-1,"")</f>
        <v>0.15710747413918713</v>
      </c>
    </row>
    <row r="45" spans="2:13" s="9" customFormat="1" x14ac:dyDescent="0.25">
      <c r="B45" s="52" t="s">
        <v>16</v>
      </c>
      <c r="C45" s="59" t="s">
        <v>85</v>
      </c>
      <c r="D45" s="59" t="s">
        <v>85</v>
      </c>
      <c r="E45" s="59" t="s">
        <v>85</v>
      </c>
      <c r="F45" s="59" t="s">
        <v>85</v>
      </c>
      <c r="G45" s="59" t="s">
        <v>85</v>
      </c>
      <c r="H45" s="59" t="s">
        <v>85</v>
      </c>
      <c r="I45" s="59" t="s">
        <v>85</v>
      </c>
      <c r="J45" s="55">
        <v>2425</v>
      </c>
      <c r="K45" s="55">
        <v>43376</v>
      </c>
      <c r="L45" s="55">
        <v>43157</v>
      </c>
      <c r="M45" s="4"/>
    </row>
    <row r="46" spans="2:13" x14ac:dyDescent="0.25">
      <c r="B46" s="27" t="s">
        <v>75</v>
      </c>
      <c r="C46" s="58" t="str">
        <f>IFERROR(B45/C45-1,"")</f>
        <v/>
      </c>
      <c r="D46" s="58" t="str">
        <f>IFERROR(C45/D45-1,"")</f>
        <v/>
      </c>
      <c r="E46" s="58" t="str">
        <f t="shared" ref="E46" si="71">IFERROR(D45/E45-1,"")</f>
        <v/>
      </c>
      <c r="F46" s="58" t="str">
        <f t="shared" ref="F46" si="72">IFERROR(E45/F45-1,"")</f>
        <v/>
      </c>
      <c r="G46" s="58" t="str">
        <f t="shared" ref="G46" si="73">IFERROR(F45/G45-1,"")</f>
        <v/>
      </c>
      <c r="H46" s="58" t="str">
        <f t="shared" ref="H46" si="74">IFERROR(G45/H45-1,"")</f>
        <v/>
      </c>
      <c r="I46" s="58" t="str">
        <f t="shared" ref="I46" si="75">IFERROR(H45/I45-1,"")</f>
        <v/>
      </c>
      <c r="J46" s="58" t="str">
        <f t="shared" ref="J46" si="76">IFERROR(I45/J45-1,"")</f>
        <v/>
      </c>
      <c r="K46" s="58">
        <f t="shared" ref="K46" si="77">IFERROR(J45/K45-1,"")</f>
        <v>-0.94409350793065294</v>
      </c>
      <c r="L46" s="58">
        <f t="shared" ref="L46" si="78">IFERROR(K45/L45-1,"")</f>
        <v>5.074495446856897E-3</v>
      </c>
    </row>
    <row r="47" spans="2:13" x14ac:dyDescent="0.25">
      <c r="B47" s="52"/>
      <c r="C47" s="56"/>
      <c r="D47" s="56"/>
      <c r="E47" s="56"/>
      <c r="F47" s="56"/>
      <c r="G47" s="56"/>
      <c r="H47" s="56"/>
      <c r="I47" s="56"/>
      <c r="J47" s="55"/>
      <c r="K47" s="55"/>
      <c r="L47" s="55"/>
    </row>
    <row r="48" spans="2:13" x14ac:dyDescent="0.25">
      <c r="B48" s="52" t="s">
        <v>12</v>
      </c>
      <c r="C48" s="56"/>
      <c r="D48" s="56"/>
      <c r="E48" s="56"/>
      <c r="F48" s="56"/>
      <c r="G48" s="55">
        <v>67</v>
      </c>
      <c r="H48" s="55">
        <v>19419</v>
      </c>
      <c r="I48" s="55">
        <v>102084</v>
      </c>
      <c r="J48" s="55">
        <v>108386</v>
      </c>
      <c r="K48" s="55">
        <v>130225</v>
      </c>
      <c r="L48" s="55">
        <v>124346</v>
      </c>
    </row>
    <row r="49" spans="2:12" x14ac:dyDescent="0.25">
      <c r="B49" s="27" t="s">
        <v>75</v>
      </c>
      <c r="C49" s="58" t="str">
        <f>IFERROR(B48/C48-1,"")</f>
        <v/>
      </c>
      <c r="D49" s="58" t="str">
        <f>IFERROR(C48/D48-1,"")</f>
        <v/>
      </c>
      <c r="E49" s="58" t="str">
        <f t="shared" ref="E49" si="79">IFERROR(D48/E48-1,"")</f>
        <v/>
      </c>
      <c r="F49" s="58" t="str">
        <f t="shared" ref="F49" si="80">IFERROR(E48/F48-1,"")</f>
        <v/>
      </c>
      <c r="G49" s="58">
        <f>IFERROR(F48/G48-1,"")</f>
        <v>-1</v>
      </c>
      <c r="H49" s="58">
        <f>IFERROR(G48/H48-1,"")</f>
        <v>-0.99654977084298879</v>
      </c>
      <c r="I49" s="58">
        <f t="shared" ref="I49" si="81">IFERROR(H48/I48-1,"")</f>
        <v>-0.80977430351475255</v>
      </c>
      <c r="J49" s="58">
        <f t="shared" ref="J49" si="82">IFERROR(I48/J48-1,"")</f>
        <v>-5.8144040743269398E-2</v>
      </c>
      <c r="K49" s="58">
        <f t="shared" ref="K49" si="83">IFERROR(J48/K48-1,"")</f>
        <v>-0.1677020541370704</v>
      </c>
      <c r="L49" s="58">
        <f t="shared" ref="L49" si="84">IFERROR(K48/L48-1,"")</f>
        <v>4.7279365641033966E-2</v>
      </c>
    </row>
    <row r="50" spans="2:12" x14ac:dyDescent="0.25">
      <c r="B50" s="52" t="s">
        <v>11</v>
      </c>
      <c r="C50" s="55">
        <v>19613</v>
      </c>
      <c r="D50" s="55">
        <v>106918</v>
      </c>
      <c r="E50" s="55">
        <v>152163</v>
      </c>
      <c r="F50" s="55">
        <v>200097</v>
      </c>
      <c r="G50" s="55">
        <v>205445</v>
      </c>
      <c r="H50" s="55">
        <v>231452</v>
      </c>
      <c r="I50" s="55">
        <v>205006</v>
      </c>
      <c r="J50" s="55">
        <v>167707</v>
      </c>
      <c r="K50" s="55">
        <v>195566</v>
      </c>
      <c r="L50" s="55">
        <v>219662</v>
      </c>
    </row>
    <row r="51" spans="2:12" x14ac:dyDescent="0.25">
      <c r="B51" s="27" t="s">
        <v>75</v>
      </c>
      <c r="C51" s="58" t="str">
        <f>IFERROR(B50/C50-1,"")</f>
        <v/>
      </c>
      <c r="D51" s="58">
        <f>IFERROR(C50/D50-1,"")</f>
        <v>-0.8165603546643222</v>
      </c>
      <c r="E51" s="58">
        <f t="shared" ref="E51" si="85">IFERROR(D50/E50-1,"")</f>
        <v>-0.29734560964229151</v>
      </c>
      <c r="F51" s="58">
        <f t="shared" ref="F51" si="86">IFERROR(E50/F50-1,"")</f>
        <v>-0.23955381639904649</v>
      </c>
      <c r="G51" s="58">
        <f>IFERROR(F50/G50-1,"")</f>
        <v>-2.6031297914283602E-2</v>
      </c>
      <c r="H51" s="58">
        <f>IFERROR(G50/H50-1,"")</f>
        <v>-0.11236455074918339</v>
      </c>
      <c r="I51" s="58">
        <f t="shared" ref="I51" si="87">IFERROR(H50/I50-1,"")</f>
        <v>0.12900110240675877</v>
      </c>
      <c r="J51" s="58">
        <f t="shared" ref="J51" si="88">IFERROR(I50/J50-1,"")</f>
        <v>0.22240574335000929</v>
      </c>
      <c r="K51" s="58">
        <f t="shared" ref="K51" si="89">IFERROR(J50/K50-1,"")</f>
        <v>-0.1424531871593222</v>
      </c>
      <c r="L51" s="58">
        <f t="shared" ref="L51" si="90">IFERROR(K50/L50-1,"")</f>
        <v>-0.10969580537371049</v>
      </c>
    </row>
    <row r="52" spans="2:12" x14ac:dyDescent="0.25">
      <c r="B52" s="52" t="s">
        <v>6</v>
      </c>
      <c r="C52" s="55">
        <v>183678</v>
      </c>
      <c r="D52" s="55">
        <v>209799</v>
      </c>
      <c r="E52" s="55">
        <v>231435</v>
      </c>
      <c r="F52" s="55">
        <v>260853</v>
      </c>
      <c r="G52" s="55">
        <v>267861</v>
      </c>
      <c r="H52" s="55">
        <v>297750</v>
      </c>
      <c r="I52" s="55">
        <v>289959</v>
      </c>
      <c r="J52" s="55">
        <v>298645</v>
      </c>
      <c r="K52" s="55">
        <v>286365</v>
      </c>
      <c r="L52" s="55">
        <v>275888</v>
      </c>
    </row>
    <row r="53" spans="2:12" x14ac:dyDescent="0.25">
      <c r="B53" s="27" t="s">
        <v>75</v>
      </c>
      <c r="C53" s="58" t="str">
        <f>IFERROR(B52/C52-1,"")</f>
        <v/>
      </c>
      <c r="D53" s="58">
        <f>IFERROR(C52/D52-1,"")</f>
        <v>-0.124504883245392</v>
      </c>
      <c r="E53" s="58">
        <f t="shared" ref="E53" si="91">IFERROR(D52/E52-1,"")</f>
        <v>-9.3486292047443076E-2</v>
      </c>
      <c r="F53" s="58">
        <f t="shared" ref="F53" si="92">IFERROR(E52/F52-1,"")</f>
        <v>-0.11277616128624168</v>
      </c>
      <c r="G53" s="58">
        <f>IFERROR(F52/G52-1,"")</f>
        <v>-2.6162823255345136E-2</v>
      </c>
      <c r="H53" s="58">
        <f>IFERROR(G52/H52-1,"")</f>
        <v>-0.10038287153652392</v>
      </c>
      <c r="I53" s="58">
        <f t="shared" ref="I53" si="93">IFERROR(H52/I52-1,"")</f>
        <v>2.6869316006745692E-2</v>
      </c>
      <c r="J53" s="58">
        <f t="shared" ref="J53" si="94">IFERROR(I52/J52-1,"")</f>
        <v>-2.9084699224832145E-2</v>
      </c>
      <c r="K53" s="58">
        <f t="shared" ref="K53" si="95">IFERROR(J52/K52-1,"")</f>
        <v>4.2882335480942224E-2</v>
      </c>
      <c r="L53" s="58">
        <f t="shared" ref="L53" si="96">IFERROR(K52/L52-1,"")</f>
        <v>3.7975555297802055E-2</v>
      </c>
    </row>
    <row r="54" spans="2:12" x14ac:dyDescent="0.25">
      <c r="B54" s="52" t="s">
        <v>13</v>
      </c>
      <c r="C54" s="55">
        <v>53703</v>
      </c>
      <c r="D54" s="55">
        <v>54558</v>
      </c>
      <c r="E54" s="55">
        <v>63400</v>
      </c>
      <c r="F54" s="55">
        <v>61012</v>
      </c>
      <c r="G54" s="55">
        <v>82340</v>
      </c>
      <c r="H54" s="55">
        <v>103344</v>
      </c>
      <c r="I54" s="55">
        <v>106515</v>
      </c>
      <c r="J54" s="55">
        <v>110593</v>
      </c>
      <c r="K54" s="55">
        <v>63633</v>
      </c>
      <c r="L54" s="55">
        <v>65574</v>
      </c>
    </row>
    <row r="55" spans="2:12" x14ac:dyDescent="0.25">
      <c r="B55" s="27" t="s">
        <v>75</v>
      </c>
      <c r="C55" s="58" t="str">
        <f>IFERROR(B54/C54-1,"")</f>
        <v/>
      </c>
      <c r="D55" s="58">
        <f>IFERROR(C54/D54-1,"")</f>
        <v>-1.5671395579016867E-2</v>
      </c>
      <c r="E55" s="58">
        <f t="shared" ref="E55" si="97">IFERROR(D54/E54-1,"")</f>
        <v>-0.13946372239747629</v>
      </c>
      <c r="F55" s="58">
        <f t="shared" ref="F55" si="98">IFERROR(E54/F54-1,"")</f>
        <v>3.9139841342686665E-2</v>
      </c>
      <c r="G55" s="58">
        <f>IFERROR(F54/G54-1,"")</f>
        <v>-0.25902356084527567</v>
      </c>
      <c r="H55" s="58">
        <f>IFERROR(G54/H54-1,"")</f>
        <v>-0.20324353615110702</v>
      </c>
      <c r="I55" s="58">
        <f t="shared" ref="I55" si="99">IFERROR(H54/I54-1,"")</f>
        <v>-2.9770454865511886E-2</v>
      </c>
      <c r="J55" s="58">
        <f t="shared" ref="J55" si="100">IFERROR(I54/J54-1,"")</f>
        <v>-3.6873943197128223E-2</v>
      </c>
      <c r="K55" s="58">
        <f t="shared" ref="K55" si="101">IFERROR(J54/K54-1,"")</f>
        <v>0.73798186475570859</v>
      </c>
      <c r="L55" s="58">
        <f t="shared" ref="L55" si="102">IFERROR(K54/L54-1,"")</f>
        <v>-2.9600146399487604E-2</v>
      </c>
    </row>
    <row r="56" spans="2:12" x14ac:dyDescent="0.25">
      <c r="B56" s="52" t="s">
        <v>17</v>
      </c>
      <c r="C56" s="59" t="s">
        <v>85</v>
      </c>
      <c r="D56" s="59" t="s">
        <v>85</v>
      </c>
      <c r="E56" s="59" t="s">
        <v>85</v>
      </c>
      <c r="F56" s="59" t="s">
        <v>85</v>
      </c>
      <c r="G56" s="59" t="s">
        <v>85</v>
      </c>
      <c r="H56" s="59" t="s">
        <v>85</v>
      </c>
      <c r="I56" s="55">
        <v>368</v>
      </c>
      <c r="J56" s="55">
        <v>22414</v>
      </c>
      <c r="K56" s="55">
        <v>44727</v>
      </c>
      <c r="L56" s="55">
        <v>37845</v>
      </c>
    </row>
    <row r="57" spans="2:12" x14ac:dyDescent="0.25">
      <c r="B57" s="27" t="s">
        <v>75</v>
      </c>
      <c r="C57" s="58" t="str">
        <f>IFERROR(B56/C56-1,"")</f>
        <v/>
      </c>
      <c r="D57" s="58" t="str">
        <f>IFERROR(C56/D56-1,"")</f>
        <v/>
      </c>
      <c r="E57" s="58" t="str">
        <f t="shared" ref="E57" si="103">IFERROR(D56/E56-1,"")</f>
        <v/>
      </c>
      <c r="F57" s="58" t="str">
        <f t="shared" ref="F57" si="104">IFERROR(E56/F56-1,"")</f>
        <v/>
      </c>
      <c r="G57" s="58" t="str">
        <f>IFERROR(F56/G56-1,"")</f>
        <v/>
      </c>
      <c r="H57" s="58" t="str">
        <f>IFERROR(G56/H56-1,"")</f>
        <v/>
      </c>
      <c r="I57" s="58" t="str">
        <f t="shared" ref="I57" si="105">IFERROR(H56/I56-1,"")</f>
        <v/>
      </c>
      <c r="J57" s="58">
        <f t="shared" ref="J57" si="106">IFERROR(I56/J56-1,"")</f>
        <v>-0.98358169001516904</v>
      </c>
      <c r="K57" s="58">
        <f t="shared" ref="K57" si="107">IFERROR(J56/K56-1,"")</f>
        <v>-0.49887092807476463</v>
      </c>
      <c r="L57" s="58">
        <f t="shared" ref="L57" si="108">IFERROR(K56/L56-1,"")</f>
        <v>0.18184700753071747</v>
      </c>
    </row>
    <row r="58" spans="2:12" x14ac:dyDescent="0.25">
      <c r="B58" s="52" t="s">
        <v>21</v>
      </c>
      <c r="C58" s="55">
        <v>3551</v>
      </c>
      <c r="D58" s="55">
        <v>2241</v>
      </c>
      <c r="E58" s="55">
        <v>2500</v>
      </c>
      <c r="F58" s="55">
        <v>2169</v>
      </c>
      <c r="G58" s="55">
        <v>2074</v>
      </c>
      <c r="H58" s="55">
        <v>3688</v>
      </c>
      <c r="I58" s="55">
        <v>3179</v>
      </c>
      <c r="J58" s="55">
        <v>1764</v>
      </c>
      <c r="K58" s="55">
        <v>2121</v>
      </c>
      <c r="L58" s="55">
        <v>1517</v>
      </c>
    </row>
    <row r="59" spans="2:12" x14ac:dyDescent="0.25">
      <c r="B59" s="27" t="s">
        <v>75</v>
      </c>
      <c r="C59" s="58" t="str">
        <f>IFERROR(B58/C58-1,"")</f>
        <v/>
      </c>
      <c r="D59" s="58">
        <f>IFERROR(C58/D58-1,"")</f>
        <v>0.58456046407853646</v>
      </c>
      <c r="E59" s="58">
        <f t="shared" ref="E59" si="109">IFERROR(D58/E58-1,"")</f>
        <v>-0.10360000000000003</v>
      </c>
      <c r="F59" s="58">
        <f t="shared" ref="F59" si="110">IFERROR(E58/F58-1,"")</f>
        <v>0.15260488704472097</v>
      </c>
      <c r="G59" s="58">
        <f>IFERROR(F58/G58-1,"")</f>
        <v>4.5805207328833086E-2</v>
      </c>
      <c r="H59" s="58">
        <f>IFERROR(G58/H58-1,"")</f>
        <v>-0.43763557483731019</v>
      </c>
      <c r="I59" s="58">
        <f t="shared" ref="I59" si="111">IFERROR(H58/I58-1,"")</f>
        <v>0.16011324315822595</v>
      </c>
      <c r="J59" s="58">
        <f t="shared" ref="J59" si="112">IFERROR(I58/J58-1,"")</f>
        <v>0.80215419501133778</v>
      </c>
      <c r="K59" s="58">
        <f t="shared" ref="K59" si="113">IFERROR(J58/K58-1,"")</f>
        <v>-0.16831683168316836</v>
      </c>
      <c r="L59" s="58">
        <f t="shared" ref="L59" si="114">IFERROR(K58/L58-1,"")</f>
        <v>0.3981542518127883</v>
      </c>
    </row>
    <row r="60" spans="2:12" x14ac:dyDescent="0.25">
      <c r="B60" s="52" t="s">
        <v>20</v>
      </c>
      <c r="C60" s="55">
        <v>25508</v>
      </c>
      <c r="D60" s="55">
        <v>21880</v>
      </c>
      <c r="E60" s="55">
        <v>18358</v>
      </c>
      <c r="F60" s="55">
        <v>17621</v>
      </c>
      <c r="G60" s="55">
        <v>35510</v>
      </c>
      <c r="H60" s="55">
        <v>26886</v>
      </c>
      <c r="I60" s="55">
        <v>22174</v>
      </c>
      <c r="J60" s="55">
        <v>12118</v>
      </c>
      <c r="K60" s="55">
        <v>14999</v>
      </c>
      <c r="L60" s="55">
        <v>8646</v>
      </c>
    </row>
    <row r="61" spans="2:12" x14ac:dyDescent="0.25">
      <c r="B61" s="27" t="s">
        <v>75</v>
      </c>
      <c r="C61" s="58" t="str">
        <f>IFERROR(B60/C60-1,"")</f>
        <v/>
      </c>
      <c r="D61" s="58">
        <f>IFERROR(C60/D60-1,"")</f>
        <v>0.16581352833638019</v>
      </c>
      <c r="E61" s="58">
        <f t="shared" ref="E61" si="115">IFERROR(D60/E60-1,"")</f>
        <v>0.19185096415731562</v>
      </c>
      <c r="F61" s="58">
        <f t="shared" ref="F61" si="116">IFERROR(E60/F60-1,"")</f>
        <v>4.1825095057034245E-2</v>
      </c>
      <c r="G61" s="58">
        <f>IFERROR(F60/G60-1,"")</f>
        <v>-0.50377358490566038</v>
      </c>
      <c r="H61" s="58">
        <f>IFERROR(G60/H60-1,"")</f>
        <v>0.32076173473183078</v>
      </c>
      <c r="I61" s="58">
        <f t="shared" ref="I61" si="117">IFERROR(H60/I60-1,"")</f>
        <v>0.21250112744655913</v>
      </c>
      <c r="J61" s="58">
        <f t="shared" ref="J61" si="118">IFERROR(I60/J60-1,"")</f>
        <v>0.82983990757550741</v>
      </c>
      <c r="K61" s="58">
        <f t="shared" ref="K61" si="119">IFERROR(J60/K60-1,"")</f>
        <v>-0.19207947196479769</v>
      </c>
      <c r="L61" s="58">
        <f t="shared" ref="L61" si="120">IFERROR(K60/L60-1,"")</f>
        <v>0.73479065463798299</v>
      </c>
    </row>
    <row r="62" spans="2:12" ht="13" x14ac:dyDescent="0.3">
      <c r="B62" s="62" t="s">
        <v>87</v>
      </c>
      <c r="C62" s="55">
        <v>1343195</v>
      </c>
      <c r="D62" s="55">
        <v>1466059</v>
      </c>
      <c r="E62" s="55">
        <v>1605384</v>
      </c>
      <c r="F62" s="55">
        <v>1800624</v>
      </c>
      <c r="G62" s="55">
        <v>1827795</v>
      </c>
      <c r="H62" s="55">
        <v>1899588</v>
      </c>
      <c r="I62" s="55">
        <v>1875353</v>
      </c>
      <c r="J62" s="55">
        <v>1864813</v>
      </c>
      <c r="K62" s="55">
        <v>1793021</v>
      </c>
      <c r="L62" s="55">
        <v>1655921</v>
      </c>
    </row>
    <row r="63" spans="2:12" x14ac:dyDescent="0.25">
      <c r="B63" s="27" t="s">
        <v>75</v>
      </c>
      <c r="C63" s="58" t="str">
        <f>IFERROR(B62/C62-1,"")</f>
        <v/>
      </c>
      <c r="D63" s="58">
        <f>IFERROR(C62/D62-1,"")</f>
        <v>-8.3805631287690363E-2</v>
      </c>
      <c r="E63" s="58">
        <f t="shared" ref="E63" si="121">IFERROR(D62/E62-1,"")</f>
        <v>-8.6786089807796785E-2</v>
      </c>
      <c r="F63" s="58">
        <f t="shared" ref="F63" si="122">IFERROR(E62/F62-1,"")</f>
        <v>-0.1084290779196545</v>
      </c>
      <c r="G63" s="58">
        <f>IFERROR(F62/G62-1,"")</f>
        <v>-1.4865452635552723E-2</v>
      </c>
      <c r="H63" s="58">
        <f>IFERROR(G62/H62-1,"")</f>
        <v>-3.7793984800914671E-2</v>
      </c>
      <c r="I63" s="58">
        <f t="shared" ref="I63" si="123">IFERROR(H62/I62-1,"")</f>
        <v>1.292290038195465E-2</v>
      </c>
      <c r="J63" s="58">
        <f t="shared" ref="J63" si="124">IFERROR(I62/J62-1,"")</f>
        <v>5.6520412502487627E-3</v>
      </c>
      <c r="K63" s="58">
        <f t="shared" ref="K63" si="125">IFERROR(J62/K62-1,"")</f>
        <v>4.0039687209463715E-2</v>
      </c>
      <c r="L63" s="58">
        <f t="shared" ref="L63" si="126">IFERROR(K62/L62-1,"")</f>
        <v>8.2793804776918778E-2</v>
      </c>
    </row>
    <row r="64" spans="2:12" x14ac:dyDescent="0.25">
      <c r="B64" s="47"/>
      <c r="C64" s="56"/>
      <c r="D64" s="56"/>
      <c r="E64" s="56"/>
      <c r="F64" s="55"/>
      <c r="G64" s="56"/>
      <c r="H64" s="56"/>
      <c r="I64" s="56"/>
      <c r="J64" s="56"/>
      <c r="K64" s="56"/>
      <c r="L64" s="56"/>
    </row>
    <row r="65" spans="2:12" ht="13" x14ac:dyDescent="0.3">
      <c r="B65" s="54" t="s">
        <v>22</v>
      </c>
      <c r="C65" s="57"/>
      <c r="D65" s="57"/>
      <c r="E65" s="57"/>
      <c r="F65" s="57"/>
      <c r="G65" s="57"/>
      <c r="H65" s="57"/>
      <c r="I65" s="57"/>
      <c r="J65" s="57"/>
      <c r="K65" s="57"/>
      <c r="L65" s="57"/>
    </row>
    <row r="66" spans="2:12" ht="13" x14ac:dyDescent="0.3">
      <c r="B66" s="54"/>
      <c r="C66" s="57"/>
      <c r="D66" s="57"/>
      <c r="E66" s="57"/>
      <c r="F66" s="57"/>
      <c r="G66" s="57"/>
      <c r="H66" s="57"/>
      <c r="I66" s="57"/>
      <c r="J66" s="57"/>
      <c r="K66" s="57"/>
      <c r="L66" s="57"/>
    </row>
    <row r="67" spans="2:12" x14ac:dyDescent="0.25">
      <c r="B67" s="52" t="s">
        <v>27</v>
      </c>
      <c r="C67" s="55">
        <v>447</v>
      </c>
      <c r="D67" s="55">
        <v>976</v>
      </c>
      <c r="E67" s="55">
        <v>710</v>
      </c>
      <c r="F67" s="55">
        <v>456</v>
      </c>
      <c r="G67" s="55">
        <v>666</v>
      </c>
      <c r="H67" s="55">
        <v>587</v>
      </c>
      <c r="I67" s="55">
        <v>1008</v>
      </c>
      <c r="J67" s="55">
        <v>578</v>
      </c>
      <c r="K67" s="55">
        <v>786</v>
      </c>
      <c r="L67" s="55">
        <v>281</v>
      </c>
    </row>
    <row r="68" spans="2:12" x14ac:dyDescent="0.25">
      <c r="B68" s="27" t="s">
        <v>75</v>
      </c>
      <c r="C68" s="58" t="str">
        <f>IFERROR(B67/C67-1,"")</f>
        <v/>
      </c>
      <c r="D68" s="58">
        <f>IFERROR(C67/D67-1,"")</f>
        <v>-0.54200819672131151</v>
      </c>
      <c r="E68" s="58">
        <f t="shared" ref="E68" si="127">IFERROR(D67/E67-1,"")</f>
        <v>0.37464788732394361</v>
      </c>
      <c r="F68" s="58">
        <f t="shared" ref="F68" si="128">IFERROR(E67/F67-1,"")</f>
        <v>0.55701754385964919</v>
      </c>
      <c r="G68" s="58">
        <f>IFERROR(F67/G67-1,"")</f>
        <v>-0.31531531531531531</v>
      </c>
      <c r="H68" s="58">
        <f>IFERROR(G67/H67-1,"")</f>
        <v>0.13458262350936967</v>
      </c>
      <c r="I68" s="58">
        <f t="shared" ref="I68" si="129">IFERROR(H67/I67-1,"")</f>
        <v>-0.41765873015873012</v>
      </c>
      <c r="J68" s="58">
        <f t="shared" ref="J68" si="130">IFERROR(I67/J67-1,"")</f>
        <v>0.74394463667820077</v>
      </c>
      <c r="K68" s="58">
        <f t="shared" ref="K68" si="131">IFERROR(J67/K67-1,"")</f>
        <v>-0.26463104325699749</v>
      </c>
      <c r="L68" s="58">
        <f t="shared" ref="L68" si="132">IFERROR(K67/L67-1,"")</f>
        <v>1.7971530249110321</v>
      </c>
    </row>
    <row r="69" spans="2:12" x14ac:dyDescent="0.25">
      <c r="B69" s="52" t="s">
        <v>26</v>
      </c>
      <c r="C69" s="59" t="s">
        <v>85</v>
      </c>
      <c r="D69" s="59" t="s">
        <v>85</v>
      </c>
      <c r="E69" s="55">
        <v>403</v>
      </c>
      <c r="F69" s="55">
        <v>654</v>
      </c>
      <c r="G69" s="55">
        <v>413</v>
      </c>
      <c r="H69" s="55">
        <v>573</v>
      </c>
      <c r="I69" s="55">
        <v>278</v>
      </c>
      <c r="J69" s="55">
        <v>638</v>
      </c>
      <c r="K69" s="55">
        <v>219</v>
      </c>
      <c r="L69" s="55">
        <v>595</v>
      </c>
    </row>
    <row r="70" spans="2:12" x14ac:dyDescent="0.25">
      <c r="B70" s="27" t="s">
        <v>75</v>
      </c>
      <c r="C70" s="58" t="str">
        <f>IFERROR(B69/C69-1,"")</f>
        <v/>
      </c>
      <c r="D70" s="58" t="str">
        <f>IFERROR(C69/D69-1,"")</f>
        <v/>
      </c>
      <c r="E70" s="58" t="str">
        <f t="shared" ref="E70" si="133">IFERROR(D69/E69-1,"")</f>
        <v/>
      </c>
      <c r="F70" s="58">
        <f t="shared" ref="F70" si="134">IFERROR(E69/F69-1,"")</f>
        <v>-0.38379204892966357</v>
      </c>
      <c r="G70" s="58">
        <f>IFERROR(F69/G69-1,"")</f>
        <v>0.58353510895883787</v>
      </c>
      <c r="H70" s="58">
        <f>IFERROR(G69/H69-1,"")</f>
        <v>-0.27923211169284468</v>
      </c>
      <c r="I70" s="58">
        <f t="shared" ref="I70" si="135">IFERROR(H69/I69-1,"")</f>
        <v>1.0611510791366907</v>
      </c>
      <c r="J70" s="58">
        <f t="shared" ref="J70" si="136">IFERROR(I69/J69-1,"")</f>
        <v>-0.5642633228840126</v>
      </c>
      <c r="K70" s="58">
        <f t="shared" ref="K70" si="137">IFERROR(J69/K69-1,"")</f>
        <v>1.91324200913242</v>
      </c>
      <c r="L70" s="58">
        <f t="shared" ref="L70" si="138">IFERROR(K69/L69-1,"")</f>
        <v>-0.63193277310924367</v>
      </c>
    </row>
    <row r="71" spans="2:12" x14ac:dyDescent="0.25">
      <c r="B71" s="53" t="s">
        <v>65</v>
      </c>
      <c r="C71" s="55">
        <v>944</v>
      </c>
      <c r="D71" s="55">
        <v>822</v>
      </c>
      <c r="E71" s="60" t="s">
        <v>85</v>
      </c>
      <c r="F71" s="60" t="s">
        <v>85</v>
      </c>
      <c r="G71" s="60" t="s">
        <v>85</v>
      </c>
      <c r="H71" s="60" t="s">
        <v>85</v>
      </c>
      <c r="I71" s="60" t="s">
        <v>85</v>
      </c>
      <c r="J71" s="60" t="s">
        <v>85</v>
      </c>
      <c r="K71" s="60" t="s">
        <v>85</v>
      </c>
      <c r="L71" s="60" t="s">
        <v>85</v>
      </c>
    </row>
    <row r="72" spans="2:12" x14ac:dyDescent="0.25">
      <c r="B72" s="27" t="s">
        <v>75</v>
      </c>
      <c r="C72" s="58" t="str">
        <f>IFERROR(B71/C71-1,"")</f>
        <v/>
      </c>
      <c r="D72" s="58">
        <f>IFERROR(C71/D71-1,"")</f>
        <v>0.14841849148418484</v>
      </c>
      <c r="E72" s="58" t="str">
        <f t="shared" ref="E72" si="139">IFERROR(D71/E71-1,"")</f>
        <v/>
      </c>
      <c r="F72" s="58" t="str">
        <f t="shared" ref="F72" si="140">IFERROR(E71/F71-1,"")</f>
        <v/>
      </c>
      <c r="G72" s="58" t="str">
        <f>IFERROR(F71/G71-1,"")</f>
        <v/>
      </c>
      <c r="H72" s="58" t="str">
        <f>IFERROR(G71/H71-1,"")</f>
        <v/>
      </c>
      <c r="I72" s="58" t="str">
        <f t="shared" ref="I72" si="141">IFERROR(H71/I71-1,"")</f>
        <v/>
      </c>
      <c r="J72" s="58" t="str">
        <f t="shared" ref="J72" si="142">IFERROR(I71/J71-1,"")</f>
        <v/>
      </c>
      <c r="K72" s="58" t="str">
        <f t="shared" ref="K72" si="143">IFERROR(J71/K71-1,"")</f>
        <v/>
      </c>
      <c r="L72" s="58" t="str">
        <f t="shared" ref="L72" si="144">IFERROR(K71/L71-1,"")</f>
        <v/>
      </c>
    </row>
    <row r="73" spans="2:12" x14ac:dyDescent="0.25">
      <c r="B73" s="52" t="s">
        <v>58</v>
      </c>
      <c r="C73" s="59" t="s">
        <v>85</v>
      </c>
      <c r="D73" s="59" t="s">
        <v>85</v>
      </c>
      <c r="E73" s="55">
        <v>653</v>
      </c>
      <c r="F73" s="60" t="s">
        <v>85</v>
      </c>
      <c r="G73" s="60" t="s">
        <v>85</v>
      </c>
      <c r="H73" s="60" t="s">
        <v>85</v>
      </c>
      <c r="I73" s="60" t="s">
        <v>85</v>
      </c>
      <c r="J73" s="60" t="s">
        <v>85</v>
      </c>
      <c r="K73" s="60" t="s">
        <v>85</v>
      </c>
      <c r="L73" s="60" t="s">
        <v>85</v>
      </c>
    </row>
    <row r="74" spans="2:12" x14ac:dyDescent="0.25">
      <c r="B74" s="27" t="s">
        <v>75</v>
      </c>
      <c r="C74" s="58" t="str">
        <f>IFERROR(B73/C73-1,"")</f>
        <v/>
      </c>
      <c r="D74" s="58" t="str">
        <f>IFERROR(C73/D73-1,"")</f>
        <v/>
      </c>
      <c r="E74" s="58" t="str">
        <f t="shared" ref="E74" si="145">IFERROR(D73/E73-1,"")</f>
        <v/>
      </c>
      <c r="F74" s="58" t="str">
        <f t="shared" ref="F74" si="146">IFERROR(E73/F73-1,"")</f>
        <v/>
      </c>
      <c r="G74" s="58" t="str">
        <f>IFERROR(F73/G73-1,"")</f>
        <v/>
      </c>
      <c r="H74" s="58" t="str">
        <f>IFERROR(G73/H73-1,"")</f>
        <v/>
      </c>
      <c r="I74" s="58" t="str">
        <f t="shared" ref="I74" si="147">IFERROR(H73/I73-1,"")</f>
        <v/>
      </c>
      <c r="J74" s="58" t="str">
        <f t="shared" ref="J74" si="148">IFERROR(I73/J73-1,"")</f>
        <v/>
      </c>
      <c r="K74" s="58" t="str">
        <f t="shared" ref="K74" si="149">IFERROR(J73/K73-1,"")</f>
        <v/>
      </c>
      <c r="L74" s="58" t="str">
        <f t="shared" ref="L74" si="150">IFERROR(K73/L73-1,"")</f>
        <v/>
      </c>
    </row>
    <row r="75" spans="2:12" x14ac:dyDescent="0.25">
      <c r="B75" s="52" t="s">
        <v>60</v>
      </c>
      <c r="C75" s="55">
        <v>320</v>
      </c>
      <c r="D75" s="55">
        <v>399</v>
      </c>
      <c r="E75" s="55">
        <v>280</v>
      </c>
      <c r="F75" s="60" t="s">
        <v>85</v>
      </c>
      <c r="G75" s="60" t="s">
        <v>85</v>
      </c>
      <c r="H75" s="60" t="s">
        <v>85</v>
      </c>
      <c r="I75" s="60" t="s">
        <v>85</v>
      </c>
      <c r="J75" s="60" t="s">
        <v>85</v>
      </c>
      <c r="K75" s="60" t="s">
        <v>85</v>
      </c>
      <c r="L75" s="60" t="s">
        <v>85</v>
      </c>
    </row>
    <row r="76" spans="2:12" x14ac:dyDescent="0.25">
      <c r="B76" s="27" t="s">
        <v>75</v>
      </c>
      <c r="C76" s="58" t="str">
        <f>IFERROR(B75/C75-1,"")</f>
        <v/>
      </c>
      <c r="D76" s="58">
        <f>IFERROR(C75/D75-1,"")</f>
        <v>-0.19799498746867172</v>
      </c>
      <c r="E76" s="58">
        <f t="shared" ref="E76" si="151">IFERROR(D75/E75-1,"")</f>
        <v>0.42500000000000004</v>
      </c>
      <c r="F76" s="58" t="str">
        <f t="shared" ref="F76" si="152">IFERROR(E75/F75-1,"")</f>
        <v/>
      </c>
      <c r="G76" s="58" t="str">
        <f>IFERROR(F75/G75-1,"")</f>
        <v/>
      </c>
      <c r="H76" s="58" t="str">
        <f>IFERROR(G75/H75-1,"")</f>
        <v/>
      </c>
      <c r="I76" s="58" t="str">
        <f t="shared" ref="I76" si="153">IFERROR(H75/I75-1,"")</f>
        <v/>
      </c>
      <c r="J76" s="58" t="str">
        <f t="shared" ref="J76" si="154">IFERROR(I75/J75-1,"")</f>
        <v/>
      </c>
      <c r="K76" s="58" t="str">
        <f t="shared" ref="K76" si="155">IFERROR(J75/K75-1,"")</f>
        <v/>
      </c>
      <c r="L76" s="58" t="str">
        <f t="shared" ref="L76" si="156">IFERROR(K75/L75-1,"")</f>
        <v/>
      </c>
    </row>
    <row r="77" spans="2:12" x14ac:dyDescent="0.25">
      <c r="B77" s="52" t="s">
        <v>24</v>
      </c>
      <c r="C77" s="60" t="s">
        <v>85</v>
      </c>
      <c r="D77" s="59" t="s">
        <v>85</v>
      </c>
      <c r="E77" s="55">
        <v>76</v>
      </c>
      <c r="F77" s="55">
        <v>1540</v>
      </c>
      <c r="G77" s="55">
        <v>2559</v>
      </c>
      <c r="H77" s="55">
        <v>1315</v>
      </c>
      <c r="I77" s="55">
        <v>1822</v>
      </c>
      <c r="J77" s="55">
        <v>1669</v>
      </c>
      <c r="K77" s="55">
        <v>1495</v>
      </c>
      <c r="L77" s="55">
        <v>1258</v>
      </c>
    </row>
    <row r="78" spans="2:12" x14ac:dyDescent="0.25">
      <c r="B78" s="27" t="s">
        <v>75</v>
      </c>
      <c r="C78" s="58" t="str">
        <f>IFERROR(B77/C77-1,"")</f>
        <v/>
      </c>
      <c r="D78" s="58" t="str">
        <f>IFERROR(C77/D77-1,"")</f>
        <v/>
      </c>
      <c r="E78" s="58" t="str">
        <f t="shared" ref="E78" si="157">IFERROR(D77/E77-1,"")</f>
        <v/>
      </c>
      <c r="F78" s="58">
        <f t="shared" ref="F78" si="158">IFERROR(E77/F77-1,"")</f>
        <v>-0.95064935064935063</v>
      </c>
      <c r="G78" s="58">
        <f>IFERROR(F77/G77-1,"")</f>
        <v>-0.3982024228214146</v>
      </c>
      <c r="H78" s="58">
        <f>IFERROR(G77/H77-1,"")</f>
        <v>0.94600760456273769</v>
      </c>
      <c r="I78" s="58">
        <f t="shared" ref="I78" si="159">IFERROR(H77/I77-1,"")</f>
        <v>-0.27826564215148186</v>
      </c>
      <c r="J78" s="58">
        <f t="shared" ref="J78" si="160">IFERROR(I77/J77-1,"")</f>
        <v>9.1671659676453077E-2</v>
      </c>
      <c r="K78" s="58">
        <f t="shared" ref="K78" si="161">IFERROR(J77/K77-1,"")</f>
        <v>0.11638795986622075</v>
      </c>
      <c r="L78" s="58">
        <f t="shared" ref="L78" si="162">IFERROR(K77/L77-1,"")</f>
        <v>0.18839427662957076</v>
      </c>
    </row>
    <row r="79" spans="2:12" x14ac:dyDescent="0.25">
      <c r="B79" s="52" t="s">
        <v>57</v>
      </c>
      <c r="C79" s="60" t="s">
        <v>85</v>
      </c>
      <c r="D79" s="61" t="s">
        <v>85</v>
      </c>
      <c r="E79" s="59" t="s">
        <v>85</v>
      </c>
      <c r="F79" s="59" t="s">
        <v>85</v>
      </c>
      <c r="G79" s="55">
        <v>69</v>
      </c>
      <c r="H79" s="59" t="s">
        <v>85</v>
      </c>
      <c r="I79" s="59" t="s">
        <v>85</v>
      </c>
      <c r="J79" s="59" t="s">
        <v>85</v>
      </c>
      <c r="K79" s="59" t="s">
        <v>85</v>
      </c>
      <c r="L79" s="59" t="s">
        <v>85</v>
      </c>
    </row>
    <row r="80" spans="2:12" x14ac:dyDescent="0.25">
      <c r="B80" s="27" t="s">
        <v>75</v>
      </c>
      <c r="C80" s="58" t="str">
        <f>IFERROR(B79/C79-1,"")</f>
        <v/>
      </c>
      <c r="D80" s="58" t="str">
        <f>IFERROR(C79/D79-1,"")</f>
        <v/>
      </c>
      <c r="E80" s="58" t="str">
        <f t="shared" ref="E80" si="163">IFERROR(D79/E79-1,"")</f>
        <v/>
      </c>
      <c r="F80" s="58" t="str">
        <f t="shared" ref="F80" si="164">IFERROR(E79/F79-1,"")</f>
        <v/>
      </c>
      <c r="G80" s="58" t="str">
        <f>IFERROR(F79/G79-1,"")</f>
        <v/>
      </c>
      <c r="H80" s="58" t="str">
        <f>IFERROR(G79/H79-1,"")</f>
        <v/>
      </c>
      <c r="I80" s="58" t="str">
        <f t="shared" ref="I80" si="165">IFERROR(H79/I79-1,"")</f>
        <v/>
      </c>
      <c r="J80" s="58" t="str">
        <f t="shared" ref="J80" si="166">IFERROR(I79/J79-1,"")</f>
        <v/>
      </c>
      <c r="K80" s="58" t="str">
        <f t="shared" ref="K80" si="167">IFERROR(J79/K79-1,"")</f>
        <v/>
      </c>
      <c r="L80" s="58" t="str">
        <f t="shared" ref="L80" si="168">IFERROR(K79/L79-1,"")</f>
        <v/>
      </c>
    </row>
    <row r="81" spans="2:12" x14ac:dyDescent="0.25">
      <c r="B81" s="52" t="s">
        <v>25</v>
      </c>
      <c r="C81" s="59" t="s">
        <v>85</v>
      </c>
      <c r="D81" s="59" t="s">
        <v>85</v>
      </c>
      <c r="E81" s="59" t="s">
        <v>85</v>
      </c>
      <c r="F81" s="59" t="s">
        <v>85</v>
      </c>
      <c r="G81" s="59" t="s">
        <v>85</v>
      </c>
      <c r="H81" s="55">
        <v>1104</v>
      </c>
      <c r="I81" s="55">
        <v>827</v>
      </c>
      <c r="J81" s="55">
        <v>1121</v>
      </c>
      <c r="K81" s="55">
        <v>931</v>
      </c>
      <c r="L81" s="55">
        <v>752</v>
      </c>
    </row>
    <row r="82" spans="2:12" x14ac:dyDescent="0.25">
      <c r="B82" s="27" t="s">
        <v>75</v>
      </c>
      <c r="C82" s="58" t="str">
        <f>IFERROR(B81/C81-1,"")</f>
        <v/>
      </c>
      <c r="D82" s="58" t="str">
        <f>IFERROR(C81/D81-1,"")</f>
        <v/>
      </c>
      <c r="E82" s="58" t="str">
        <f t="shared" ref="E82" si="169">IFERROR(D81/E81-1,"")</f>
        <v/>
      </c>
      <c r="F82" s="58" t="str">
        <f t="shared" ref="F82" si="170">IFERROR(E81/F81-1,"")</f>
        <v/>
      </c>
      <c r="G82" s="58" t="str">
        <f>IFERROR(F81/G81-1,"")</f>
        <v/>
      </c>
      <c r="H82" s="58" t="str">
        <f>IFERROR(G81/H81-1,"")</f>
        <v/>
      </c>
      <c r="I82" s="58">
        <f t="shared" ref="I82" si="171">IFERROR(H81/I81-1,"")</f>
        <v>0.33494558645707384</v>
      </c>
      <c r="J82" s="58">
        <f t="shared" ref="J82" si="172">IFERROR(I81/J81-1,"")</f>
        <v>-0.26226583407671722</v>
      </c>
      <c r="K82" s="58">
        <f t="shared" ref="K82" si="173">IFERROR(J81/K81-1,"")</f>
        <v>0.20408163265306123</v>
      </c>
      <c r="L82" s="58">
        <f t="shared" ref="L82" si="174">IFERROR(K81/L81-1,"")</f>
        <v>0.23803191489361697</v>
      </c>
    </row>
    <row r="83" spans="2:12" x14ac:dyDescent="0.25">
      <c r="B83" s="52" t="s">
        <v>23</v>
      </c>
      <c r="C83" s="59" t="s">
        <v>85</v>
      </c>
      <c r="D83" s="59" t="s">
        <v>85</v>
      </c>
      <c r="E83" s="59" t="s">
        <v>85</v>
      </c>
      <c r="F83" s="59" t="s">
        <v>85</v>
      </c>
      <c r="G83" s="59" t="s">
        <v>85</v>
      </c>
      <c r="H83" s="59" t="s">
        <v>85</v>
      </c>
      <c r="I83" s="55">
        <v>121</v>
      </c>
      <c r="J83" s="55">
        <v>2565</v>
      </c>
      <c r="K83" s="55">
        <v>5233</v>
      </c>
      <c r="L83" s="55">
        <v>4364</v>
      </c>
    </row>
    <row r="84" spans="2:12" x14ac:dyDescent="0.25">
      <c r="B84" s="27" t="s">
        <v>75</v>
      </c>
      <c r="C84" s="58" t="str">
        <f>IFERROR(B83/C83-1,"")</f>
        <v/>
      </c>
      <c r="D84" s="58" t="str">
        <f>IFERROR(C83/D83-1,"")</f>
        <v/>
      </c>
      <c r="E84" s="58" t="str">
        <f t="shared" ref="E84" si="175">IFERROR(D83/E83-1,"")</f>
        <v/>
      </c>
      <c r="F84" s="58" t="str">
        <f t="shared" ref="F84" si="176">IFERROR(E83/F83-1,"")</f>
        <v/>
      </c>
      <c r="G84" s="58" t="str">
        <f>IFERROR(F83/G83-1,"")</f>
        <v/>
      </c>
      <c r="H84" s="58" t="str">
        <f>IFERROR(G83/H83-1,"")</f>
        <v/>
      </c>
      <c r="I84" s="58" t="str">
        <f t="shared" ref="I84" si="177">IFERROR(H83/I83-1,"")</f>
        <v/>
      </c>
      <c r="J84" s="58">
        <f t="shared" ref="J84" si="178">IFERROR(I83/J83-1,"")</f>
        <v>-0.95282651072124758</v>
      </c>
      <c r="K84" s="58">
        <f t="shared" ref="K84" si="179">IFERROR(J83/K83-1,"")</f>
        <v>-0.50984139117141214</v>
      </c>
      <c r="L84" s="58">
        <f t="shared" ref="L84" si="180">IFERROR(K83/L83-1,"")</f>
        <v>0.19912923923006409</v>
      </c>
    </row>
    <row r="85" spans="2:12" ht="13" x14ac:dyDescent="0.3">
      <c r="B85" s="62" t="s">
        <v>86</v>
      </c>
      <c r="C85" s="55">
        <v>1711</v>
      </c>
      <c r="D85" s="55">
        <v>2197</v>
      </c>
      <c r="E85" s="55">
        <v>2122</v>
      </c>
      <c r="F85" s="55">
        <v>2650</v>
      </c>
      <c r="G85" s="55">
        <v>3707</v>
      </c>
      <c r="H85" s="55">
        <v>3579</v>
      </c>
      <c r="I85" s="55">
        <v>4056</v>
      </c>
      <c r="J85" s="55">
        <v>6571</v>
      </c>
      <c r="K85" s="55">
        <v>8664</v>
      </c>
      <c r="L85" s="55">
        <v>7250</v>
      </c>
    </row>
    <row r="86" spans="2:12" x14ac:dyDescent="0.25">
      <c r="B86" s="53"/>
      <c r="C86" s="58" t="str">
        <f>IFERROR(B85/C85-1,"")</f>
        <v/>
      </c>
      <c r="D86" s="58">
        <f>IFERROR(C85/D85-1,"")</f>
        <v>-0.22121074192080115</v>
      </c>
      <c r="E86" s="58">
        <f t="shared" ref="E86" si="181">IFERROR(D85/E85-1,"")</f>
        <v>3.53440150801132E-2</v>
      </c>
      <c r="F86" s="58">
        <f t="shared" ref="F86" si="182">IFERROR(E85/F85-1,"")</f>
        <v>-0.1992452830188679</v>
      </c>
      <c r="G86" s="58">
        <f>IFERROR(F85/G85-1,"")</f>
        <v>-0.28513622875640676</v>
      </c>
      <c r="H86" s="58">
        <f>IFERROR(G85/H85-1,"")</f>
        <v>3.5764179938530205E-2</v>
      </c>
      <c r="I86" s="58">
        <f t="shared" ref="I86" si="183">IFERROR(H85/I85-1,"")</f>
        <v>-0.11760355029585801</v>
      </c>
      <c r="J86" s="58">
        <f t="shared" ref="J86" si="184">IFERROR(I85/J85-1,"")</f>
        <v>-0.38274235276213664</v>
      </c>
      <c r="K86" s="58">
        <f t="shared" ref="K86" si="185">IFERROR(J85/K85-1,"")</f>
        <v>-0.24157433056325028</v>
      </c>
      <c r="L86" s="58">
        <f t="shared" ref="L86" si="186">IFERROR(K85/L85-1,"")</f>
        <v>0.19503448275862079</v>
      </c>
    </row>
    <row r="87" spans="2:12" x14ac:dyDescent="0.25">
      <c r="B87" s="47"/>
      <c r="C87" s="56"/>
      <c r="D87" s="55"/>
      <c r="E87" s="55"/>
      <c r="F87" s="55"/>
      <c r="G87" s="56"/>
      <c r="H87" s="56"/>
      <c r="I87" s="55"/>
      <c r="J87" s="55"/>
      <c r="K87" s="55"/>
      <c r="L87" s="55"/>
    </row>
    <row r="88" spans="2:12" x14ac:dyDescent="0.25">
      <c r="B88" s="52" t="s">
        <v>69</v>
      </c>
      <c r="C88" s="55">
        <v>1344906</v>
      </c>
      <c r="D88" s="55">
        <v>1468256</v>
      </c>
      <c r="E88" s="55">
        <v>1607506</v>
      </c>
      <c r="F88" s="55">
        <v>1803274</v>
      </c>
      <c r="G88" s="55">
        <v>1831502</v>
      </c>
      <c r="H88" s="55">
        <v>1903167</v>
      </c>
      <c r="I88" s="55">
        <v>1879409</v>
      </c>
      <c r="J88" s="55">
        <v>1871384</v>
      </c>
      <c r="K88" s="55">
        <v>1801685</v>
      </c>
      <c r="L88" s="55">
        <v>1663171</v>
      </c>
    </row>
    <row r="89" spans="2:12" x14ac:dyDescent="0.25">
      <c r="C89" s="58" t="str">
        <f>IFERROR(B88/C88-1,"")</f>
        <v/>
      </c>
      <c r="D89" s="58">
        <f>IFERROR(C88/D88-1,"")</f>
        <v>-8.4011235097966597E-2</v>
      </c>
      <c r="E89" s="58">
        <f t="shared" ref="E89" si="187">IFERROR(D88/E88-1,"")</f>
        <v>-8.6624871073576082E-2</v>
      </c>
      <c r="F89" s="58">
        <f t="shared" ref="F89" si="188">IFERROR(E88/F88-1,"")</f>
        <v>-0.10856253680805028</v>
      </c>
      <c r="G89" s="58">
        <f>IFERROR(F88/G88-1,"")</f>
        <v>-1.5412486582051188E-2</v>
      </c>
      <c r="H89" s="58">
        <f>IFERROR(G88/H88-1,"")</f>
        <v>-3.7655655021340717E-2</v>
      </c>
      <c r="I89" s="58">
        <f t="shared" ref="I89" si="189">IFERROR(H88/I88-1,"")</f>
        <v>1.2641207954202649E-2</v>
      </c>
      <c r="J89" s="58">
        <f t="shared" ref="J89" si="190">IFERROR(I88/J88-1,"")</f>
        <v>4.2882700717756794E-3</v>
      </c>
      <c r="K89" s="58">
        <f t="shared" ref="K89" si="191">IFERROR(J88/K88-1,"")</f>
        <v>3.8685452784476659E-2</v>
      </c>
      <c r="L89" s="58">
        <f t="shared" ref="L89" si="192">IFERROR(K88/L88-1,"")</f>
        <v>8.3283077927645444E-2</v>
      </c>
    </row>
  </sheetData>
  <mergeCells count="2">
    <mergeCell ref="C2:L2"/>
    <mergeCell ref="M2:V2"/>
  </mergeCells>
  <pageMargins left="0.7" right="0.7" top="0.75" bottom="0.75" header="0.3" footer="0.3"/>
  <pageSetup orientation="portrait" r:id="rId1"/>
  <ignoredErrors>
    <ignoredError sqref="C10:L10 C13:L17 C11:K11 N8:V17 C12:E12 G12:L12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46"/>
  <sheetViews>
    <sheetView zoomScale="75" zoomScaleNormal="75" workbookViewId="0">
      <selection activeCell="D13" sqref="D13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B2" s="1">
        <v>2014</v>
      </c>
      <c r="D2" s="1"/>
      <c r="E2" s="3"/>
    </row>
    <row r="3" spans="1:12" ht="15.75" customHeight="1" x14ac:dyDescent="0.25">
      <c r="A3" s="1" t="s">
        <v>2</v>
      </c>
    </row>
    <row r="4" spans="1:12" ht="15.75" customHeight="1" x14ac:dyDescent="0.25">
      <c r="A4" s="1" t="s">
        <v>14</v>
      </c>
      <c r="B4" s="2">
        <v>115377</v>
      </c>
      <c r="I4" s="1" t="s">
        <v>3</v>
      </c>
      <c r="J4" s="19">
        <v>0.47000000000000003</v>
      </c>
      <c r="K4" s="1"/>
      <c r="L4" s="18"/>
    </row>
    <row r="5" spans="1:12" ht="15.75" customHeight="1" x14ac:dyDescent="0.25">
      <c r="A5" s="1" t="s">
        <v>8</v>
      </c>
      <c r="B5" s="2">
        <v>351526</v>
      </c>
      <c r="D5" s="2"/>
      <c r="E5" s="2"/>
      <c r="I5" s="1" t="s">
        <v>5</v>
      </c>
      <c r="J5" s="19">
        <v>0.126</v>
      </c>
      <c r="K5" s="1"/>
      <c r="L5" s="18"/>
    </row>
    <row r="6" spans="1:12" ht="15.75" customHeight="1" x14ac:dyDescent="0.25">
      <c r="A6" s="1" t="s">
        <v>4</v>
      </c>
      <c r="B6" s="2">
        <v>328465</v>
      </c>
      <c r="D6" s="2"/>
      <c r="E6" s="2"/>
      <c r="I6" s="1" t="s">
        <v>7</v>
      </c>
      <c r="J6" s="19">
        <v>1.3000000000000001E-2</v>
      </c>
      <c r="K6" s="1"/>
      <c r="L6" s="18"/>
    </row>
    <row r="7" spans="1:12" ht="15.75" customHeight="1" x14ac:dyDescent="0.25">
      <c r="A7" s="1" t="s">
        <v>15</v>
      </c>
      <c r="B7" s="2">
        <v>88545</v>
      </c>
      <c r="D7" s="2"/>
      <c r="E7" s="2"/>
      <c r="I7" s="1" t="s">
        <v>9</v>
      </c>
      <c r="J7" s="19">
        <v>0.39100000000000001</v>
      </c>
      <c r="K7" s="1"/>
      <c r="L7" s="18"/>
    </row>
    <row r="8" spans="1:12" ht="15.75" customHeight="1" x14ac:dyDescent="0.25">
      <c r="A8" s="1" t="s">
        <v>10</v>
      </c>
      <c r="B8" s="2">
        <v>307693</v>
      </c>
      <c r="D8" s="2"/>
      <c r="E8" s="2"/>
    </row>
    <row r="9" spans="1:12" ht="15.75" customHeight="1" x14ac:dyDescent="0.25">
      <c r="A9" s="1" t="s">
        <v>19</v>
      </c>
      <c r="B9" s="2">
        <v>27709</v>
      </c>
      <c r="D9" s="2"/>
      <c r="E9" s="2"/>
    </row>
    <row r="10" spans="1:12" ht="15.75" customHeight="1" x14ac:dyDescent="0.25">
      <c r="A10" s="1" t="s">
        <v>18</v>
      </c>
      <c r="B10" s="2">
        <v>39557</v>
      </c>
      <c r="D10" s="2"/>
      <c r="E10" s="2"/>
    </row>
    <row r="11" spans="1:12" ht="15.75" customHeight="1" x14ac:dyDescent="0.25">
      <c r="A11" s="1" t="s">
        <v>11</v>
      </c>
      <c r="B11" s="2">
        <v>200097</v>
      </c>
      <c r="D11" s="2"/>
      <c r="E11" s="2"/>
    </row>
    <row r="12" spans="1:12" ht="15.75" customHeight="1" x14ac:dyDescent="0.25">
      <c r="A12" s="1" t="s">
        <v>6</v>
      </c>
      <c r="B12" s="2">
        <v>260853</v>
      </c>
      <c r="D12" s="2"/>
      <c r="E12" s="2"/>
    </row>
    <row r="13" spans="1:12" ht="15.75" customHeight="1" x14ac:dyDescent="0.25">
      <c r="A13" s="1" t="s">
        <v>13</v>
      </c>
      <c r="B13" s="2">
        <v>61012</v>
      </c>
      <c r="D13" s="2"/>
      <c r="E13" s="2"/>
    </row>
    <row r="14" spans="1:12" ht="15.75" customHeight="1" x14ac:dyDescent="0.25">
      <c r="A14" s="1" t="s">
        <v>21</v>
      </c>
      <c r="B14" s="2">
        <v>2169</v>
      </c>
      <c r="D14" s="2"/>
      <c r="E14" s="2"/>
    </row>
    <row r="15" spans="1:12" ht="15.75" customHeight="1" x14ac:dyDescent="0.25">
      <c r="A15" s="1" t="s">
        <v>20</v>
      </c>
      <c r="B15" s="2">
        <v>17621</v>
      </c>
      <c r="D15" s="2"/>
      <c r="E15" s="2"/>
    </row>
    <row r="16" spans="1:12" ht="15.75" customHeight="1" x14ac:dyDescent="0.25">
      <c r="B16" s="2">
        <v>1800624</v>
      </c>
      <c r="D16" s="2"/>
      <c r="E16" s="2"/>
    </row>
    <row r="17" spans="1:5" ht="15.75" customHeight="1" x14ac:dyDescent="0.25">
      <c r="D17" s="2"/>
      <c r="E17" s="2"/>
    </row>
    <row r="18" spans="1:5" ht="15.75" customHeight="1" x14ac:dyDescent="0.25">
      <c r="A18" s="1" t="s">
        <v>22</v>
      </c>
    </row>
    <row r="19" spans="1:5" ht="15.75" customHeight="1" x14ac:dyDescent="0.25">
      <c r="A19" s="3" t="s">
        <v>24</v>
      </c>
      <c r="B19" s="2">
        <v>1540</v>
      </c>
    </row>
    <row r="20" spans="1:5" ht="15.75" customHeight="1" x14ac:dyDescent="0.25">
      <c r="A20" s="1" t="s">
        <v>27</v>
      </c>
      <c r="B20" s="1">
        <v>456</v>
      </c>
      <c r="D20" s="1"/>
      <c r="E20" s="3"/>
    </row>
    <row r="21" spans="1:5" ht="15.75" customHeight="1" x14ac:dyDescent="0.25">
      <c r="A21" s="1" t="s">
        <v>26</v>
      </c>
      <c r="B21" s="1">
        <v>654</v>
      </c>
      <c r="D21" s="1"/>
      <c r="E21" s="3"/>
    </row>
    <row r="22" spans="1:5" ht="12.5" x14ac:dyDescent="0.25">
      <c r="A22" s="1" t="s">
        <v>58</v>
      </c>
      <c r="B22" s="1" t="s">
        <v>59</v>
      </c>
      <c r="D22" s="1"/>
      <c r="E22" s="3"/>
    </row>
    <row r="23" spans="1:5" ht="12.5" x14ac:dyDescent="0.25">
      <c r="A23" s="1" t="s">
        <v>60</v>
      </c>
      <c r="B23" s="1" t="s">
        <v>59</v>
      </c>
      <c r="D23" s="1"/>
      <c r="E23" s="3"/>
    </row>
    <row r="24" spans="1:5" ht="12.5" x14ac:dyDescent="0.25">
      <c r="B24" s="2">
        <v>2650</v>
      </c>
      <c r="D24" s="1"/>
      <c r="E24" s="3"/>
    </row>
    <row r="25" spans="1:5" ht="12.5" x14ac:dyDescent="0.25">
      <c r="D25" s="2"/>
      <c r="E25" s="2"/>
    </row>
    <row r="26" spans="1:5" ht="15.75" customHeight="1" x14ac:dyDescent="0.25">
      <c r="A26" s="1" t="s">
        <v>69</v>
      </c>
      <c r="B26" s="2">
        <v>1803274</v>
      </c>
    </row>
    <row r="27" spans="1:5" ht="12.5" x14ac:dyDescent="0.25">
      <c r="A27" s="3"/>
      <c r="D27" s="2"/>
      <c r="E27" s="2"/>
    </row>
    <row r="37" spans="1:7" ht="15.75" customHeight="1" x14ac:dyDescent="0.25">
      <c r="A37" s="1"/>
    </row>
    <row r="38" spans="1:7" ht="12.5" x14ac:dyDescent="0.25">
      <c r="B38" s="1"/>
    </row>
    <row r="39" spans="1:7" ht="12.5" x14ac:dyDescent="0.25">
      <c r="D39" s="1"/>
      <c r="E39" s="3"/>
      <c r="G39" s="1"/>
    </row>
    <row r="40" spans="1:7" ht="15.75" customHeight="1" x14ac:dyDescent="0.25">
      <c r="A40" s="1"/>
      <c r="B40" s="2"/>
    </row>
    <row r="41" spans="1:7" ht="12.5" x14ac:dyDescent="0.25">
      <c r="A41" s="1"/>
      <c r="B41" s="2"/>
      <c r="D41" s="2"/>
      <c r="E41" s="2"/>
      <c r="G41" s="3"/>
    </row>
    <row r="42" spans="1:7" ht="12.5" x14ac:dyDescent="0.25">
      <c r="A42" s="1"/>
      <c r="B42" s="2"/>
      <c r="D42" s="2"/>
      <c r="E42" s="2"/>
      <c r="G42" s="3"/>
    </row>
    <row r="43" spans="1:7" ht="12.5" x14ac:dyDescent="0.25">
      <c r="A43" s="1"/>
      <c r="B43" s="2"/>
      <c r="D43" s="2"/>
      <c r="E43" s="2"/>
      <c r="G43" s="3"/>
    </row>
    <row r="44" spans="1:7" ht="12.5" x14ac:dyDescent="0.25">
      <c r="A44" s="1"/>
      <c r="B44" s="2"/>
      <c r="D44" s="2"/>
      <c r="E44" s="2"/>
      <c r="G44" s="3"/>
    </row>
    <row r="45" spans="1:7" ht="12.5" x14ac:dyDescent="0.25">
      <c r="A45" s="1"/>
      <c r="B45" s="1"/>
      <c r="D45" s="2"/>
      <c r="E45" s="2"/>
      <c r="G45" s="3"/>
    </row>
    <row r="46" spans="1:7" ht="12.5" x14ac:dyDescent="0.25">
      <c r="D46" s="1"/>
      <c r="E46" s="3"/>
    </row>
  </sheetData>
  <sortState xmlns:xlrd2="http://schemas.microsoft.com/office/spreadsheetml/2017/richdata2" ref="A20:B23">
    <sortCondition ref="A20:A2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47"/>
  <sheetViews>
    <sheetView zoomScale="75" zoomScaleNormal="75" workbookViewId="0">
      <selection activeCell="D13" sqref="D13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B2" s="1">
        <v>2013</v>
      </c>
      <c r="D2" s="1"/>
      <c r="E2" s="3"/>
    </row>
    <row r="3" spans="1:12" ht="15.75" customHeight="1" x14ac:dyDescent="0.25">
      <c r="A3" s="1" t="s">
        <v>2</v>
      </c>
    </row>
    <row r="4" spans="1:12" ht="15.75" customHeight="1" x14ac:dyDescent="0.25">
      <c r="A4" s="1" t="s">
        <v>14</v>
      </c>
      <c r="B4" s="2">
        <v>120520</v>
      </c>
      <c r="I4" s="1" t="s">
        <v>3</v>
      </c>
      <c r="J4" s="19">
        <v>0.49700000000000005</v>
      </c>
      <c r="K4" s="1"/>
      <c r="L4" s="18"/>
    </row>
    <row r="5" spans="1:12" ht="15.75" customHeight="1" x14ac:dyDescent="0.25">
      <c r="A5" s="1" t="s">
        <v>8</v>
      </c>
      <c r="B5" s="2">
        <v>221097</v>
      </c>
      <c r="D5" s="2"/>
      <c r="E5" s="2"/>
      <c r="I5" s="1" t="s">
        <v>5</v>
      </c>
      <c r="J5" s="19">
        <v>0.121</v>
      </c>
      <c r="K5" s="1"/>
      <c r="L5" s="18"/>
    </row>
    <row r="6" spans="1:12" ht="15.75" customHeight="1" x14ac:dyDescent="0.25">
      <c r="A6" s="1" t="s">
        <v>4</v>
      </c>
      <c r="B6" s="2">
        <v>338449</v>
      </c>
      <c r="D6" s="2"/>
      <c r="E6" s="2"/>
      <c r="I6" s="1" t="s">
        <v>7</v>
      </c>
      <c r="J6" s="19">
        <v>1.3999999999999999E-2</v>
      </c>
      <c r="K6" s="1"/>
      <c r="L6" s="18"/>
    </row>
    <row r="7" spans="1:12" ht="15.75" customHeight="1" x14ac:dyDescent="0.25">
      <c r="A7" s="1" t="s">
        <v>15</v>
      </c>
      <c r="B7" s="2">
        <v>98207</v>
      </c>
      <c r="D7" s="2"/>
      <c r="E7" s="2"/>
      <c r="I7" s="1" t="s">
        <v>9</v>
      </c>
      <c r="J7" s="19">
        <v>0.36799999999999999</v>
      </c>
      <c r="K7" s="1"/>
      <c r="L7" s="18"/>
    </row>
    <row r="8" spans="1:12" ht="15.75" customHeight="1" x14ac:dyDescent="0.25">
      <c r="A8" s="1" t="s">
        <v>10</v>
      </c>
      <c r="B8" s="2">
        <v>288739</v>
      </c>
      <c r="D8" s="2"/>
      <c r="E8" s="2"/>
    </row>
    <row r="9" spans="1:12" ht="15.75" customHeight="1" x14ac:dyDescent="0.25">
      <c r="A9" s="1" t="s">
        <v>19</v>
      </c>
      <c r="B9" s="2">
        <v>30799</v>
      </c>
      <c r="D9" s="2"/>
      <c r="E9" s="2"/>
    </row>
    <row r="10" spans="1:12" ht="15.75" customHeight="1" x14ac:dyDescent="0.25">
      <c r="A10" s="1" t="s">
        <v>18</v>
      </c>
      <c r="B10" s="2">
        <v>39717</v>
      </c>
      <c r="D10" s="2"/>
      <c r="E10" s="2"/>
    </row>
    <row r="11" spans="1:12" ht="15.75" customHeight="1" x14ac:dyDescent="0.25">
      <c r="A11" s="1" t="s">
        <v>11</v>
      </c>
      <c r="B11" s="2">
        <v>152163</v>
      </c>
      <c r="D11" s="2"/>
      <c r="E11" s="2"/>
    </row>
    <row r="12" spans="1:12" ht="15.75" customHeight="1" x14ac:dyDescent="0.25">
      <c r="A12" s="1" t="s">
        <v>6</v>
      </c>
      <c r="B12" s="2">
        <v>231435</v>
      </c>
      <c r="D12" s="2"/>
      <c r="E12" s="2"/>
    </row>
    <row r="13" spans="1:12" ht="15.75" customHeight="1" x14ac:dyDescent="0.25">
      <c r="A13" s="1" t="s">
        <v>13</v>
      </c>
      <c r="B13" s="2">
        <v>63400</v>
      </c>
      <c r="D13" s="2"/>
      <c r="E13" s="2"/>
    </row>
    <row r="14" spans="1:12" ht="15.75" customHeight="1" x14ac:dyDescent="0.25">
      <c r="A14" s="1" t="s">
        <v>21</v>
      </c>
      <c r="B14" s="2">
        <v>2500</v>
      </c>
      <c r="D14" s="2"/>
      <c r="E14" s="2"/>
    </row>
    <row r="15" spans="1:12" ht="15.75" customHeight="1" x14ac:dyDescent="0.25">
      <c r="A15" s="1" t="s">
        <v>20</v>
      </c>
      <c r="B15" s="2">
        <v>18358</v>
      </c>
      <c r="D15" s="2"/>
      <c r="E15" s="2"/>
    </row>
    <row r="16" spans="1:12" ht="15.75" customHeight="1" x14ac:dyDescent="0.25">
      <c r="B16" s="2">
        <v>1605384</v>
      </c>
      <c r="D16" s="2"/>
      <c r="E16" s="2"/>
    </row>
    <row r="17" spans="1:5" ht="15.75" customHeight="1" x14ac:dyDescent="0.25">
      <c r="D17" s="2"/>
      <c r="E17" s="2"/>
    </row>
    <row r="18" spans="1:5" ht="15.75" customHeight="1" x14ac:dyDescent="0.25">
      <c r="A18" s="1" t="s">
        <v>22</v>
      </c>
    </row>
    <row r="19" spans="1:5" ht="15.75" customHeight="1" x14ac:dyDescent="0.25">
      <c r="A19" s="3" t="s">
        <v>27</v>
      </c>
      <c r="B19" s="1">
        <v>710</v>
      </c>
    </row>
    <row r="20" spans="1:5" ht="15.75" customHeight="1" x14ac:dyDescent="0.25">
      <c r="A20" s="1" t="s">
        <v>26</v>
      </c>
      <c r="B20" s="1">
        <v>403</v>
      </c>
      <c r="D20" s="1"/>
      <c r="E20" s="3"/>
    </row>
    <row r="21" spans="1:5" ht="15.75" customHeight="1" x14ac:dyDescent="0.25">
      <c r="A21" s="1" t="s">
        <v>58</v>
      </c>
      <c r="B21" s="1">
        <v>653</v>
      </c>
      <c r="D21" s="1"/>
      <c r="E21" s="3"/>
    </row>
    <row r="22" spans="1:5" ht="12.5" x14ac:dyDescent="0.25">
      <c r="A22" s="1" t="s">
        <v>60</v>
      </c>
      <c r="B22" s="1">
        <v>280</v>
      </c>
      <c r="D22" s="1"/>
      <c r="E22" s="3"/>
    </row>
    <row r="23" spans="1:5" ht="12.5" x14ac:dyDescent="0.25">
      <c r="A23" s="1" t="s">
        <v>24</v>
      </c>
      <c r="B23" s="1">
        <v>76</v>
      </c>
      <c r="D23" s="1"/>
      <c r="E23" s="3"/>
    </row>
    <row r="24" spans="1:5" ht="12.5" x14ac:dyDescent="0.25">
      <c r="B24" s="2">
        <v>2122</v>
      </c>
      <c r="D24" s="1"/>
      <c r="E24" s="3"/>
    </row>
    <row r="25" spans="1:5" ht="12.5" x14ac:dyDescent="0.25">
      <c r="D25" s="2"/>
      <c r="E25" s="2"/>
    </row>
    <row r="26" spans="1:5" ht="15.75" customHeight="1" x14ac:dyDescent="0.25">
      <c r="A26" t="s">
        <v>69</v>
      </c>
      <c r="B26" s="2">
        <v>1607506</v>
      </c>
    </row>
    <row r="27" spans="1:5" ht="12.5" x14ac:dyDescent="0.25">
      <c r="A27" s="3"/>
      <c r="D27" s="2"/>
      <c r="E27" s="2"/>
    </row>
    <row r="38" spans="1:7" ht="15.75" customHeight="1" x14ac:dyDescent="0.25">
      <c r="A38" s="1"/>
    </row>
    <row r="39" spans="1:7" ht="12.5" x14ac:dyDescent="0.25">
      <c r="B39" s="1"/>
    </row>
    <row r="40" spans="1:7" ht="12.5" x14ac:dyDescent="0.25">
      <c r="D40" s="1"/>
      <c r="E40" s="3"/>
      <c r="G40" s="1"/>
    </row>
    <row r="41" spans="1:7" ht="15.75" customHeight="1" x14ac:dyDescent="0.25">
      <c r="A41" s="1"/>
      <c r="B41" s="2"/>
    </row>
    <row r="42" spans="1:7" ht="12.5" x14ac:dyDescent="0.25">
      <c r="A42" s="1"/>
      <c r="B42" s="2"/>
      <c r="D42" s="2"/>
      <c r="E42" s="2"/>
      <c r="G42" s="3"/>
    </row>
    <row r="43" spans="1:7" ht="12.5" x14ac:dyDescent="0.25">
      <c r="A43" s="1"/>
      <c r="B43" s="2"/>
      <c r="D43" s="2"/>
      <c r="E43" s="2"/>
      <c r="G43" s="3"/>
    </row>
    <row r="44" spans="1:7" ht="12.5" x14ac:dyDescent="0.25">
      <c r="A44" s="1"/>
      <c r="B44" s="2"/>
      <c r="D44" s="2"/>
      <c r="E44" s="2"/>
      <c r="G44" s="3"/>
    </row>
    <row r="45" spans="1:7" ht="12.5" x14ac:dyDescent="0.25">
      <c r="A45" s="1"/>
      <c r="B45" s="2"/>
      <c r="D45" s="2"/>
      <c r="E45" s="2"/>
      <c r="G45" s="3"/>
    </row>
    <row r="46" spans="1:7" ht="12.5" x14ac:dyDescent="0.25">
      <c r="A46" s="1"/>
      <c r="B46" s="1"/>
      <c r="D46" s="2"/>
      <c r="E46" s="2"/>
      <c r="G46" s="1"/>
    </row>
    <row r="47" spans="1:7" ht="12.5" x14ac:dyDescent="0.25">
      <c r="D47" s="1"/>
      <c r="E47" s="3"/>
    </row>
  </sheetData>
  <sortState xmlns:xlrd2="http://schemas.microsoft.com/office/spreadsheetml/2017/richdata2" ref="A20:B23">
    <sortCondition ref="A20:A2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41"/>
  <sheetViews>
    <sheetView zoomScale="75" zoomScaleNormal="75" workbookViewId="0">
      <selection activeCell="D13" sqref="D13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B2" s="1">
        <v>2012</v>
      </c>
      <c r="D2" s="1"/>
      <c r="E2" s="3"/>
    </row>
    <row r="3" spans="1:12" ht="15.75" customHeight="1" x14ac:dyDescent="0.25">
      <c r="A3" s="1" t="s">
        <v>2</v>
      </c>
    </row>
    <row r="4" spans="1:12" ht="15.75" customHeight="1" x14ac:dyDescent="0.25">
      <c r="A4" s="1" t="s">
        <v>14</v>
      </c>
      <c r="B4" s="2">
        <v>123111</v>
      </c>
      <c r="D4" s="2"/>
      <c r="E4" s="2"/>
      <c r="I4" s="1" t="s">
        <v>3</v>
      </c>
      <c r="J4" s="20" t="s">
        <v>85</v>
      </c>
      <c r="K4" s="1"/>
      <c r="L4" s="18"/>
    </row>
    <row r="5" spans="1:12" ht="15.75" customHeight="1" x14ac:dyDescent="0.25">
      <c r="A5" s="1" t="s">
        <v>8</v>
      </c>
      <c r="B5" s="2">
        <v>164666</v>
      </c>
      <c r="D5" s="2"/>
      <c r="E5" s="2"/>
      <c r="I5" s="1" t="s">
        <v>5</v>
      </c>
      <c r="J5" s="20" t="s">
        <v>85</v>
      </c>
      <c r="K5" s="1"/>
      <c r="L5" s="18"/>
    </row>
    <row r="6" spans="1:12" ht="15.75" customHeight="1" x14ac:dyDescent="0.25">
      <c r="A6" s="1" t="s">
        <v>4</v>
      </c>
      <c r="B6" s="2">
        <v>329759</v>
      </c>
      <c r="D6" s="2"/>
      <c r="E6" s="2"/>
      <c r="I6" s="1" t="s">
        <v>7</v>
      </c>
      <c r="J6" s="20" t="s">
        <v>85</v>
      </c>
      <c r="K6" s="1"/>
      <c r="L6" s="18"/>
    </row>
    <row r="7" spans="1:12" ht="15.75" customHeight="1" x14ac:dyDescent="0.25">
      <c r="A7" s="1" t="s">
        <v>15</v>
      </c>
      <c r="B7" s="2">
        <v>103357</v>
      </c>
      <c r="D7" s="2"/>
      <c r="E7" s="2"/>
      <c r="I7" s="1" t="s">
        <v>9</v>
      </c>
      <c r="J7" s="20" t="s">
        <v>85</v>
      </c>
      <c r="K7" s="1"/>
      <c r="L7" s="18"/>
    </row>
    <row r="8" spans="1:12" ht="15.75" customHeight="1" x14ac:dyDescent="0.25">
      <c r="A8" s="1" t="s">
        <v>10</v>
      </c>
      <c r="B8" s="2">
        <v>284888</v>
      </c>
      <c r="D8" s="2"/>
      <c r="E8" s="2"/>
    </row>
    <row r="9" spans="1:12" ht="15.75" customHeight="1" x14ac:dyDescent="0.25">
      <c r="A9" s="1" t="s">
        <v>19</v>
      </c>
      <c r="B9" s="2">
        <v>28950</v>
      </c>
      <c r="D9" s="2"/>
      <c r="E9" s="2"/>
    </row>
    <row r="10" spans="1:12" ht="15.75" customHeight="1" x14ac:dyDescent="0.25">
      <c r="A10" s="1" t="s">
        <v>18</v>
      </c>
      <c r="B10" s="2">
        <v>35932</v>
      </c>
      <c r="D10" s="2"/>
      <c r="E10" s="2"/>
    </row>
    <row r="11" spans="1:12" ht="15.75" customHeight="1" x14ac:dyDescent="0.25">
      <c r="A11" s="1" t="s">
        <v>11</v>
      </c>
      <c r="B11" s="2">
        <v>106918</v>
      </c>
      <c r="D11" s="2"/>
      <c r="E11" s="2"/>
    </row>
    <row r="12" spans="1:12" ht="15.75" customHeight="1" x14ac:dyDescent="0.25">
      <c r="A12" s="1" t="s">
        <v>6</v>
      </c>
      <c r="B12" s="2">
        <v>209799</v>
      </c>
      <c r="D12" s="2"/>
      <c r="E12" s="2"/>
    </row>
    <row r="13" spans="1:12" ht="15.75" customHeight="1" x14ac:dyDescent="0.25">
      <c r="A13" s="1" t="s">
        <v>13</v>
      </c>
      <c r="B13" s="2">
        <v>54558</v>
      </c>
      <c r="D13" s="2"/>
      <c r="E13" s="2"/>
    </row>
    <row r="14" spans="1:12" ht="15.75" customHeight="1" x14ac:dyDescent="0.25">
      <c r="A14" s="1" t="s">
        <v>21</v>
      </c>
      <c r="B14" s="2">
        <v>2241</v>
      </c>
      <c r="D14" s="2"/>
      <c r="E14" s="2"/>
    </row>
    <row r="15" spans="1:12" ht="15.75" customHeight="1" x14ac:dyDescent="0.25">
      <c r="A15" s="1" t="s">
        <v>20</v>
      </c>
      <c r="B15" s="2">
        <v>21880</v>
      </c>
      <c r="D15" s="2"/>
      <c r="E15" s="2"/>
    </row>
    <row r="16" spans="1:12" ht="15.75" customHeight="1" x14ac:dyDescent="0.25">
      <c r="B16" s="2">
        <v>1466059</v>
      </c>
      <c r="D16" s="2"/>
      <c r="E16" s="2"/>
    </row>
    <row r="18" spans="1:5" ht="15.75" customHeight="1" x14ac:dyDescent="0.25">
      <c r="A18" s="1" t="s">
        <v>22</v>
      </c>
    </row>
    <row r="19" spans="1:5" ht="15.75" customHeight="1" x14ac:dyDescent="0.25">
      <c r="A19" s="3"/>
      <c r="D19" s="1"/>
      <c r="E19" s="3"/>
    </row>
    <row r="20" spans="1:5" ht="15.75" customHeight="1" x14ac:dyDescent="0.25">
      <c r="A20" s="1" t="s">
        <v>64</v>
      </c>
      <c r="B20" s="1">
        <v>976</v>
      </c>
      <c r="D20" s="3"/>
      <c r="E20" s="3"/>
    </row>
    <row r="21" spans="1:5" ht="15.75" customHeight="1" x14ac:dyDescent="0.25">
      <c r="A21" s="1" t="s">
        <v>65</v>
      </c>
      <c r="B21" s="1">
        <v>822</v>
      </c>
      <c r="D21" s="1"/>
      <c r="E21" s="3"/>
    </row>
    <row r="22" spans="1:5" ht="15.75" customHeight="1" x14ac:dyDescent="0.25">
      <c r="A22" s="1" t="s">
        <v>60</v>
      </c>
      <c r="B22" s="1">
        <v>399</v>
      </c>
      <c r="D22" s="1"/>
      <c r="E22" s="3"/>
    </row>
    <row r="23" spans="1:5" ht="12.5" x14ac:dyDescent="0.25">
      <c r="B23" s="2">
        <v>2197</v>
      </c>
      <c r="D23" s="2"/>
      <c r="E23" s="2"/>
    </row>
    <row r="25" spans="1:5" ht="12.5" x14ac:dyDescent="0.25">
      <c r="A25" s="1" t="s">
        <v>69</v>
      </c>
      <c r="B25" s="2">
        <v>1468256</v>
      </c>
      <c r="D25" s="2"/>
      <c r="E25" s="2"/>
    </row>
    <row r="29" spans="1:5" ht="15.75" customHeight="1" x14ac:dyDescent="0.25">
      <c r="A29" s="3"/>
    </row>
    <row r="34" spans="1:7" ht="12.5" x14ac:dyDescent="0.25">
      <c r="A34" s="1"/>
    </row>
    <row r="35" spans="1:7" ht="12.5" x14ac:dyDescent="0.25">
      <c r="B35" s="1"/>
      <c r="D35" s="1"/>
      <c r="E35" s="3"/>
      <c r="G35" s="1"/>
    </row>
    <row r="36" spans="1:7" ht="12.5" x14ac:dyDescent="0.25">
      <c r="A36" s="1"/>
      <c r="B36" s="2"/>
      <c r="D36" s="2"/>
      <c r="E36" s="2"/>
      <c r="G36" s="3"/>
    </row>
    <row r="37" spans="1:7" ht="12.5" x14ac:dyDescent="0.25">
      <c r="A37" s="1"/>
      <c r="B37" s="2"/>
      <c r="D37" s="2"/>
      <c r="E37" s="2"/>
      <c r="G37" s="1"/>
    </row>
    <row r="38" spans="1:7" ht="12.5" x14ac:dyDescent="0.25">
      <c r="A38" s="1"/>
      <c r="B38" s="2"/>
      <c r="D38" s="2"/>
      <c r="E38" s="2"/>
      <c r="G38" s="3"/>
    </row>
    <row r="39" spans="1:7" ht="12.5" x14ac:dyDescent="0.25">
      <c r="A39" s="1"/>
      <c r="B39" s="2"/>
      <c r="D39" s="2"/>
      <c r="E39" s="2"/>
      <c r="G39" s="3"/>
    </row>
    <row r="40" spans="1:7" ht="12.5" x14ac:dyDescent="0.25">
      <c r="A40" s="1"/>
      <c r="B40" s="2"/>
      <c r="D40" s="2"/>
      <c r="E40" s="2"/>
      <c r="G40" s="3"/>
    </row>
    <row r="41" spans="1:7" ht="12.5" x14ac:dyDescent="0.25">
      <c r="A41" s="1"/>
      <c r="B41" s="1"/>
      <c r="D41" s="1"/>
      <c r="E41" s="3"/>
    </row>
  </sheetData>
  <sortState xmlns:xlrd2="http://schemas.microsoft.com/office/spreadsheetml/2017/richdata2" ref="A4:B15">
    <sortCondition ref="A4:A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35"/>
  <sheetViews>
    <sheetView zoomScale="75" zoomScaleNormal="75" workbookViewId="0">
      <selection activeCell="D13" sqref="D13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B2" s="1">
        <v>2011</v>
      </c>
      <c r="D2" s="1">
        <v>2010</v>
      </c>
      <c r="E2" s="3"/>
    </row>
    <row r="3" spans="1:12" ht="15.75" customHeight="1" x14ac:dyDescent="0.25">
      <c r="A3" s="1" t="s">
        <v>14</v>
      </c>
      <c r="B3" s="2">
        <v>117566</v>
      </c>
    </row>
    <row r="4" spans="1:12" ht="15.75" customHeight="1" x14ac:dyDescent="0.25">
      <c r="A4" s="1" t="s">
        <v>8</v>
      </c>
      <c r="B4" s="2">
        <v>189068</v>
      </c>
      <c r="D4" s="2">
        <v>51937</v>
      </c>
      <c r="E4" s="2"/>
      <c r="I4" s="1" t="s">
        <v>3</v>
      </c>
      <c r="J4" s="20" t="s">
        <v>85</v>
      </c>
      <c r="K4" s="1"/>
      <c r="L4" s="18"/>
    </row>
    <row r="5" spans="1:12" ht="15.75" customHeight="1" x14ac:dyDescent="0.25">
      <c r="A5" s="1" t="s">
        <v>4</v>
      </c>
      <c r="B5" s="2">
        <v>321045</v>
      </c>
      <c r="D5" s="2">
        <v>198974</v>
      </c>
      <c r="E5" s="2"/>
      <c r="I5" s="1" t="s">
        <v>5</v>
      </c>
      <c r="J5" s="20" t="s">
        <v>85</v>
      </c>
      <c r="K5" s="1"/>
      <c r="L5" s="18"/>
    </row>
    <row r="6" spans="1:12" ht="15.75" customHeight="1" x14ac:dyDescent="0.25">
      <c r="A6" s="1" t="s">
        <v>15</v>
      </c>
      <c r="B6" s="2">
        <v>111758</v>
      </c>
      <c r="D6" s="2">
        <v>306291</v>
      </c>
      <c r="E6" s="2"/>
      <c r="I6" s="1" t="s">
        <v>7</v>
      </c>
      <c r="J6" s="20" t="s">
        <v>85</v>
      </c>
      <c r="K6" s="1"/>
      <c r="L6" s="18"/>
    </row>
    <row r="7" spans="1:12" ht="15.75" customHeight="1" x14ac:dyDescent="0.25">
      <c r="A7" s="1" t="s">
        <v>10</v>
      </c>
      <c r="B7" s="2">
        <v>241862</v>
      </c>
      <c r="D7" s="2">
        <v>111270</v>
      </c>
      <c r="E7" s="2"/>
      <c r="I7" s="1" t="s">
        <v>9</v>
      </c>
      <c r="J7" s="20" t="s">
        <v>85</v>
      </c>
      <c r="K7" s="1"/>
      <c r="L7" s="18"/>
    </row>
    <row r="8" spans="1:12" ht="15.75" customHeight="1" x14ac:dyDescent="0.25">
      <c r="A8" s="1" t="s">
        <v>19</v>
      </c>
      <c r="B8" s="2">
        <v>37301</v>
      </c>
      <c r="D8" s="2">
        <v>211256</v>
      </c>
      <c r="E8" s="2"/>
    </row>
    <row r="9" spans="1:12" ht="15.75" customHeight="1" x14ac:dyDescent="0.25">
      <c r="A9" s="1" t="s">
        <v>18</v>
      </c>
      <c r="B9" s="2">
        <v>38542</v>
      </c>
      <c r="D9" s="2">
        <v>8496</v>
      </c>
      <c r="E9" s="2"/>
    </row>
    <row r="10" spans="1:12" ht="15.75" customHeight="1" x14ac:dyDescent="0.25">
      <c r="A10" s="1" t="s">
        <v>11</v>
      </c>
      <c r="B10" s="2">
        <v>19613</v>
      </c>
      <c r="D10" s="2">
        <v>22435</v>
      </c>
      <c r="E10" s="2"/>
    </row>
    <row r="11" spans="1:12" ht="15.75" customHeight="1" x14ac:dyDescent="0.25">
      <c r="A11" s="1" t="s">
        <v>6</v>
      </c>
      <c r="B11" s="2">
        <v>183678</v>
      </c>
      <c r="D11" s="3" t="s">
        <v>59</v>
      </c>
      <c r="E11" s="3"/>
    </row>
    <row r="12" spans="1:12" ht="15.75" customHeight="1" x14ac:dyDescent="0.25">
      <c r="A12" s="1" t="s">
        <v>13</v>
      </c>
      <c r="B12" s="2">
        <v>53703</v>
      </c>
      <c r="D12" s="2">
        <v>154604</v>
      </c>
      <c r="E12" s="2"/>
    </row>
    <row r="13" spans="1:12" ht="15.75" customHeight="1" x14ac:dyDescent="0.25">
      <c r="A13" s="1" t="s">
        <v>21</v>
      </c>
      <c r="B13" s="2">
        <v>3551</v>
      </c>
      <c r="D13" s="2">
        <v>48937</v>
      </c>
      <c r="E13" s="2"/>
    </row>
    <row r="14" spans="1:12" ht="15.75" customHeight="1" x14ac:dyDescent="0.25">
      <c r="A14" s="1" t="s">
        <v>20</v>
      </c>
      <c r="B14" s="2">
        <v>25508</v>
      </c>
      <c r="D14" s="2">
        <v>3485</v>
      </c>
      <c r="E14" s="2"/>
    </row>
    <row r="15" spans="1:12" ht="15.75" customHeight="1" x14ac:dyDescent="0.25">
      <c r="B15" s="2">
        <v>1343195</v>
      </c>
      <c r="D15" s="2">
        <v>26217</v>
      </c>
      <c r="E15" s="2"/>
    </row>
    <row r="16" spans="1:12" ht="15.75" customHeight="1" x14ac:dyDescent="0.25">
      <c r="D16" s="2">
        <v>1143902</v>
      </c>
      <c r="E16" s="2"/>
    </row>
    <row r="17" spans="1:7" ht="15.75" customHeight="1" x14ac:dyDescent="0.25">
      <c r="A17" s="1" t="s">
        <v>22</v>
      </c>
    </row>
    <row r="18" spans="1:7" ht="15.75" customHeight="1" x14ac:dyDescent="0.25">
      <c r="A18" s="1" t="s">
        <v>65</v>
      </c>
      <c r="B18" s="1">
        <v>944</v>
      </c>
    </row>
    <row r="19" spans="1:7" ht="15.75" customHeight="1" x14ac:dyDescent="0.25">
      <c r="A19" s="1" t="s">
        <v>64</v>
      </c>
      <c r="B19" s="1">
        <v>447</v>
      </c>
      <c r="D19" s="1">
        <v>817</v>
      </c>
      <c r="E19" s="3"/>
    </row>
    <row r="20" spans="1:7" ht="15.75" customHeight="1" x14ac:dyDescent="0.25">
      <c r="A20" s="1" t="s">
        <v>60</v>
      </c>
      <c r="B20" s="1">
        <v>320</v>
      </c>
      <c r="D20" s="1" t="s">
        <v>59</v>
      </c>
      <c r="E20" s="3"/>
    </row>
    <row r="21" spans="1:7" ht="15.75" customHeight="1" x14ac:dyDescent="0.25">
      <c r="A21" s="1" t="s">
        <v>67</v>
      </c>
      <c r="B21" s="1" t="s">
        <v>59</v>
      </c>
      <c r="D21" s="1">
        <v>247</v>
      </c>
      <c r="E21" s="3"/>
    </row>
    <row r="22" spans="1:7" ht="12.5" x14ac:dyDescent="0.25">
      <c r="A22" s="1" t="s">
        <v>68</v>
      </c>
      <c r="B22" s="1" t="s">
        <v>59</v>
      </c>
      <c r="D22" s="1">
        <v>145</v>
      </c>
      <c r="E22" s="3"/>
    </row>
    <row r="23" spans="1:7" ht="12.5" x14ac:dyDescent="0.25">
      <c r="B23" s="2">
        <v>1711</v>
      </c>
      <c r="D23" s="1">
        <v>18</v>
      </c>
      <c r="E23" s="3"/>
    </row>
    <row r="24" spans="1:7" ht="12.5" x14ac:dyDescent="0.25">
      <c r="D24" s="2">
        <v>1227</v>
      </c>
      <c r="E24" s="2"/>
    </row>
    <row r="25" spans="1:7" ht="15.75" customHeight="1" x14ac:dyDescent="0.25">
      <c r="A25" s="1" t="s">
        <v>69</v>
      </c>
      <c r="B25" s="2">
        <v>1344906</v>
      </c>
    </row>
    <row r="26" spans="1:7" ht="12.5" x14ac:dyDescent="0.25">
      <c r="D26" s="2">
        <v>1145129</v>
      </c>
      <c r="E26" s="2"/>
    </row>
    <row r="27" spans="1:7" ht="15.75" customHeight="1" x14ac:dyDescent="0.25">
      <c r="A27" s="3"/>
    </row>
    <row r="28" spans="1:7" ht="12.5" x14ac:dyDescent="0.25">
      <c r="B28" s="1"/>
    </row>
    <row r="29" spans="1:7" ht="12.5" x14ac:dyDescent="0.25">
      <c r="A29" s="1"/>
      <c r="B29" s="2"/>
      <c r="D29" s="1"/>
      <c r="E29" s="3"/>
      <c r="G29" s="1"/>
    </row>
    <row r="30" spans="1:7" ht="12.5" x14ac:dyDescent="0.25">
      <c r="A30" s="1"/>
      <c r="B30" s="2"/>
      <c r="D30" s="2"/>
      <c r="E30" s="2"/>
      <c r="G30" s="3"/>
    </row>
    <row r="31" spans="1:7" ht="12.5" x14ac:dyDescent="0.25">
      <c r="A31" s="1"/>
      <c r="B31" s="2"/>
      <c r="D31" s="2"/>
      <c r="E31" s="2"/>
      <c r="G31" s="3"/>
    </row>
    <row r="32" spans="1:7" ht="12.5" x14ac:dyDescent="0.25">
      <c r="A32" s="1"/>
      <c r="B32" s="2"/>
      <c r="D32" s="2"/>
      <c r="E32" s="2"/>
      <c r="G32" s="3"/>
    </row>
    <row r="33" spans="1:7" ht="12.5" x14ac:dyDescent="0.25">
      <c r="A33" s="1"/>
      <c r="B33" s="2"/>
      <c r="D33" s="2"/>
      <c r="E33" s="2"/>
      <c r="G33" s="3"/>
    </row>
    <row r="34" spans="1:7" ht="12.5" x14ac:dyDescent="0.25">
      <c r="A34" s="1"/>
      <c r="B34" s="2"/>
      <c r="D34" s="2"/>
      <c r="E34" s="2"/>
      <c r="G34" s="3"/>
    </row>
    <row r="35" spans="1:7" ht="12.5" x14ac:dyDescent="0.25">
      <c r="D35" s="2"/>
      <c r="E35" s="2"/>
    </row>
  </sheetData>
  <sortState xmlns:xlrd2="http://schemas.microsoft.com/office/spreadsheetml/2017/richdata2" ref="A4:D15">
    <sortCondition ref="A4:A1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1E34-8FFE-4430-B926-9F4A20D818CA}">
  <sheetPr>
    <outlinePr summaryBelow="0" summaryRight="0"/>
  </sheetPr>
  <dimension ref="A1:G11"/>
  <sheetViews>
    <sheetView zoomScale="75" zoomScaleNormal="75" workbookViewId="0">
      <selection activeCell="A4" sqref="A4"/>
    </sheetView>
  </sheetViews>
  <sheetFormatPr defaultColWidth="14.453125" defaultRowHeight="15.75" customHeight="1" x14ac:dyDescent="0.25"/>
  <cols>
    <col min="9" max="9" width="20.453125" customWidth="1"/>
  </cols>
  <sheetData>
    <row r="1" spans="1:7" ht="12.5" x14ac:dyDescent="0.25">
      <c r="A1" s="3" t="s">
        <v>28</v>
      </c>
      <c r="B1" s="3"/>
      <c r="C1" s="3"/>
      <c r="D1" s="3"/>
      <c r="E1" s="3"/>
      <c r="F1" s="3"/>
      <c r="G1" s="3"/>
    </row>
    <row r="2" spans="1:7" ht="12.5" x14ac:dyDescent="0.25">
      <c r="C2" s="3">
        <v>2020</v>
      </c>
      <c r="E2" s="3">
        <v>2019</v>
      </c>
      <c r="G2" s="3" t="s">
        <v>29</v>
      </c>
    </row>
    <row r="4" spans="1:7" ht="12.5" x14ac:dyDescent="0.25">
      <c r="A4" s="3" t="s">
        <v>30</v>
      </c>
      <c r="C4" s="2">
        <v>1700</v>
      </c>
      <c r="E4" s="2">
        <v>1854</v>
      </c>
      <c r="G4" s="3" t="s">
        <v>31</v>
      </c>
    </row>
    <row r="5" spans="1:7" ht="12.5" x14ac:dyDescent="0.25">
      <c r="A5" s="3" t="s">
        <v>2</v>
      </c>
      <c r="C5" s="2">
        <v>1693</v>
      </c>
      <c r="E5" s="2">
        <v>1846</v>
      </c>
      <c r="G5" s="3" t="s">
        <v>31</v>
      </c>
    </row>
    <row r="6" spans="1:7" ht="12.5" x14ac:dyDescent="0.25">
      <c r="A6" s="3" t="s">
        <v>22</v>
      </c>
      <c r="C6" s="3">
        <v>7</v>
      </c>
      <c r="E6" s="3">
        <v>8</v>
      </c>
      <c r="G6" s="3" t="s">
        <v>32</v>
      </c>
    </row>
    <row r="7" spans="1:7" ht="12.5" x14ac:dyDescent="0.25">
      <c r="A7" s="3" t="s">
        <v>33</v>
      </c>
      <c r="C7" s="2">
        <v>1017</v>
      </c>
      <c r="E7" s="2">
        <v>1200</v>
      </c>
      <c r="G7" s="3" t="s">
        <v>34</v>
      </c>
    </row>
    <row r="8" spans="1:7" ht="12.5" x14ac:dyDescent="0.25">
      <c r="A8" s="3" t="s">
        <v>35</v>
      </c>
      <c r="C8" s="2">
        <v>1663</v>
      </c>
      <c r="E8" s="2">
        <v>1802</v>
      </c>
      <c r="G8" s="3" t="s">
        <v>36</v>
      </c>
    </row>
    <row r="9" spans="1:7" ht="12.5" x14ac:dyDescent="0.25">
      <c r="A9" s="3" t="s">
        <v>37</v>
      </c>
      <c r="C9" s="2">
        <v>49973</v>
      </c>
      <c r="E9" s="2">
        <v>55680</v>
      </c>
      <c r="G9" s="3" t="s">
        <v>38</v>
      </c>
    </row>
    <row r="10" spans="1:7" ht="12.5" x14ac:dyDescent="0.25">
      <c r="A10" s="3" t="s">
        <v>39</v>
      </c>
      <c r="C10" s="2">
        <v>2739</v>
      </c>
      <c r="E10" s="2">
        <v>4509</v>
      </c>
      <c r="G10" s="3" t="s">
        <v>40</v>
      </c>
    </row>
    <row r="11" spans="1:7" ht="12.5" x14ac:dyDescent="0.25">
      <c r="A11" s="3" t="s">
        <v>41</v>
      </c>
      <c r="C11" s="3">
        <v>5.5</v>
      </c>
      <c r="E11" s="3">
        <v>8.1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54F5-0C9B-4028-831F-9634A4E77A8E}">
  <sheetPr>
    <outlinePr summaryBelow="0" summaryRight="0"/>
  </sheetPr>
  <dimension ref="A1:G11"/>
  <sheetViews>
    <sheetView zoomScale="75" zoomScaleNormal="75" workbookViewId="0">
      <selection activeCell="N24" sqref="N24"/>
    </sheetView>
  </sheetViews>
  <sheetFormatPr defaultColWidth="14.453125" defaultRowHeight="15.75" customHeight="1" x14ac:dyDescent="0.25"/>
  <cols>
    <col min="9" max="9" width="20.453125" customWidth="1"/>
  </cols>
  <sheetData>
    <row r="1" spans="1:7" ht="12.5" x14ac:dyDescent="0.25">
      <c r="A1" s="3" t="s">
        <v>28</v>
      </c>
      <c r="B1" s="3"/>
      <c r="C1" s="3"/>
      <c r="D1" s="3"/>
      <c r="E1" s="3"/>
      <c r="F1" s="3"/>
      <c r="G1" s="3"/>
    </row>
    <row r="2" spans="1:7" ht="12.5" x14ac:dyDescent="0.25">
      <c r="C2" s="3">
        <v>2019</v>
      </c>
      <c r="E2" s="3">
        <v>2018</v>
      </c>
      <c r="G2" s="3" t="s">
        <v>29</v>
      </c>
    </row>
    <row r="4" spans="1:7" ht="12.5" x14ac:dyDescent="0.25">
      <c r="A4" s="3" t="s">
        <v>30</v>
      </c>
      <c r="C4" s="2">
        <v>1854</v>
      </c>
      <c r="E4" s="2">
        <v>1818</v>
      </c>
      <c r="G4" s="3">
        <f>2</f>
        <v>2</v>
      </c>
    </row>
    <row r="5" spans="1:7" ht="12.5" x14ac:dyDescent="0.25">
      <c r="A5" s="3" t="s">
        <v>2</v>
      </c>
      <c r="C5" s="2">
        <v>1846</v>
      </c>
      <c r="E5" s="2">
        <v>1812</v>
      </c>
      <c r="G5" s="3">
        <f>1.8</f>
        <v>1.8</v>
      </c>
    </row>
    <row r="6" spans="1:7" ht="12.5" x14ac:dyDescent="0.25">
      <c r="A6" s="3" t="s">
        <v>22</v>
      </c>
      <c r="C6" s="3">
        <v>8</v>
      </c>
      <c r="E6" s="3">
        <v>6</v>
      </c>
      <c r="G6" s="3">
        <f>42.7</f>
        <v>42.7</v>
      </c>
    </row>
    <row r="7" spans="1:7" ht="12.5" x14ac:dyDescent="0.25">
      <c r="A7" s="3" t="s">
        <v>33</v>
      </c>
      <c r="C7" s="2">
        <v>1200</v>
      </c>
      <c r="E7" s="2">
        <v>1467</v>
      </c>
      <c r="G7" s="3" t="s">
        <v>42</v>
      </c>
    </row>
    <row r="8" spans="1:7" ht="12.5" x14ac:dyDescent="0.25">
      <c r="A8" s="3" t="s">
        <v>35</v>
      </c>
      <c r="C8" s="2">
        <v>1802</v>
      </c>
      <c r="E8" s="2">
        <v>1871</v>
      </c>
      <c r="G8" s="3" t="s">
        <v>43</v>
      </c>
    </row>
    <row r="9" spans="1:7" ht="12.5" x14ac:dyDescent="0.25">
      <c r="A9" s="3" t="s">
        <v>37</v>
      </c>
      <c r="C9" s="2">
        <v>55680</v>
      </c>
      <c r="E9" s="2">
        <v>59248</v>
      </c>
      <c r="G9" s="3" t="s">
        <v>44</v>
      </c>
    </row>
    <row r="10" spans="1:7" ht="12.5" x14ac:dyDescent="0.25">
      <c r="A10" s="3" t="s">
        <v>39</v>
      </c>
      <c r="C10" s="2">
        <v>4509</v>
      </c>
      <c r="E10" s="2">
        <v>4705</v>
      </c>
      <c r="G10" s="3" t="s">
        <v>45</v>
      </c>
    </row>
    <row r="11" spans="1:7" ht="12.5" x14ac:dyDescent="0.25">
      <c r="A11" s="3" t="s">
        <v>41</v>
      </c>
      <c r="C11" s="3">
        <v>8.1</v>
      </c>
      <c r="E11" s="3">
        <v>7.9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91B4-1783-4354-B690-6CC833A4673A}">
  <sheetPr>
    <outlinePr summaryBelow="0" summaryRight="0"/>
  </sheetPr>
  <dimension ref="A1:G11"/>
  <sheetViews>
    <sheetView zoomScale="75" zoomScaleNormal="75" workbookViewId="0">
      <selection activeCell="N24" sqref="N24"/>
    </sheetView>
  </sheetViews>
  <sheetFormatPr defaultColWidth="14.453125" defaultRowHeight="15.75" customHeight="1" x14ac:dyDescent="0.25"/>
  <cols>
    <col min="9" max="9" width="20.453125" customWidth="1"/>
  </cols>
  <sheetData>
    <row r="1" spans="1:7" ht="12.5" x14ac:dyDescent="0.25">
      <c r="A1" s="3" t="s">
        <v>28</v>
      </c>
      <c r="B1" s="3"/>
      <c r="C1" s="3"/>
      <c r="D1" s="3"/>
      <c r="E1" s="3"/>
      <c r="F1" s="3"/>
      <c r="G1" s="3"/>
    </row>
    <row r="2" spans="1:7" ht="12.5" x14ac:dyDescent="0.25">
      <c r="C2" s="3">
        <v>2018</v>
      </c>
      <c r="E2" s="3">
        <v>20171</v>
      </c>
      <c r="G2" s="3" t="s">
        <v>29</v>
      </c>
    </row>
    <row r="4" spans="1:7" ht="12.5" x14ac:dyDescent="0.25">
      <c r="A4" s="3" t="s">
        <v>30</v>
      </c>
      <c r="C4" s="2">
        <v>1818</v>
      </c>
      <c r="E4" s="2">
        <v>1882</v>
      </c>
      <c r="G4" s="3" t="s">
        <v>46</v>
      </c>
    </row>
    <row r="5" spans="1:7" ht="12.5" x14ac:dyDescent="0.25">
      <c r="A5" s="3" t="s">
        <v>2</v>
      </c>
      <c r="C5" s="2">
        <v>1812</v>
      </c>
      <c r="E5" s="2">
        <v>1878</v>
      </c>
      <c r="G5" s="3" t="s">
        <v>47</v>
      </c>
    </row>
    <row r="6" spans="1:7" ht="12.5" x14ac:dyDescent="0.25">
      <c r="A6" s="3" t="s">
        <v>22</v>
      </c>
      <c r="C6" s="3">
        <v>6</v>
      </c>
      <c r="E6" s="3">
        <v>4</v>
      </c>
      <c r="G6" s="3">
        <f>50.7</f>
        <v>50.7</v>
      </c>
    </row>
    <row r="7" spans="1:7" ht="12.5" x14ac:dyDescent="0.25">
      <c r="A7" s="3" t="s">
        <v>33</v>
      </c>
      <c r="C7" s="2">
        <v>1467</v>
      </c>
      <c r="E7" s="2">
        <v>1530</v>
      </c>
      <c r="G7" s="3" t="s">
        <v>48</v>
      </c>
    </row>
    <row r="8" spans="1:7" ht="12.5" x14ac:dyDescent="0.25">
      <c r="A8" s="3" t="s">
        <v>35</v>
      </c>
      <c r="C8" s="2">
        <v>1871</v>
      </c>
      <c r="E8" s="2">
        <v>1879</v>
      </c>
      <c r="G8" s="3" t="s">
        <v>49</v>
      </c>
    </row>
    <row r="9" spans="1:7" ht="12.5" x14ac:dyDescent="0.25">
      <c r="A9" s="3" t="s">
        <v>37</v>
      </c>
      <c r="C9" s="2">
        <v>59248</v>
      </c>
      <c r="E9" s="2">
        <v>59789</v>
      </c>
      <c r="G9" s="3" t="s">
        <v>50</v>
      </c>
    </row>
    <row r="10" spans="1:7" ht="12.5" x14ac:dyDescent="0.25">
      <c r="A10" s="3" t="s">
        <v>39</v>
      </c>
      <c r="C10" s="2">
        <v>4705</v>
      </c>
      <c r="E10" s="2">
        <v>5058</v>
      </c>
      <c r="G10" s="3" t="s">
        <v>51</v>
      </c>
    </row>
    <row r="11" spans="1:7" ht="12.5" x14ac:dyDescent="0.25">
      <c r="A11" s="3" t="s">
        <v>41</v>
      </c>
      <c r="C11" s="3">
        <v>7.9</v>
      </c>
      <c r="E11" s="3">
        <v>8.5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D595-06F3-4293-8824-8D3F44A564CC}">
  <sheetPr>
    <outlinePr summaryBelow="0" summaryRight="0"/>
  </sheetPr>
  <dimension ref="A1:G11"/>
  <sheetViews>
    <sheetView zoomScale="75" zoomScaleNormal="75" workbookViewId="0">
      <selection activeCell="N24" sqref="N24"/>
    </sheetView>
  </sheetViews>
  <sheetFormatPr defaultColWidth="14.453125" defaultRowHeight="15.75" customHeight="1" x14ac:dyDescent="0.25"/>
  <cols>
    <col min="9" max="9" width="20.453125" customWidth="1"/>
  </cols>
  <sheetData>
    <row r="1" spans="1:7" ht="12.5" x14ac:dyDescent="0.25">
      <c r="A1" s="3" t="s">
        <v>28</v>
      </c>
      <c r="B1" s="3"/>
      <c r="C1" s="3"/>
      <c r="D1" s="3"/>
      <c r="E1" s="3"/>
      <c r="F1" s="3"/>
      <c r="G1" s="3"/>
    </row>
    <row r="2" spans="1:7" ht="12.5" x14ac:dyDescent="0.25">
      <c r="C2" s="3">
        <v>2017</v>
      </c>
      <c r="E2" s="3">
        <v>2016</v>
      </c>
      <c r="G2" s="3" t="s">
        <v>29</v>
      </c>
    </row>
    <row r="4" spans="1:7" ht="12.5" x14ac:dyDescent="0.25">
      <c r="A4" s="3" t="s">
        <v>30</v>
      </c>
      <c r="C4" s="2">
        <v>1882</v>
      </c>
      <c r="E4" s="2">
        <v>1871</v>
      </c>
      <c r="G4" s="3">
        <f t="shared" ref="G4:G5" si="0">0.6</f>
        <v>0.6</v>
      </c>
    </row>
    <row r="5" spans="1:7" ht="12.5" x14ac:dyDescent="0.25">
      <c r="A5" s="3" t="s">
        <v>2</v>
      </c>
      <c r="C5" s="2">
        <v>1878</v>
      </c>
      <c r="E5" s="2">
        <v>1868</v>
      </c>
      <c r="G5" s="3">
        <f t="shared" si="0"/>
        <v>0.6</v>
      </c>
    </row>
    <row r="6" spans="1:7" ht="12.5" x14ac:dyDescent="0.25">
      <c r="A6" s="3" t="s">
        <v>22</v>
      </c>
      <c r="C6" s="3">
        <v>4</v>
      </c>
      <c r="E6" s="3">
        <v>3</v>
      </c>
      <c r="G6" s="3">
        <f>10.4</f>
        <v>10.4</v>
      </c>
    </row>
    <row r="7" spans="1:7" ht="12.5" x14ac:dyDescent="0.25">
      <c r="A7" s="3" t="s">
        <v>33</v>
      </c>
      <c r="C7" s="2">
        <v>1530</v>
      </c>
      <c r="E7" s="2">
        <v>1534</v>
      </c>
      <c r="G7" s="3" t="s">
        <v>53</v>
      </c>
    </row>
    <row r="8" spans="1:7" ht="12.5" x14ac:dyDescent="0.25">
      <c r="A8" s="3" t="s">
        <v>35</v>
      </c>
      <c r="C8" s="2">
        <v>1879</v>
      </c>
      <c r="E8" s="2">
        <v>1903</v>
      </c>
      <c r="G8" s="3" t="s">
        <v>54</v>
      </c>
    </row>
    <row r="9" spans="1:7" ht="12.5" x14ac:dyDescent="0.25">
      <c r="A9" s="3" t="s">
        <v>37</v>
      </c>
      <c r="C9" s="2">
        <v>60128</v>
      </c>
      <c r="E9" s="2">
        <v>59317</v>
      </c>
      <c r="G9" s="3">
        <f>1.4</f>
        <v>1.4</v>
      </c>
    </row>
    <row r="10" spans="1:7" ht="12.5" x14ac:dyDescent="0.25">
      <c r="A10" s="3" t="s">
        <v>39</v>
      </c>
      <c r="C10" s="2">
        <v>5058</v>
      </c>
      <c r="E10" s="2">
        <v>4846</v>
      </c>
      <c r="G10" s="3">
        <f>4.4</f>
        <v>4.4000000000000004</v>
      </c>
    </row>
    <row r="11" spans="1:7" ht="12.5" x14ac:dyDescent="0.25">
      <c r="A11" s="3" t="s">
        <v>55</v>
      </c>
      <c r="C11" s="3">
        <v>8.4</v>
      </c>
      <c r="E11" s="3">
        <v>8.1999999999999993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07E6-64B9-4DE3-94C7-05296EE8CE58}">
  <sheetPr>
    <outlinePr summaryBelow="0" summaryRight="0"/>
  </sheetPr>
  <dimension ref="A1:G11"/>
  <sheetViews>
    <sheetView zoomScale="75" zoomScaleNormal="75" workbookViewId="0">
      <selection activeCell="N24" sqref="N24"/>
    </sheetView>
  </sheetViews>
  <sheetFormatPr defaultColWidth="14.453125" defaultRowHeight="15.75" customHeight="1" x14ac:dyDescent="0.25"/>
  <cols>
    <col min="9" max="9" width="20.453125" customWidth="1"/>
  </cols>
  <sheetData>
    <row r="1" spans="1:7" ht="12.5" x14ac:dyDescent="0.25">
      <c r="A1" s="3" t="s">
        <v>28</v>
      </c>
      <c r="B1" s="3"/>
      <c r="C1" s="3"/>
      <c r="D1" s="3"/>
      <c r="E1" s="3"/>
      <c r="F1" s="3"/>
      <c r="G1" s="3"/>
    </row>
    <row r="2" spans="1:7" ht="12.5" x14ac:dyDescent="0.25">
      <c r="C2" s="3">
        <v>2016</v>
      </c>
      <c r="E2" s="3">
        <v>2015</v>
      </c>
      <c r="G2" s="3" t="s">
        <v>29</v>
      </c>
    </row>
    <row r="4" spans="1:7" ht="12.5" x14ac:dyDescent="0.25">
      <c r="A4" s="3" t="s">
        <v>30</v>
      </c>
      <c r="C4" s="2">
        <v>1871</v>
      </c>
      <c r="E4" s="2">
        <v>1806</v>
      </c>
      <c r="G4" s="3">
        <f t="shared" ref="G4:G5" si="0">3.6</f>
        <v>3.6</v>
      </c>
    </row>
    <row r="5" spans="1:7" ht="12.5" x14ac:dyDescent="0.25">
      <c r="A5" s="3" t="s">
        <v>2</v>
      </c>
      <c r="C5" s="2">
        <v>1868</v>
      </c>
      <c r="E5" s="2">
        <v>1803</v>
      </c>
      <c r="G5" s="3">
        <f t="shared" si="0"/>
        <v>3.6</v>
      </c>
    </row>
    <row r="6" spans="1:7" ht="12.5" x14ac:dyDescent="0.25">
      <c r="A6" s="3" t="s">
        <v>22</v>
      </c>
      <c r="C6" s="3">
        <v>3</v>
      </c>
      <c r="E6" s="3">
        <v>3</v>
      </c>
      <c r="G6" s="3">
        <f>6.5</f>
        <v>6.5</v>
      </c>
    </row>
    <row r="7" spans="1:7" ht="12.5" x14ac:dyDescent="0.25">
      <c r="A7" s="3" t="s">
        <v>33</v>
      </c>
      <c r="C7" s="2">
        <v>1534</v>
      </c>
      <c r="E7" s="2">
        <v>1529</v>
      </c>
      <c r="G7" s="3">
        <f>0.3</f>
        <v>0.3</v>
      </c>
    </row>
    <row r="8" spans="1:7" ht="12.5" x14ac:dyDescent="0.25">
      <c r="A8" s="3" t="s">
        <v>35</v>
      </c>
      <c r="C8" s="2">
        <v>1903</v>
      </c>
      <c r="E8" s="2">
        <v>1832</v>
      </c>
      <c r="G8" s="3">
        <f>3.9</f>
        <v>3.9</v>
      </c>
    </row>
    <row r="9" spans="1:7" ht="12.5" x14ac:dyDescent="0.25">
      <c r="A9" s="3" t="s">
        <v>37</v>
      </c>
      <c r="C9" s="2">
        <v>59317</v>
      </c>
      <c r="E9" s="2">
        <v>58420</v>
      </c>
      <c r="G9" s="3">
        <f>1.5</f>
        <v>1.5</v>
      </c>
    </row>
    <row r="10" spans="1:7" ht="12.5" x14ac:dyDescent="0.25">
      <c r="A10" s="3" t="s">
        <v>39</v>
      </c>
      <c r="C10" s="2">
        <v>4846</v>
      </c>
      <c r="E10" s="2">
        <v>5134</v>
      </c>
      <c r="G10" s="3" t="s">
        <v>56</v>
      </c>
    </row>
    <row r="11" spans="1:7" ht="12.5" x14ac:dyDescent="0.25">
      <c r="A11" s="3" t="s">
        <v>55</v>
      </c>
      <c r="C11" s="3">
        <v>8.1999999999999993</v>
      </c>
      <c r="E11" s="3">
        <v>8.8000000000000007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9675-8DE4-413E-B08E-178B6CD81BE0}">
  <sheetPr>
    <outlinePr summaryBelow="0" summaryRight="0"/>
  </sheetPr>
  <dimension ref="A1:G11"/>
  <sheetViews>
    <sheetView zoomScale="75" zoomScaleNormal="75" workbookViewId="0">
      <selection activeCell="D20" sqref="D20"/>
    </sheetView>
  </sheetViews>
  <sheetFormatPr defaultColWidth="14.453125" defaultRowHeight="15.75" customHeight="1" x14ac:dyDescent="0.25"/>
  <cols>
    <col min="9" max="9" width="20.453125" customWidth="1"/>
  </cols>
  <sheetData>
    <row r="1" spans="1:7" ht="12.5" x14ac:dyDescent="0.25">
      <c r="A1" s="3" t="s">
        <v>28</v>
      </c>
    </row>
    <row r="2" spans="1:7" ht="12.5" x14ac:dyDescent="0.25">
      <c r="C2" s="3">
        <v>2015</v>
      </c>
      <c r="E2" s="3">
        <v>2014</v>
      </c>
      <c r="G2" s="3" t="s">
        <v>29</v>
      </c>
    </row>
    <row r="4" spans="1:7" ht="12.5" x14ac:dyDescent="0.25">
      <c r="A4" s="3" t="s">
        <v>30</v>
      </c>
      <c r="C4" s="2">
        <v>1806</v>
      </c>
      <c r="D4" s="2">
        <v>1806</v>
      </c>
      <c r="E4" s="2">
        <v>1744</v>
      </c>
      <c r="G4" s="3">
        <f t="shared" ref="G4:G5" si="0">3.6</f>
        <v>3.6</v>
      </c>
    </row>
    <row r="5" spans="1:7" ht="12.5" x14ac:dyDescent="0.25">
      <c r="A5" s="3" t="s">
        <v>2</v>
      </c>
      <c r="C5" s="2">
        <v>1803</v>
      </c>
      <c r="D5" s="2">
        <v>1803</v>
      </c>
      <c r="E5" s="2">
        <v>1741</v>
      </c>
      <c r="G5" s="3">
        <f t="shared" si="0"/>
        <v>3.6</v>
      </c>
    </row>
    <row r="6" spans="1:7" ht="12.5" x14ac:dyDescent="0.25">
      <c r="A6" s="3" t="s">
        <v>22</v>
      </c>
      <c r="C6" s="3">
        <v>3</v>
      </c>
      <c r="D6" s="3">
        <v>3</v>
      </c>
      <c r="E6" s="3">
        <v>3</v>
      </c>
      <c r="G6" s="3">
        <f>28.3</f>
        <v>28.3</v>
      </c>
    </row>
    <row r="7" spans="1:7" ht="12.5" x14ac:dyDescent="0.25">
      <c r="A7" s="3" t="s">
        <v>33</v>
      </c>
      <c r="C7" s="2">
        <v>1529</v>
      </c>
      <c r="D7" s="2">
        <v>1529</v>
      </c>
      <c r="E7" s="2">
        <v>1444</v>
      </c>
      <c r="G7" s="3">
        <f>5.9</f>
        <v>5.9</v>
      </c>
    </row>
    <row r="8" spans="1:7" ht="12.5" x14ac:dyDescent="0.25">
      <c r="A8" s="3" t="s">
        <v>35</v>
      </c>
      <c r="C8" s="2">
        <v>1832</v>
      </c>
      <c r="D8" s="2">
        <v>1832</v>
      </c>
      <c r="E8" s="2">
        <v>1803</v>
      </c>
      <c r="G8" s="3">
        <f>1.6</f>
        <v>1.6</v>
      </c>
    </row>
    <row r="9" spans="1:7" ht="12.5" x14ac:dyDescent="0.25">
      <c r="A9" s="3" t="s">
        <v>37</v>
      </c>
      <c r="C9" s="2">
        <v>58420</v>
      </c>
      <c r="D9" s="2">
        <v>58420</v>
      </c>
      <c r="E9" s="2">
        <v>53787</v>
      </c>
      <c r="G9" s="3">
        <f>8.6</f>
        <v>8.6</v>
      </c>
    </row>
    <row r="10" spans="1:7" ht="12.5" x14ac:dyDescent="0.25">
      <c r="A10" s="3" t="s">
        <v>39</v>
      </c>
      <c r="C10" s="2">
        <v>5134</v>
      </c>
      <c r="D10" s="2">
        <v>5134</v>
      </c>
      <c r="E10" s="2">
        <v>5150</v>
      </c>
      <c r="G10" s="3" t="s">
        <v>53</v>
      </c>
    </row>
    <row r="11" spans="1:7" ht="12.5" x14ac:dyDescent="0.25">
      <c r="A11" s="3" t="s">
        <v>55</v>
      </c>
      <c r="C11" s="3">
        <v>8.8000000000000007</v>
      </c>
      <c r="D11" s="3">
        <v>8.8000000000000007</v>
      </c>
      <c r="E11" s="3">
        <v>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1A98-267D-43E6-B1C5-A91C2B515559}">
  <dimension ref="A1:K37"/>
  <sheetViews>
    <sheetView workbookViewId="0">
      <selection activeCell="A4" sqref="A4:K37"/>
    </sheetView>
  </sheetViews>
  <sheetFormatPr defaultRowHeight="12.5" x14ac:dyDescent="0.25"/>
  <cols>
    <col min="1" max="1" width="17" style="44" bestFit="1" customWidth="1"/>
    <col min="2" max="11" width="8.90625" bestFit="1" customWidth="1"/>
  </cols>
  <sheetData>
    <row r="1" spans="1:11" x14ac:dyDescent="0.25">
      <c r="A1" s="43"/>
    </row>
    <row r="2" spans="1:11" x14ac:dyDescent="0.25">
      <c r="A2" s="43" t="s">
        <v>0</v>
      </c>
      <c r="G2" s="3"/>
      <c r="H2" s="3"/>
      <c r="I2" s="3"/>
      <c r="J2" s="3"/>
      <c r="K2" s="3"/>
    </row>
    <row r="3" spans="1:11" x14ac:dyDescent="0.25">
      <c r="A3" s="4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43"/>
      <c r="B4">
        <v>2011</v>
      </c>
      <c r="C4">
        <v>2012</v>
      </c>
      <c r="D4">
        <v>2013</v>
      </c>
      <c r="E4">
        <v>2014</v>
      </c>
      <c r="F4" s="3">
        <v>2015</v>
      </c>
      <c r="G4" s="3">
        <v>2016</v>
      </c>
      <c r="H4">
        <v>2017</v>
      </c>
      <c r="I4">
        <v>2018</v>
      </c>
      <c r="J4">
        <v>2019</v>
      </c>
      <c r="K4">
        <v>2020</v>
      </c>
    </row>
    <row r="5" spans="1:11" x14ac:dyDescent="0.25">
      <c r="A5" s="48" t="s">
        <v>2</v>
      </c>
    </row>
    <row r="6" spans="1:11" x14ac:dyDescent="0.25">
      <c r="A6" s="48" t="s">
        <v>14</v>
      </c>
      <c r="B6" s="2">
        <v>117566</v>
      </c>
      <c r="C6" s="2">
        <v>123111</v>
      </c>
      <c r="D6" s="2">
        <v>120520</v>
      </c>
      <c r="E6" s="2">
        <v>115377</v>
      </c>
      <c r="F6" s="2">
        <v>116250</v>
      </c>
      <c r="G6" s="2">
        <v>105252</v>
      </c>
      <c r="H6" s="2">
        <v>95346</v>
      </c>
      <c r="I6" s="2">
        <v>80387</v>
      </c>
      <c r="J6" s="2">
        <v>81287</v>
      </c>
      <c r="K6" s="2">
        <v>62099</v>
      </c>
    </row>
    <row r="7" spans="1:11" x14ac:dyDescent="0.25">
      <c r="A7" s="48" t="s">
        <v>8</v>
      </c>
      <c r="B7" s="2">
        <v>189068</v>
      </c>
      <c r="C7" s="2">
        <v>164666</v>
      </c>
      <c r="D7" s="2">
        <v>221097</v>
      </c>
      <c r="E7" s="2">
        <v>351526</v>
      </c>
      <c r="F7" s="2">
        <v>370144</v>
      </c>
      <c r="G7" s="2">
        <v>361983</v>
      </c>
      <c r="H7" s="2">
        <v>313380</v>
      </c>
      <c r="I7" s="2">
        <v>304903</v>
      </c>
      <c r="J7" s="2">
        <v>240795</v>
      </c>
      <c r="K7" s="2">
        <v>206482</v>
      </c>
    </row>
    <row r="8" spans="1:11" x14ac:dyDescent="0.25">
      <c r="A8" s="48" t="s">
        <v>4</v>
      </c>
      <c r="B8" s="2">
        <v>321045</v>
      </c>
      <c r="C8" s="2">
        <v>329759</v>
      </c>
      <c r="D8" s="2">
        <v>338449</v>
      </c>
      <c r="E8" s="2">
        <v>328465</v>
      </c>
      <c r="F8" s="2">
        <v>318788</v>
      </c>
      <c r="G8" s="2">
        <v>357999</v>
      </c>
      <c r="H8" s="2">
        <v>325307</v>
      </c>
      <c r="I8" s="2">
        <v>344623</v>
      </c>
      <c r="J8" s="2">
        <v>323387</v>
      </c>
      <c r="K8" s="2">
        <v>243566</v>
      </c>
    </row>
    <row r="9" spans="1:11" x14ac:dyDescent="0.25">
      <c r="A9" s="48" t="s">
        <v>15</v>
      </c>
      <c r="B9" s="2">
        <v>111758</v>
      </c>
      <c r="C9" s="2">
        <v>103357</v>
      </c>
      <c r="D9" s="2">
        <v>98207</v>
      </c>
      <c r="E9" s="2">
        <v>88545</v>
      </c>
      <c r="F9" s="2">
        <v>79133</v>
      </c>
      <c r="G9" s="2">
        <v>65117</v>
      </c>
      <c r="H9" s="2">
        <v>119595</v>
      </c>
      <c r="I9" s="2">
        <v>111544</v>
      </c>
      <c r="J9" s="2">
        <v>93077</v>
      </c>
      <c r="K9" s="2">
        <v>56786</v>
      </c>
    </row>
    <row r="10" spans="1:11" x14ac:dyDescent="0.25">
      <c r="A10" s="48" t="s">
        <v>10</v>
      </c>
      <c r="B10" s="2">
        <v>241862</v>
      </c>
      <c r="C10" s="2">
        <v>284888</v>
      </c>
      <c r="D10" s="2">
        <v>288739</v>
      </c>
      <c r="E10" s="2">
        <v>307693</v>
      </c>
      <c r="F10" s="2">
        <v>293960</v>
      </c>
      <c r="G10" s="2">
        <v>276211</v>
      </c>
      <c r="H10" s="2">
        <v>259618</v>
      </c>
      <c r="I10" s="2">
        <v>254705</v>
      </c>
      <c r="J10" s="2">
        <v>232569</v>
      </c>
      <c r="K10" s="2">
        <v>271679</v>
      </c>
    </row>
    <row r="11" spans="1:11" x14ac:dyDescent="0.25">
      <c r="A11" s="48" t="s">
        <v>19</v>
      </c>
      <c r="B11" s="2">
        <v>37301</v>
      </c>
      <c r="C11" s="2">
        <v>28950</v>
      </c>
      <c r="D11" s="2">
        <v>30799</v>
      </c>
      <c r="E11" s="2">
        <v>27709</v>
      </c>
      <c r="F11" s="2">
        <v>29158</v>
      </c>
      <c r="G11" s="2">
        <v>26308</v>
      </c>
      <c r="H11" s="2">
        <v>16968</v>
      </c>
      <c r="I11" s="2">
        <v>20058</v>
      </c>
      <c r="J11" s="2">
        <v>17068</v>
      </c>
      <c r="K11" s="2">
        <v>18083</v>
      </c>
    </row>
    <row r="12" spans="1:11" x14ac:dyDescent="0.25">
      <c r="A12" s="48" t="s">
        <v>18</v>
      </c>
      <c r="B12" s="2">
        <v>38542</v>
      </c>
      <c r="C12" s="2">
        <v>35932</v>
      </c>
      <c r="D12" s="2">
        <v>39717</v>
      </c>
      <c r="E12" s="2">
        <v>39557</v>
      </c>
      <c r="F12" s="2">
        <v>27065</v>
      </c>
      <c r="G12" s="2">
        <v>24179</v>
      </c>
      <c r="H12" s="2">
        <v>15854</v>
      </c>
      <c r="I12" s="2">
        <v>24541</v>
      </c>
      <c r="J12" s="2">
        <v>23826</v>
      </c>
      <c r="K12" s="2">
        <v>20591</v>
      </c>
    </row>
    <row r="13" spans="1:11" x14ac:dyDescent="0.25">
      <c r="A13" s="48" t="s">
        <v>16</v>
      </c>
      <c r="I13" s="2">
        <v>2425</v>
      </c>
      <c r="J13" s="2">
        <v>43376</v>
      </c>
      <c r="K13" s="2">
        <v>43157</v>
      </c>
    </row>
    <row r="14" spans="1:11" x14ac:dyDescent="0.25">
      <c r="A14" s="48" t="s">
        <v>12</v>
      </c>
      <c r="F14" s="3">
        <v>67</v>
      </c>
      <c r="G14" s="2">
        <v>19419</v>
      </c>
      <c r="H14" s="2">
        <v>102084</v>
      </c>
      <c r="I14" s="2">
        <v>108386</v>
      </c>
      <c r="J14" s="2">
        <v>130225</v>
      </c>
      <c r="K14" s="2">
        <v>124346</v>
      </c>
    </row>
    <row r="15" spans="1:11" x14ac:dyDescent="0.25">
      <c r="A15" s="48" t="s">
        <v>11</v>
      </c>
      <c r="B15" s="2">
        <v>19613</v>
      </c>
      <c r="C15" s="2">
        <v>106918</v>
      </c>
      <c r="D15" s="2">
        <v>152163</v>
      </c>
      <c r="E15" s="2">
        <v>200097</v>
      </c>
      <c r="F15" s="2">
        <v>205445</v>
      </c>
      <c r="G15" s="2">
        <v>231452</v>
      </c>
      <c r="H15" s="2">
        <v>205006</v>
      </c>
      <c r="I15" s="2">
        <v>167707</v>
      </c>
      <c r="J15" s="2">
        <v>195566</v>
      </c>
      <c r="K15" s="2">
        <v>219662</v>
      </c>
    </row>
    <row r="16" spans="1:11" x14ac:dyDescent="0.25">
      <c r="A16" s="48" t="s">
        <v>6</v>
      </c>
      <c r="B16" s="2">
        <v>183678</v>
      </c>
      <c r="C16" s="2">
        <v>209799</v>
      </c>
      <c r="D16" s="2">
        <v>231435</v>
      </c>
      <c r="E16" s="2">
        <v>260853</v>
      </c>
      <c r="F16" s="2">
        <v>267861</v>
      </c>
      <c r="G16" s="2">
        <v>297750</v>
      </c>
      <c r="H16" s="2">
        <v>289959</v>
      </c>
      <c r="I16" s="2">
        <v>298645</v>
      </c>
      <c r="J16" s="2">
        <v>286365</v>
      </c>
      <c r="K16" s="2">
        <v>275888</v>
      </c>
    </row>
    <row r="17" spans="1:11" x14ac:dyDescent="0.25">
      <c r="A17" s="48" t="s">
        <v>13</v>
      </c>
      <c r="B17" s="2">
        <v>53703</v>
      </c>
      <c r="C17" s="2">
        <v>54558</v>
      </c>
      <c r="D17" s="2">
        <v>63400</v>
      </c>
      <c r="E17" s="2">
        <v>61012</v>
      </c>
      <c r="F17" s="2">
        <v>82340</v>
      </c>
      <c r="G17" s="2">
        <v>103344</v>
      </c>
      <c r="H17" s="2">
        <v>106515</v>
      </c>
      <c r="I17" s="2">
        <v>110593</v>
      </c>
      <c r="J17" s="2">
        <v>63633</v>
      </c>
      <c r="K17" s="2">
        <v>65574</v>
      </c>
    </row>
    <row r="18" spans="1:11" x14ac:dyDescent="0.25">
      <c r="A18" s="48" t="s">
        <v>17</v>
      </c>
      <c r="H18" s="3">
        <v>368</v>
      </c>
      <c r="I18" s="2">
        <v>22414</v>
      </c>
      <c r="J18" s="2">
        <v>44727</v>
      </c>
      <c r="K18" s="2">
        <v>37845</v>
      </c>
    </row>
    <row r="19" spans="1:11" x14ac:dyDescent="0.25">
      <c r="A19" s="48" t="s">
        <v>21</v>
      </c>
      <c r="B19" s="2">
        <v>3551</v>
      </c>
      <c r="C19" s="2">
        <v>2241</v>
      </c>
      <c r="D19" s="2">
        <v>2500</v>
      </c>
      <c r="E19" s="2">
        <v>2169</v>
      </c>
      <c r="F19" s="2">
        <v>2074</v>
      </c>
      <c r="G19" s="2">
        <v>3688</v>
      </c>
      <c r="H19" s="2">
        <v>3179</v>
      </c>
      <c r="I19" s="2">
        <v>1764</v>
      </c>
      <c r="J19" s="2">
        <v>2121</v>
      </c>
      <c r="K19" s="2">
        <v>1517</v>
      </c>
    </row>
    <row r="20" spans="1:11" x14ac:dyDescent="0.25">
      <c r="A20" s="48" t="s">
        <v>20</v>
      </c>
      <c r="B20" s="2">
        <v>25508</v>
      </c>
      <c r="C20" s="2">
        <v>21880</v>
      </c>
      <c r="D20" s="2">
        <v>18358</v>
      </c>
      <c r="E20" s="2">
        <v>17621</v>
      </c>
      <c r="F20" s="2">
        <v>35510</v>
      </c>
      <c r="G20" s="2">
        <v>26886</v>
      </c>
      <c r="H20" s="2">
        <v>22174</v>
      </c>
      <c r="I20" s="2">
        <v>12118</v>
      </c>
      <c r="J20" s="2">
        <v>14999</v>
      </c>
      <c r="K20" s="2">
        <v>8646</v>
      </c>
    </row>
    <row r="21" spans="1:11" x14ac:dyDescent="0.25">
      <c r="A21" s="51" t="s">
        <v>87</v>
      </c>
      <c r="B21" s="2">
        <v>1343195</v>
      </c>
      <c r="C21" s="2">
        <v>1466059</v>
      </c>
      <c r="D21" s="2">
        <v>1605384</v>
      </c>
      <c r="E21" s="2">
        <v>1800624</v>
      </c>
      <c r="F21" s="2">
        <v>1827795</v>
      </c>
      <c r="G21" s="2">
        <v>1899588</v>
      </c>
      <c r="H21" s="2">
        <v>1875353</v>
      </c>
      <c r="I21" s="2">
        <v>1864813</v>
      </c>
      <c r="J21" s="2">
        <v>1793021</v>
      </c>
      <c r="K21" s="2">
        <v>1655921</v>
      </c>
    </row>
    <row r="22" spans="1:11" x14ac:dyDescent="0.25">
      <c r="E22" s="2"/>
    </row>
    <row r="23" spans="1:11" s="45" customFormat="1" ht="13" x14ac:dyDescent="0.3">
      <c r="A23" s="49" t="s">
        <v>22</v>
      </c>
    </row>
    <row r="24" spans="1:11" x14ac:dyDescent="0.25">
      <c r="A24" s="43" t="s">
        <v>27</v>
      </c>
      <c r="B24" s="3">
        <v>447</v>
      </c>
      <c r="C24" s="3">
        <v>976</v>
      </c>
      <c r="D24" s="3">
        <v>710</v>
      </c>
      <c r="E24" s="50">
        <v>456</v>
      </c>
      <c r="F24" s="3">
        <v>666</v>
      </c>
      <c r="G24" s="3">
        <v>587</v>
      </c>
      <c r="H24" s="2">
        <v>1008</v>
      </c>
      <c r="I24" s="3">
        <v>578</v>
      </c>
      <c r="J24" s="3">
        <v>786</v>
      </c>
      <c r="K24" s="3">
        <v>281</v>
      </c>
    </row>
    <row r="25" spans="1:11" x14ac:dyDescent="0.25">
      <c r="A25" s="43" t="s">
        <v>26</v>
      </c>
      <c r="D25" s="3">
        <v>403</v>
      </c>
      <c r="E25" s="50">
        <v>654</v>
      </c>
      <c r="F25" s="3">
        <v>413</v>
      </c>
      <c r="G25" s="3">
        <v>573</v>
      </c>
      <c r="H25" s="3">
        <v>278</v>
      </c>
      <c r="I25" s="3">
        <v>638</v>
      </c>
      <c r="J25" s="3">
        <v>219</v>
      </c>
      <c r="K25" s="3">
        <v>595</v>
      </c>
    </row>
    <row r="26" spans="1:11" x14ac:dyDescent="0.25">
      <c r="A26" s="51" t="s">
        <v>65</v>
      </c>
      <c r="B26" s="3">
        <v>944</v>
      </c>
      <c r="C26" s="3">
        <v>822</v>
      </c>
      <c r="D26" s="2"/>
      <c r="E26" s="2"/>
      <c r="H26" s="2"/>
      <c r="I26" s="2"/>
      <c r="J26" s="2"/>
      <c r="K26" s="2"/>
    </row>
    <row r="27" spans="1:11" x14ac:dyDescent="0.25">
      <c r="A27" s="43" t="s">
        <v>58</v>
      </c>
      <c r="D27" s="3">
        <v>653</v>
      </c>
      <c r="E27" s="50"/>
    </row>
    <row r="28" spans="1:11" x14ac:dyDescent="0.25">
      <c r="A28" s="43" t="s">
        <v>60</v>
      </c>
      <c r="B28" s="3">
        <v>320</v>
      </c>
      <c r="C28" s="3">
        <v>399</v>
      </c>
      <c r="D28" s="3">
        <v>280</v>
      </c>
      <c r="E28" s="50"/>
    </row>
    <row r="29" spans="1:11" x14ac:dyDescent="0.25">
      <c r="A29" s="43" t="s">
        <v>24</v>
      </c>
      <c r="B29" s="2"/>
      <c r="D29" s="3">
        <v>76</v>
      </c>
      <c r="E29" s="50">
        <v>1540</v>
      </c>
      <c r="F29" s="2">
        <v>2559</v>
      </c>
      <c r="G29" s="2">
        <v>1315</v>
      </c>
      <c r="H29" s="2">
        <v>1822</v>
      </c>
      <c r="I29" s="2">
        <v>1669</v>
      </c>
      <c r="J29" s="2">
        <v>1495</v>
      </c>
      <c r="K29" s="2">
        <v>1258</v>
      </c>
    </row>
    <row r="30" spans="1:11" x14ac:dyDescent="0.25">
      <c r="A30" s="43" t="s">
        <v>57</v>
      </c>
      <c r="B30" s="2"/>
      <c r="C30" s="47"/>
      <c r="F30" s="3">
        <v>69</v>
      </c>
    </row>
    <row r="31" spans="1:11" x14ac:dyDescent="0.25">
      <c r="A31" s="43" t="s">
        <v>25</v>
      </c>
      <c r="B31" s="2"/>
      <c r="D31" s="2"/>
      <c r="E31" s="2"/>
      <c r="G31" s="2">
        <v>1104</v>
      </c>
      <c r="H31" s="3">
        <v>827</v>
      </c>
      <c r="I31" s="2">
        <v>1121</v>
      </c>
      <c r="J31" s="3">
        <v>931</v>
      </c>
      <c r="K31" s="3">
        <v>752</v>
      </c>
    </row>
    <row r="32" spans="1:11" x14ac:dyDescent="0.25">
      <c r="A32" s="43" t="s">
        <v>67</v>
      </c>
      <c r="B32" s="3"/>
      <c r="C32" s="2"/>
      <c r="D32" s="2"/>
      <c r="E32" s="2"/>
    </row>
    <row r="33" spans="1:11" x14ac:dyDescent="0.25">
      <c r="A33" s="43" t="s">
        <v>68</v>
      </c>
      <c r="B33" s="3"/>
      <c r="C33" s="2"/>
      <c r="D33" s="2"/>
      <c r="E33" s="2"/>
      <c r="H33" s="2"/>
      <c r="I33" s="2"/>
      <c r="J33" s="2"/>
      <c r="K33" s="2"/>
    </row>
    <row r="34" spans="1:11" x14ac:dyDescent="0.25">
      <c r="A34" s="43" t="s">
        <v>23</v>
      </c>
      <c r="C34" s="2"/>
      <c r="D34" s="2"/>
      <c r="E34" s="2"/>
      <c r="H34" s="3">
        <v>121</v>
      </c>
      <c r="I34" s="2">
        <v>2565</v>
      </c>
      <c r="J34" s="2">
        <v>5233</v>
      </c>
      <c r="K34" s="2">
        <v>4364</v>
      </c>
    </row>
    <row r="35" spans="1:11" x14ac:dyDescent="0.25">
      <c r="A35" s="51" t="s">
        <v>86</v>
      </c>
      <c r="B35" s="2">
        <v>1711</v>
      </c>
      <c r="C35" s="2">
        <v>2197</v>
      </c>
      <c r="D35" s="2">
        <v>2122</v>
      </c>
      <c r="E35" s="2">
        <v>2650</v>
      </c>
      <c r="F35" s="2">
        <v>3707</v>
      </c>
      <c r="G35" s="2">
        <v>3579</v>
      </c>
      <c r="H35" s="2">
        <v>4056</v>
      </c>
      <c r="I35" s="2">
        <v>6571</v>
      </c>
      <c r="J35" s="2">
        <v>8664</v>
      </c>
      <c r="K35" s="2">
        <v>7250</v>
      </c>
    </row>
    <row r="36" spans="1:11" x14ac:dyDescent="0.25">
      <c r="C36" s="2"/>
      <c r="D36" s="2"/>
      <c r="E36" s="2"/>
      <c r="H36" s="2"/>
      <c r="I36" s="2"/>
      <c r="J36" s="2"/>
      <c r="K36" s="2"/>
    </row>
    <row r="37" spans="1:11" x14ac:dyDescent="0.25">
      <c r="A37" s="43" t="s">
        <v>69</v>
      </c>
      <c r="B37" s="2">
        <v>1344906</v>
      </c>
      <c r="C37" s="2">
        <v>1468256</v>
      </c>
      <c r="D37" s="2">
        <v>1607506</v>
      </c>
      <c r="E37" s="2">
        <v>1803274</v>
      </c>
      <c r="F37" s="2">
        <v>1831502</v>
      </c>
      <c r="G37" s="2">
        <v>1903167</v>
      </c>
      <c r="H37" s="2">
        <v>1879409</v>
      </c>
      <c r="I37" s="2">
        <v>1871384</v>
      </c>
      <c r="J37" s="2">
        <v>1801685</v>
      </c>
      <c r="K37" s="2">
        <v>1663171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F9C0-ACD7-4FB4-B183-D53B89D76883}">
  <sheetPr>
    <outlinePr summaryBelow="0" summaryRight="0"/>
  </sheetPr>
  <dimension ref="A1:G14"/>
  <sheetViews>
    <sheetView zoomScale="75" zoomScaleNormal="75" workbookViewId="0">
      <selection activeCell="C5" sqref="C5"/>
    </sheetView>
  </sheetViews>
  <sheetFormatPr defaultColWidth="14.453125" defaultRowHeight="15.75" customHeight="1" x14ac:dyDescent="0.25"/>
  <cols>
    <col min="9" max="9" width="20.453125" customWidth="1"/>
  </cols>
  <sheetData>
    <row r="1" spans="1:7" ht="12.5" x14ac:dyDescent="0.25">
      <c r="A1" s="3" t="s">
        <v>28</v>
      </c>
    </row>
    <row r="2" spans="1:7" ht="12.5" x14ac:dyDescent="0.25">
      <c r="C2" s="3">
        <v>2014</v>
      </c>
      <c r="E2" s="3">
        <v>2013</v>
      </c>
      <c r="G2" s="3" t="s">
        <v>29</v>
      </c>
    </row>
    <row r="4" spans="1:7" ht="12.5" x14ac:dyDescent="0.25">
      <c r="A4" s="3" t="s">
        <v>30</v>
      </c>
      <c r="C4" s="2">
        <v>1744</v>
      </c>
      <c r="E4" s="2">
        <v>1578</v>
      </c>
      <c r="G4" s="3">
        <f>10.5</f>
        <v>10.5</v>
      </c>
    </row>
    <row r="5" spans="1:7" ht="12.5" x14ac:dyDescent="0.25">
      <c r="A5" s="3" t="s">
        <v>33</v>
      </c>
      <c r="C5" s="2">
        <v>1444</v>
      </c>
      <c r="E5" s="2">
        <v>1349</v>
      </c>
      <c r="G5" s="3">
        <f>7</f>
        <v>7</v>
      </c>
    </row>
    <row r="6" spans="1:7" ht="12.5" x14ac:dyDescent="0.25">
      <c r="A6" s="3" t="s">
        <v>35</v>
      </c>
      <c r="C6" s="2">
        <v>1803</v>
      </c>
      <c r="E6" s="2">
        <v>1608</v>
      </c>
      <c r="G6" s="3">
        <f>12.2</f>
        <v>12.2</v>
      </c>
    </row>
    <row r="7" spans="1:7" ht="12.5" x14ac:dyDescent="0.25">
      <c r="A7" s="3" t="s">
        <v>37</v>
      </c>
      <c r="C7" s="2">
        <v>53787</v>
      </c>
      <c r="E7" s="2">
        <v>49880</v>
      </c>
      <c r="G7" s="3">
        <f>7.8</f>
        <v>7.8</v>
      </c>
    </row>
    <row r="8" spans="1:7" ht="12.5" x14ac:dyDescent="0.25">
      <c r="A8" s="3" t="s">
        <v>61</v>
      </c>
      <c r="C8" s="2">
        <v>5150</v>
      </c>
      <c r="E8" s="2">
        <v>5030</v>
      </c>
      <c r="G8" s="3">
        <f>2.4</f>
        <v>2.4</v>
      </c>
    </row>
    <row r="9" spans="1:7" ht="12.5" x14ac:dyDescent="0.25">
      <c r="A9" s="3" t="s">
        <v>55</v>
      </c>
      <c r="C9" s="3">
        <v>9.6</v>
      </c>
      <c r="E9" s="3">
        <v>10.1</v>
      </c>
    </row>
    <row r="14" spans="1:7" ht="15.75" customHeight="1" x14ac:dyDescent="0.25">
      <c r="C14">
        <v>1744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EFF4-2D00-476A-888C-93307EE4D1D2}">
  <sheetPr>
    <outlinePr summaryBelow="0" summaryRight="0"/>
  </sheetPr>
  <dimension ref="A1:G9"/>
  <sheetViews>
    <sheetView zoomScale="75" zoomScaleNormal="75" workbookViewId="0">
      <selection activeCell="C4" sqref="C4"/>
    </sheetView>
  </sheetViews>
  <sheetFormatPr defaultColWidth="14.453125" defaultRowHeight="15.75" customHeight="1" x14ac:dyDescent="0.25"/>
  <cols>
    <col min="9" max="9" width="20.453125" customWidth="1"/>
  </cols>
  <sheetData>
    <row r="1" spans="1:7" ht="12.5" x14ac:dyDescent="0.25">
      <c r="A1" s="3" t="s">
        <v>28</v>
      </c>
    </row>
    <row r="2" spans="1:7" ht="12.5" x14ac:dyDescent="0.25">
      <c r="C2" s="3">
        <v>2013</v>
      </c>
      <c r="E2" s="3" t="s">
        <v>62</v>
      </c>
      <c r="G2" s="3" t="s">
        <v>29</v>
      </c>
    </row>
    <row r="4" spans="1:7" ht="12.5" x14ac:dyDescent="0.25">
      <c r="A4" s="3" t="s">
        <v>30</v>
      </c>
      <c r="C4" s="2">
        <v>1578</v>
      </c>
      <c r="E4" s="2">
        <v>1457</v>
      </c>
      <c r="G4" s="3">
        <f>8.3</f>
        <v>8.3000000000000007</v>
      </c>
    </row>
    <row r="5" spans="1:7" ht="12.5" x14ac:dyDescent="0.25">
      <c r="A5" s="3" t="s">
        <v>33</v>
      </c>
      <c r="C5" s="2">
        <v>1349</v>
      </c>
      <c r="E5" s="2">
        <v>1299</v>
      </c>
      <c r="G5" s="3">
        <f>3.9</f>
        <v>3.9</v>
      </c>
    </row>
    <row r="6" spans="1:7" ht="12.5" x14ac:dyDescent="0.25">
      <c r="A6" s="3" t="s">
        <v>35</v>
      </c>
      <c r="C6" s="2">
        <v>1608</v>
      </c>
      <c r="E6" s="2">
        <v>1468</v>
      </c>
      <c r="G6" s="3">
        <f>9.5</f>
        <v>9.5</v>
      </c>
    </row>
    <row r="7" spans="1:7" ht="12.5" x14ac:dyDescent="0.25">
      <c r="A7" s="3" t="s">
        <v>37</v>
      </c>
      <c r="C7" s="2">
        <v>49880</v>
      </c>
      <c r="E7" s="2">
        <v>48771</v>
      </c>
      <c r="G7" s="3">
        <f>2.3</f>
        <v>2.2999999999999998</v>
      </c>
    </row>
    <row r="8" spans="1:7" ht="12.5" x14ac:dyDescent="0.25">
      <c r="A8" s="3" t="s">
        <v>61</v>
      </c>
      <c r="C8" s="2">
        <v>5030</v>
      </c>
      <c r="E8" s="2">
        <v>5365</v>
      </c>
      <c r="G8" s="3" t="s">
        <v>63</v>
      </c>
    </row>
    <row r="9" spans="1:7" ht="12.5" x14ac:dyDescent="0.25">
      <c r="A9" s="3" t="s">
        <v>55</v>
      </c>
      <c r="C9" s="3">
        <v>10.1</v>
      </c>
      <c r="E9" s="3">
        <v>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DB8E-7EDF-4E9C-AB56-9650B85C6BC7}">
  <sheetPr>
    <outlinePr summaryBelow="0" summaryRight="0"/>
  </sheetPr>
  <dimension ref="A1:G9"/>
  <sheetViews>
    <sheetView topLeftCell="A9" zoomScale="75" zoomScaleNormal="75" workbookViewId="0">
      <selection activeCell="G22" sqref="G22:I34"/>
    </sheetView>
  </sheetViews>
  <sheetFormatPr defaultColWidth="14.453125" defaultRowHeight="15.75" customHeight="1" x14ac:dyDescent="0.25"/>
  <cols>
    <col min="9" max="9" width="20.453125" customWidth="1"/>
  </cols>
  <sheetData>
    <row r="1" spans="1:7" ht="12.5" x14ac:dyDescent="0.25">
      <c r="A1" s="3" t="s">
        <v>28</v>
      </c>
    </row>
    <row r="2" spans="1:7" ht="12.5" x14ac:dyDescent="0.25">
      <c r="C2" s="3">
        <v>2012</v>
      </c>
      <c r="E2" s="3">
        <v>2011</v>
      </c>
      <c r="G2" s="3" t="s">
        <v>29</v>
      </c>
    </row>
    <row r="3" spans="1:7" ht="12.5" x14ac:dyDescent="0.25">
      <c r="C3" s="3"/>
      <c r="E3" s="3"/>
      <c r="G3" s="3"/>
    </row>
    <row r="4" spans="1:7" ht="12.5" x14ac:dyDescent="0.25">
      <c r="A4" s="3" t="s">
        <v>30</v>
      </c>
      <c r="C4" s="2">
        <v>1457</v>
      </c>
      <c r="E4" s="2">
        <v>1304</v>
      </c>
      <c r="G4" s="3">
        <f>11.7</f>
        <v>11.7</v>
      </c>
    </row>
    <row r="5" spans="1:7" ht="12.5" x14ac:dyDescent="0.25">
      <c r="A5" s="3" t="s">
        <v>33</v>
      </c>
      <c r="C5" s="2">
        <v>1299</v>
      </c>
      <c r="E5" s="2">
        <v>1543</v>
      </c>
      <c r="G5" s="3" t="s">
        <v>66</v>
      </c>
    </row>
    <row r="6" spans="1:7" ht="12.5" x14ac:dyDescent="0.25">
      <c r="A6" s="3" t="s">
        <v>35</v>
      </c>
      <c r="C6" s="2">
        <v>1468</v>
      </c>
      <c r="E6" s="2">
        <v>1345</v>
      </c>
      <c r="G6" s="3">
        <f>9.2</f>
        <v>9.1999999999999993</v>
      </c>
    </row>
    <row r="7" spans="1:7" ht="12.5" x14ac:dyDescent="0.25">
      <c r="A7" s="3" t="s">
        <v>37</v>
      </c>
      <c r="C7" s="2">
        <v>48771</v>
      </c>
      <c r="E7" s="2">
        <v>44096</v>
      </c>
      <c r="G7" s="3">
        <f>10.6</f>
        <v>10.6</v>
      </c>
    </row>
    <row r="8" spans="1:7" ht="12.5" x14ac:dyDescent="0.25">
      <c r="A8" s="3" t="s">
        <v>61</v>
      </c>
      <c r="C8" s="2">
        <v>5380</v>
      </c>
      <c r="E8" s="2">
        <v>5348</v>
      </c>
      <c r="G8" s="3">
        <f>0.6</f>
        <v>0.6</v>
      </c>
    </row>
    <row r="9" spans="1:7" ht="12.5" x14ac:dyDescent="0.25">
      <c r="A9" s="3" t="s">
        <v>55</v>
      </c>
      <c r="C9" s="3">
        <v>11</v>
      </c>
      <c r="E9" s="3">
        <v>12.1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9D67-E2F8-4949-AFFE-586CF49447F2}">
  <sheetPr>
    <outlinePr summaryBelow="0" summaryRight="0"/>
  </sheetPr>
  <dimension ref="A1:G9"/>
  <sheetViews>
    <sheetView zoomScale="75" zoomScaleNormal="75" workbookViewId="0">
      <selection activeCell="C4" sqref="C4"/>
    </sheetView>
  </sheetViews>
  <sheetFormatPr defaultColWidth="14.453125" defaultRowHeight="15.75" customHeight="1" x14ac:dyDescent="0.25"/>
  <cols>
    <col min="9" max="9" width="20.453125" customWidth="1"/>
  </cols>
  <sheetData>
    <row r="1" spans="1:7" ht="12.5" x14ac:dyDescent="0.25">
      <c r="A1" t="s">
        <v>28</v>
      </c>
      <c r="C1" s="3"/>
      <c r="E1" s="3"/>
      <c r="G1" s="3"/>
    </row>
    <row r="2" spans="1:7" ht="12.5" x14ac:dyDescent="0.25">
      <c r="A2" s="3"/>
      <c r="C2" s="2">
        <v>2011</v>
      </c>
      <c r="E2" s="2">
        <v>2010</v>
      </c>
      <c r="G2" s="3" t="s">
        <v>29</v>
      </c>
    </row>
    <row r="3" spans="1:7" ht="12.5" x14ac:dyDescent="0.25">
      <c r="A3" s="3"/>
      <c r="C3" s="2"/>
      <c r="E3" s="2"/>
      <c r="G3" s="3"/>
    </row>
    <row r="4" spans="1:7" ht="12.5" x14ac:dyDescent="0.25">
      <c r="A4" s="3" t="s">
        <v>30</v>
      </c>
      <c r="C4" s="2">
        <v>1304</v>
      </c>
      <c r="E4" s="2">
        <v>1094</v>
      </c>
      <c r="G4" s="3">
        <v>19.3</v>
      </c>
    </row>
    <row r="5" spans="1:7" ht="12.5" x14ac:dyDescent="0.25">
      <c r="A5" s="3" t="s">
        <v>33</v>
      </c>
      <c r="C5" s="2">
        <v>1543</v>
      </c>
      <c r="E5" s="2">
        <v>1321</v>
      </c>
      <c r="G5" s="3">
        <v>16.8</v>
      </c>
    </row>
    <row r="6" spans="1:7" ht="12.5" x14ac:dyDescent="0.25">
      <c r="A6" s="3" t="s">
        <v>35</v>
      </c>
      <c r="C6" s="2">
        <v>1345</v>
      </c>
      <c r="E6" s="2">
        <v>1145</v>
      </c>
      <c r="G6" s="3">
        <v>17.399999999999999</v>
      </c>
    </row>
    <row r="7" spans="1:7" ht="12.5" x14ac:dyDescent="0.25">
      <c r="A7" s="3" t="s">
        <v>70</v>
      </c>
      <c r="C7" s="2">
        <v>44096</v>
      </c>
      <c r="E7" s="2">
        <v>35441</v>
      </c>
      <c r="G7" s="3">
        <v>24.4</v>
      </c>
    </row>
    <row r="8" spans="1:7" ht="12.5" x14ac:dyDescent="0.25">
      <c r="A8" s="3" t="s">
        <v>61</v>
      </c>
      <c r="C8" s="2">
        <v>5348</v>
      </c>
      <c r="E8" s="2">
        <v>3340</v>
      </c>
      <c r="G8">
        <v>60.1</v>
      </c>
    </row>
    <row r="9" spans="1:7" ht="15.75" customHeight="1" x14ac:dyDescent="0.25">
      <c r="A9" t="s">
        <v>55</v>
      </c>
      <c r="C9">
        <v>12.1</v>
      </c>
      <c r="E9">
        <v>9.4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8E93-0C4E-40B2-B3D5-DA6E58693329}">
  <dimension ref="B2:V67"/>
  <sheetViews>
    <sheetView zoomScale="75" zoomScaleNormal="75" workbookViewId="0">
      <selection activeCell="C13" sqref="C13"/>
    </sheetView>
  </sheetViews>
  <sheetFormatPr defaultRowHeight="12.5" x14ac:dyDescent="0.25"/>
  <cols>
    <col min="1" max="1" width="8.7265625" style="4"/>
    <col min="2" max="2" width="23.7265625" style="4" bestFit="1" customWidth="1"/>
    <col min="3" max="3" width="8.90625" style="4" bestFit="1" customWidth="1"/>
    <col min="4" max="4" width="8.7265625" style="4"/>
    <col min="5" max="5" width="11.54296875" style="4" bestFit="1" customWidth="1"/>
    <col min="6" max="6" width="11.36328125" style="4" bestFit="1" customWidth="1"/>
    <col min="7" max="7" width="8.90625" style="4" bestFit="1" customWidth="1"/>
    <col min="8" max="8" width="8.7265625" style="4"/>
    <col min="9" max="9" width="8.90625" style="4" bestFit="1" customWidth="1"/>
    <col min="10" max="10" width="8.7265625" style="4"/>
    <col min="11" max="11" width="8.90625" style="4" bestFit="1" customWidth="1"/>
    <col min="12" max="16384" width="8.7265625" style="4"/>
  </cols>
  <sheetData>
    <row r="2" spans="2:22" ht="14" x14ac:dyDescent="0.3">
      <c r="C2" s="46" t="s">
        <v>71</v>
      </c>
      <c r="D2" s="46"/>
      <c r="E2" s="46"/>
      <c r="F2" s="46"/>
      <c r="G2" s="46"/>
      <c r="H2" s="46"/>
      <c r="I2" s="46"/>
      <c r="J2" s="46"/>
      <c r="K2" s="46"/>
      <c r="L2" s="46"/>
      <c r="M2" s="46" t="s">
        <v>72</v>
      </c>
      <c r="N2" s="46"/>
      <c r="O2" s="46"/>
      <c r="P2" s="46"/>
      <c r="Q2" s="46"/>
      <c r="R2" s="46"/>
      <c r="S2" s="46"/>
      <c r="T2" s="46"/>
      <c r="U2" s="46"/>
      <c r="V2" s="46"/>
    </row>
    <row r="3" spans="2:22" x14ac:dyDescent="0.25">
      <c r="C3" s="4">
        <v>2011</v>
      </c>
      <c r="D3" s="4">
        <v>2012</v>
      </c>
      <c r="E3" s="4">
        <v>2013</v>
      </c>
      <c r="F3" s="4">
        <v>2014</v>
      </c>
      <c r="G3" s="4">
        <v>2015</v>
      </c>
      <c r="H3" s="4">
        <v>2016</v>
      </c>
      <c r="I3" s="4">
        <v>2017</v>
      </c>
      <c r="J3" s="4">
        <v>2018</v>
      </c>
      <c r="K3" s="4">
        <v>2019</v>
      </c>
      <c r="L3" s="4">
        <v>2020</v>
      </c>
      <c r="M3" s="4">
        <v>2021</v>
      </c>
      <c r="N3" s="4">
        <v>2022</v>
      </c>
      <c r="O3" s="4">
        <v>2023</v>
      </c>
      <c r="P3" s="4">
        <v>2024</v>
      </c>
      <c r="Q3" s="4">
        <v>2025</v>
      </c>
      <c r="R3" s="4">
        <v>2026</v>
      </c>
      <c r="S3" s="4">
        <v>2027</v>
      </c>
      <c r="T3" s="4">
        <v>2028</v>
      </c>
      <c r="U3" s="4">
        <v>2029</v>
      </c>
      <c r="V3" s="4">
        <v>2030</v>
      </c>
    </row>
    <row r="5" spans="2:22" ht="18" x14ac:dyDescent="0.4">
      <c r="B5" s="5" t="s">
        <v>2</v>
      </c>
    </row>
    <row r="7" spans="2:22" s="7" customFormat="1" ht="14" x14ac:dyDescent="0.3">
      <c r="B7" s="6" t="s">
        <v>73</v>
      </c>
    </row>
    <row r="8" spans="2:22" x14ac:dyDescent="0.25">
      <c r="B8" s="4" t="s">
        <v>74</v>
      </c>
      <c r="C8" s="8" t="str">
        <f t="shared" ref="C8:L8" si="0" xml:space="preserve"> IFERROR(C21*C16, "-")</f>
        <v>-</v>
      </c>
      <c r="D8" s="8" t="str">
        <f t="shared" si="0"/>
        <v>-</v>
      </c>
      <c r="E8" s="8">
        <f t="shared" si="0"/>
        <v>784266.00000000012</v>
      </c>
      <c r="F8" s="8">
        <f t="shared" si="0"/>
        <v>819680</v>
      </c>
      <c r="G8" s="8">
        <f t="shared" si="0"/>
        <v>857850.00000000012</v>
      </c>
      <c r="H8" s="8">
        <f t="shared" si="0"/>
        <v>909306.00000000012</v>
      </c>
      <c r="I8" s="8">
        <f t="shared" si="0"/>
        <v>910888</v>
      </c>
      <c r="J8" s="8">
        <f t="shared" si="0"/>
        <v>781740</v>
      </c>
      <c r="K8" s="8">
        <f t="shared" si="0"/>
        <v>806490</v>
      </c>
      <c r="L8" s="8">
        <f t="shared" si="0"/>
        <v>657900</v>
      </c>
      <c r="M8" s="17">
        <f>L8*(1+M9)</f>
        <v>697374</v>
      </c>
    </row>
    <row r="9" spans="2:22" ht="14" x14ac:dyDescent="0.3">
      <c r="B9" s="4" t="s">
        <v>75</v>
      </c>
      <c r="C9" s="4" t="str">
        <f>IFERROR(C8/B8 - 1,"-")</f>
        <v>-</v>
      </c>
      <c r="D9" s="9"/>
      <c r="E9" s="9"/>
      <c r="F9" s="9"/>
      <c r="G9" s="9"/>
      <c r="H9" s="9"/>
      <c r="I9" s="9"/>
      <c r="J9" s="9"/>
      <c r="K9" s="9"/>
      <c r="L9" s="9"/>
      <c r="M9" s="10">
        <v>0.06</v>
      </c>
      <c r="N9" s="10">
        <v>0.06</v>
      </c>
      <c r="O9" s="10">
        <v>0.06</v>
      </c>
      <c r="P9" s="10">
        <v>0.06</v>
      </c>
      <c r="Q9" s="10">
        <v>0.06</v>
      </c>
      <c r="R9" s="10">
        <v>0.06</v>
      </c>
      <c r="S9" s="10">
        <v>0.06</v>
      </c>
      <c r="T9" s="10">
        <v>0.06</v>
      </c>
      <c r="U9" s="10">
        <v>0.06</v>
      </c>
      <c r="V9" s="10">
        <v>0.06</v>
      </c>
    </row>
    <row r="10" spans="2:22" x14ac:dyDescent="0.25">
      <c r="B10" s="4" t="s">
        <v>5</v>
      </c>
      <c r="C10" s="4" t="str">
        <f t="shared" ref="C10:L10" si="1" xml:space="preserve"> IFERROR(C22*C16, "-")</f>
        <v>-</v>
      </c>
      <c r="D10" s="4" t="str">
        <f t="shared" si="1"/>
        <v>-</v>
      </c>
      <c r="E10" s="8">
        <f t="shared" si="1"/>
        <v>190938</v>
      </c>
      <c r="F10" s="26">
        <f t="shared" si="1"/>
        <v>219744</v>
      </c>
      <c r="G10" s="26">
        <f t="shared" si="1"/>
        <v>243810.00000000003</v>
      </c>
      <c r="H10" s="12">
        <f t="shared" si="1"/>
        <v>256326.99999999997</v>
      </c>
      <c r="I10" s="12">
        <f t="shared" si="1"/>
        <v>278536.00000000006</v>
      </c>
      <c r="J10" s="12">
        <f t="shared" si="1"/>
        <v>276336</v>
      </c>
      <c r="K10" s="12">
        <f t="shared" si="1"/>
        <v>272538</v>
      </c>
      <c r="L10" s="12">
        <f t="shared" si="1"/>
        <v>224400</v>
      </c>
    </row>
    <row r="11" spans="2:22" ht="14" x14ac:dyDescent="0.3">
      <c r="B11" s="4" t="s">
        <v>75</v>
      </c>
      <c r="C11" s="4" t="str">
        <f>IFERROR(C10/B10-1,"-")</f>
        <v>-</v>
      </c>
      <c r="F11" s="9"/>
      <c r="G11" s="9"/>
      <c r="M11" s="10">
        <v>0.06</v>
      </c>
      <c r="N11" s="10">
        <v>0.06</v>
      </c>
      <c r="O11" s="10">
        <v>0.06</v>
      </c>
      <c r="P11" s="10">
        <v>0.06</v>
      </c>
      <c r="Q11" s="10">
        <v>0.06</v>
      </c>
      <c r="R11" s="10">
        <v>0.06</v>
      </c>
      <c r="S11" s="10">
        <v>0.06</v>
      </c>
      <c r="T11" s="10">
        <v>0.06</v>
      </c>
      <c r="U11" s="10">
        <v>0.06</v>
      </c>
      <c r="V11" s="10">
        <v>0.06</v>
      </c>
    </row>
    <row r="12" spans="2:22" x14ac:dyDescent="0.25">
      <c r="B12" s="4" t="s">
        <v>7</v>
      </c>
      <c r="C12" s="4" t="str">
        <f t="shared" ref="C12:L12" si="2" xml:space="preserve"> IFERROR(C23*C16, "-")</f>
        <v>-</v>
      </c>
      <c r="D12" s="4" t="str">
        <f t="shared" si="2"/>
        <v>-</v>
      </c>
      <c r="E12" s="12">
        <f t="shared" si="2"/>
        <v>22091.999999999996</v>
      </c>
      <c r="F12" s="12">
        <f t="shared" si="2"/>
        <v>22672.000000000004</v>
      </c>
      <c r="G12" s="12">
        <f t="shared" si="2"/>
        <v>27090</v>
      </c>
      <c r="H12" s="12">
        <f t="shared" si="2"/>
        <v>22452</v>
      </c>
      <c r="I12" s="12">
        <f t="shared" si="2"/>
        <v>22584</v>
      </c>
      <c r="J12" s="12">
        <f t="shared" si="2"/>
        <v>18180</v>
      </c>
      <c r="K12" s="12">
        <f t="shared" si="2"/>
        <v>16686.000000000004</v>
      </c>
      <c r="L12" s="12">
        <f t="shared" si="2"/>
        <v>13600</v>
      </c>
    </row>
    <row r="13" spans="2:22" ht="14" x14ac:dyDescent="0.3">
      <c r="B13" s="4" t="s">
        <v>75</v>
      </c>
      <c r="F13" s="9"/>
      <c r="G13" s="9"/>
      <c r="M13" s="10">
        <v>0.06</v>
      </c>
      <c r="N13" s="10">
        <v>0.06</v>
      </c>
      <c r="O13" s="10">
        <v>0.06</v>
      </c>
      <c r="P13" s="10">
        <v>0.06</v>
      </c>
      <c r="Q13" s="10">
        <v>0.06</v>
      </c>
      <c r="R13" s="10">
        <v>0.06</v>
      </c>
      <c r="S13" s="10">
        <v>0.06</v>
      </c>
      <c r="T13" s="10">
        <v>0.06</v>
      </c>
      <c r="U13" s="10">
        <v>0.06</v>
      </c>
      <c r="V13" s="10">
        <v>0.06</v>
      </c>
    </row>
    <row r="14" spans="2:22" x14ac:dyDescent="0.25">
      <c r="B14" s="4" t="s">
        <v>9</v>
      </c>
      <c r="C14" s="4" t="str">
        <f t="shared" ref="C14:L14" si="3" xml:space="preserve"> IFERROR(C24*C16, "-")</f>
        <v>-</v>
      </c>
      <c r="D14" s="4" t="str">
        <f t="shared" si="3"/>
        <v>-</v>
      </c>
      <c r="E14" s="4">
        <f t="shared" si="3"/>
        <v>580704</v>
      </c>
      <c r="F14" s="4">
        <f t="shared" si="3"/>
        <v>681904</v>
      </c>
      <c r="G14" s="4">
        <f t="shared" si="3"/>
        <v>677250</v>
      </c>
      <c r="H14" s="4">
        <f t="shared" si="3"/>
        <v>681044</v>
      </c>
      <c r="I14" s="4">
        <f t="shared" si="3"/>
        <v>669992.00000000012</v>
      </c>
      <c r="J14" s="4">
        <f t="shared" si="3"/>
        <v>739926</v>
      </c>
      <c r="K14" s="4">
        <f t="shared" si="3"/>
        <v>758286</v>
      </c>
      <c r="L14" s="4">
        <f t="shared" si="3"/>
        <v>804100</v>
      </c>
    </row>
    <row r="15" spans="2:22" ht="14" x14ac:dyDescent="0.3">
      <c r="B15" s="4" t="s">
        <v>75</v>
      </c>
      <c r="F15" s="9">
        <f>IFERROR(F14/E14-1,"")</f>
        <v>0.17427122940430917</v>
      </c>
      <c r="G15" s="9">
        <f>IFERROR(G14/F14-1,"")</f>
        <v>-6.8250076257068137E-3</v>
      </c>
      <c r="M15" s="10">
        <v>0.06</v>
      </c>
      <c r="N15" s="10">
        <v>0.06</v>
      </c>
      <c r="O15" s="10">
        <v>0.06</v>
      </c>
      <c r="P15" s="10">
        <v>0.06</v>
      </c>
      <c r="Q15" s="10">
        <v>0.06</v>
      </c>
      <c r="R15" s="10">
        <v>0.06</v>
      </c>
      <c r="S15" s="10">
        <v>0.06</v>
      </c>
      <c r="T15" s="10">
        <v>0.06</v>
      </c>
      <c r="U15" s="10">
        <v>0.06</v>
      </c>
      <c r="V15" s="10">
        <v>0.06</v>
      </c>
    </row>
    <row r="16" spans="2:22" x14ac:dyDescent="0.25">
      <c r="B16" s="4" t="s">
        <v>76</v>
      </c>
      <c r="C16" s="21">
        <f xml:space="preserve"> '2011 (2)'!C4 * 1000</f>
        <v>1304000</v>
      </c>
      <c r="D16" s="4">
        <f xml:space="preserve"> '2012 (2)'!C4 * 1000</f>
        <v>1457000</v>
      </c>
      <c r="E16" s="21">
        <f xml:space="preserve"> '2013 (2)'!C4 * 1000</f>
        <v>1578000</v>
      </c>
      <c r="F16" s="22">
        <f xml:space="preserve"> '2014 (2)'!C4 * 1000</f>
        <v>1744000</v>
      </c>
      <c r="G16" s="21">
        <f xml:space="preserve"> '2015 (2)'!C4 * 1000</f>
        <v>1806000</v>
      </c>
      <c r="H16" s="4">
        <f xml:space="preserve"> '2016 (2)'!C4 * 1000</f>
        <v>1871000</v>
      </c>
      <c r="I16" s="21">
        <f xml:space="preserve"> '2017 (2)'!C4 * 1000</f>
        <v>1882000</v>
      </c>
      <c r="J16" s="4">
        <f xml:space="preserve"> '2018 (2)'!C4 * 1000</f>
        <v>1818000</v>
      </c>
      <c r="K16" s="21">
        <f xml:space="preserve"> '2019 (2)'!C4 * 1000</f>
        <v>1854000</v>
      </c>
      <c r="L16" s="4">
        <f xml:space="preserve"> '2020 (2)'!C4 * 1000</f>
        <v>1700000</v>
      </c>
      <c r="M16" s="4">
        <f>M8+M10+M12+M14</f>
        <v>697374</v>
      </c>
      <c r="N16" s="4">
        <f t="shared" ref="N16:V16" si="4">N8+N10+N12+N14</f>
        <v>0</v>
      </c>
      <c r="O16" s="4">
        <f t="shared" si="4"/>
        <v>0</v>
      </c>
      <c r="P16" s="4">
        <f t="shared" si="4"/>
        <v>0</v>
      </c>
      <c r="Q16" s="4">
        <f t="shared" si="4"/>
        <v>0</v>
      </c>
      <c r="R16" s="4">
        <f t="shared" si="4"/>
        <v>0</v>
      </c>
      <c r="S16" s="4">
        <f t="shared" si="4"/>
        <v>0</v>
      </c>
      <c r="T16" s="4">
        <f t="shared" si="4"/>
        <v>0</v>
      </c>
      <c r="U16" s="4">
        <f t="shared" si="4"/>
        <v>0</v>
      </c>
      <c r="V16" s="4">
        <f t="shared" si="4"/>
        <v>0</v>
      </c>
    </row>
    <row r="17" spans="2:22" x14ac:dyDescent="0.25">
      <c r="B17" s="4" t="s">
        <v>75</v>
      </c>
      <c r="F17" s="23">
        <f>IFERROR(F16/E16-1,"")</f>
        <v>0.10519645120405574</v>
      </c>
      <c r="G17" s="9">
        <f t="shared" ref="G17:V17" si="5">IFERROR(G16/F16-1,"")</f>
        <v>3.5550458715596367E-2</v>
      </c>
      <c r="H17" s="9">
        <f t="shared" si="5"/>
        <v>3.5991140642303465E-2</v>
      </c>
      <c r="I17" s="9">
        <f t="shared" si="5"/>
        <v>5.8792089791555036E-3</v>
      </c>
      <c r="J17" s="9">
        <f t="shared" si="5"/>
        <v>-3.4006376195536703E-2</v>
      </c>
      <c r="K17" s="9">
        <f t="shared" si="5"/>
        <v>1.980198019801982E-2</v>
      </c>
      <c r="L17" s="9">
        <f>IFERROR(L16/K16-1,"")</f>
        <v>-8.3063646170442262E-2</v>
      </c>
      <c r="M17" s="9">
        <f t="shared" si="5"/>
        <v>-0.58977999999999997</v>
      </c>
      <c r="N17" s="9">
        <f t="shared" si="5"/>
        <v>-1</v>
      </c>
      <c r="O17" s="9" t="str">
        <f t="shared" si="5"/>
        <v/>
      </c>
      <c r="P17" s="9" t="str">
        <f t="shared" si="5"/>
        <v/>
      </c>
      <c r="Q17" s="9" t="str">
        <f t="shared" si="5"/>
        <v/>
      </c>
      <c r="R17" s="9" t="str">
        <f t="shared" si="5"/>
        <v/>
      </c>
      <c r="S17" s="9" t="str">
        <f t="shared" si="5"/>
        <v/>
      </c>
      <c r="T17" s="9" t="str">
        <f t="shared" si="5"/>
        <v/>
      </c>
      <c r="U17" s="9" t="str">
        <f t="shared" si="5"/>
        <v/>
      </c>
      <c r="V17" s="9" t="str">
        <f t="shared" si="5"/>
        <v/>
      </c>
    </row>
    <row r="18" spans="2:22" x14ac:dyDescent="0.25">
      <c r="G18" s="25"/>
    </row>
    <row r="19" spans="2:22" x14ac:dyDescent="0.25">
      <c r="G19" s="24"/>
      <c r="H19" s="25"/>
    </row>
    <row r="20" spans="2:22" s="7" customFormat="1" ht="14" x14ac:dyDescent="0.3">
      <c r="B20" s="13" t="s">
        <v>77</v>
      </c>
    </row>
    <row r="21" spans="2:22" x14ac:dyDescent="0.25">
      <c r="B21" s="4" t="s">
        <v>74</v>
      </c>
      <c r="C21" s="14" t="str">
        <f xml:space="preserve"> '2011'!J4</f>
        <v>-</v>
      </c>
      <c r="D21" s="14" t="str">
        <f xml:space="preserve"> '2012'!J4</f>
        <v>-</v>
      </c>
      <c r="E21" s="14">
        <f xml:space="preserve"> '2013'!J4</f>
        <v>0.49700000000000005</v>
      </c>
      <c r="F21" s="14">
        <f xml:space="preserve"> '2014'!J4</f>
        <v>0.47000000000000003</v>
      </c>
      <c r="G21" s="14">
        <f xml:space="preserve"> '2015'!J4</f>
        <v>0.47500000000000003</v>
      </c>
      <c r="H21" s="14">
        <f xml:space="preserve"> '2016'!J4</f>
        <v>0.48600000000000004</v>
      </c>
      <c r="I21" s="14">
        <f xml:space="preserve"> '2017'!J4</f>
        <v>0.48399999999999999</v>
      </c>
      <c r="J21" s="14">
        <f xml:space="preserve"> '2018'!J4</f>
        <v>0.43</v>
      </c>
      <c r="K21" s="14">
        <f xml:space="preserve"> '2019'!J4</f>
        <v>0.435</v>
      </c>
      <c r="L21" s="14">
        <f xml:space="preserve"> '2020'!J4</f>
        <v>0.38700000000000001</v>
      </c>
    </row>
    <row r="22" spans="2:22" x14ac:dyDescent="0.25">
      <c r="B22" s="4" t="s">
        <v>5</v>
      </c>
      <c r="C22" s="14" t="str">
        <f xml:space="preserve"> '2011'!J5</f>
        <v>-</v>
      </c>
      <c r="D22" s="14" t="str">
        <f xml:space="preserve"> '2012'!J5</f>
        <v>-</v>
      </c>
      <c r="E22" s="14">
        <f xml:space="preserve"> '2013'!J5</f>
        <v>0.121</v>
      </c>
      <c r="F22" s="14">
        <f xml:space="preserve"> '2014'!J5</f>
        <v>0.126</v>
      </c>
      <c r="G22" s="14">
        <f xml:space="preserve"> '2015'!J5</f>
        <v>0.13500000000000001</v>
      </c>
      <c r="H22" s="14">
        <f xml:space="preserve"> '2016'!J5</f>
        <v>0.13699999999999998</v>
      </c>
      <c r="I22" s="14">
        <f xml:space="preserve"> '2017'!J5</f>
        <v>0.14800000000000002</v>
      </c>
      <c r="J22" s="14">
        <f xml:space="preserve"> '2018'!J5</f>
        <v>0.152</v>
      </c>
      <c r="K22" s="14">
        <f xml:space="preserve"> '2019'!J5</f>
        <v>0.14699999999999999</v>
      </c>
      <c r="L22" s="14">
        <f xml:space="preserve"> '2020'!J5</f>
        <v>0.13200000000000001</v>
      </c>
    </row>
    <row r="23" spans="2:22" x14ac:dyDescent="0.25">
      <c r="B23" s="4" t="s">
        <v>7</v>
      </c>
      <c r="C23" s="14" t="str">
        <f xml:space="preserve"> '2011'!J6</f>
        <v>-</v>
      </c>
      <c r="D23" s="14" t="str">
        <f xml:space="preserve"> '2012'!J6</f>
        <v>-</v>
      </c>
      <c r="E23" s="14">
        <f xml:space="preserve"> '2013'!J6</f>
        <v>1.3999999999999999E-2</v>
      </c>
      <c r="F23" s="14">
        <f xml:space="preserve"> '2014'!J6</f>
        <v>1.3000000000000001E-2</v>
      </c>
      <c r="G23" s="14">
        <f xml:space="preserve"> '2015'!J6</f>
        <v>1.4999999999999999E-2</v>
      </c>
      <c r="H23" s="14">
        <f xml:space="preserve"> '2016'!J6</f>
        <v>1.2E-2</v>
      </c>
      <c r="I23" s="14">
        <f xml:space="preserve"> '2017'!J6</f>
        <v>1.2E-2</v>
      </c>
      <c r="J23" s="14">
        <f xml:space="preserve"> '2018'!J6</f>
        <v>0.01</v>
      </c>
      <c r="K23" s="14">
        <f xml:space="preserve"> '2019'!J6</f>
        <v>9.0000000000000011E-3</v>
      </c>
      <c r="L23" s="14">
        <f xml:space="preserve"> '2020'!J6</f>
        <v>8.0000000000000002E-3</v>
      </c>
    </row>
    <row r="24" spans="2:22" x14ac:dyDescent="0.25">
      <c r="B24" s="4" t="s">
        <v>9</v>
      </c>
      <c r="C24" s="14" t="str">
        <f xml:space="preserve"> '2011'!J7</f>
        <v>-</v>
      </c>
      <c r="D24" s="14" t="str">
        <f xml:space="preserve"> '2012'!J7</f>
        <v>-</v>
      </c>
      <c r="E24" s="14">
        <f xml:space="preserve"> '2013'!J7</f>
        <v>0.36799999999999999</v>
      </c>
      <c r="F24" s="14">
        <f xml:space="preserve"> '2014'!J7</f>
        <v>0.39100000000000001</v>
      </c>
      <c r="G24" s="14">
        <f xml:space="preserve"> '2015'!J7</f>
        <v>0.375</v>
      </c>
      <c r="H24" s="14">
        <f xml:space="preserve"> '2016'!J7</f>
        <v>0.36399999999999999</v>
      </c>
      <c r="I24" s="14">
        <f xml:space="preserve"> '2017'!J7</f>
        <v>0.35600000000000004</v>
      </c>
      <c r="J24" s="14">
        <f xml:space="preserve"> '2018'!J7</f>
        <v>0.40700000000000003</v>
      </c>
      <c r="K24" s="14">
        <f xml:space="preserve"> '2019'!J7</f>
        <v>0.40899999999999997</v>
      </c>
      <c r="L24" s="14">
        <f xml:space="preserve"> '2020'!J7</f>
        <v>0.47299999999999998</v>
      </c>
    </row>
    <row r="25" spans="2:22" x14ac:dyDescent="0.25">
      <c r="B25" s="4" t="s">
        <v>76</v>
      </c>
      <c r="E25" s="14">
        <f>SUM(E21:E24)</f>
        <v>1</v>
      </c>
      <c r="F25" s="14">
        <f t="shared" ref="F25:L25" si="6">SUM(F21:F24)</f>
        <v>1</v>
      </c>
      <c r="G25" s="14">
        <f t="shared" si="6"/>
        <v>1</v>
      </c>
      <c r="H25" s="14">
        <f t="shared" si="6"/>
        <v>0.999</v>
      </c>
      <c r="I25" s="14">
        <f t="shared" si="6"/>
        <v>1</v>
      </c>
      <c r="J25" s="14">
        <f t="shared" si="6"/>
        <v>0.999</v>
      </c>
      <c r="K25" s="14">
        <f t="shared" si="6"/>
        <v>1</v>
      </c>
      <c r="L25" s="14">
        <f t="shared" si="6"/>
        <v>1</v>
      </c>
    </row>
    <row r="28" spans="2:22" s="7" customFormat="1" ht="14" x14ac:dyDescent="0.3">
      <c r="B28" s="15" t="s">
        <v>78</v>
      </c>
    </row>
    <row r="29" spans="2:22" x14ac:dyDescent="0.25">
      <c r="B29" s="4" t="s">
        <v>79</v>
      </c>
      <c r="E29" s="8">
        <f>E42*E37</f>
        <v>0</v>
      </c>
      <c r="F29" s="8">
        <f t="shared" ref="F29:L29" si="7">F42*F37</f>
        <v>0</v>
      </c>
      <c r="G29" s="8">
        <f t="shared" si="7"/>
        <v>0</v>
      </c>
      <c r="H29" s="8">
        <f t="shared" si="7"/>
        <v>0</v>
      </c>
      <c r="I29" s="8">
        <f t="shared" si="7"/>
        <v>0</v>
      </c>
      <c r="J29" s="8">
        <f t="shared" si="7"/>
        <v>0</v>
      </c>
      <c r="K29" s="8">
        <f t="shared" si="7"/>
        <v>0</v>
      </c>
      <c r="L29" s="8">
        <f t="shared" si="7"/>
        <v>0</v>
      </c>
    </row>
    <row r="30" spans="2:22" ht="14" x14ac:dyDescent="0.3">
      <c r="B30" s="4" t="s">
        <v>75</v>
      </c>
      <c r="C30" s="9" t="str">
        <f t="shared" ref="C30:E30" si="8">IFERROR(C29/B29-1,"")</f>
        <v/>
      </c>
      <c r="D30" s="9" t="str">
        <f t="shared" si="8"/>
        <v/>
      </c>
      <c r="E30" s="9" t="str">
        <f t="shared" si="8"/>
        <v/>
      </c>
      <c r="F30" s="9" t="str">
        <f>IFERROR(F29/E29-1,"")</f>
        <v/>
      </c>
      <c r="G30" s="9" t="str">
        <f t="shared" ref="G30:L30" si="9">IFERROR(G29/F29-1,"")</f>
        <v/>
      </c>
      <c r="H30" s="9" t="str">
        <f t="shared" si="9"/>
        <v/>
      </c>
      <c r="I30" s="9" t="str">
        <f t="shared" si="9"/>
        <v/>
      </c>
      <c r="J30" s="9" t="str">
        <f t="shared" si="9"/>
        <v/>
      </c>
      <c r="K30" s="9" t="str">
        <f t="shared" si="9"/>
        <v/>
      </c>
      <c r="L30" s="9" t="str">
        <f t="shared" si="9"/>
        <v/>
      </c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2:22" x14ac:dyDescent="0.25">
      <c r="B31" s="4" t="s">
        <v>80</v>
      </c>
      <c r="E31" s="8">
        <v>0</v>
      </c>
      <c r="F31" s="11">
        <v>0</v>
      </c>
      <c r="G31" s="11">
        <v>0</v>
      </c>
      <c r="H31" s="12"/>
      <c r="I31" s="12"/>
      <c r="J31" s="12"/>
      <c r="K31" s="12"/>
      <c r="L31" s="12"/>
    </row>
    <row r="32" spans="2:22" x14ac:dyDescent="0.25">
      <c r="B32" s="4" t="s">
        <v>75</v>
      </c>
      <c r="F32" s="9" t="str">
        <f>IFERROR(F31/E31-1,"")</f>
        <v/>
      </c>
      <c r="G32" s="9" t="str">
        <f>IFERROR(G31/F31-1,"")</f>
        <v/>
      </c>
    </row>
    <row r="33" spans="2:12" x14ac:dyDescent="0.25">
      <c r="B33" s="4" t="s">
        <v>81</v>
      </c>
      <c r="E33" s="12"/>
      <c r="F33" s="12"/>
      <c r="G33" s="12"/>
      <c r="H33" s="12"/>
      <c r="I33" s="12"/>
      <c r="J33" s="12"/>
      <c r="K33" s="12"/>
      <c r="L33" s="12"/>
    </row>
    <row r="34" spans="2:12" x14ac:dyDescent="0.25">
      <c r="B34" s="4" t="s">
        <v>75</v>
      </c>
      <c r="F34" s="9" t="str">
        <f>IFERROR(F33/E33-1,"")</f>
        <v/>
      </c>
      <c r="G34" s="9" t="str">
        <f>IFERROR(G33/F33-1,"")</f>
        <v/>
      </c>
    </row>
    <row r="35" spans="2:12" x14ac:dyDescent="0.25">
      <c r="B35" s="4" t="s">
        <v>82</v>
      </c>
    </row>
    <row r="36" spans="2:12" x14ac:dyDescent="0.25">
      <c r="B36" s="4" t="s">
        <v>75</v>
      </c>
      <c r="F36" s="9" t="str">
        <f>IFERROR(F35/E35-1,"")</f>
        <v/>
      </c>
      <c r="G36" s="9" t="str">
        <f>IFERROR(G35/F35-1,"")</f>
        <v/>
      </c>
    </row>
    <row r="37" spans="2:12" x14ac:dyDescent="0.25">
      <c r="B37" s="4" t="s">
        <v>83</v>
      </c>
      <c r="E37" s="4">
        <v>2000000</v>
      </c>
      <c r="F37" s="4">
        <v>2000000</v>
      </c>
      <c r="G37" s="4">
        <v>2000000</v>
      </c>
      <c r="H37" s="4">
        <v>2000000</v>
      </c>
      <c r="I37" s="4">
        <v>2000000</v>
      </c>
      <c r="J37" s="4">
        <v>2000000</v>
      </c>
      <c r="K37" s="4">
        <v>2000000</v>
      </c>
      <c r="L37" s="4">
        <v>2000000</v>
      </c>
    </row>
    <row r="38" spans="2:12" x14ac:dyDescent="0.25">
      <c r="B38" s="4" t="s">
        <v>75</v>
      </c>
      <c r="F38" s="9">
        <f>IFERROR(F37/E37-1,"")</f>
        <v>0</v>
      </c>
      <c r="G38" s="9">
        <f>IFERROR(G37/F37-1,"")</f>
        <v>0</v>
      </c>
    </row>
    <row r="39" spans="2:12" x14ac:dyDescent="0.25">
      <c r="B39" s="4" t="s">
        <v>84</v>
      </c>
    </row>
    <row r="40" spans="2:12" x14ac:dyDescent="0.25">
      <c r="B40" s="4" t="s">
        <v>75</v>
      </c>
    </row>
    <row r="61" spans="3:12" x14ac:dyDescent="0.25">
      <c r="C61" s="4" t="str">
        <f t="shared" ref="C61:L61" si="10" xml:space="preserve"> IFERROR(C21*C16, "-")</f>
        <v>-</v>
      </c>
      <c r="D61" s="4" t="str">
        <f t="shared" si="10"/>
        <v>-</v>
      </c>
      <c r="E61" s="4">
        <f t="shared" si="10"/>
        <v>784266.00000000012</v>
      </c>
      <c r="F61" s="4">
        <f t="shared" si="10"/>
        <v>819680</v>
      </c>
      <c r="G61" s="4">
        <f t="shared" si="10"/>
        <v>857850.00000000012</v>
      </c>
      <c r="H61" s="4">
        <f t="shared" si="10"/>
        <v>909306.00000000012</v>
      </c>
      <c r="I61" s="4">
        <f t="shared" si="10"/>
        <v>910888</v>
      </c>
      <c r="J61" s="4">
        <f t="shared" si="10"/>
        <v>781740</v>
      </c>
      <c r="K61" s="4">
        <f t="shared" si="10"/>
        <v>806490</v>
      </c>
      <c r="L61" s="4">
        <f t="shared" si="10"/>
        <v>657900</v>
      </c>
    </row>
    <row r="63" spans="3:12" x14ac:dyDescent="0.25">
      <c r="C63" s="4" t="str">
        <f t="shared" ref="C63:L63" si="11" xml:space="preserve"> IFERROR(C22*C16, "-")</f>
        <v>-</v>
      </c>
      <c r="D63" s="4" t="str">
        <f t="shared" si="11"/>
        <v>-</v>
      </c>
      <c r="E63" s="4">
        <f t="shared" si="11"/>
        <v>190938</v>
      </c>
      <c r="F63" s="4">
        <f t="shared" si="11"/>
        <v>219744</v>
      </c>
      <c r="G63" s="4">
        <f t="shared" si="11"/>
        <v>243810.00000000003</v>
      </c>
      <c r="H63" s="4">
        <f t="shared" si="11"/>
        <v>256326.99999999997</v>
      </c>
      <c r="I63" s="4">
        <f t="shared" si="11"/>
        <v>278536.00000000006</v>
      </c>
      <c r="J63" s="4">
        <f t="shared" si="11"/>
        <v>276336</v>
      </c>
      <c r="K63" s="4">
        <f t="shared" si="11"/>
        <v>272538</v>
      </c>
      <c r="L63" s="4">
        <f t="shared" si="11"/>
        <v>224400</v>
      </c>
    </row>
    <row r="65" spans="3:12" x14ac:dyDescent="0.25">
      <c r="C65" s="4" t="str">
        <f t="shared" ref="C65:L65" si="12" xml:space="preserve"> IFERROR(C23*C16, "-")</f>
        <v>-</v>
      </c>
      <c r="D65" s="4" t="str">
        <f t="shared" si="12"/>
        <v>-</v>
      </c>
      <c r="E65" s="4">
        <f t="shared" si="12"/>
        <v>22091.999999999996</v>
      </c>
      <c r="F65" s="4">
        <f t="shared" si="12"/>
        <v>22672.000000000004</v>
      </c>
      <c r="G65" s="4">
        <f t="shared" si="12"/>
        <v>27090</v>
      </c>
      <c r="H65" s="4">
        <f t="shared" si="12"/>
        <v>22452</v>
      </c>
      <c r="I65" s="4">
        <f t="shared" si="12"/>
        <v>22584</v>
      </c>
      <c r="J65" s="4">
        <f t="shared" si="12"/>
        <v>18180</v>
      </c>
      <c r="K65" s="4">
        <f t="shared" si="12"/>
        <v>16686.000000000004</v>
      </c>
      <c r="L65" s="4">
        <f t="shared" si="12"/>
        <v>13600</v>
      </c>
    </row>
    <row r="67" spans="3:12" x14ac:dyDescent="0.25">
      <c r="C67" s="4" t="str">
        <f t="shared" ref="C67:L67" si="13" xml:space="preserve"> IFERROR(C24*C16, "-")</f>
        <v>-</v>
      </c>
      <c r="D67" s="4" t="str">
        <f t="shared" si="13"/>
        <v>-</v>
      </c>
      <c r="E67" s="4">
        <f t="shared" si="13"/>
        <v>580704</v>
      </c>
      <c r="F67" s="4">
        <f t="shared" si="13"/>
        <v>681904</v>
      </c>
      <c r="G67" s="4">
        <f t="shared" si="13"/>
        <v>677250</v>
      </c>
      <c r="H67" s="4">
        <f t="shared" si="13"/>
        <v>681044</v>
      </c>
      <c r="I67" s="4">
        <f t="shared" si="13"/>
        <v>669992.00000000012</v>
      </c>
      <c r="J67" s="4">
        <f t="shared" si="13"/>
        <v>739926</v>
      </c>
      <c r="K67" s="4">
        <f t="shared" si="13"/>
        <v>758286</v>
      </c>
      <c r="L67" s="4">
        <f t="shared" si="13"/>
        <v>804100</v>
      </c>
    </row>
  </sheetData>
  <mergeCells count="2">
    <mergeCell ref="C2:L2"/>
    <mergeCell ref="M2:V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A88B-5F77-4865-A7B0-4866F8713FB1}">
  <dimension ref="A1:T41"/>
  <sheetViews>
    <sheetView topLeftCell="J12" workbookViewId="0">
      <selection activeCell="A32" sqref="A32:A33"/>
    </sheetView>
  </sheetViews>
  <sheetFormatPr defaultRowHeight="12.5" x14ac:dyDescent="0.25"/>
  <cols>
    <col min="1" max="1" width="17" style="44" bestFit="1" customWidth="1"/>
    <col min="2" max="2" width="8.90625" bestFit="1" customWidth="1"/>
    <col min="3" max="3" width="17" style="44" bestFit="1" customWidth="1"/>
    <col min="4" max="4" width="8.90625" bestFit="1" customWidth="1"/>
    <col min="5" max="5" width="17" style="44" bestFit="1" customWidth="1"/>
    <col min="6" max="6" width="8.90625" bestFit="1" customWidth="1"/>
    <col min="7" max="7" width="17" style="44" bestFit="1" customWidth="1"/>
    <col min="8" max="8" width="8.90625" bestFit="1" customWidth="1"/>
    <col min="9" max="9" width="17" style="44" bestFit="1" customWidth="1"/>
    <col min="10" max="10" width="8.90625" bestFit="1" customWidth="1"/>
    <col min="11" max="11" width="17" style="44" bestFit="1" customWidth="1"/>
    <col min="12" max="12" width="8.90625" bestFit="1" customWidth="1"/>
    <col min="13" max="13" width="17" style="44" bestFit="1" customWidth="1"/>
    <col min="14" max="14" width="8.90625" bestFit="1" customWidth="1"/>
    <col min="15" max="15" width="17" style="44" bestFit="1" customWidth="1"/>
    <col min="16" max="16" width="8.90625" bestFit="1" customWidth="1"/>
    <col min="17" max="17" width="14" style="44" bestFit="1" customWidth="1"/>
    <col min="18" max="18" width="8.90625" bestFit="1" customWidth="1"/>
    <col min="19" max="19" width="17.6328125" style="44" bestFit="1" customWidth="1"/>
    <col min="20" max="20" width="8.90625" bestFit="1" customWidth="1"/>
  </cols>
  <sheetData>
    <row r="1" spans="1:20" x14ac:dyDescent="0.25">
      <c r="A1" s="43"/>
    </row>
    <row r="2" spans="1:20" x14ac:dyDescent="0.25">
      <c r="A2" s="43" t="s">
        <v>0</v>
      </c>
      <c r="B2" s="3"/>
      <c r="C2" s="43"/>
      <c r="D2" s="3"/>
      <c r="E2" s="43"/>
      <c r="F2" s="3"/>
      <c r="G2" s="43"/>
      <c r="H2" s="3"/>
      <c r="I2" s="43"/>
      <c r="J2" s="3"/>
      <c r="K2" s="43"/>
      <c r="M2" s="43"/>
      <c r="O2" s="43"/>
      <c r="Q2" s="43"/>
      <c r="S2" s="43"/>
    </row>
    <row r="3" spans="1:20" x14ac:dyDescent="0.25">
      <c r="A3" s="43" t="s">
        <v>1</v>
      </c>
      <c r="B3" s="3"/>
      <c r="C3" s="43"/>
      <c r="D3" s="3"/>
      <c r="E3" s="43"/>
      <c r="F3" s="3"/>
      <c r="G3" s="43"/>
      <c r="H3" s="3"/>
      <c r="I3" s="43"/>
      <c r="J3" s="3"/>
      <c r="K3" s="43"/>
      <c r="L3" s="3"/>
      <c r="M3" s="43"/>
      <c r="N3" s="3"/>
      <c r="O3" s="43"/>
      <c r="P3" s="3"/>
      <c r="Q3" s="43"/>
      <c r="R3" s="3"/>
      <c r="S3" s="43"/>
      <c r="T3" s="3"/>
    </row>
    <row r="4" spans="1:20" x14ac:dyDescent="0.25">
      <c r="A4" s="43"/>
      <c r="B4">
        <v>2020</v>
      </c>
      <c r="D4">
        <v>2019</v>
      </c>
      <c r="F4">
        <v>2018</v>
      </c>
      <c r="G4" s="43"/>
      <c r="H4">
        <v>2017</v>
      </c>
      <c r="J4" s="3">
        <v>2016</v>
      </c>
      <c r="L4" s="3">
        <v>2015</v>
      </c>
      <c r="N4">
        <v>2014</v>
      </c>
      <c r="P4">
        <v>2013</v>
      </c>
      <c r="R4">
        <v>2012</v>
      </c>
      <c r="T4">
        <v>2011</v>
      </c>
    </row>
    <row r="5" spans="1:20" x14ac:dyDescent="0.25">
      <c r="A5" s="48" t="s">
        <v>2</v>
      </c>
      <c r="C5" s="43"/>
      <c r="E5" s="43"/>
      <c r="G5" s="43"/>
      <c r="I5" s="43"/>
      <c r="K5" s="43"/>
      <c r="M5" s="43"/>
      <c r="O5" s="43"/>
      <c r="Q5" s="43"/>
      <c r="S5" s="43"/>
    </row>
    <row r="6" spans="1:20" x14ac:dyDescent="0.25">
      <c r="A6" s="48" t="s">
        <v>14</v>
      </c>
      <c r="B6" s="2">
        <v>62099</v>
      </c>
      <c r="C6" s="43" t="s">
        <v>14</v>
      </c>
      <c r="D6" s="2">
        <v>81287</v>
      </c>
      <c r="E6" s="43" t="s">
        <v>14</v>
      </c>
      <c r="F6" s="2">
        <v>80387</v>
      </c>
      <c r="G6" s="43" t="s">
        <v>14</v>
      </c>
      <c r="H6" s="2">
        <v>95346</v>
      </c>
      <c r="I6" s="43" t="s">
        <v>14</v>
      </c>
      <c r="J6" s="2">
        <v>105252</v>
      </c>
      <c r="K6" s="43" t="s">
        <v>14</v>
      </c>
      <c r="L6" s="2">
        <v>116250</v>
      </c>
      <c r="M6" s="43" t="s">
        <v>14</v>
      </c>
      <c r="N6" s="2">
        <v>115377</v>
      </c>
      <c r="O6" s="43" t="s">
        <v>14</v>
      </c>
      <c r="P6" s="2">
        <v>120520</v>
      </c>
      <c r="Q6" s="43" t="s">
        <v>14</v>
      </c>
      <c r="R6" s="2">
        <v>123111</v>
      </c>
      <c r="S6" s="43" t="s">
        <v>14</v>
      </c>
      <c r="T6" s="2">
        <v>117566</v>
      </c>
    </row>
    <row r="7" spans="1:20" x14ac:dyDescent="0.25">
      <c r="A7" s="48" t="s">
        <v>8</v>
      </c>
      <c r="B7" s="2">
        <v>206482</v>
      </c>
      <c r="C7" s="43" t="s">
        <v>8</v>
      </c>
      <c r="D7" s="2">
        <v>240795</v>
      </c>
      <c r="E7" s="43" t="s">
        <v>8</v>
      </c>
      <c r="F7" s="2">
        <v>304903</v>
      </c>
      <c r="G7" s="43" t="s">
        <v>8</v>
      </c>
      <c r="H7" s="2">
        <v>313380</v>
      </c>
      <c r="I7" s="43" t="s">
        <v>8</v>
      </c>
      <c r="J7" s="2">
        <v>361983</v>
      </c>
      <c r="K7" s="43" t="s">
        <v>8</v>
      </c>
      <c r="L7" s="2">
        <v>370144</v>
      </c>
      <c r="M7" s="43" t="s">
        <v>8</v>
      </c>
      <c r="N7" s="2">
        <v>351526</v>
      </c>
      <c r="O7" s="43" t="s">
        <v>8</v>
      </c>
      <c r="P7" s="2">
        <v>221097</v>
      </c>
      <c r="Q7" s="43" t="s">
        <v>8</v>
      </c>
      <c r="R7" s="2">
        <v>164666</v>
      </c>
      <c r="S7" s="43" t="s">
        <v>8</v>
      </c>
      <c r="T7" s="2">
        <v>189068</v>
      </c>
    </row>
    <row r="8" spans="1:20" x14ac:dyDescent="0.25">
      <c r="A8" s="48" t="s">
        <v>4</v>
      </c>
      <c r="B8" s="2">
        <v>243566</v>
      </c>
      <c r="C8" s="43" t="s">
        <v>4</v>
      </c>
      <c r="D8" s="2">
        <v>323387</v>
      </c>
      <c r="E8" s="43" t="s">
        <v>4</v>
      </c>
      <c r="F8" s="2">
        <v>344623</v>
      </c>
      <c r="G8" s="43" t="s">
        <v>4</v>
      </c>
      <c r="H8" s="2">
        <v>325307</v>
      </c>
      <c r="I8" s="43" t="s">
        <v>4</v>
      </c>
      <c r="J8" s="2">
        <v>357999</v>
      </c>
      <c r="K8" s="43" t="s">
        <v>4</v>
      </c>
      <c r="L8" s="2">
        <v>318788</v>
      </c>
      <c r="M8" s="43" t="s">
        <v>4</v>
      </c>
      <c r="N8" s="2">
        <v>328465</v>
      </c>
      <c r="O8" s="43" t="s">
        <v>4</v>
      </c>
      <c r="P8" s="2">
        <v>338449</v>
      </c>
      <c r="Q8" s="43" t="s">
        <v>4</v>
      </c>
      <c r="R8" s="2">
        <v>329759</v>
      </c>
      <c r="S8" s="43" t="s">
        <v>4</v>
      </c>
      <c r="T8" s="2">
        <v>321045</v>
      </c>
    </row>
    <row r="9" spans="1:20" x14ac:dyDescent="0.25">
      <c r="A9" s="48" t="s">
        <v>15</v>
      </c>
      <c r="B9" s="2">
        <v>56786</v>
      </c>
      <c r="C9" s="43" t="s">
        <v>15</v>
      </c>
      <c r="D9" s="2">
        <v>93077</v>
      </c>
      <c r="E9" s="43" t="s">
        <v>15</v>
      </c>
      <c r="F9" s="2">
        <v>111544</v>
      </c>
      <c r="G9" s="43" t="s">
        <v>15</v>
      </c>
      <c r="H9" s="2">
        <v>119595</v>
      </c>
      <c r="I9" s="43" t="s">
        <v>15</v>
      </c>
      <c r="J9" s="2">
        <v>65117</v>
      </c>
      <c r="K9" s="43" t="s">
        <v>15</v>
      </c>
      <c r="L9" s="2">
        <v>79133</v>
      </c>
      <c r="M9" s="43" t="s">
        <v>15</v>
      </c>
      <c r="N9" s="2">
        <v>88545</v>
      </c>
      <c r="O9" s="43" t="s">
        <v>15</v>
      </c>
      <c r="P9" s="2">
        <v>98207</v>
      </c>
      <c r="Q9" s="43" t="s">
        <v>15</v>
      </c>
      <c r="R9" s="2">
        <v>103357</v>
      </c>
      <c r="S9" s="43" t="s">
        <v>15</v>
      </c>
      <c r="T9" s="2">
        <v>111758</v>
      </c>
    </row>
    <row r="10" spans="1:20" x14ac:dyDescent="0.25">
      <c r="A10" s="48" t="s">
        <v>10</v>
      </c>
      <c r="B10" s="2">
        <v>271679</v>
      </c>
      <c r="C10" s="43" t="s">
        <v>10</v>
      </c>
      <c r="D10" s="2">
        <v>232569</v>
      </c>
      <c r="E10" s="43" t="s">
        <v>10</v>
      </c>
      <c r="F10" s="2">
        <v>254705</v>
      </c>
      <c r="G10" s="43" t="s">
        <v>10</v>
      </c>
      <c r="H10" s="2">
        <v>259618</v>
      </c>
      <c r="I10" s="43" t="s">
        <v>10</v>
      </c>
      <c r="J10" s="2">
        <v>276211</v>
      </c>
      <c r="K10" s="43" t="s">
        <v>10</v>
      </c>
      <c r="L10" s="2">
        <v>293960</v>
      </c>
      <c r="M10" s="43" t="s">
        <v>10</v>
      </c>
      <c r="N10" s="2">
        <v>307693</v>
      </c>
      <c r="O10" s="43" t="s">
        <v>10</v>
      </c>
      <c r="P10" s="2">
        <v>288739</v>
      </c>
      <c r="Q10" s="43" t="s">
        <v>10</v>
      </c>
      <c r="R10" s="2">
        <v>284888</v>
      </c>
      <c r="S10" s="43" t="s">
        <v>10</v>
      </c>
      <c r="T10" s="2">
        <v>241862</v>
      </c>
    </row>
    <row r="11" spans="1:20" x14ac:dyDescent="0.25">
      <c r="A11" s="48" t="s">
        <v>19</v>
      </c>
      <c r="B11" s="2">
        <v>18083</v>
      </c>
      <c r="C11" s="43" t="s">
        <v>19</v>
      </c>
      <c r="D11" s="2">
        <v>17068</v>
      </c>
      <c r="E11" s="43" t="s">
        <v>19</v>
      </c>
      <c r="F11" s="2">
        <v>20058</v>
      </c>
      <c r="G11" s="43" t="s">
        <v>19</v>
      </c>
      <c r="H11" s="2">
        <v>16968</v>
      </c>
      <c r="I11" s="43" t="s">
        <v>19</v>
      </c>
      <c r="J11" s="2">
        <v>26308</v>
      </c>
      <c r="K11" s="43" t="s">
        <v>19</v>
      </c>
      <c r="L11" s="2">
        <v>29158</v>
      </c>
      <c r="M11" s="43" t="s">
        <v>19</v>
      </c>
      <c r="N11" s="2">
        <v>27709</v>
      </c>
      <c r="O11" s="43" t="s">
        <v>19</v>
      </c>
      <c r="P11" s="2">
        <v>30799</v>
      </c>
      <c r="Q11" s="43" t="s">
        <v>19</v>
      </c>
      <c r="R11" s="2">
        <v>28950</v>
      </c>
      <c r="S11" s="43" t="s">
        <v>19</v>
      </c>
      <c r="T11" s="2">
        <v>37301</v>
      </c>
    </row>
    <row r="12" spans="1:20" x14ac:dyDescent="0.25">
      <c r="A12" s="48" t="s">
        <v>18</v>
      </c>
      <c r="B12" s="2">
        <v>20591</v>
      </c>
      <c r="C12" s="43" t="s">
        <v>18</v>
      </c>
      <c r="D12" s="2">
        <v>23826</v>
      </c>
      <c r="E12" s="43" t="s">
        <v>18</v>
      </c>
      <c r="F12" s="2">
        <v>24541</v>
      </c>
      <c r="G12" s="43" t="s">
        <v>18</v>
      </c>
      <c r="H12" s="2">
        <v>15854</v>
      </c>
      <c r="I12" s="43" t="s">
        <v>18</v>
      </c>
      <c r="J12" s="2">
        <v>24179</v>
      </c>
      <c r="K12" s="43" t="s">
        <v>18</v>
      </c>
      <c r="L12" s="2">
        <v>27065</v>
      </c>
      <c r="M12" s="43" t="s">
        <v>18</v>
      </c>
      <c r="N12" s="2">
        <v>39557</v>
      </c>
      <c r="O12" s="43" t="s">
        <v>18</v>
      </c>
      <c r="P12" s="2">
        <v>39717</v>
      </c>
      <c r="Q12" s="43" t="s">
        <v>18</v>
      </c>
      <c r="R12" s="2">
        <v>35932</v>
      </c>
      <c r="S12" s="43" t="s">
        <v>18</v>
      </c>
      <c r="T12" s="2">
        <v>38542</v>
      </c>
    </row>
    <row r="13" spans="1:20" x14ac:dyDescent="0.25">
      <c r="A13" s="48" t="s">
        <v>16</v>
      </c>
      <c r="B13" s="2">
        <v>43157</v>
      </c>
      <c r="C13" s="43" t="s">
        <v>16</v>
      </c>
      <c r="D13" s="2">
        <v>43376</v>
      </c>
      <c r="E13" s="43" t="s">
        <v>16</v>
      </c>
      <c r="F13" s="2">
        <v>2425</v>
      </c>
      <c r="M13" s="43"/>
    </row>
    <row r="14" spans="1:20" x14ac:dyDescent="0.25">
      <c r="A14" s="48" t="s">
        <v>12</v>
      </c>
      <c r="B14" s="2">
        <v>124346</v>
      </c>
      <c r="C14" s="43" t="s">
        <v>12</v>
      </c>
      <c r="D14" s="2">
        <v>130225</v>
      </c>
      <c r="E14" s="43" t="s">
        <v>12</v>
      </c>
      <c r="F14" s="2">
        <v>108386</v>
      </c>
      <c r="G14" s="43" t="s">
        <v>12</v>
      </c>
      <c r="H14" s="2">
        <v>102084</v>
      </c>
      <c r="I14" s="43" t="s">
        <v>12</v>
      </c>
      <c r="J14" s="2">
        <v>19419</v>
      </c>
      <c r="K14" s="43" t="s">
        <v>12</v>
      </c>
      <c r="L14" s="3">
        <v>67</v>
      </c>
      <c r="M14" s="43"/>
    </row>
    <row r="15" spans="1:20" x14ac:dyDescent="0.25">
      <c r="A15" s="48" t="s">
        <v>11</v>
      </c>
      <c r="B15" s="2">
        <v>219662</v>
      </c>
      <c r="C15" s="43" t="s">
        <v>11</v>
      </c>
      <c r="D15" s="2">
        <v>195566</v>
      </c>
      <c r="E15" s="43" t="s">
        <v>11</v>
      </c>
      <c r="F15" s="2">
        <v>167707</v>
      </c>
      <c r="G15" s="43" t="s">
        <v>11</v>
      </c>
      <c r="H15" s="2">
        <v>205006</v>
      </c>
      <c r="I15" s="43" t="s">
        <v>11</v>
      </c>
      <c r="J15" s="2">
        <v>231452</v>
      </c>
      <c r="K15" s="43" t="s">
        <v>11</v>
      </c>
      <c r="L15" s="2">
        <v>205445</v>
      </c>
      <c r="M15" s="43" t="s">
        <v>11</v>
      </c>
      <c r="N15" s="2">
        <v>200097</v>
      </c>
      <c r="O15" s="43" t="s">
        <v>11</v>
      </c>
      <c r="P15" s="2">
        <v>152163</v>
      </c>
      <c r="Q15" s="43" t="s">
        <v>11</v>
      </c>
      <c r="R15" s="2">
        <v>106918</v>
      </c>
      <c r="S15" s="43" t="s">
        <v>11</v>
      </c>
      <c r="T15" s="2">
        <v>19613</v>
      </c>
    </row>
    <row r="16" spans="1:20" x14ac:dyDescent="0.25">
      <c r="A16" s="48" t="s">
        <v>6</v>
      </c>
      <c r="B16" s="2">
        <v>275888</v>
      </c>
      <c r="C16" s="43" t="s">
        <v>6</v>
      </c>
      <c r="D16" s="2">
        <v>286365</v>
      </c>
      <c r="E16" s="43" t="s">
        <v>6</v>
      </c>
      <c r="F16" s="2">
        <v>298645</v>
      </c>
      <c r="G16" s="43" t="s">
        <v>6</v>
      </c>
      <c r="H16" s="2">
        <v>289959</v>
      </c>
      <c r="I16" s="43" t="s">
        <v>6</v>
      </c>
      <c r="J16" s="2">
        <v>297750</v>
      </c>
      <c r="K16" s="43" t="s">
        <v>6</v>
      </c>
      <c r="L16" s="2">
        <v>267861</v>
      </c>
      <c r="M16" s="43" t="s">
        <v>6</v>
      </c>
      <c r="N16" s="2">
        <v>260853</v>
      </c>
      <c r="O16" s="43" t="s">
        <v>6</v>
      </c>
      <c r="P16" s="2">
        <v>231435</v>
      </c>
      <c r="Q16" s="43" t="s">
        <v>6</v>
      </c>
      <c r="R16" s="2">
        <v>209799</v>
      </c>
      <c r="S16" s="43" t="s">
        <v>6</v>
      </c>
      <c r="T16" s="2">
        <v>183678</v>
      </c>
    </row>
    <row r="17" spans="1:20" x14ac:dyDescent="0.25">
      <c r="A17" s="48" t="s">
        <v>13</v>
      </c>
      <c r="B17" s="2">
        <v>65574</v>
      </c>
      <c r="C17" s="43" t="s">
        <v>13</v>
      </c>
      <c r="D17" s="2">
        <v>63633</v>
      </c>
      <c r="E17" s="43" t="s">
        <v>13</v>
      </c>
      <c r="F17" s="2">
        <v>110593</v>
      </c>
      <c r="G17" s="43" t="s">
        <v>13</v>
      </c>
      <c r="H17" s="2">
        <v>106515</v>
      </c>
      <c r="I17" s="43" t="s">
        <v>13</v>
      </c>
      <c r="J17" s="2">
        <v>103344</v>
      </c>
      <c r="K17" s="43" t="s">
        <v>13</v>
      </c>
      <c r="L17" s="2">
        <v>82340</v>
      </c>
      <c r="M17" s="43" t="s">
        <v>13</v>
      </c>
      <c r="N17" s="2">
        <v>61012</v>
      </c>
      <c r="O17" s="43" t="s">
        <v>13</v>
      </c>
      <c r="P17" s="2">
        <v>63400</v>
      </c>
      <c r="Q17" s="43" t="s">
        <v>13</v>
      </c>
      <c r="R17" s="2">
        <v>54558</v>
      </c>
      <c r="S17" s="43" t="s">
        <v>13</v>
      </c>
      <c r="T17" s="2">
        <v>53703</v>
      </c>
    </row>
    <row r="18" spans="1:20" x14ac:dyDescent="0.25">
      <c r="A18" s="48" t="s">
        <v>17</v>
      </c>
      <c r="B18" s="2">
        <v>37845</v>
      </c>
      <c r="C18" s="43" t="s">
        <v>17</v>
      </c>
      <c r="D18" s="2">
        <v>44727</v>
      </c>
      <c r="E18" s="43" t="s">
        <v>17</v>
      </c>
      <c r="F18" s="2">
        <v>22414</v>
      </c>
      <c r="G18" s="43" t="s">
        <v>52</v>
      </c>
      <c r="H18" s="3">
        <v>368</v>
      </c>
      <c r="M18" s="43"/>
    </row>
    <row r="19" spans="1:20" x14ac:dyDescent="0.25">
      <c r="A19" s="48" t="s">
        <v>21</v>
      </c>
      <c r="B19" s="2">
        <v>1517</v>
      </c>
      <c r="C19" s="43" t="s">
        <v>21</v>
      </c>
      <c r="D19" s="2">
        <v>2121</v>
      </c>
      <c r="E19" s="43" t="s">
        <v>21</v>
      </c>
      <c r="F19" s="2">
        <v>1764</v>
      </c>
      <c r="G19" s="43" t="s">
        <v>21</v>
      </c>
      <c r="H19" s="2">
        <v>3179</v>
      </c>
      <c r="I19" s="43" t="s">
        <v>21</v>
      </c>
      <c r="J19" s="2">
        <v>3688</v>
      </c>
      <c r="K19" s="43" t="s">
        <v>21</v>
      </c>
      <c r="L19" s="2">
        <v>2074</v>
      </c>
      <c r="M19" s="43" t="s">
        <v>21</v>
      </c>
      <c r="N19" s="2">
        <v>2169</v>
      </c>
      <c r="O19" s="43" t="s">
        <v>21</v>
      </c>
      <c r="P19" s="2">
        <v>2500</v>
      </c>
      <c r="Q19" s="43" t="s">
        <v>21</v>
      </c>
      <c r="R19" s="2">
        <v>2241</v>
      </c>
      <c r="S19" s="43" t="s">
        <v>21</v>
      </c>
      <c r="T19" s="2">
        <v>3551</v>
      </c>
    </row>
    <row r="20" spans="1:20" x14ac:dyDescent="0.25">
      <c r="A20" s="48" t="s">
        <v>20</v>
      </c>
      <c r="B20" s="2">
        <v>8646</v>
      </c>
      <c r="C20" s="43" t="s">
        <v>20</v>
      </c>
      <c r="D20" s="2">
        <v>14999</v>
      </c>
      <c r="E20" s="43" t="s">
        <v>20</v>
      </c>
      <c r="F20" s="2">
        <v>12118</v>
      </c>
      <c r="G20" s="43" t="s">
        <v>20</v>
      </c>
      <c r="H20" s="2">
        <v>22174</v>
      </c>
      <c r="I20" s="43" t="s">
        <v>20</v>
      </c>
      <c r="J20" s="2">
        <v>26886</v>
      </c>
      <c r="K20" s="43" t="s">
        <v>20</v>
      </c>
      <c r="L20" s="2">
        <v>35510</v>
      </c>
      <c r="M20" s="43" t="s">
        <v>20</v>
      </c>
      <c r="N20" s="2">
        <v>17621</v>
      </c>
      <c r="O20" s="43" t="s">
        <v>20</v>
      </c>
      <c r="P20" s="2">
        <v>18358</v>
      </c>
      <c r="Q20" s="43" t="s">
        <v>20</v>
      </c>
      <c r="R20" s="2">
        <v>21880</v>
      </c>
      <c r="S20" s="43" t="s">
        <v>20</v>
      </c>
      <c r="T20" s="2">
        <v>25508</v>
      </c>
    </row>
    <row r="21" spans="1:20" x14ac:dyDescent="0.25">
      <c r="B21" s="2">
        <v>1655921</v>
      </c>
      <c r="D21" s="2">
        <v>1793021</v>
      </c>
      <c r="F21" s="2">
        <v>1864813</v>
      </c>
      <c r="H21" s="2">
        <v>1875353</v>
      </c>
      <c r="J21" s="2">
        <v>1899588</v>
      </c>
      <c r="L21" s="2">
        <v>1827795</v>
      </c>
      <c r="N21" s="2">
        <v>1800624</v>
      </c>
      <c r="P21" s="2">
        <v>1605384</v>
      </c>
      <c r="R21" s="2">
        <v>1466059</v>
      </c>
      <c r="T21" s="2">
        <v>1343195</v>
      </c>
    </row>
    <row r="22" spans="1:20" x14ac:dyDescent="0.25">
      <c r="I22" s="43"/>
      <c r="K22" s="43"/>
      <c r="N22" s="2"/>
    </row>
    <row r="23" spans="1:20" s="45" customFormat="1" ht="13" x14ac:dyDescent="0.3">
      <c r="A23" s="49" t="s">
        <v>22</v>
      </c>
      <c r="C23" s="49" t="s">
        <v>22</v>
      </c>
      <c r="E23" s="49" t="s">
        <v>22</v>
      </c>
      <c r="G23" s="49" t="s">
        <v>22</v>
      </c>
      <c r="I23" s="49" t="s">
        <v>22</v>
      </c>
      <c r="K23" s="49" t="s">
        <v>22</v>
      </c>
      <c r="M23" s="49" t="s">
        <v>22</v>
      </c>
      <c r="O23" s="49" t="s">
        <v>22</v>
      </c>
      <c r="Q23" s="49" t="s">
        <v>22</v>
      </c>
      <c r="S23" s="49" t="s">
        <v>22</v>
      </c>
    </row>
    <row r="24" spans="1:20" x14ac:dyDescent="0.25">
      <c r="A24" s="43" t="s">
        <v>27</v>
      </c>
      <c r="B24" s="3">
        <v>281</v>
      </c>
      <c r="C24" s="43" t="s">
        <v>27</v>
      </c>
      <c r="D24" s="3">
        <v>786</v>
      </c>
      <c r="E24" s="43" t="s">
        <v>27</v>
      </c>
      <c r="F24" s="3">
        <v>578</v>
      </c>
      <c r="G24" s="43" t="s">
        <v>27</v>
      </c>
      <c r="H24" s="2">
        <v>1008</v>
      </c>
      <c r="I24" s="43" t="s">
        <v>27</v>
      </c>
      <c r="J24" s="3">
        <v>587</v>
      </c>
      <c r="K24" s="43" t="s">
        <v>27</v>
      </c>
      <c r="L24" s="3">
        <v>666</v>
      </c>
      <c r="M24" s="43" t="s">
        <v>27</v>
      </c>
      <c r="N24" s="50">
        <v>456</v>
      </c>
      <c r="O24" s="43" t="s">
        <v>27</v>
      </c>
      <c r="P24" s="3">
        <v>710</v>
      </c>
      <c r="Q24" s="43" t="s">
        <v>64</v>
      </c>
      <c r="R24" s="3">
        <v>976</v>
      </c>
      <c r="S24" s="43" t="s">
        <v>64</v>
      </c>
      <c r="T24" s="3">
        <v>447</v>
      </c>
    </row>
    <row r="25" spans="1:20" x14ac:dyDescent="0.25">
      <c r="A25" s="43" t="s">
        <v>26</v>
      </c>
      <c r="B25" s="3">
        <v>595</v>
      </c>
      <c r="C25" s="43" t="s">
        <v>26</v>
      </c>
      <c r="D25" s="3">
        <v>219</v>
      </c>
      <c r="E25" s="43" t="s">
        <v>26</v>
      </c>
      <c r="F25" s="3">
        <v>638</v>
      </c>
      <c r="G25" s="43" t="s">
        <v>26</v>
      </c>
      <c r="H25" s="3">
        <v>278</v>
      </c>
      <c r="I25" s="43" t="s">
        <v>26</v>
      </c>
      <c r="J25" s="3">
        <v>573</v>
      </c>
      <c r="K25" s="43" t="s">
        <v>26</v>
      </c>
      <c r="L25" s="3">
        <v>413</v>
      </c>
      <c r="M25" s="43" t="s">
        <v>26</v>
      </c>
      <c r="N25" s="50">
        <v>654</v>
      </c>
      <c r="O25" s="43" t="s">
        <v>26</v>
      </c>
      <c r="P25" s="3">
        <v>403</v>
      </c>
    </row>
    <row r="26" spans="1:20" x14ac:dyDescent="0.25">
      <c r="A26" s="51" t="s">
        <v>65</v>
      </c>
      <c r="B26" s="2"/>
      <c r="D26" s="2"/>
      <c r="F26" s="2"/>
      <c r="H26" s="2"/>
      <c r="N26" s="2"/>
      <c r="P26" s="2"/>
      <c r="Q26" s="43" t="s">
        <v>65</v>
      </c>
      <c r="R26" s="3">
        <v>822</v>
      </c>
      <c r="S26" s="43" t="s">
        <v>65</v>
      </c>
      <c r="T26" s="3">
        <v>944</v>
      </c>
    </row>
    <row r="27" spans="1:20" x14ac:dyDescent="0.25">
      <c r="A27" s="43" t="s">
        <v>58</v>
      </c>
      <c r="M27" s="43" t="s">
        <v>58</v>
      </c>
      <c r="N27" s="50">
        <v>0</v>
      </c>
      <c r="O27" s="43" t="s">
        <v>58</v>
      </c>
      <c r="P27" s="3">
        <v>653</v>
      </c>
    </row>
    <row r="28" spans="1:20" x14ac:dyDescent="0.25">
      <c r="A28" s="43" t="s">
        <v>60</v>
      </c>
      <c r="M28" s="43" t="s">
        <v>60</v>
      </c>
      <c r="N28" s="50">
        <v>0</v>
      </c>
      <c r="O28" s="43" t="s">
        <v>60</v>
      </c>
      <c r="P28" s="3">
        <v>280</v>
      </c>
      <c r="Q28" s="43" t="s">
        <v>60</v>
      </c>
      <c r="R28" s="3">
        <v>399</v>
      </c>
      <c r="S28" s="43" t="s">
        <v>60</v>
      </c>
      <c r="T28" s="3">
        <v>320</v>
      </c>
    </row>
    <row r="29" spans="1:20" x14ac:dyDescent="0.25">
      <c r="A29" s="43" t="s">
        <v>24</v>
      </c>
      <c r="B29" s="2">
        <v>1258</v>
      </c>
      <c r="C29" s="43" t="s">
        <v>24</v>
      </c>
      <c r="D29" s="2">
        <v>1495</v>
      </c>
      <c r="E29" s="43" t="s">
        <v>24</v>
      </c>
      <c r="F29" s="2">
        <v>1669</v>
      </c>
      <c r="G29" s="43" t="s">
        <v>24</v>
      </c>
      <c r="H29" s="2">
        <v>1822</v>
      </c>
      <c r="I29" s="43" t="s">
        <v>24</v>
      </c>
      <c r="J29" s="2">
        <v>1315</v>
      </c>
      <c r="K29" s="43" t="s">
        <v>24</v>
      </c>
      <c r="L29" s="2">
        <v>2559</v>
      </c>
      <c r="M29" s="43" t="s">
        <v>24</v>
      </c>
      <c r="N29" s="50">
        <v>1540</v>
      </c>
      <c r="O29" s="43" t="s">
        <v>24</v>
      </c>
      <c r="P29" s="3">
        <v>76</v>
      </c>
      <c r="T29" s="2"/>
    </row>
    <row r="30" spans="1:20" x14ac:dyDescent="0.25">
      <c r="A30" s="43" t="s">
        <v>57</v>
      </c>
      <c r="K30" s="43" t="s">
        <v>57</v>
      </c>
      <c r="L30" s="3">
        <v>69</v>
      </c>
      <c r="R30" s="47"/>
      <c r="T30" s="2"/>
    </row>
    <row r="31" spans="1:20" x14ac:dyDescent="0.25">
      <c r="A31" s="43" t="s">
        <v>25</v>
      </c>
      <c r="B31" s="3">
        <v>752</v>
      </c>
      <c r="C31" s="43" t="s">
        <v>25</v>
      </c>
      <c r="D31" s="3">
        <v>931</v>
      </c>
      <c r="E31" s="43" t="s">
        <v>25</v>
      </c>
      <c r="F31" s="2">
        <v>1121</v>
      </c>
      <c r="G31" s="43" t="s">
        <v>25</v>
      </c>
      <c r="H31" s="3">
        <v>827</v>
      </c>
      <c r="I31" s="43" t="s">
        <v>25</v>
      </c>
      <c r="J31" s="2">
        <v>1104</v>
      </c>
      <c r="N31" s="2"/>
      <c r="P31" s="2"/>
      <c r="T31" s="2"/>
    </row>
    <row r="32" spans="1:20" x14ac:dyDescent="0.25">
      <c r="A32" s="43" t="s">
        <v>67</v>
      </c>
      <c r="N32" s="2"/>
      <c r="P32" s="2"/>
      <c r="R32" s="2"/>
      <c r="S32" s="43" t="s">
        <v>67</v>
      </c>
      <c r="T32" s="3">
        <v>0</v>
      </c>
    </row>
    <row r="33" spans="1:20" x14ac:dyDescent="0.25">
      <c r="A33" s="43" t="s">
        <v>68</v>
      </c>
      <c r="B33" s="2"/>
      <c r="D33" s="2"/>
      <c r="F33" s="2"/>
      <c r="H33" s="2"/>
      <c r="N33" s="2"/>
      <c r="P33" s="2"/>
      <c r="R33" s="2"/>
      <c r="S33" s="43" t="s">
        <v>68</v>
      </c>
      <c r="T33" s="3">
        <v>0</v>
      </c>
    </row>
    <row r="34" spans="1:20" x14ac:dyDescent="0.25">
      <c r="A34" s="43" t="s">
        <v>23</v>
      </c>
      <c r="B34" s="2">
        <v>4364</v>
      </c>
      <c r="C34" s="43" t="s">
        <v>23</v>
      </c>
      <c r="D34" s="2">
        <v>5233</v>
      </c>
      <c r="E34" s="43" t="s">
        <v>23</v>
      </c>
      <c r="F34" s="2">
        <v>2565</v>
      </c>
      <c r="G34" s="43" t="s">
        <v>23</v>
      </c>
      <c r="H34" s="3">
        <v>121</v>
      </c>
      <c r="N34" s="2"/>
      <c r="P34" s="2"/>
      <c r="R34" s="2"/>
    </row>
    <row r="35" spans="1:20" x14ac:dyDescent="0.25">
      <c r="B35" s="2"/>
      <c r="D35" s="2"/>
      <c r="F35" s="2"/>
      <c r="H35" s="2"/>
      <c r="N35" s="2"/>
      <c r="P35" s="2"/>
      <c r="R35" s="2"/>
    </row>
    <row r="36" spans="1:20" x14ac:dyDescent="0.25">
      <c r="B36" s="2"/>
      <c r="D36" s="2"/>
      <c r="F36" s="2"/>
      <c r="H36" s="2"/>
      <c r="N36" s="2"/>
      <c r="P36" s="2"/>
      <c r="R36" s="2"/>
    </row>
    <row r="37" spans="1:20" x14ac:dyDescent="0.25">
      <c r="B37" s="2"/>
      <c r="D37" s="2"/>
      <c r="F37" s="2"/>
      <c r="H37" s="2"/>
      <c r="N37" s="2"/>
      <c r="P37" s="2"/>
      <c r="R37" s="2"/>
      <c r="T37" s="2"/>
    </row>
    <row r="38" spans="1:20" x14ac:dyDescent="0.25">
      <c r="B38" s="2">
        <v>7250</v>
      </c>
      <c r="D38" s="2">
        <v>8664</v>
      </c>
      <c r="F38" s="2">
        <v>6571</v>
      </c>
      <c r="H38" s="2">
        <v>4056</v>
      </c>
      <c r="J38" s="2">
        <v>3579</v>
      </c>
      <c r="L38" s="2">
        <v>3707</v>
      </c>
      <c r="N38" s="2">
        <v>2650</v>
      </c>
      <c r="P38" s="2">
        <v>2122</v>
      </c>
      <c r="R38" s="2">
        <v>2197</v>
      </c>
      <c r="T38" s="2">
        <v>1711</v>
      </c>
    </row>
    <row r="39" spans="1:20" x14ac:dyDescent="0.25">
      <c r="A39" s="43" t="s">
        <v>69</v>
      </c>
      <c r="B39" s="2">
        <v>1663171</v>
      </c>
      <c r="C39" s="43" t="s">
        <v>69</v>
      </c>
      <c r="D39" s="2">
        <v>1801685</v>
      </c>
      <c r="E39" s="43" t="s">
        <v>69</v>
      </c>
      <c r="F39" s="2">
        <v>1871384</v>
      </c>
      <c r="G39" s="44" t="s">
        <v>69</v>
      </c>
      <c r="H39" s="2">
        <v>1879409</v>
      </c>
      <c r="I39" s="44" t="s">
        <v>69</v>
      </c>
      <c r="J39" s="2">
        <v>1903167</v>
      </c>
      <c r="K39" s="43" t="s">
        <v>69</v>
      </c>
      <c r="L39" s="2">
        <v>1831502</v>
      </c>
      <c r="M39" s="43" t="s">
        <v>69</v>
      </c>
      <c r="N39" s="2">
        <v>1803274</v>
      </c>
      <c r="O39" s="44" t="s">
        <v>69</v>
      </c>
      <c r="P39" s="2">
        <v>1607506</v>
      </c>
      <c r="Q39" s="43" t="s">
        <v>69</v>
      </c>
      <c r="R39" s="2">
        <v>1468256</v>
      </c>
      <c r="S39" s="43" t="s">
        <v>69</v>
      </c>
      <c r="T39" s="2">
        <v>1344906</v>
      </c>
    </row>
    <row r="40" spans="1:20" x14ac:dyDescent="0.25">
      <c r="I40" s="43"/>
      <c r="K40" s="43"/>
      <c r="O40" s="43"/>
    </row>
    <row r="41" spans="1:20" x14ac:dyDescent="0.25">
      <c r="M41" s="43"/>
    </row>
  </sheetData>
  <sortState xmlns:xlrd2="http://schemas.microsoft.com/office/spreadsheetml/2017/richdata2" ref="M24:N29">
    <sortCondition ref="M24:M2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3"/>
  <sheetViews>
    <sheetView zoomScale="75" zoomScaleNormal="75" workbookViewId="0">
      <selection activeCell="D13" sqref="D13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3"/>
    </row>
    <row r="2" spans="1:12" ht="15.75" customHeight="1" x14ac:dyDescent="0.25">
      <c r="A2" s="1" t="s">
        <v>1</v>
      </c>
      <c r="B2" s="1">
        <v>2020</v>
      </c>
      <c r="D2" s="1">
        <v>2019</v>
      </c>
      <c r="E2" s="3"/>
    </row>
    <row r="3" spans="1:12" ht="15.75" customHeight="1" x14ac:dyDescent="0.25">
      <c r="A3" s="1" t="s">
        <v>2</v>
      </c>
    </row>
    <row r="4" spans="1:12" ht="15.75" customHeight="1" x14ac:dyDescent="0.25">
      <c r="A4" s="1" t="s">
        <v>14</v>
      </c>
      <c r="B4" s="2">
        <v>62099</v>
      </c>
      <c r="D4" s="2">
        <v>81287</v>
      </c>
      <c r="E4" s="2"/>
      <c r="I4" s="1" t="s">
        <v>3</v>
      </c>
      <c r="J4" s="19">
        <v>0.38700000000000001</v>
      </c>
      <c r="K4" s="1"/>
      <c r="L4" s="18"/>
    </row>
    <row r="5" spans="1:12" ht="15.75" customHeight="1" x14ac:dyDescent="0.25">
      <c r="A5" s="1" t="s">
        <v>8</v>
      </c>
      <c r="B5" s="2">
        <v>206482</v>
      </c>
      <c r="D5" s="2">
        <v>240795</v>
      </c>
      <c r="E5" s="2"/>
      <c r="I5" s="1" t="s">
        <v>5</v>
      </c>
      <c r="J5" s="19">
        <v>0.13200000000000001</v>
      </c>
      <c r="K5" s="1"/>
      <c r="L5" s="18"/>
    </row>
    <row r="6" spans="1:12" ht="15.75" customHeight="1" x14ac:dyDescent="0.25">
      <c r="A6" s="1" t="s">
        <v>4</v>
      </c>
      <c r="B6" s="2">
        <v>243566</v>
      </c>
      <c r="D6" s="2">
        <v>323387</v>
      </c>
      <c r="E6" s="2"/>
      <c r="I6" s="1" t="s">
        <v>7</v>
      </c>
      <c r="J6" s="19">
        <v>8.0000000000000002E-3</v>
      </c>
      <c r="K6" s="1"/>
      <c r="L6" s="18"/>
    </row>
    <row r="7" spans="1:12" ht="15.75" customHeight="1" x14ac:dyDescent="0.25">
      <c r="A7" s="1" t="s">
        <v>15</v>
      </c>
      <c r="B7" s="2">
        <v>56786</v>
      </c>
      <c r="D7" s="2">
        <v>93077</v>
      </c>
      <c r="E7" s="2"/>
      <c r="I7" s="1" t="s">
        <v>9</v>
      </c>
      <c r="J7" s="19">
        <v>0.47299999999999998</v>
      </c>
      <c r="K7" s="1"/>
      <c r="L7" s="18"/>
    </row>
    <row r="8" spans="1:12" ht="15.75" customHeight="1" x14ac:dyDescent="0.25">
      <c r="A8" s="1" t="s">
        <v>10</v>
      </c>
      <c r="B8" s="2">
        <v>271679</v>
      </c>
      <c r="D8" s="2">
        <v>232569</v>
      </c>
      <c r="E8" s="2"/>
    </row>
    <row r="9" spans="1:12" ht="15.75" customHeight="1" x14ac:dyDescent="0.25">
      <c r="A9" s="1" t="s">
        <v>19</v>
      </c>
      <c r="B9" s="2">
        <v>18083</v>
      </c>
      <c r="D9" s="2">
        <v>17068</v>
      </c>
      <c r="E9" s="2"/>
    </row>
    <row r="10" spans="1:12" ht="15.75" customHeight="1" x14ac:dyDescent="0.25">
      <c r="A10" s="1" t="s">
        <v>18</v>
      </c>
      <c r="B10" s="2">
        <v>20591</v>
      </c>
      <c r="D10" s="2">
        <v>23826</v>
      </c>
      <c r="E10" s="2"/>
    </row>
    <row r="11" spans="1:12" ht="15.75" customHeight="1" x14ac:dyDescent="0.25">
      <c r="A11" s="1" t="s">
        <v>16</v>
      </c>
      <c r="B11" s="2">
        <v>43157</v>
      </c>
      <c r="D11" s="2">
        <v>43376</v>
      </c>
      <c r="E11" s="2"/>
    </row>
    <row r="12" spans="1:12" ht="15.75" customHeight="1" x14ac:dyDescent="0.25">
      <c r="A12" s="1" t="s">
        <v>12</v>
      </c>
      <c r="B12" s="2">
        <v>124346</v>
      </c>
      <c r="D12" s="2">
        <v>130225</v>
      </c>
      <c r="E12" s="2"/>
    </row>
    <row r="13" spans="1:12" ht="15.75" customHeight="1" x14ac:dyDescent="0.25">
      <c r="A13" s="1" t="s">
        <v>11</v>
      </c>
      <c r="B13" s="2">
        <v>219662</v>
      </c>
      <c r="D13" s="2">
        <v>195566</v>
      </c>
      <c r="E13" s="2"/>
    </row>
    <row r="14" spans="1:12" ht="15.75" customHeight="1" x14ac:dyDescent="0.25">
      <c r="A14" s="1" t="s">
        <v>6</v>
      </c>
      <c r="B14" s="2">
        <v>275888</v>
      </c>
      <c r="D14" s="2">
        <v>286365</v>
      </c>
      <c r="E14" s="2"/>
    </row>
    <row r="15" spans="1:12" ht="15.75" customHeight="1" x14ac:dyDescent="0.25">
      <c r="A15" s="1" t="s">
        <v>13</v>
      </c>
      <c r="B15" s="2">
        <v>65574</v>
      </c>
      <c r="D15" s="2">
        <v>63633</v>
      </c>
      <c r="E15" s="2"/>
    </row>
    <row r="16" spans="1:12" ht="15.75" customHeight="1" x14ac:dyDescent="0.25">
      <c r="A16" s="1" t="s">
        <v>17</v>
      </c>
      <c r="B16" s="2">
        <v>37845</v>
      </c>
      <c r="D16" s="2">
        <v>44727</v>
      </c>
      <c r="E16" s="2"/>
    </row>
    <row r="17" spans="1:5" ht="15.75" customHeight="1" x14ac:dyDescent="0.25">
      <c r="A17" s="1" t="s">
        <v>21</v>
      </c>
      <c r="B17" s="2">
        <v>1517</v>
      </c>
      <c r="D17" s="2">
        <v>2121</v>
      </c>
      <c r="E17" s="2"/>
    </row>
    <row r="18" spans="1:5" ht="15.75" customHeight="1" x14ac:dyDescent="0.25">
      <c r="A18" s="1" t="s">
        <v>20</v>
      </c>
      <c r="B18" s="2">
        <v>8646</v>
      </c>
      <c r="D18" s="2">
        <v>14999</v>
      </c>
      <c r="E18" s="2"/>
    </row>
    <row r="19" spans="1:5" ht="15.75" customHeight="1" x14ac:dyDescent="0.25">
      <c r="B19" s="2">
        <v>1655921</v>
      </c>
      <c r="D19" s="2">
        <v>1793021</v>
      </c>
      <c r="E19" s="2"/>
    </row>
    <row r="21" spans="1:5" ht="15.75" customHeight="1" x14ac:dyDescent="0.25">
      <c r="A21" s="1" t="s">
        <v>22</v>
      </c>
    </row>
    <row r="22" spans="1:5" ht="12.5" x14ac:dyDescent="0.25">
      <c r="A22" s="1" t="s">
        <v>27</v>
      </c>
      <c r="B22" s="3">
        <v>281</v>
      </c>
      <c r="D22" s="3">
        <v>786</v>
      </c>
      <c r="E22" s="3"/>
    </row>
    <row r="23" spans="1:5" ht="12.5" x14ac:dyDescent="0.25">
      <c r="A23" s="1" t="s">
        <v>26</v>
      </c>
      <c r="B23" s="3">
        <v>595</v>
      </c>
      <c r="D23" s="3">
        <v>219</v>
      </c>
      <c r="E23" s="3"/>
    </row>
    <row r="24" spans="1:5" ht="12.5" x14ac:dyDescent="0.25">
      <c r="A24" s="1" t="s">
        <v>24</v>
      </c>
      <c r="B24" s="2">
        <v>1258</v>
      </c>
      <c r="D24" s="2">
        <v>1495</v>
      </c>
      <c r="E24" s="2"/>
    </row>
    <row r="25" spans="1:5" ht="12.5" x14ac:dyDescent="0.25">
      <c r="A25" s="1" t="s">
        <v>25</v>
      </c>
      <c r="B25" s="1">
        <v>752</v>
      </c>
      <c r="D25" s="1">
        <v>931</v>
      </c>
      <c r="E25" s="3"/>
    </row>
    <row r="26" spans="1:5" ht="12.5" x14ac:dyDescent="0.25">
      <c r="A26" s="1" t="s">
        <v>23</v>
      </c>
      <c r="B26" s="2">
        <v>4364</v>
      </c>
      <c r="D26" s="2">
        <v>5233</v>
      </c>
      <c r="E26" s="2"/>
    </row>
    <row r="27" spans="1:5" ht="12.5" x14ac:dyDescent="0.25">
      <c r="B27" s="2">
        <v>7250</v>
      </c>
      <c r="D27" s="2">
        <v>8664</v>
      </c>
      <c r="E27" s="2"/>
    </row>
    <row r="28" spans="1:5" ht="12.5" x14ac:dyDescent="0.25"/>
    <row r="29" spans="1:5" ht="15.75" customHeight="1" x14ac:dyDescent="0.25">
      <c r="A29" s="1" t="s">
        <v>69</v>
      </c>
      <c r="B29" s="2">
        <v>1663171</v>
      </c>
      <c r="D29" s="2">
        <v>1801685</v>
      </c>
      <c r="E29" s="2"/>
    </row>
    <row r="30" spans="1:5" ht="12.5" x14ac:dyDescent="0.25"/>
    <row r="31" spans="1:5" ht="15.75" customHeight="1" x14ac:dyDescent="0.25">
      <c r="A31" s="1"/>
      <c r="B31" s="2"/>
      <c r="D31" s="2"/>
      <c r="E31" s="2"/>
    </row>
    <row r="32" spans="1:5" ht="12.5" x14ac:dyDescent="0.25">
      <c r="A32" s="1"/>
    </row>
    <row r="33" spans="1:7" ht="12.5" x14ac:dyDescent="0.25">
      <c r="A33" s="1"/>
    </row>
    <row r="34" spans="1:7" ht="12.5" x14ac:dyDescent="0.25">
      <c r="A34" s="1"/>
    </row>
    <row r="35" spans="1:7" ht="12.5" x14ac:dyDescent="0.25">
      <c r="A35" s="1"/>
    </row>
    <row r="36" spans="1:7" ht="12.5" x14ac:dyDescent="0.25">
      <c r="A36" s="1"/>
    </row>
    <row r="37" spans="1:7" ht="12.5" x14ac:dyDescent="0.25">
      <c r="A37" s="1"/>
    </row>
    <row r="38" spans="1:7" ht="12.5" x14ac:dyDescent="0.25">
      <c r="A38" s="1"/>
    </row>
    <row r="39" spans="1:7" ht="12.5" x14ac:dyDescent="0.25">
      <c r="A39" s="1"/>
    </row>
    <row r="40" spans="1:7" ht="12.5" x14ac:dyDescent="0.25">
      <c r="A40" s="1"/>
    </row>
    <row r="41" spans="1:7" ht="12.5" x14ac:dyDescent="0.25">
      <c r="A41" s="1"/>
    </row>
    <row r="42" spans="1:7" ht="12.5" x14ac:dyDescent="0.25">
      <c r="A42" s="1"/>
      <c r="B42" s="1"/>
      <c r="C42" s="1"/>
      <c r="D42" s="1"/>
      <c r="E42" s="3"/>
    </row>
    <row r="43" spans="1:7" ht="12.5" x14ac:dyDescent="0.25">
      <c r="B43" s="1"/>
      <c r="D43" s="1"/>
      <c r="E43" s="3"/>
      <c r="F43" s="1"/>
      <c r="G43" s="1"/>
    </row>
    <row r="44" spans="1:7" ht="12.5" x14ac:dyDescent="0.25">
      <c r="G44" s="1"/>
    </row>
    <row r="45" spans="1:7" ht="15.75" customHeight="1" x14ac:dyDescent="0.25">
      <c r="A45" s="1"/>
      <c r="B45" s="2"/>
      <c r="D45" s="2"/>
      <c r="E45" s="2"/>
    </row>
    <row r="46" spans="1:7" ht="12.5" x14ac:dyDescent="0.25">
      <c r="A46" s="1"/>
      <c r="B46" s="2"/>
      <c r="D46" s="2"/>
      <c r="E46" s="2"/>
      <c r="G46" s="1"/>
    </row>
    <row r="47" spans="1:7" ht="12.5" x14ac:dyDescent="0.25">
      <c r="A47" s="1"/>
      <c r="B47" s="1"/>
      <c r="D47" s="1"/>
      <c r="E47" s="3"/>
      <c r="G47" s="1"/>
    </row>
    <row r="48" spans="1:7" ht="12.5" x14ac:dyDescent="0.25">
      <c r="A48" s="1"/>
      <c r="B48" s="2"/>
      <c r="D48" s="2"/>
      <c r="E48" s="2"/>
      <c r="G48" s="1"/>
    </row>
    <row r="49" spans="1:7" ht="12.5" x14ac:dyDescent="0.25">
      <c r="A49" s="1"/>
      <c r="B49" s="2"/>
      <c r="D49" s="2"/>
      <c r="E49" s="2"/>
      <c r="G49" s="1"/>
    </row>
    <row r="50" spans="1:7" ht="12.5" x14ac:dyDescent="0.25">
      <c r="A50" s="1"/>
      <c r="B50" s="2"/>
      <c r="D50" s="2"/>
      <c r="E50" s="2"/>
      <c r="G50" s="1"/>
    </row>
    <row r="51" spans="1:7" ht="12.5" x14ac:dyDescent="0.25">
      <c r="A51" s="1"/>
      <c r="B51" s="2"/>
      <c r="D51" s="2"/>
      <c r="E51" s="2"/>
      <c r="G51" s="1"/>
    </row>
    <row r="52" spans="1:7" ht="12.5" x14ac:dyDescent="0.25">
      <c r="A52" s="1"/>
      <c r="B52" s="1"/>
      <c r="D52" s="1"/>
      <c r="E52" s="3"/>
      <c r="G52" s="1"/>
    </row>
    <row r="53" spans="1:7" ht="12.5" x14ac:dyDescent="0.25"/>
  </sheetData>
  <sortState xmlns:xlrd2="http://schemas.microsoft.com/office/spreadsheetml/2017/richdata2" ref="A22:D26">
    <sortCondition ref="A22:A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2"/>
  <sheetViews>
    <sheetView zoomScale="75" zoomScaleNormal="75" workbookViewId="0">
      <selection activeCell="D13" sqref="D13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3"/>
    </row>
    <row r="2" spans="1:12" ht="15.75" customHeight="1" x14ac:dyDescent="0.25">
      <c r="A2" s="1" t="s">
        <v>1</v>
      </c>
      <c r="B2" s="1">
        <v>2019</v>
      </c>
      <c r="D2" s="1"/>
      <c r="E2" s="3"/>
    </row>
    <row r="3" spans="1:12" ht="15.75" customHeight="1" x14ac:dyDescent="0.25">
      <c r="A3" s="1" t="s">
        <v>2</v>
      </c>
    </row>
    <row r="4" spans="1:12" ht="15.75" customHeight="1" x14ac:dyDescent="0.25">
      <c r="A4" s="1" t="s">
        <v>14</v>
      </c>
      <c r="B4" s="2">
        <v>81287</v>
      </c>
      <c r="I4" s="1" t="s">
        <v>3</v>
      </c>
      <c r="J4" s="19">
        <v>0.435</v>
      </c>
      <c r="K4" s="1"/>
      <c r="L4" s="18"/>
    </row>
    <row r="5" spans="1:12" ht="15.75" customHeight="1" x14ac:dyDescent="0.25">
      <c r="A5" s="1" t="s">
        <v>8</v>
      </c>
      <c r="B5" s="2">
        <v>240795</v>
      </c>
      <c r="D5" s="2"/>
      <c r="E5" s="2"/>
      <c r="I5" s="1" t="s">
        <v>5</v>
      </c>
      <c r="J5" s="19">
        <v>0.14699999999999999</v>
      </c>
      <c r="K5" s="1"/>
      <c r="L5" s="18"/>
    </row>
    <row r="6" spans="1:12" ht="15.75" customHeight="1" x14ac:dyDescent="0.25">
      <c r="A6" s="1" t="s">
        <v>4</v>
      </c>
      <c r="B6" s="2">
        <v>323387</v>
      </c>
      <c r="D6" s="2"/>
      <c r="E6" s="2"/>
      <c r="I6" s="1" t="s">
        <v>7</v>
      </c>
      <c r="J6" s="19">
        <v>9.0000000000000011E-3</v>
      </c>
      <c r="K6" s="1"/>
      <c r="L6" s="18"/>
    </row>
    <row r="7" spans="1:12" ht="15.75" customHeight="1" x14ac:dyDescent="0.25">
      <c r="A7" s="1" t="s">
        <v>15</v>
      </c>
      <c r="B7" s="2">
        <v>93077</v>
      </c>
      <c r="D7" s="2"/>
      <c r="E7" s="2"/>
      <c r="I7" s="1" t="s">
        <v>9</v>
      </c>
      <c r="J7" s="19">
        <v>0.40899999999999997</v>
      </c>
      <c r="K7" s="1"/>
      <c r="L7" s="18"/>
    </row>
    <row r="8" spans="1:12" ht="15.75" customHeight="1" x14ac:dyDescent="0.25">
      <c r="A8" s="1" t="s">
        <v>10</v>
      </c>
      <c r="B8" s="2">
        <v>232569</v>
      </c>
      <c r="D8" s="2"/>
      <c r="E8" s="2"/>
    </row>
    <row r="9" spans="1:12" ht="15.75" customHeight="1" x14ac:dyDescent="0.25">
      <c r="A9" s="1" t="s">
        <v>19</v>
      </c>
      <c r="B9" s="2">
        <v>17068</v>
      </c>
      <c r="D9" s="2"/>
      <c r="E9" s="2"/>
    </row>
    <row r="10" spans="1:12" ht="15.75" customHeight="1" x14ac:dyDescent="0.25">
      <c r="A10" s="1" t="s">
        <v>18</v>
      </c>
      <c r="B10" s="2">
        <v>23826</v>
      </c>
      <c r="D10" s="2"/>
      <c r="E10" s="2"/>
    </row>
    <row r="11" spans="1:12" ht="15.75" customHeight="1" x14ac:dyDescent="0.25">
      <c r="A11" s="1" t="s">
        <v>16</v>
      </c>
      <c r="B11" s="2">
        <v>43376</v>
      </c>
      <c r="D11" s="2"/>
      <c r="E11" s="2"/>
    </row>
    <row r="12" spans="1:12" ht="15.75" customHeight="1" x14ac:dyDescent="0.25">
      <c r="A12" s="1" t="s">
        <v>12</v>
      </c>
      <c r="B12" s="2">
        <v>130225</v>
      </c>
      <c r="D12" s="2"/>
      <c r="E12" s="2"/>
    </row>
    <row r="13" spans="1:12" ht="15.75" customHeight="1" x14ac:dyDescent="0.25">
      <c r="A13" s="1" t="s">
        <v>11</v>
      </c>
      <c r="B13" s="2">
        <v>195566</v>
      </c>
      <c r="D13" s="2"/>
      <c r="E13" s="2"/>
    </row>
    <row r="14" spans="1:12" ht="15.75" customHeight="1" x14ac:dyDescent="0.25">
      <c r="A14" s="1" t="s">
        <v>6</v>
      </c>
      <c r="B14" s="2">
        <v>286365</v>
      </c>
      <c r="D14" s="2"/>
      <c r="E14" s="2"/>
    </row>
    <row r="15" spans="1:12" ht="15.75" customHeight="1" x14ac:dyDescent="0.25">
      <c r="A15" s="1" t="s">
        <v>13</v>
      </c>
      <c r="B15" s="2">
        <v>63633</v>
      </c>
      <c r="D15" s="2"/>
      <c r="E15" s="2"/>
    </row>
    <row r="16" spans="1:12" ht="15.75" customHeight="1" x14ac:dyDescent="0.25">
      <c r="A16" s="1" t="s">
        <v>17</v>
      </c>
      <c r="B16" s="2">
        <v>44727</v>
      </c>
      <c r="D16" s="2"/>
      <c r="E16" s="2"/>
    </row>
    <row r="17" spans="1:5" ht="15.75" customHeight="1" x14ac:dyDescent="0.25">
      <c r="A17" s="1" t="s">
        <v>21</v>
      </c>
      <c r="B17" s="2">
        <v>2121</v>
      </c>
      <c r="D17" s="2"/>
      <c r="E17" s="2"/>
    </row>
    <row r="18" spans="1:5" ht="15.75" customHeight="1" x14ac:dyDescent="0.25">
      <c r="A18" s="1" t="s">
        <v>20</v>
      </c>
      <c r="B18" s="2">
        <v>14999</v>
      </c>
      <c r="D18" s="2"/>
      <c r="E18" s="2"/>
    </row>
    <row r="19" spans="1:5" ht="15.75" customHeight="1" x14ac:dyDescent="0.25">
      <c r="B19" s="2">
        <v>1793021</v>
      </c>
      <c r="D19" s="2"/>
      <c r="E19" s="2"/>
    </row>
    <row r="20" spans="1:5" ht="15.75" customHeight="1" x14ac:dyDescent="0.25">
      <c r="D20" s="2"/>
      <c r="E20" s="2"/>
    </row>
    <row r="21" spans="1:5" ht="15.75" customHeight="1" x14ac:dyDescent="0.25">
      <c r="A21" s="1" t="s">
        <v>22</v>
      </c>
    </row>
    <row r="22" spans="1:5" ht="12.5" x14ac:dyDescent="0.25">
      <c r="A22" s="1" t="s">
        <v>27</v>
      </c>
      <c r="B22" s="3">
        <v>786</v>
      </c>
    </row>
    <row r="23" spans="1:5" ht="12.5" x14ac:dyDescent="0.25">
      <c r="A23" s="1" t="s">
        <v>26</v>
      </c>
      <c r="B23" s="3">
        <v>219</v>
      </c>
      <c r="D23" s="2"/>
      <c r="E23" s="2"/>
    </row>
    <row r="24" spans="1:5" ht="12.5" x14ac:dyDescent="0.25">
      <c r="A24" s="1" t="s">
        <v>24</v>
      </c>
      <c r="B24" s="2">
        <v>1495</v>
      </c>
      <c r="D24" s="2"/>
      <c r="E24" s="2"/>
    </row>
    <row r="25" spans="1:5" ht="12.5" x14ac:dyDescent="0.25">
      <c r="A25" s="1" t="s">
        <v>25</v>
      </c>
      <c r="B25" s="1">
        <v>931</v>
      </c>
      <c r="D25" s="2"/>
      <c r="E25" s="2"/>
    </row>
    <row r="26" spans="1:5" ht="12.5" x14ac:dyDescent="0.25">
      <c r="A26" s="1" t="s">
        <v>23</v>
      </c>
      <c r="B26" s="2">
        <v>5233</v>
      </c>
      <c r="D26" s="1"/>
      <c r="E26" s="3"/>
    </row>
    <row r="27" spans="1:5" ht="12.5" x14ac:dyDescent="0.25">
      <c r="B27" s="2">
        <v>8664</v>
      </c>
      <c r="D27" s="1"/>
      <c r="E27" s="3"/>
    </row>
    <row r="28" spans="1:5" ht="12.5" x14ac:dyDescent="0.25">
      <c r="D28" s="2"/>
      <c r="E28" s="2"/>
    </row>
    <row r="29" spans="1:5" ht="15.75" customHeight="1" x14ac:dyDescent="0.25">
      <c r="A29" s="1" t="s">
        <v>69</v>
      </c>
      <c r="B29" s="2">
        <v>1801685</v>
      </c>
    </row>
    <row r="30" spans="1:5" ht="12.5" x14ac:dyDescent="0.25">
      <c r="D30" s="2"/>
      <c r="E30" s="2"/>
    </row>
    <row r="41" spans="1:7" ht="15.75" customHeight="1" x14ac:dyDescent="0.25">
      <c r="A41" s="1"/>
      <c r="B41" s="1"/>
    </row>
    <row r="42" spans="1:7" ht="12.5" x14ac:dyDescent="0.25">
      <c r="B42" s="1"/>
      <c r="C42" s="1"/>
      <c r="D42" s="1"/>
      <c r="E42" s="3"/>
      <c r="F42" s="1"/>
      <c r="G42" s="1"/>
    </row>
    <row r="43" spans="1:7" ht="12.5" x14ac:dyDescent="0.25">
      <c r="D43" s="1"/>
      <c r="E43" s="3"/>
      <c r="G43" s="1"/>
    </row>
    <row r="44" spans="1:7" ht="15.75" customHeight="1" x14ac:dyDescent="0.25">
      <c r="A44" s="1"/>
      <c r="B44" s="2"/>
    </row>
    <row r="45" spans="1:7" ht="12.5" x14ac:dyDescent="0.25">
      <c r="A45" s="1"/>
      <c r="B45" s="2"/>
      <c r="D45" s="2"/>
      <c r="E45" s="2"/>
      <c r="G45" s="3"/>
    </row>
    <row r="46" spans="1:7" ht="12.5" x14ac:dyDescent="0.25">
      <c r="A46" s="1"/>
      <c r="B46" s="1"/>
      <c r="D46" s="2"/>
      <c r="E46" s="2"/>
      <c r="G46" s="3"/>
    </row>
    <row r="47" spans="1:7" ht="12.5" x14ac:dyDescent="0.25">
      <c r="A47" s="1"/>
      <c r="B47" s="2"/>
      <c r="D47" s="1"/>
      <c r="E47" s="3"/>
      <c r="G47" s="3"/>
    </row>
    <row r="48" spans="1:7" ht="12.5" x14ac:dyDescent="0.25">
      <c r="A48" s="1"/>
      <c r="B48" s="2"/>
      <c r="D48" s="2"/>
      <c r="E48" s="2"/>
      <c r="G48" s="1"/>
    </row>
    <row r="49" spans="1:7" ht="12.5" x14ac:dyDescent="0.25">
      <c r="A49" s="1"/>
      <c r="B49" s="2"/>
      <c r="D49" s="2"/>
      <c r="E49" s="2"/>
      <c r="G49" s="1"/>
    </row>
    <row r="50" spans="1:7" ht="12.5" x14ac:dyDescent="0.25">
      <c r="A50" s="1"/>
      <c r="B50" s="2"/>
      <c r="D50" s="2"/>
      <c r="E50" s="2"/>
      <c r="G50" s="1"/>
    </row>
    <row r="51" spans="1:7" ht="12.5" x14ac:dyDescent="0.25">
      <c r="A51" s="1"/>
      <c r="B51" s="1"/>
      <c r="D51" s="2"/>
      <c r="E51" s="2"/>
      <c r="G51" s="1"/>
    </row>
    <row r="52" spans="1:7" ht="12.5" x14ac:dyDescent="0.25">
      <c r="D52" s="1"/>
      <c r="E52" s="3"/>
    </row>
  </sheetData>
  <sortState xmlns:xlrd2="http://schemas.microsoft.com/office/spreadsheetml/2017/richdata2" ref="A22:B26">
    <sortCondition ref="A22:A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0"/>
  <sheetViews>
    <sheetView zoomScale="75" zoomScaleNormal="75" workbookViewId="0">
      <selection activeCell="D13" sqref="D13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3"/>
    </row>
    <row r="2" spans="1:12" ht="15.75" customHeight="1" x14ac:dyDescent="0.25">
      <c r="A2" s="1" t="s">
        <v>1</v>
      </c>
      <c r="B2" s="1">
        <v>2018</v>
      </c>
      <c r="D2" s="1"/>
      <c r="E2" s="3"/>
    </row>
    <row r="3" spans="1:12" ht="15.75" customHeight="1" x14ac:dyDescent="0.25">
      <c r="A3" s="1" t="s">
        <v>2</v>
      </c>
    </row>
    <row r="4" spans="1:12" ht="15.75" customHeight="1" x14ac:dyDescent="0.25">
      <c r="A4" s="1" t="s">
        <v>14</v>
      </c>
      <c r="B4" s="2">
        <v>80387</v>
      </c>
      <c r="I4" s="1" t="s">
        <v>3</v>
      </c>
      <c r="J4" s="19">
        <v>0.43</v>
      </c>
      <c r="K4" s="1"/>
      <c r="L4" s="18"/>
    </row>
    <row r="5" spans="1:12" ht="15.75" customHeight="1" x14ac:dyDescent="0.25">
      <c r="A5" s="1" t="s">
        <v>8</v>
      </c>
      <c r="B5" s="2">
        <v>304903</v>
      </c>
      <c r="D5" s="2"/>
      <c r="E5" s="2"/>
      <c r="I5" s="1" t="s">
        <v>5</v>
      </c>
      <c r="J5" s="19">
        <v>0.152</v>
      </c>
      <c r="K5" s="1"/>
      <c r="L5" s="18"/>
    </row>
    <row r="6" spans="1:12" ht="15.75" customHeight="1" x14ac:dyDescent="0.25">
      <c r="A6" s="1" t="s">
        <v>4</v>
      </c>
      <c r="B6" s="2">
        <v>344623</v>
      </c>
      <c r="D6" s="2"/>
      <c r="E6" s="2"/>
      <c r="I6" s="1" t="s">
        <v>7</v>
      </c>
      <c r="J6" s="19">
        <v>0.01</v>
      </c>
      <c r="K6" s="1"/>
      <c r="L6" s="18"/>
    </row>
    <row r="7" spans="1:12" ht="15.75" customHeight="1" x14ac:dyDescent="0.25">
      <c r="A7" s="1" t="s">
        <v>15</v>
      </c>
      <c r="B7" s="2">
        <v>111544</v>
      </c>
      <c r="D7" s="2"/>
      <c r="E7" s="2"/>
      <c r="I7" s="1" t="s">
        <v>9</v>
      </c>
      <c r="J7" s="19">
        <v>0.40700000000000003</v>
      </c>
      <c r="K7" s="1"/>
      <c r="L7" s="18"/>
    </row>
    <row r="8" spans="1:12" ht="15.75" customHeight="1" x14ac:dyDescent="0.25">
      <c r="A8" s="1" t="s">
        <v>10</v>
      </c>
      <c r="B8" s="2">
        <v>254705</v>
      </c>
      <c r="D8" s="2"/>
      <c r="E8" s="2"/>
    </row>
    <row r="9" spans="1:12" ht="15.75" customHeight="1" x14ac:dyDescent="0.25">
      <c r="A9" s="1" t="s">
        <v>19</v>
      </c>
      <c r="B9" s="2">
        <v>20058</v>
      </c>
      <c r="D9" s="2"/>
      <c r="E9" s="2"/>
    </row>
    <row r="10" spans="1:12" ht="15.75" customHeight="1" x14ac:dyDescent="0.25">
      <c r="A10" s="1" t="s">
        <v>18</v>
      </c>
      <c r="B10" s="2">
        <v>24541</v>
      </c>
      <c r="D10" s="2"/>
      <c r="E10" s="2"/>
    </row>
    <row r="11" spans="1:12" ht="15.75" customHeight="1" x14ac:dyDescent="0.25">
      <c r="A11" s="1" t="s">
        <v>16</v>
      </c>
      <c r="B11" s="2">
        <v>2425</v>
      </c>
      <c r="D11" s="2"/>
      <c r="E11" s="2"/>
    </row>
    <row r="12" spans="1:12" ht="15.75" customHeight="1" x14ac:dyDescent="0.25">
      <c r="A12" s="1" t="s">
        <v>12</v>
      </c>
      <c r="B12" s="2">
        <v>108386</v>
      </c>
      <c r="D12" s="2"/>
      <c r="E12" s="2"/>
    </row>
    <row r="13" spans="1:12" ht="15.75" customHeight="1" x14ac:dyDescent="0.25">
      <c r="A13" s="1" t="s">
        <v>11</v>
      </c>
      <c r="B13" s="2">
        <v>167707</v>
      </c>
      <c r="D13" s="2"/>
      <c r="E13" s="2"/>
    </row>
    <row r="14" spans="1:12" ht="15.75" customHeight="1" x14ac:dyDescent="0.25">
      <c r="A14" s="1" t="s">
        <v>6</v>
      </c>
      <c r="B14" s="2">
        <v>298645</v>
      </c>
      <c r="D14" s="2"/>
      <c r="E14" s="2"/>
    </row>
    <row r="15" spans="1:12" ht="15.75" customHeight="1" x14ac:dyDescent="0.25">
      <c r="A15" s="1" t="s">
        <v>13</v>
      </c>
      <c r="B15" s="2">
        <v>110593</v>
      </c>
      <c r="D15" s="1"/>
      <c r="E15" s="3"/>
    </row>
    <row r="16" spans="1:12" ht="15.75" customHeight="1" x14ac:dyDescent="0.25">
      <c r="A16" s="1" t="s">
        <v>17</v>
      </c>
      <c r="B16" s="2">
        <v>22414</v>
      </c>
      <c r="D16" s="2"/>
      <c r="E16" s="2"/>
    </row>
    <row r="17" spans="1:5" ht="15.75" customHeight="1" x14ac:dyDescent="0.25">
      <c r="A17" s="1" t="s">
        <v>21</v>
      </c>
      <c r="B17" s="2">
        <v>1764</v>
      </c>
      <c r="D17" s="2"/>
      <c r="E17" s="2"/>
    </row>
    <row r="18" spans="1:5" ht="15.75" customHeight="1" x14ac:dyDescent="0.25">
      <c r="A18" s="1" t="s">
        <v>20</v>
      </c>
      <c r="B18" s="2">
        <v>12118</v>
      </c>
      <c r="D18" s="1"/>
      <c r="E18" s="3"/>
    </row>
    <row r="19" spans="1:5" ht="15.75" customHeight="1" x14ac:dyDescent="0.25">
      <c r="B19" s="2">
        <v>1864813</v>
      </c>
      <c r="D19" s="2"/>
      <c r="E19" s="2"/>
    </row>
    <row r="20" spans="1:5" ht="15.75" customHeight="1" x14ac:dyDescent="0.25">
      <c r="D20" s="2"/>
      <c r="E20" s="2"/>
    </row>
    <row r="21" spans="1:5" ht="15.75" customHeight="1" x14ac:dyDescent="0.25">
      <c r="A21" s="1" t="s">
        <v>22</v>
      </c>
    </row>
    <row r="22" spans="1:5" ht="12.5" x14ac:dyDescent="0.25">
      <c r="A22" s="1" t="s">
        <v>27</v>
      </c>
      <c r="B22" s="3">
        <v>578</v>
      </c>
    </row>
    <row r="23" spans="1:5" ht="12.5" x14ac:dyDescent="0.25">
      <c r="A23" s="1" t="s">
        <v>26</v>
      </c>
      <c r="B23" s="3">
        <v>638</v>
      </c>
      <c r="D23" s="1"/>
      <c r="E23" s="3"/>
    </row>
    <row r="24" spans="1:5" ht="12.5" x14ac:dyDescent="0.25">
      <c r="A24" s="1" t="s">
        <v>24</v>
      </c>
      <c r="B24" s="2">
        <v>1669</v>
      </c>
      <c r="D24" s="2"/>
      <c r="E24" s="2"/>
    </row>
    <row r="25" spans="1:5" ht="12.5" x14ac:dyDescent="0.25">
      <c r="A25" s="1" t="s">
        <v>25</v>
      </c>
      <c r="B25" s="2">
        <v>1121</v>
      </c>
      <c r="D25" s="1"/>
      <c r="E25" s="3"/>
    </row>
    <row r="26" spans="1:5" ht="12.5" x14ac:dyDescent="0.25">
      <c r="A26" s="1" t="s">
        <v>23</v>
      </c>
      <c r="B26" s="2">
        <v>2565</v>
      </c>
      <c r="D26" s="1"/>
      <c r="E26" s="3"/>
    </row>
    <row r="27" spans="1:5" ht="12.5" x14ac:dyDescent="0.25">
      <c r="B27" s="2">
        <v>6571</v>
      </c>
      <c r="D27" s="2"/>
      <c r="E27" s="2"/>
    </row>
    <row r="28" spans="1:5" ht="12.5" x14ac:dyDescent="0.25">
      <c r="D28" s="2"/>
      <c r="E28" s="2"/>
    </row>
    <row r="29" spans="1:5" ht="15.75" customHeight="1" x14ac:dyDescent="0.25">
      <c r="A29" s="1" t="s">
        <v>69</v>
      </c>
      <c r="B29" s="2">
        <v>1871384</v>
      </c>
    </row>
    <row r="30" spans="1:5" ht="12.5" x14ac:dyDescent="0.25">
      <c r="D30" s="2"/>
      <c r="E30" s="2"/>
    </row>
    <row r="39" spans="1:7" ht="15.75" customHeight="1" x14ac:dyDescent="0.25">
      <c r="A39" s="1"/>
      <c r="B39" s="1"/>
    </row>
    <row r="40" spans="1:7" ht="12.5" x14ac:dyDescent="0.25">
      <c r="B40" s="1"/>
      <c r="C40" s="1"/>
      <c r="D40" s="1"/>
      <c r="E40" s="3"/>
      <c r="F40" s="1"/>
      <c r="G40" s="1"/>
    </row>
    <row r="41" spans="1:7" ht="12.5" x14ac:dyDescent="0.25">
      <c r="D41" s="1"/>
      <c r="E41" s="3"/>
      <c r="G41" s="1"/>
    </row>
    <row r="42" spans="1:7" ht="15.75" customHeight="1" x14ac:dyDescent="0.25">
      <c r="A42" s="1"/>
      <c r="B42" s="2"/>
    </row>
    <row r="43" spans="1:7" ht="12.5" x14ac:dyDescent="0.25">
      <c r="A43" s="1"/>
      <c r="B43" s="2"/>
      <c r="D43" s="2"/>
      <c r="E43" s="2"/>
      <c r="G43" s="1"/>
    </row>
    <row r="44" spans="1:7" ht="12.5" x14ac:dyDescent="0.25">
      <c r="A44" s="1"/>
      <c r="B44" s="1"/>
      <c r="D44" s="2"/>
      <c r="E44" s="2"/>
      <c r="G44" s="1"/>
    </row>
    <row r="45" spans="1:7" ht="12.5" x14ac:dyDescent="0.25">
      <c r="A45" s="1"/>
      <c r="B45" s="2"/>
      <c r="D45" s="1"/>
      <c r="E45" s="3"/>
      <c r="G45" s="3"/>
    </row>
    <row r="46" spans="1:7" ht="12.5" x14ac:dyDescent="0.25">
      <c r="A46" s="1"/>
      <c r="B46" s="2"/>
      <c r="D46" s="2"/>
      <c r="E46" s="2"/>
      <c r="G46" s="1"/>
    </row>
    <row r="47" spans="1:7" ht="12.5" x14ac:dyDescent="0.25">
      <c r="A47" s="1"/>
      <c r="B47" s="2"/>
      <c r="D47" s="2"/>
      <c r="E47" s="2"/>
      <c r="G47" s="1"/>
    </row>
    <row r="48" spans="1:7" ht="12.5" x14ac:dyDescent="0.25">
      <c r="A48" s="1"/>
      <c r="B48" s="2"/>
      <c r="D48" s="2"/>
      <c r="E48" s="2"/>
      <c r="G48" s="1"/>
    </row>
    <row r="49" spans="1:7" ht="12.5" x14ac:dyDescent="0.25">
      <c r="A49" s="1"/>
      <c r="B49" s="1"/>
      <c r="D49" s="2"/>
      <c r="E49" s="2"/>
      <c r="G49" s="1"/>
    </row>
    <row r="50" spans="1:7" ht="12.5" x14ac:dyDescent="0.25">
      <c r="D50" s="1"/>
      <c r="E50" s="3"/>
    </row>
  </sheetData>
  <sortState xmlns:xlrd2="http://schemas.microsoft.com/office/spreadsheetml/2017/richdata2" ref="A22:B26">
    <sortCondition ref="A22:A2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55"/>
  <sheetViews>
    <sheetView zoomScale="75" zoomScaleNormal="75" workbookViewId="0">
      <selection activeCell="D13" sqref="D13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3"/>
    </row>
    <row r="2" spans="1:12" ht="15.75" customHeight="1" x14ac:dyDescent="0.25">
      <c r="A2" s="1" t="s">
        <v>1</v>
      </c>
      <c r="B2" s="1">
        <v>2017</v>
      </c>
      <c r="D2" s="1"/>
      <c r="E2" s="3"/>
    </row>
    <row r="3" spans="1:12" ht="15.75" customHeight="1" x14ac:dyDescent="0.25">
      <c r="A3" s="1" t="s">
        <v>14</v>
      </c>
      <c r="B3" s="2">
        <v>95346</v>
      </c>
    </row>
    <row r="4" spans="1:12" ht="15.75" customHeight="1" x14ac:dyDescent="0.25">
      <c r="A4" s="1" t="s">
        <v>8</v>
      </c>
      <c r="B4" s="2">
        <v>313380</v>
      </c>
      <c r="I4" s="1" t="s">
        <v>3</v>
      </c>
      <c r="J4" s="19">
        <v>0.48399999999999999</v>
      </c>
      <c r="K4" s="1"/>
      <c r="L4" s="18"/>
    </row>
    <row r="5" spans="1:12" ht="15.75" customHeight="1" x14ac:dyDescent="0.25">
      <c r="A5" s="1" t="s">
        <v>4</v>
      </c>
      <c r="B5" s="2">
        <v>325307</v>
      </c>
      <c r="D5" s="2"/>
      <c r="E5" s="2"/>
      <c r="I5" s="1" t="s">
        <v>5</v>
      </c>
      <c r="J5" s="19">
        <v>0.14800000000000002</v>
      </c>
      <c r="K5" s="1"/>
      <c r="L5" s="18"/>
    </row>
    <row r="6" spans="1:12" ht="15.75" customHeight="1" x14ac:dyDescent="0.25">
      <c r="A6" s="1" t="s">
        <v>15</v>
      </c>
      <c r="B6" s="2">
        <v>119595</v>
      </c>
      <c r="D6" s="2"/>
      <c r="E6" s="2"/>
      <c r="I6" s="1" t="s">
        <v>7</v>
      </c>
      <c r="J6" s="19">
        <v>1.2E-2</v>
      </c>
      <c r="K6" s="1"/>
      <c r="L6" s="18"/>
    </row>
    <row r="7" spans="1:12" ht="15.75" customHeight="1" x14ac:dyDescent="0.25">
      <c r="A7" s="1" t="s">
        <v>10</v>
      </c>
      <c r="B7" s="2">
        <v>259618</v>
      </c>
      <c r="D7" s="2"/>
      <c r="E7" s="2"/>
      <c r="I7" s="1" t="s">
        <v>9</v>
      </c>
      <c r="J7" s="19">
        <v>0.35600000000000004</v>
      </c>
      <c r="K7" s="1"/>
      <c r="L7" s="18"/>
    </row>
    <row r="8" spans="1:12" ht="15.75" customHeight="1" x14ac:dyDescent="0.25">
      <c r="A8" s="1" t="s">
        <v>19</v>
      </c>
      <c r="B8" s="2">
        <v>16968</v>
      </c>
      <c r="D8" s="2"/>
      <c r="E8" s="2"/>
    </row>
    <row r="9" spans="1:12" ht="15.75" customHeight="1" x14ac:dyDescent="0.25">
      <c r="A9" s="1" t="s">
        <v>18</v>
      </c>
      <c r="B9" s="2">
        <v>15854</v>
      </c>
      <c r="D9" s="2"/>
      <c r="E9" s="2"/>
    </row>
    <row r="10" spans="1:12" ht="15.75" customHeight="1" x14ac:dyDescent="0.25">
      <c r="A10" s="1" t="s">
        <v>2</v>
      </c>
      <c r="D10" s="2"/>
      <c r="E10" s="2"/>
    </row>
    <row r="11" spans="1:12" ht="15.75" customHeight="1" x14ac:dyDescent="0.25">
      <c r="A11" s="1" t="s">
        <v>12</v>
      </c>
      <c r="B11" s="2">
        <v>102084</v>
      </c>
      <c r="D11" s="2"/>
      <c r="E11" s="2"/>
    </row>
    <row r="12" spans="1:12" ht="15.75" customHeight="1" x14ac:dyDescent="0.25">
      <c r="A12" s="1" t="s">
        <v>11</v>
      </c>
      <c r="B12" s="2">
        <v>205006</v>
      </c>
      <c r="D12" s="2"/>
      <c r="E12" s="2"/>
    </row>
    <row r="13" spans="1:12" ht="15.75" customHeight="1" x14ac:dyDescent="0.25">
      <c r="A13" s="1" t="s">
        <v>6</v>
      </c>
      <c r="B13" s="2">
        <v>289959</v>
      </c>
      <c r="D13" s="2"/>
      <c r="E13" s="2"/>
    </row>
    <row r="14" spans="1:12" ht="15.75" customHeight="1" x14ac:dyDescent="0.25">
      <c r="A14" s="1" t="s">
        <v>13</v>
      </c>
      <c r="B14" s="2">
        <v>106515</v>
      </c>
      <c r="D14" s="2"/>
      <c r="E14" s="2"/>
    </row>
    <row r="15" spans="1:12" ht="15.75" customHeight="1" x14ac:dyDescent="0.25">
      <c r="A15" s="1" t="s">
        <v>52</v>
      </c>
      <c r="B15" s="3">
        <v>368</v>
      </c>
      <c r="D15" s="2"/>
      <c r="E15" s="2"/>
    </row>
    <row r="16" spans="1:12" ht="15.75" customHeight="1" x14ac:dyDescent="0.25">
      <c r="A16" s="1" t="s">
        <v>21</v>
      </c>
      <c r="B16" s="2">
        <v>3179</v>
      </c>
      <c r="D16" s="2"/>
      <c r="E16" s="2"/>
    </row>
    <row r="17" spans="1:5" ht="15.75" customHeight="1" x14ac:dyDescent="0.25">
      <c r="A17" s="1" t="s">
        <v>20</v>
      </c>
      <c r="B17" s="2">
        <v>22174</v>
      </c>
      <c r="D17" s="2"/>
      <c r="E17" s="2"/>
    </row>
    <row r="18" spans="1:5" ht="15.75" customHeight="1" x14ac:dyDescent="0.25">
      <c r="B18" s="2">
        <v>1875353</v>
      </c>
      <c r="D18" s="1"/>
      <c r="E18" s="3"/>
    </row>
    <row r="19" spans="1:5" ht="15.75" customHeight="1" x14ac:dyDescent="0.25">
      <c r="D19" s="2"/>
      <c r="E19" s="2"/>
    </row>
    <row r="20" spans="1:5" ht="15.75" customHeight="1" x14ac:dyDescent="0.25">
      <c r="A20" s="1" t="s">
        <v>22</v>
      </c>
    </row>
    <row r="21" spans="1:5" ht="15.75" customHeight="1" x14ac:dyDescent="0.25">
      <c r="A21" s="1" t="s">
        <v>27</v>
      </c>
      <c r="B21" s="2">
        <v>1008</v>
      </c>
    </row>
    <row r="22" spans="1:5" ht="12.5" x14ac:dyDescent="0.25">
      <c r="A22" s="1" t="s">
        <v>26</v>
      </c>
      <c r="B22" s="3">
        <v>278</v>
      </c>
      <c r="D22" s="2"/>
      <c r="E22" s="2"/>
    </row>
    <row r="23" spans="1:5" ht="12.5" x14ac:dyDescent="0.25">
      <c r="A23" s="1" t="s">
        <v>24</v>
      </c>
      <c r="B23" s="2">
        <v>1822</v>
      </c>
      <c r="D23" s="1"/>
      <c r="E23" s="3"/>
    </row>
    <row r="24" spans="1:5" ht="12.5" x14ac:dyDescent="0.25">
      <c r="A24" s="1" t="s">
        <v>25</v>
      </c>
      <c r="B24" s="1">
        <v>827</v>
      </c>
      <c r="D24" s="2"/>
      <c r="E24" s="2"/>
    </row>
    <row r="25" spans="1:5" ht="12.5" x14ac:dyDescent="0.25">
      <c r="A25" s="1" t="s">
        <v>23</v>
      </c>
      <c r="B25" s="1">
        <v>121</v>
      </c>
      <c r="D25" s="1"/>
      <c r="E25" s="3"/>
    </row>
    <row r="26" spans="1:5" ht="12.5" x14ac:dyDescent="0.25">
      <c r="B26" s="2">
        <v>4056</v>
      </c>
      <c r="D26" s="1"/>
      <c r="E26" s="3"/>
    </row>
    <row r="27" spans="1:5" ht="12.5" x14ac:dyDescent="0.25">
      <c r="D27" s="2"/>
      <c r="E27" s="2"/>
    </row>
    <row r="28" spans="1:5" ht="15.75" customHeight="1" x14ac:dyDescent="0.25">
      <c r="A28" t="s">
        <v>69</v>
      </c>
      <c r="B28" s="2">
        <v>1879409</v>
      </c>
    </row>
    <row r="29" spans="1:5" ht="12.5" x14ac:dyDescent="0.25">
      <c r="D29" s="2"/>
      <c r="E29" s="2"/>
    </row>
    <row r="44" spans="1:7" ht="15.75" customHeight="1" x14ac:dyDescent="0.25">
      <c r="A44" s="1"/>
      <c r="B44" s="1"/>
    </row>
    <row r="45" spans="1:7" ht="12.5" x14ac:dyDescent="0.25">
      <c r="B45" s="1"/>
      <c r="C45" s="1"/>
      <c r="D45" s="1"/>
      <c r="E45" s="3"/>
      <c r="F45" s="1"/>
      <c r="G45" s="1"/>
    </row>
    <row r="46" spans="1:7" ht="12.5" x14ac:dyDescent="0.25">
      <c r="D46" s="1"/>
      <c r="E46" s="3"/>
      <c r="G46" s="1"/>
    </row>
    <row r="47" spans="1:7" ht="15.75" customHeight="1" x14ac:dyDescent="0.25">
      <c r="A47" s="1"/>
      <c r="B47" s="2"/>
    </row>
    <row r="48" spans="1:7" ht="12.5" x14ac:dyDescent="0.25">
      <c r="A48" s="1"/>
      <c r="B48" s="2"/>
      <c r="D48" s="2"/>
      <c r="E48" s="2"/>
      <c r="G48" s="3"/>
    </row>
    <row r="49" spans="1:7" ht="12.5" x14ac:dyDescent="0.25">
      <c r="A49" s="1"/>
      <c r="B49" s="1"/>
      <c r="D49" s="2"/>
      <c r="E49" s="2"/>
      <c r="G49" s="3"/>
    </row>
    <row r="50" spans="1:7" ht="12.5" x14ac:dyDescent="0.25">
      <c r="A50" s="1"/>
      <c r="B50" s="2"/>
      <c r="D50" s="1"/>
      <c r="E50" s="3"/>
      <c r="G50" s="3"/>
    </row>
    <row r="51" spans="1:7" ht="12.5" x14ac:dyDescent="0.25">
      <c r="A51" s="1"/>
      <c r="B51" s="2"/>
      <c r="D51" s="2"/>
      <c r="E51" s="2"/>
      <c r="G51" s="1"/>
    </row>
    <row r="52" spans="1:7" ht="12.5" x14ac:dyDescent="0.25">
      <c r="A52" s="1"/>
      <c r="B52" s="2"/>
      <c r="D52" s="2"/>
      <c r="E52" s="2"/>
      <c r="G52" s="1"/>
    </row>
    <row r="53" spans="1:7" ht="12.5" x14ac:dyDescent="0.25">
      <c r="A53" s="1"/>
      <c r="B53" s="2"/>
      <c r="D53" s="2"/>
      <c r="E53" s="2"/>
      <c r="G53" s="3"/>
    </row>
    <row r="54" spans="1:7" ht="12.5" x14ac:dyDescent="0.25">
      <c r="A54" s="1"/>
      <c r="B54" s="1"/>
      <c r="D54" s="2"/>
      <c r="E54" s="2"/>
      <c r="G54" s="3"/>
    </row>
    <row r="55" spans="1:7" ht="12.5" x14ac:dyDescent="0.25">
      <c r="D55" s="1"/>
      <c r="E55" s="3"/>
    </row>
  </sheetData>
  <sortState xmlns:xlrd2="http://schemas.microsoft.com/office/spreadsheetml/2017/richdata2" ref="A21:B25">
    <sortCondition ref="A21:A2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48"/>
  <sheetViews>
    <sheetView zoomScale="75" zoomScaleNormal="75" workbookViewId="0">
      <selection activeCell="D13" sqref="D13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3"/>
    </row>
    <row r="2" spans="1:12" ht="15.75" customHeight="1" x14ac:dyDescent="0.25">
      <c r="A2" s="1" t="s">
        <v>1</v>
      </c>
      <c r="B2" s="1">
        <v>2016</v>
      </c>
      <c r="D2" s="1"/>
      <c r="E2" s="3"/>
    </row>
    <row r="3" spans="1:12" ht="15.75" customHeight="1" x14ac:dyDescent="0.25">
      <c r="A3" s="1" t="s">
        <v>2</v>
      </c>
    </row>
    <row r="4" spans="1:12" ht="15.75" customHeight="1" x14ac:dyDescent="0.25">
      <c r="A4" s="1" t="s">
        <v>14</v>
      </c>
      <c r="B4" s="2">
        <v>105252</v>
      </c>
      <c r="I4" s="1" t="s">
        <v>3</v>
      </c>
      <c r="J4" s="19">
        <v>0.48600000000000004</v>
      </c>
      <c r="K4" s="1"/>
      <c r="L4" s="18"/>
    </row>
    <row r="5" spans="1:12" ht="15.75" customHeight="1" x14ac:dyDescent="0.25">
      <c r="A5" s="1" t="s">
        <v>8</v>
      </c>
      <c r="B5" s="2">
        <v>361983</v>
      </c>
      <c r="D5" s="2"/>
      <c r="E5" s="2"/>
      <c r="I5" s="1" t="s">
        <v>5</v>
      </c>
      <c r="J5" s="19">
        <v>0.13699999999999998</v>
      </c>
      <c r="K5" s="1"/>
      <c r="L5" s="18"/>
    </row>
    <row r="6" spans="1:12" ht="15.75" customHeight="1" x14ac:dyDescent="0.25">
      <c r="A6" s="1" t="s">
        <v>4</v>
      </c>
      <c r="B6" s="2">
        <v>357999</v>
      </c>
      <c r="D6" s="2"/>
      <c r="E6" s="2"/>
      <c r="I6" s="1" t="s">
        <v>7</v>
      </c>
      <c r="J6" s="19">
        <v>1.2E-2</v>
      </c>
      <c r="K6" s="1"/>
      <c r="L6" s="18"/>
    </row>
    <row r="7" spans="1:12" ht="15.75" customHeight="1" x14ac:dyDescent="0.25">
      <c r="A7" s="1" t="s">
        <v>15</v>
      </c>
      <c r="B7" s="2">
        <v>65117</v>
      </c>
      <c r="D7" s="2"/>
      <c r="E7" s="2"/>
      <c r="I7" s="1" t="s">
        <v>9</v>
      </c>
      <c r="J7" s="19">
        <v>0.36399999999999999</v>
      </c>
      <c r="K7" s="1"/>
      <c r="L7" s="18"/>
    </row>
    <row r="8" spans="1:12" ht="15.75" customHeight="1" x14ac:dyDescent="0.25">
      <c r="A8" s="1" t="s">
        <v>10</v>
      </c>
      <c r="B8" s="2">
        <v>276211</v>
      </c>
      <c r="D8" s="2"/>
      <c r="E8" s="2"/>
    </row>
    <row r="9" spans="1:12" ht="15.75" customHeight="1" x14ac:dyDescent="0.25">
      <c r="A9" s="1" t="s">
        <v>19</v>
      </c>
      <c r="B9" s="2">
        <v>26308</v>
      </c>
      <c r="D9" s="2"/>
      <c r="E9" s="2"/>
    </row>
    <row r="10" spans="1:12" ht="15.75" customHeight="1" x14ac:dyDescent="0.25">
      <c r="A10" s="1" t="s">
        <v>18</v>
      </c>
      <c r="B10" s="2">
        <v>24179</v>
      </c>
      <c r="D10" s="2"/>
      <c r="E10" s="2"/>
    </row>
    <row r="11" spans="1:12" ht="15.75" customHeight="1" x14ac:dyDescent="0.25">
      <c r="A11" s="1" t="s">
        <v>12</v>
      </c>
      <c r="B11" s="2">
        <v>19419</v>
      </c>
      <c r="D11" s="2"/>
      <c r="E11" s="2"/>
    </row>
    <row r="12" spans="1:12" ht="15.75" customHeight="1" x14ac:dyDescent="0.25">
      <c r="A12" s="1" t="s">
        <v>11</v>
      </c>
      <c r="B12" s="2">
        <v>231452</v>
      </c>
      <c r="D12" s="2"/>
      <c r="E12" s="2"/>
    </row>
    <row r="13" spans="1:12" ht="15.75" customHeight="1" x14ac:dyDescent="0.25">
      <c r="A13" s="1" t="s">
        <v>6</v>
      </c>
      <c r="B13" s="2">
        <v>297750</v>
      </c>
      <c r="D13" s="2"/>
      <c r="E13" s="2"/>
    </row>
    <row r="14" spans="1:12" ht="15.75" customHeight="1" x14ac:dyDescent="0.25">
      <c r="A14" s="1" t="s">
        <v>13</v>
      </c>
      <c r="B14" s="2">
        <v>103344</v>
      </c>
      <c r="D14" s="2"/>
      <c r="E14" s="2"/>
    </row>
    <row r="15" spans="1:12" ht="15.75" customHeight="1" x14ac:dyDescent="0.25">
      <c r="A15" s="1" t="s">
        <v>21</v>
      </c>
      <c r="B15" s="2">
        <v>3688</v>
      </c>
      <c r="D15" s="2"/>
      <c r="E15" s="2"/>
    </row>
    <row r="16" spans="1:12" ht="15.75" customHeight="1" x14ac:dyDescent="0.25">
      <c r="A16" s="1" t="s">
        <v>20</v>
      </c>
      <c r="B16" s="2">
        <v>26886</v>
      </c>
      <c r="D16" s="1"/>
      <c r="E16" s="3"/>
    </row>
    <row r="17" spans="1:5" ht="15.75" customHeight="1" x14ac:dyDescent="0.25">
      <c r="B17" s="2">
        <v>1899588</v>
      </c>
      <c r="D17" s="2"/>
      <c r="E17" s="2"/>
    </row>
    <row r="18" spans="1:5" ht="15.75" customHeight="1" x14ac:dyDescent="0.25">
      <c r="D18" s="2"/>
      <c r="E18" s="2"/>
    </row>
    <row r="19" spans="1:5" ht="15.75" customHeight="1" x14ac:dyDescent="0.25">
      <c r="A19" s="1"/>
    </row>
    <row r="20" spans="1:5" ht="15.75" customHeight="1" x14ac:dyDescent="0.25">
      <c r="A20" s="1" t="s">
        <v>27</v>
      </c>
      <c r="B20" s="3">
        <v>587</v>
      </c>
    </row>
    <row r="21" spans="1:5" ht="15.75" customHeight="1" x14ac:dyDescent="0.25">
      <c r="A21" s="1" t="s">
        <v>26</v>
      </c>
      <c r="B21" s="3">
        <v>573</v>
      </c>
      <c r="D21" s="2"/>
      <c r="E21" s="2"/>
    </row>
    <row r="22" spans="1:5" ht="12.5" x14ac:dyDescent="0.25">
      <c r="A22" s="1" t="s">
        <v>24</v>
      </c>
      <c r="B22" s="2">
        <v>1315</v>
      </c>
      <c r="D22" s="1"/>
      <c r="E22" s="3"/>
    </row>
    <row r="23" spans="1:5" ht="12.5" x14ac:dyDescent="0.25">
      <c r="A23" s="1" t="s">
        <v>25</v>
      </c>
      <c r="B23" s="2">
        <v>1104</v>
      </c>
      <c r="D23" s="1"/>
      <c r="E23" s="3"/>
    </row>
    <row r="24" spans="1:5" ht="12.5" x14ac:dyDescent="0.25">
      <c r="B24" s="2">
        <v>3579</v>
      </c>
      <c r="D24" s="1"/>
      <c r="E24" s="3"/>
    </row>
    <row r="25" spans="1:5" ht="12.5" x14ac:dyDescent="0.25">
      <c r="D25" s="2"/>
      <c r="E25" s="2"/>
    </row>
    <row r="26" spans="1:5" ht="15.75" customHeight="1" x14ac:dyDescent="0.25">
      <c r="A26" t="s">
        <v>69</v>
      </c>
      <c r="B26" s="2">
        <v>1903167</v>
      </c>
    </row>
    <row r="27" spans="1:5" ht="12.5" x14ac:dyDescent="0.25">
      <c r="A27" s="3"/>
      <c r="D27" s="2"/>
      <c r="E27" s="2"/>
    </row>
    <row r="37" spans="1:7" ht="15.75" customHeight="1" x14ac:dyDescent="0.25">
      <c r="A37" s="1"/>
      <c r="B37" s="1"/>
    </row>
    <row r="38" spans="1:7" ht="12.5" x14ac:dyDescent="0.25">
      <c r="B38" s="1"/>
      <c r="C38" s="1"/>
      <c r="D38" s="1"/>
      <c r="E38" s="3"/>
      <c r="F38" s="1"/>
      <c r="G38" s="1"/>
    </row>
    <row r="39" spans="1:7" ht="12.5" x14ac:dyDescent="0.25">
      <c r="D39" s="1"/>
      <c r="E39" s="3"/>
      <c r="G39" s="1"/>
    </row>
    <row r="40" spans="1:7" ht="15.75" customHeight="1" x14ac:dyDescent="0.25">
      <c r="A40" s="1"/>
      <c r="B40" s="2"/>
    </row>
    <row r="41" spans="1:7" ht="12.5" x14ac:dyDescent="0.25">
      <c r="A41" s="1"/>
      <c r="B41" s="2"/>
      <c r="D41" s="2"/>
      <c r="E41" s="2"/>
      <c r="G41" s="3"/>
    </row>
    <row r="42" spans="1:7" ht="12.5" x14ac:dyDescent="0.25">
      <c r="A42" s="1"/>
      <c r="B42" s="1"/>
      <c r="D42" s="2"/>
      <c r="E42" s="2"/>
      <c r="G42" s="3"/>
    </row>
    <row r="43" spans="1:7" ht="12.5" x14ac:dyDescent="0.25">
      <c r="A43" s="1"/>
      <c r="B43" s="2"/>
      <c r="D43" s="1"/>
      <c r="E43" s="3"/>
      <c r="G43" s="3"/>
    </row>
    <row r="44" spans="1:7" ht="12.5" x14ac:dyDescent="0.25">
      <c r="A44" s="1"/>
      <c r="B44" s="2"/>
      <c r="D44" s="2"/>
      <c r="E44" s="2"/>
      <c r="G44" s="3"/>
    </row>
    <row r="45" spans="1:7" ht="12.5" x14ac:dyDescent="0.25">
      <c r="A45" s="1"/>
      <c r="B45" s="2"/>
      <c r="D45" s="2"/>
      <c r="E45" s="2"/>
      <c r="G45" s="3"/>
    </row>
    <row r="46" spans="1:7" ht="12.5" x14ac:dyDescent="0.25">
      <c r="A46" s="1"/>
      <c r="B46" s="2"/>
      <c r="D46" s="2"/>
      <c r="E46" s="2"/>
      <c r="G46" s="3"/>
    </row>
    <row r="47" spans="1:7" ht="12.5" x14ac:dyDescent="0.25">
      <c r="A47" s="1"/>
      <c r="B47" s="1"/>
      <c r="D47" s="2"/>
      <c r="E47" s="2"/>
      <c r="G47" s="1"/>
    </row>
    <row r="48" spans="1:7" ht="12.5" x14ac:dyDescent="0.25">
      <c r="D48" s="1"/>
      <c r="E48" s="3"/>
    </row>
  </sheetData>
  <sortState xmlns:xlrd2="http://schemas.microsoft.com/office/spreadsheetml/2017/richdata2" ref="A4:B16">
    <sortCondition ref="A4:A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47"/>
  <sheetViews>
    <sheetView zoomScale="75" zoomScaleNormal="75" workbookViewId="0">
      <selection activeCell="D13" sqref="D13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B2" s="1">
        <v>2015</v>
      </c>
      <c r="D2" s="1"/>
      <c r="E2" s="3"/>
    </row>
    <row r="3" spans="1:12" ht="15.75" customHeight="1" x14ac:dyDescent="0.25">
      <c r="A3" s="1" t="s">
        <v>2</v>
      </c>
    </row>
    <row r="4" spans="1:12" ht="15.75" customHeight="1" x14ac:dyDescent="0.25">
      <c r="A4" s="1" t="s">
        <v>14</v>
      </c>
      <c r="B4" s="2">
        <v>116250</v>
      </c>
      <c r="I4" s="1" t="s">
        <v>3</v>
      </c>
      <c r="J4" s="19">
        <v>0.47500000000000003</v>
      </c>
      <c r="K4" s="1"/>
      <c r="L4" s="18"/>
    </row>
    <row r="5" spans="1:12" ht="15.75" customHeight="1" x14ac:dyDescent="0.25">
      <c r="A5" s="1" t="s">
        <v>8</v>
      </c>
      <c r="B5" s="2">
        <v>370144</v>
      </c>
      <c r="D5" s="2"/>
      <c r="E5" s="2"/>
      <c r="I5" s="1" t="s">
        <v>5</v>
      </c>
      <c r="J5" s="19">
        <v>0.13500000000000001</v>
      </c>
      <c r="K5" s="1"/>
      <c r="L5" s="18"/>
    </row>
    <row r="6" spans="1:12" ht="15.75" customHeight="1" x14ac:dyDescent="0.25">
      <c r="A6" s="1" t="s">
        <v>4</v>
      </c>
      <c r="B6" s="2">
        <v>318788</v>
      </c>
      <c r="D6" s="2"/>
      <c r="E6" s="2"/>
      <c r="I6" s="1" t="s">
        <v>7</v>
      </c>
      <c r="J6" s="19">
        <v>1.4999999999999999E-2</v>
      </c>
      <c r="K6" s="1"/>
      <c r="L6" s="18"/>
    </row>
    <row r="7" spans="1:12" ht="15.75" customHeight="1" x14ac:dyDescent="0.25">
      <c r="A7" s="1" t="s">
        <v>15</v>
      </c>
      <c r="B7" s="2">
        <v>79133</v>
      </c>
      <c r="D7" s="2"/>
      <c r="E7" s="2"/>
      <c r="I7" s="1" t="s">
        <v>9</v>
      </c>
      <c r="J7" s="19">
        <v>0.375</v>
      </c>
      <c r="K7" s="1"/>
      <c r="L7" s="18"/>
    </row>
    <row r="8" spans="1:12" ht="15.75" customHeight="1" x14ac:dyDescent="0.25">
      <c r="A8" s="1" t="s">
        <v>10</v>
      </c>
      <c r="B8" s="2">
        <v>293960</v>
      </c>
      <c r="D8" s="2"/>
      <c r="E8" s="2"/>
    </row>
    <row r="9" spans="1:12" ht="15.75" customHeight="1" x14ac:dyDescent="0.25">
      <c r="A9" s="1" t="s">
        <v>19</v>
      </c>
      <c r="B9" s="2">
        <v>29158</v>
      </c>
      <c r="D9" s="2"/>
      <c r="E9" s="2"/>
    </row>
    <row r="10" spans="1:12" ht="15.75" customHeight="1" x14ac:dyDescent="0.25">
      <c r="A10" s="1" t="s">
        <v>18</v>
      </c>
      <c r="B10" s="2">
        <v>27065</v>
      </c>
      <c r="D10" s="2"/>
      <c r="E10" s="2"/>
    </row>
    <row r="11" spans="1:12" ht="15.75" customHeight="1" x14ac:dyDescent="0.25">
      <c r="A11" s="1" t="s">
        <v>12</v>
      </c>
      <c r="B11" s="3">
        <v>67</v>
      </c>
      <c r="D11" s="2"/>
      <c r="E11" s="2"/>
    </row>
    <row r="12" spans="1:12" ht="15.75" customHeight="1" x14ac:dyDescent="0.25">
      <c r="A12" s="1" t="s">
        <v>11</v>
      </c>
      <c r="B12" s="2">
        <v>205445</v>
      </c>
      <c r="D12" s="2"/>
      <c r="E12" s="2"/>
    </row>
    <row r="13" spans="1:12" ht="15.75" customHeight="1" x14ac:dyDescent="0.25">
      <c r="A13" s="1" t="s">
        <v>6</v>
      </c>
      <c r="B13" s="2">
        <v>267861</v>
      </c>
      <c r="D13" s="2"/>
      <c r="E13" s="2"/>
    </row>
    <row r="14" spans="1:12" ht="15.75" customHeight="1" x14ac:dyDescent="0.25">
      <c r="A14" s="1" t="s">
        <v>13</v>
      </c>
      <c r="B14" s="2">
        <v>82340</v>
      </c>
      <c r="D14" s="2"/>
      <c r="E14" s="2"/>
    </row>
    <row r="15" spans="1:12" ht="15.75" customHeight="1" x14ac:dyDescent="0.25">
      <c r="A15" s="1" t="s">
        <v>21</v>
      </c>
      <c r="B15" s="2">
        <v>2074</v>
      </c>
      <c r="D15" s="2"/>
      <c r="E15" s="2"/>
    </row>
    <row r="16" spans="1:12" ht="15.75" customHeight="1" x14ac:dyDescent="0.25">
      <c r="A16" s="1" t="s">
        <v>20</v>
      </c>
      <c r="B16" s="2">
        <v>35510</v>
      </c>
      <c r="D16" s="2"/>
      <c r="E16" s="2"/>
    </row>
    <row r="17" spans="1:5" ht="15.75" customHeight="1" x14ac:dyDescent="0.25">
      <c r="B17" s="2">
        <v>1827795</v>
      </c>
      <c r="D17" s="1"/>
      <c r="E17" s="3"/>
    </row>
    <row r="18" spans="1:5" ht="15.75" customHeight="1" x14ac:dyDescent="0.25">
      <c r="D18" s="2"/>
      <c r="E18" s="2"/>
    </row>
    <row r="19" spans="1:5" ht="15.75" customHeight="1" x14ac:dyDescent="0.25">
      <c r="A19" s="1"/>
    </row>
    <row r="20" spans="1:5" ht="15.75" customHeight="1" x14ac:dyDescent="0.25">
      <c r="A20" s="1" t="s">
        <v>27</v>
      </c>
      <c r="B20" s="3">
        <v>666</v>
      </c>
    </row>
    <row r="21" spans="1:5" ht="15.75" customHeight="1" x14ac:dyDescent="0.25">
      <c r="A21" s="1" t="s">
        <v>26</v>
      </c>
      <c r="B21" s="1">
        <v>413</v>
      </c>
      <c r="D21" s="2"/>
      <c r="E21" s="2"/>
    </row>
    <row r="22" spans="1:5" ht="12.5" x14ac:dyDescent="0.25">
      <c r="A22" s="1" t="s">
        <v>24</v>
      </c>
      <c r="B22" s="2">
        <v>2559</v>
      </c>
      <c r="D22" s="1"/>
      <c r="E22" s="3"/>
    </row>
    <row r="23" spans="1:5" ht="12.5" x14ac:dyDescent="0.25">
      <c r="A23" s="1" t="s">
        <v>57</v>
      </c>
      <c r="B23" s="1">
        <v>69</v>
      </c>
      <c r="D23" s="1"/>
      <c r="E23" s="3"/>
    </row>
    <row r="24" spans="1:5" ht="12.5" x14ac:dyDescent="0.25">
      <c r="B24" s="2">
        <v>3707</v>
      </c>
      <c r="D24" s="1"/>
      <c r="E24" s="3"/>
    </row>
    <row r="25" spans="1:5" ht="12.5" x14ac:dyDescent="0.25">
      <c r="D25" s="2"/>
      <c r="E25" s="2"/>
    </row>
    <row r="26" spans="1:5" ht="15.75" customHeight="1" x14ac:dyDescent="0.25">
      <c r="A26" s="1" t="s">
        <v>69</v>
      </c>
      <c r="B26" s="2">
        <v>1831502</v>
      </c>
    </row>
    <row r="27" spans="1:5" ht="12.5" x14ac:dyDescent="0.25">
      <c r="A27" s="3"/>
      <c r="D27" s="2"/>
      <c r="E27" s="2"/>
    </row>
    <row r="36" spans="1:7" ht="15.75" customHeight="1" x14ac:dyDescent="0.25">
      <c r="A36" s="1"/>
    </row>
    <row r="37" spans="1:7" ht="12.5" x14ac:dyDescent="0.25">
      <c r="B37" s="1"/>
    </row>
    <row r="38" spans="1:7" ht="12.5" x14ac:dyDescent="0.25">
      <c r="D38" s="1"/>
      <c r="E38" s="3"/>
      <c r="G38" s="1"/>
    </row>
    <row r="39" spans="1:7" ht="15.75" customHeight="1" x14ac:dyDescent="0.25">
      <c r="A39" s="1"/>
      <c r="B39" s="2"/>
    </row>
    <row r="40" spans="1:7" ht="12.5" x14ac:dyDescent="0.25">
      <c r="A40" s="1"/>
      <c r="B40" s="2"/>
      <c r="D40" s="2"/>
      <c r="E40" s="2"/>
      <c r="G40" s="3"/>
    </row>
    <row r="41" spans="1:7" ht="12.5" x14ac:dyDescent="0.25">
      <c r="A41" s="1"/>
      <c r="B41" s="1"/>
      <c r="D41" s="2"/>
      <c r="E41" s="2"/>
      <c r="G41" s="3"/>
    </row>
    <row r="42" spans="1:7" ht="12.5" x14ac:dyDescent="0.25">
      <c r="A42" s="1"/>
      <c r="B42" s="2"/>
      <c r="D42" s="1"/>
      <c r="E42" s="3"/>
      <c r="G42" s="3"/>
    </row>
    <row r="43" spans="1:7" ht="12.5" x14ac:dyDescent="0.25">
      <c r="A43" s="1"/>
      <c r="B43" s="2"/>
      <c r="D43" s="2"/>
      <c r="E43" s="2"/>
      <c r="G43" s="3"/>
    </row>
    <row r="44" spans="1:7" ht="12.5" x14ac:dyDescent="0.25">
      <c r="A44" s="1"/>
      <c r="B44" s="2"/>
      <c r="D44" s="2"/>
      <c r="E44" s="2"/>
      <c r="G44" s="3"/>
    </row>
    <row r="45" spans="1:7" ht="12.5" x14ac:dyDescent="0.25">
      <c r="A45" s="1"/>
      <c r="B45" s="2"/>
      <c r="D45" s="2"/>
      <c r="E45" s="2"/>
      <c r="G45" s="3"/>
    </row>
    <row r="46" spans="1:7" ht="12.5" x14ac:dyDescent="0.25">
      <c r="A46" s="1"/>
      <c r="B46" s="1"/>
      <c r="D46" s="2"/>
      <c r="E46" s="2"/>
      <c r="G46" s="1"/>
    </row>
    <row r="47" spans="1:7" ht="12.5" x14ac:dyDescent="0.25">
      <c r="D47" s="1"/>
      <c r="E47" s="3"/>
    </row>
  </sheetData>
  <sortState xmlns:xlrd2="http://schemas.microsoft.com/office/spreadsheetml/2017/richdata2" ref="A20:B23">
    <sortCondition ref="A20:A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ALL - Audi</vt:lpstr>
      <vt:lpstr>Consol Brands (2)</vt:lpstr>
      <vt:lpstr>Consol Brands (raw)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2020 (2)</vt:lpstr>
      <vt:lpstr>2019 (2)</vt:lpstr>
      <vt:lpstr>2018 (2)</vt:lpstr>
      <vt:lpstr>2017 (2)</vt:lpstr>
      <vt:lpstr>2016 (2)</vt:lpstr>
      <vt:lpstr>2015 (2)</vt:lpstr>
      <vt:lpstr>2014 (2)</vt:lpstr>
      <vt:lpstr>2013 (2)</vt:lpstr>
      <vt:lpstr>2012 (2)</vt:lpstr>
      <vt:lpstr>2011 (2)</vt:lpstr>
      <vt:lpstr>OLD ALL - Audi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</cp:lastModifiedBy>
  <dcterms:modified xsi:type="dcterms:W3CDTF">2021-04-30T16:07:20Z</dcterms:modified>
</cp:coreProperties>
</file>