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AA00DC03-72C2-4080-AC47-93ED134A5D0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SEAT" sheetId="2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20 (2)" sheetId="11" r:id="rId12"/>
    <sheet name="2019 (2)" sheetId="12" r:id="rId13"/>
    <sheet name="2018 (2)" sheetId="13" r:id="rId14"/>
    <sheet name="2017 (2)" sheetId="14" r:id="rId15"/>
    <sheet name="2016 (2)" sheetId="15" r:id="rId16"/>
    <sheet name="2015 (2)" sheetId="16" r:id="rId17"/>
    <sheet name="2014 (2)" sheetId="17" r:id="rId18"/>
    <sheet name="2013 (2)" sheetId="18" r:id="rId19"/>
    <sheet name="2012 (2)" sheetId="19" r:id="rId20"/>
    <sheet name="2011 (2)" sheetId="20" r:id="rId21"/>
    <sheet name="Sheet11" sheetId="32" r:id="rId22"/>
    <sheet name="2020 (3)" sheetId="22" r:id="rId23"/>
    <sheet name="2019 (3)" sheetId="23" r:id="rId24"/>
    <sheet name="2018 (3)" sheetId="24" r:id="rId25"/>
    <sheet name="2017 (3)" sheetId="25" r:id="rId26"/>
    <sheet name="2016 (3)" sheetId="26" r:id="rId27"/>
    <sheet name="2015 (3)" sheetId="27" r:id="rId28"/>
    <sheet name="2014 (3)" sheetId="28" r:id="rId29"/>
    <sheet name="2013 (3)" sheetId="29" r:id="rId30"/>
    <sheet name="2012 (3)" sheetId="30" r:id="rId31"/>
    <sheet name="2011 (3)" sheetId="31" r:id="rId3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21" l="1"/>
  <c r="K67" i="21"/>
  <c r="J67" i="21"/>
  <c r="I67" i="21"/>
  <c r="H67" i="21"/>
  <c r="G67" i="21"/>
  <c r="F67" i="21"/>
  <c r="E67" i="21"/>
  <c r="D67" i="21"/>
  <c r="C67" i="21"/>
  <c r="L65" i="21"/>
  <c r="K65" i="21"/>
  <c r="J65" i="21"/>
  <c r="I65" i="21"/>
  <c r="H65" i="21"/>
  <c r="G65" i="21"/>
  <c r="F65" i="21"/>
  <c r="E65" i="21"/>
  <c r="D65" i="21"/>
  <c r="C65" i="21"/>
  <c r="L63" i="21"/>
  <c r="K63" i="21"/>
  <c r="J63" i="21"/>
  <c r="I63" i="21"/>
  <c r="H63" i="21"/>
  <c r="G63" i="21"/>
  <c r="F63" i="21"/>
  <c r="E63" i="21"/>
  <c r="D63" i="21"/>
  <c r="C63" i="21"/>
  <c r="L61" i="21"/>
  <c r="K61" i="21"/>
  <c r="J61" i="21"/>
  <c r="I61" i="21"/>
  <c r="H61" i="21"/>
  <c r="G61" i="21"/>
  <c r="F61" i="21"/>
  <c r="E61" i="21"/>
  <c r="D61" i="21"/>
  <c r="C61" i="21"/>
  <c r="L59" i="21"/>
  <c r="K59" i="21"/>
  <c r="J59" i="21"/>
  <c r="I59" i="21"/>
  <c r="H59" i="21"/>
  <c r="G59" i="21"/>
  <c r="F59" i="21"/>
  <c r="E59" i="21"/>
  <c r="D59" i="21"/>
  <c r="C59" i="21"/>
  <c r="L57" i="21"/>
  <c r="K57" i="21"/>
  <c r="J57" i="21"/>
  <c r="I57" i="21"/>
  <c r="H57" i="21"/>
  <c r="G57" i="21"/>
  <c r="F57" i="21"/>
  <c r="E57" i="21"/>
  <c r="D57" i="21"/>
  <c r="C57" i="21"/>
  <c r="L55" i="21"/>
  <c r="K55" i="21"/>
  <c r="J55" i="21"/>
  <c r="I55" i="21"/>
  <c r="H55" i="21"/>
  <c r="G55" i="21"/>
  <c r="F55" i="21"/>
  <c r="E55" i="21"/>
  <c r="D55" i="21"/>
  <c r="C55" i="21"/>
  <c r="L53" i="21"/>
  <c r="K53" i="21"/>
  <c r="J53" i="21"/>
  <c r="I53" i="21"/>
  <c r="H53" i="21"/>
  <c r="G53" i="21"/>
  <c r="F53" i="21"/>
  <c r="E53" i="21"/>
  <c r="D53" i="21"/>
  <c r="C53" i="21"/>
  <c r="L51" i="21"/>
  <c r="K51" i="21"/>
  <c r="J51" i="21"/>
  <c r="I51" i="21"/>
  <c r="H51" i="21"/>
  <c r="G51" i="21"/>
  <c r="F51" i="21"/>
  <c r="E51" i="21"/>
  <c r="D51" i="21"/>
  <c r="C51" i="21"/>
  <c r="L49" i="21"/>
  <c r="K49" i="21"/>
  <c r="J49" i="21"/>
  <c r="I49" i="21"/>
  <c r="H49" i="21"/>
  <c r="G49" i="21"/>
  <c r="F49" i="21"/>
  <c r="E49" i="21"/>
  <c r="D49" i="21"/>
  <c r="C49" i="21"/>
  <c r="L47" i="21"/>
  <c r="K47" i="21"/>
  <c r="J47" i="21"/>
  <c r="I47" i="21"/>
  <c r="H47" i="21"/>
  <c r="G47" i="21"/>
  <c r="F47" i="21"/>
  <c r="E47" i="21"/>
  <c r="D47" i="21"/>
  <c r="C47" i="21"/>
  <c r="L45" i="21"/>
  <c r="D45" i="21"/>
  <c r="E45" i="21"/>
  <c r="F45" i="21"/>
  <c r="G45" i="21"/>
  <c r="H45" i="21"/>
  <c r="I45" i="21"/>
  <c r="J45" i="21"/>
  <c r="K45" i="21"/>
  <c r="C45" i="21"/>
  <c r="M14" i="21" l="1"/>
  <c r="N14" i="21" s="1"/>
  <c r="O14" i="21" s="1"/>
  <c r="P14" i="21" s="1"/>
  <c r="Q14" i="21" s="1"/>
  <c r="R14" i="21" s="1"/>
  <c r="S14" i="21" s="1"/>
  <c r="T14" i="21" s="1"/>
  <c r="U14" i="21" s="1"/>
  <c r="V14" i="21" s="1"/>
  <c r="M12" i="21"/>
  <c r="N12" i="21" s="1"/>
  <c r="O12" i="21" s="1"/>
  <c r="P12" i="21" s="1"/>
  <c r="Q12" i="21" s="1"/>
  <c r="R12" i="21" s="1"/>
  <c r="S12" i="21" s="1"/>
  <c r="T12" i="21" s="1"/>
  <c r="U12" i="21" s="1"/>
  <c r="V12" i="21" s="1"/>
  <c r="N10" i="21"/>
  <c r="O10" i="21" s="1"/>
  <c r="P10" i="21" s="1"/>
  <c r="Q10" i="21" s="1"/>
  <c r="R10" i="21" s="1"/>
  <c r="S10" i="21" s="1"/>
  <c r="T10" i="21" s="1"/>
  <c r="U10" i="21" s="1"/>
  <c r="V10" i="21" s="1"/>
  <c r="M10" i="21"/>
  <c r="M8" i="21"/>
  <c r="N8" i="21" s="1"/>
  <c r="E10" i="21"/>
  <c r="J10" i="21"/>
  <c r="E14" i="21"/>
  <c r="J14" i="21"/>
  <c r="C16" i="21"/>
  <c r="D16" i="21"/>
  <c r="E16" i="21"/>
  <c r="E8" i="21" s="1"/>
  <c r="F16" i="21"/>
  <c r="F8" i="21" s="1"/>
  <c r="F9" i="21" s="1"/>
  <c r="G16" i="21"/>
  <c r="G10" i="21" s="1"/>
  <c r="H16" i="21"/>
  <c r="H10" i="21" s="1"/>
  <c r="H11" i="21" s="1"/>
  <c r="I16" i="21"/>
  <c r="J17" i="21" s="1"/>
  <c r="J16" i="21"/>
  <c r="J8" i="21" s="1"/>
  <c r="K16" i="21"/>
  <c r="K8" i="21" s="1"/>
  <c r="K9" i="21" s="1"/>
  <c r="L16" i="21"/>
  <c r="L8" i="21" s="1"/>
  <c r="L9" i="21" s="1"/>
  <c r="C17" i="21"/>
  <c r="D17" i="21"/>
  <c r="G17" i="21"/>
  <c r="K17" i="21"/>
  <c r="L17" i="21"/>
  <c r="C21" i="21"/>
  <c r="D21" i="21"/>
  <c r="E21" i="21"/>
  <c r="F21" i="21"/>
  <c r="G21" i="21"/>
  <c r="H21" i="21"/>
  <c r="I21" i="21"/>
  <c r="J21" i="21"/>
  <c r="K21" i="21"/>
  <c r="L21" i="21"/>
  <c r="C22" i="21"/>
  <c r="D22" i="21"/>
  <c r="E22" i="21"/>
  <c r="F22" i="21"/>
  <c r="G22" i="21"/>
  <c r="H22" i="21"/>
  <c r="I22" i="21"/>
  <c r="J22" i="21"/>
  <c r="K22" i="21"/>
  <c r="L22" i="21"/>
  <c r="C23" i="21"/>
  <c r="D23" i="21"/>
  <c r="E23" i="21"/>
  <c r="F23" i="21"/>
  <c r="G23" i="21"/>
  <c r="H23" i="21"/>
  <c r="I23" i="21"/>
  <c r="J23" i="21"/>
  <c r="K23" i="21"/>
  <c r="L23" i="21"/>
  <c r="C24" i="21"/>
  <c r="D24" i="21"/>
  <c r="D14" i="21" s="1"/>
  <c r="E24" i="21"/>
  <c r="F24" i="21"/>
  <c r="G24" i="21"/>
  <c r="H24" i="21"/>
  <c r="I24" i="21"/>
  <c r="J24" i="21"/>
  <c r="K24" i="21"/>
  <c r="L24" i="21"/>
  <c r="C8" i="21" l="1"/>
  <c r="C9" i="21" s="1"/>
  <c r="D8" i="21"/>
  <c r="E15" i="21"/>
  <c r="O8" i="21"/>
  <c r="N16" i="21"/>
  <c r="M16" i="21"/>
  <c r="M17" i="21" s="1"/>
  <c r="J9" i="21"/>
  <c r="F12" i="21"/>
  <c r="I17" i="21"/>
  <c r="H17" i="21"/>
  <c r="F14" i="21"/>
  <c r="F15" i="21" s="1"/>
  <c r="J12" i="21"/>
  <c r="J13" i="21" s="1"/>
  <c r="F10" i="21"/>
  <c r="F11" i="21" s="1"/>
  <c r="I8" i="21"/>
  <c r="F17" i="21"/>
  <c r="H12" i="21"/>
  <c r="L10" i="21"/>
  <c r="D10" i="21"/>
  <c r="E11" i="21" s="1"/>
  <c r="H8" i="21"/>
  <c r="H9" i="21" s="1"/>
  <c r="L14" i="21"/>
  <c r="L15" i="21" s="1"/>
  <c r="E17" i="21"/>
  <c r="K14" i="21"/>
  <c r="K15" i="21" s="1"/>
  <c r="C14" i="21"/>
  <c r="C15" i="21" s="1"/>
  <c r="G12" i="21"/>
  <c r="G13" i="21" s="1"/>
  <c r="K10" i="21"/>
  <c r="K11" i="21" s="1"/>
  <c r="C10" i="21"/>
  <c r="C11" i="21" s="1"/>
  <c r="G8" i="21"/>
  <c r="G9" i="21" s="1"/>
  <c r="I14" i="21"/>
  <c r="I15" i="21" s="1"/>
  <c r="E12" i="21"/>
  <c r="I10" i="21"/>
  <c r="I11" i="21" s="1"/>
  <c r="H14" i="21"/>
  <c r="L12" i="21"/>
  <c r="D12" i="21"/>
  <c r="I12" i="21"/>
  <c r="I13" i="21" s="1"/>
  <c r="G14" i="21"/>
  <c r="G15" i="21" s="1"/>
  <c r="K12" i="21"/>
  <c r="K13" i="21" s="1"/>
  <c r="C12" i="21"/>
  <c r="C13" i="21" s="1"/>
  <c r="G38" i="21"/>
  <c r="F38" i="21"/>
  <c r="G36" i="21"/>
  <c r="F36" i="21"/>
  <c r="G34" i="21"/>
  <c r="F34" i="21"/>
  <c r="G32" i="21"/>
  <c r="F32" i="21"/>
  <c r="L30" i="21"/>
  <c r="K30" i="21"/>
  <c r="F30" i="21"/>
  <c r="E30" i="21"/>
  <c r="D30" i="21"/>
  <c r="C30" i="21"/>
  <c r="L29" i="21"/>
  <c r="K29" i="21"/>
  <c r="J29" i="21"/>
  <c r="J30" i="21" s="1"/>
  <c r="I29" i="21"/>
  <c r="I30" i="21" s="1"/>
  <c r="H29" i="21"/>
  <c r="H30" i="21" s="1"/>
  <c r="G29" i="21"/>
  <c r="G30" i="21" s="1"/>
  <c r="F29" i="21"/>
  <c r="E29" i="21"/>
  <c r="L25" i="21"/>
  <c r="K25" i="21"/>
  <c r="J25" i="21"/>
  <c r="I25" i="21"/>
  <c r="H25" i="21"/>
  <c r="G25" i="21"/>
  <c r="F25" i="21"/>
  <c r="E25" i="21"/>
  <c r="G8" i="20"/>
  <c r="G7" i="20"/>
  <c r="G6" i="20"/>
  <c r="G5" i="20"/>
  <c r="G4" i="20"/>
  <c r="G8" i="19"/>
  <c r="G7" i="19"/>
  <c r="G5" i="19"/>
  <c r="G8" i="18"/>
  <c r="G7" i="18"/>
  <c r="G6" i="18"/>
  <c r="G5" i="18"/>
  <c r="G4" i="18"/>
  <c r="G8" i="17"/>
  <c r="G7" i="17"/>
  <c r="G6" i="17"/>
  <c r="G5" i="17"/>
  <c r="G4" i="17"/>
  <c r="G8" i="16"/>
  <c r="G7" i="16"/>
  <c r="G6" i="16"/>
  <c r="G5" i="16"/>
  <c r="G4" i="16"/>
  <c r="G7" i="15"/>
  <c r="G6" i="15"/>
  <c r="G5" i="15"/>
  <c r="G4" i="15"/>
  <c r="G8" i="14"/>
  <c r="G7" i="14"/>
  <c r="G6" i="14"/>
  <c r="G5" i="14"/>
  <c r="G4" i="14"/>
  <c r="G8" i="13"/>
  <c r="G7" i="13"/>
  <c r="G6" i="13"/>
  <c r="G5" i="13"/>
  <c r="G4" i="13"/>
  <c r="G8" i="12"/>
  <c r="G7" i="12"/>
  <c r="G6" i="12"/>
  <c r="G5" i="12"/>
  <c r="G4" i="12"/>
  <c r="D15" i="21" l="1"/>
  <c r="D13" i="21"/>
  <c r="D9" i="21"/>
  <c r="E9" i="21"/>
  <c r="N17" i="21"/>
  <c r="O16" i="21"/>
  <c r="O17" i="21" s="1"/>
  <c r="P8" i="21"/>
  <c r="L11" i="21"/>
  <c r="L13" i="21"/>
  <c r="H13" i="21"/>
  <c r="F13" i="21"/>
  <c r="J11" i="21"/>
  <c r="H15" i="21"/>
  <c r="I9" i="21"/>
  <c r="G11" i="21"/>
  <c r="E13" i="21"/>
  <c r="D11" i="21"/>
  <c r="J15" i="21"/>
  <c r="P16" i="21" l="1"/>
  <c r="P17" i="21" s="1"/>
  <c r="Q8" i="21"/>
  <c r="R8" i="21" l="1"/>
  <c r="Q16" i="21"/>
  <c r="Q17" i="21" s="1"/>
  <c r="S8" i="21" l="1"/>
  <c r="R16" i="21"/>
  <c r="R17" i="21" s="1"/>
  <c r="T8" i="21" l="1"/>
  <c r="S16" i="21"/>
  <c r="S17" i="21" s="1"/>
  <c r="U8" i="21" l="1"/>
  <c r="T16" i="21"/>
  <c r="T17" i="21" s="1"/>
  <c r="V8" i="21" l="1"/>
  <c r="V16" i="21" s="1"/>
  <c r="U16" i="21"/>
  <c r="U17" i="21" s="1"/>
  <c r="V17" i="21" l="1"/>
</calcChain>
</file>

<file path=xl/sharedStrings.xml><?xml version="1.0" encoding="utf-8"?>
<sst xmlns="http://schemas.openxmlformats.org/spreadsheetml/2006/main" count="404" uniqueCount="67">
  <si>
    <t>PRODUCTION</t>
  </si>
  <si>
    <t>Units</t>
  </si>
  <si>
    <t>Leon</t>
  </si>
  <si>
    <t>Europe/Other markets</t>
  </si>
  <si>
    <t>Arona</t>
  </si>
  <si>
    <t>North America</t>
  </si>
  <si>
    <t>Ateca</t>
  </si>
  <si>
    <t>South America</t>
  </si>
  <si>
    <t>Ibiza</t>
  </si>
  <si>
    <t>Asia-Pacific</t>
  </si>
  <si>
    <t>Tarraco</t>
  </si>
  <si>
    <t>Alhambra</t>
  </si>
  <si>
    <t>CUPRA Formentor</t>
  </si>
  <si>
    <t>–</t>
  </si>
  <si>
    <t>Mii</t>
  </si>
  <si>
    <t>Toledo</t>
  </si>
  <si>
    <t>SEAT</t>
  </si>
  <si>
    <t>%</t>
  </si>
  <si>
    <t>Deliveries (thousand units)</t>
  </si>
  <si>
    <t>−25.6</t>
  </si>
  <si>
    <t>Vehicle sales</t>
  </si>
  <si>
    <t>−27.5</t>
  </si>
  <si>
    <t>Production</t>
  </si>
  <si>
    <t>−31.3</t>
  </si>
  <si>
    <t>Sales revenue (€ million)</t>
  </si>
  <si>
    <t>−20.0</t>
  </si>
  <si>
    <t>Operating result</t>
  </si>
  <si>
    <t>−339</t>
  </si>
  <si>
    <t>x</t>
  </si>
  <si>
    <t>Operating return on sales (%)</t>
  </si>
  <si>
    <t>−3.7</t>
  </si>
  <si>
    <t>SEAT BRAND</t>
  </si>
  <si>
    <t>as % of sales revenue</t>
  </si>
  <si>
    <t>Altea/Toledo</t>
  </si>
  <si>
    <t>−10</t>
  </si>
  <si>
    <t>−0.1</t>
  </si>
  <si>
    <t>−127</t>
  </si>
  <si>
    <t>−1.6</t>
  </si>
  <si>
    <t>Exeo</t>
  </si>
  <si>
    <t>−152</t>
  </si>
  <si>
    <t>−2.2</t>
  </si>
  <si>
    <t>–152</t>
  </si>
  <si>
    <t>–156</t>
  </si>
  <si>
    <t>–2.2</t>
  </si>
  <si>
    <t>–2.4</t>
  </si>
  <si>
    <t>–8.3</t>
  </si>
  <si>
    <t>–9.0</t>
  </si>
  <si>
    <t>–225</t>
  </si>
  <si>
    <t>–4.2</t>
  </si>
  <si>
    <t>–311</t>
  </si>
  <si>
    <t>–6.2</t>
  </si>
  <si>
    <t>Total</t>
  </si>
  <si>
    <t>Historical</t>
  </si>
  <si>
    <t>Forecast Period</t>
  </si>
  <si>
    <t>Skoda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</si>
  <si>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</si>
  <si>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</si>
  <si>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</si>
  <si>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</si>
  <si>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</si>
  <si>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</si>
  <si>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Octavia</t>
  </si>
  <si>
    <t>Rapid</t>
  </si>
  <si>
    <t>Fabia</t>
  </si>
  <si>
    <t>Yeti</t>
  </si>
  <si>
    <t>Superb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</si>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</sst>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.00\);_(* &quot;-&quot;??_);_(@_)"/>
    <numFmt numFmtId="165" formatCode="0.0%"/>
  </numFmts>
  <fonts count="11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0" fillId="0" borderId="1" xfId="0" applyBorder="1"/>
    <xf numFmtId="164" fontId="0" fillId="2" borderId="0" xfId="0" applyNumberFormat="1" applyFill="1"/>
    <xf numFmtId="165" fontId="0" fillId="0" borderId="0" xfId="1" applyNumberFormat="1" applyFont="1"/>
    <xf numFmtId="43" fontId="0" fillId="2" borderId="0" xfId="0" applyNumberFormat="1" applyFill="1"/>
    <xf numFmtId="0" fontId="0" fillId="2" borderId="0" xfId="0" applyFill="1"/>
    <xf numFmtId="165" fontId="0" fillId="0" borderId="0" xfId="0" applyNumberFormat="1"/>
    <xf numFmtId="9" fontId="7" fillId="0" borderId="0" xfId="0" applyNumberFormat="1" applyFont="1"/>
    <xf numFmtId="165" fontId="0" fillId="0" borderId="0" xfId="1" applyNumberFormat="1" applyFont="1" applyAlignment="1"/>
    <xf numFmtId="165" fontId="1" fillId="0" borderId="0" xfId="0" applyNumberFormat="1" applyFo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8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 applyFill="1"/>
    <xf numFmtId="164" fontId="0" fillId="0" borderId="0" xfId="0" applyNumberFormat="1" applyFill="1"/>
    <xf numFmtId="0" fontId="0" fillId="0" borderId="0" xfId="1" applyNumberFormat="1" applyFont="1" applyFill="1"/>
    <xf numFmtId="165" fontId="0" fillId="0" borderId="0" xfId="1" applyNumberFormat="1" applyFont="1" applyFill="1"/>
    <xf numFmtId="0" fontId="0" fillId="0" borderId="0" xfId="0" applyFill="1"/>
    <xf numFmtId="165" fontId="9" fillId="0" borderId="0" xfId="0" applyNumberFormat="1" applyFont="1" applyFill="1"/>
    <xf numFmtId="165" fontId="10" fillId="0" borderId="0" xfId="1" applyNumberFormat="1" applyFont="1" applyFill="1"/>
    <xf numFmtId="0" fontId="4" fillId="0" borderId="0" xfId="0" applyFont="1" applyAlignment="1">
      <alignment horizontal="center"/>
    </xf>
    <xf numFmtId="3" fontId="0" fillId="0" borderId="0" xfId="0" applyNumberFormat="1" applyFont="1" applyAlignment="1"/>
    <xf numFmtId="16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B234E-B508-4804-8E2B-4BEE81C0FFE2}">
  <dimension ref="B2:Y67"/>
  <sheetViews>
    <sheetView tabSelected="1" topLeftCell="A44" workbookViewId="0">
      <selection activeCell="B67" sqref="B67"/>
    </sheetView>
  </sheetViews>
  <sheetFormatPr defaultRowHeight="12.5" x14ac:dyDescent="0.25"/>
  <cols>
    <col min="1" max="1" width="8.7265625" style="5"/>
    <col min="2" max="2" width="23.7265625" style="17" bestFit="1" customWidth="1"/>
    <col min="3" max="3" width="8.6328125" style="5" bestFit="1" customWidth="1"/>
    <col min="4" max="4" width="12.54296875" style="5" bestFit="1" customWidth="1"/>
    <col min="5" max="5" width="11.90625" style="5" bestFit="1" customWidth="1"/>
    <col min="6" max="7" width="10.26953125" style="5" bestFit="1" customWidth="1"/>
    <col min="8" max="8" width="8.7265625" style="5" bestFit="1" customWidth="1"/>
    <col min="9" max="9" width="11.90625" style="5" bestFit="1" customWidth="1"/>
    <col min="10" max="10" width="12.54296875" style="5" bestFit="1" customWidth="1"/>
    <col min="11" max="11" width="11.90625" style="5" bestFit="1" customWidth="1"/>
    <col min="12" max="12" width="12.54296875" style="5" bestFit="1" customWidth="1"/>
    <col min="13" max="22" width="8.81640625" style="5" bestFit="1" customWidth="1"/>
    <col min="23" max="16384" width="8.7265625" style="5"/>
  </cols>
  <sheetData>
    <row r="2" spans="2:25" ht="14" x14ac:dyDescent="0.3">
      <c r="C2" s="29" t="s">
        <v>52</v>
      </c>
      <c r="D2" s="29"/>
      <c r="E2" s="29"/>
      <c r="F2" s="29"/>
      <c r="G2" s="29"/>
      <c r="H2" s="29"/>
      <c r="I2" s="29"/>
      <c r="J2" s="29"/>
      <c r="K2" s="29"/>
      <c r="L2" s="29"/>
      <c r="M2" s="29" t="s">
        <v>53</v>
      </c>
      <c r="N2" s="29"/>
      <c r="O2" s="29"/>
      <c r="P2" s="29"/>
      <c r="Q2" s="29"/>
      <c r="R2" s="29"/>
      <c r="S2" s="29"/>
      <c r="T2" s="29"/>
      <c r="U2" s="29"/>
      <c r="V2" s="29"/>
    </row>
    <row r="3" spans="2:25" x14ac:dyDescent="0.25"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5">
        <v>2024</v>
      </c>
      <c r="Q3" s="5">
        <v>2025</v>
      </c>
      <c r="R3" s="5">
        <v>2026</v>
      </c>
      <c r="S3" s="5">
        <v>2027</v>
      </c>
      <c r="T3" s="5">
        <v>2028</v>
      </c>
      <c r="U3" s="5">
        <v>2029</v>
      </c>
      <c r="V3" s="5">
        <v>2030</v>
      </c>
    </row>
    <row r="5" spans="2:25" ht="18" x14ac:dyDescent="0.4">
      <c r="B5" s="18" t="s">
        <v>54</v>
      </c>
    </row>
    <row r="7" spans="2:25" s="6" customFormat="1" ht="14" x14ac:dyDescent="0.3">
      <c r="B7" s="19" t="s">
        <v>55</v>
      </c>
    </row>
    <row r="8" spans="2:25" s="16" customFormat="1" x14ac:dyDescent="0.25">
      <c r="B8" s="22" t="s">
        <v>56</v>
      </c>
      <c r="C8" s="23">
        <f t="shared" ref="C8:L8" si="0" xml:space="preserve"> IFERROR(C21*C16, "-")</f>
        <v>0</v>
      </c>
      <c r="D8" s="23">
        <f t="shared" si="0"/>
        <v>0</v>
      </c>
      <c r="E8" s="23">
        <f t="shared" si="0"/>
        <v>332280</v>
      </c>
      <c r="F8" s="23">
        <f t="shared" si="0"/>
        <v>369104</v>
      </c>
      <c r="G8" s="23">
        <f t="shared" si="0"/>
        <v>375200</v>
      </c>
      <c r="H8" s="23">
        <f t="shared" si="0"/>
        <v>383642</v>
      </c>
      <c r="I8" s="23">
        <f t="shared" si="0"/>
        <v>442260</v>
      </c>
      <c r="J8" s="23">
        <f t="shared" si="0"/>
        <v>493654</v>
      </c>
      <c r="K8" s="23">
        <f t="shared" si="0"/>
        <v>547596</v>
      </c>
      <c r="L8" s="23">
        <f t="shared" si="0"/>
        <v>409493.00000000006</v>
      </c>
      <c r="M8" s="23">
        <f>L8*(1+M9)</f>
        <v>434062.58000000007</v>
      </c>
      <c r="N8" s="23">
        <f xml:space="preserve"> M8*(1+N9)</f>
        <v>460106.33480000013</v>
      </c>
      <c r="O8" s="23">
        <f t="shared" ref="O8" si="1">N8*(1+O9)</f>
        <v>487712.71488800016</v>
      </c>
      <c r="P8" s="23">
        <f t="shared" ref="P8" si="2" xml:space="preserve"> O8*(1+P9)</f>
        <v>516975.47778128018</v>
      </c>
      <c r="Q8" s="23">
        <f t="shared" ref="Q8" si="3">P8*(1+Q9)</f>
        <v>547994.00644815702</v>
      </c>
      <c r="R8" s="23">
        <f t="shared" ref="R8" si="4" xml:space="preserve"> Q8*(1+R9)</f>
        <v>580873.64683504647</v>
      </c>
      <c r="S8" s="23">
        <f t="shared" ref="S8" si="5">R8*(1+S9)</f>
        <v>615726.06564514933</v>
      </c>
      <c r="T8" s="23">
        <f xml:space="preserve"> S8*(1+T9)</f>
        <v>652669.6295838583</v>
      </c>
      <c r="U8" s="23">
        <f t="shared" ref="U8" si="6">T8*(1+U9)</f>
        <v>691829.80735888984</v>
      </c>
      <c r="V8" s="23">
        <f t="shared" ref="V8" si="7" xml:space="preserve"> U8*(1+V9)</f>
        <v>733339.5958004233</v>
      </c>
      <c r="W8" s="23"/>
      <c r="X8" s="23"/>
      <c r="Y8" s="23"/>
    </row>
    <row r="9" spans="2:25" s="8" customFormat="1" ht="14" x14ac:dyDescent="0.3">
      <c r="B9" s="24" t="s">
        <v>57</v>
      </c>
      <c r="C9" s="25" t="str">
        <f t="shared" ref="C9:L9" si="8" xml:space="preserve"> IFERROR(C8/B8-1,"-")</f>
        <v>-</v>
      </c>
      <c r="D9" s="25" t="str">
        <f t="shared" si="8"/>
        <v>-</v>
      </c>
      <c r="E9" s="25" t="str">
        <f t="shared" si="8"/>
        <v>-</v>
      </c>
      <c r="F9" s="25">
        <f t="shared" si="8"/>
        <v>0.11082219814614191</v>
      </c>
      <c r="G9" s="25">
        <f t="shared" si="8"/>
        <v>1.6515670380163883E-2</v>
      </c>
      <c r="H9" s="25">
        <f t="shared" si="8"/>
        <v>2.2499999999999964E-2</v>
      </c>
      <c r="I9" s="25">
        <f t="shared" si="8"/>
        <v>0.15279348976389451</v>
      </c>
      <c r="J9" s="25">
        <f t="shared" si="8"/>
        <v>0.11620766065210519</v>
      </c>
      <c r="K9" s="25">
        <f t="shared" si="8"/>
        <v>0.10927086582910306</v>
      </c>
      <c r="L9" s="25">
        <f t="shared" si="8"/>
        <v>-0.25219870123229526</v>
      </c>
      <c r="M9" s="27">
        <v>0.06</v>
      </c>
      <c r="N9" s="27">
        <v>0.06</v>
      </c>
      <c r="O9" s="27">
        <v>0.06</v>
      </c>
      <c r="P9" s="27">
        <v>0.06</v>
      </c>
      <c r="Q9" s="27">
        <v>0.06</v>
      </c>
      <c r="R9" s="27">
        <v>0.06</v>
      </c>
      <c r="S9" s="27">
        <v>0.06</v>
      </c>
      <c r="T9" s="27">
        <v>0.06</v>
      </c>
      <c r="U9" s="27">
        <v>0.06</v>
      </c>
      <c r="V9" s="27">
        <v>0.06</v>
      </c>
      <c r="W9" s="25"/>
      <c r="X9" s="25"/>
      <c r="Y9" s="25"/>
    </row>
    <row r="10" spans="2:25" s="16" customFormat="1" x14ac:dyDescent="0.25">
      <c r="B10" s="22" t="s">
        <v>5</v>
      </c>
      <c r="C10" s="23">
        <f t="shared" ref="C10:L10" si="9" xml:space="preserve"> IFERROR(C22*C16, "-")</f>
        <v>0</v>
      </c>
      <c r="D10" s="23">
        <f t="shared" si="9"/>
        <v>0</v>
      </c>
      <c r="E10" s="23">
        <f t="shared" si="9"/>
        <v>21300</v>
      </c>
      <c r="F10" s="23">
        <f t="shared" si="9"/>
        <v>21505</v>
      </c>
      <c r="G10" s="23">
        <f t="shared" si="9"/>
        <v>24000</v>
      </c>
      <c r="H10" s="23">
        <f t="shared" si="9"/>
        <v>24540</v>
      </c>
      <c r="I10" s="23">
        <f t="shared" si="9"/>
        <v>24804</v>
      </c>
      <c r="J10" s="23">
        <f t="shared" si="9"/>
        <v>23310</v>
      </c>
      <c r="K10" s="23">
        <f t="shared" si="9"/>
        <v>24108</v>
      </c>
      <c r="L10" s="23">
        <f t="shared" si="9"/>
        <v>14945.000000000002</v>
      </c>
      <c r="M10" s="23">
        <f>L10*(1+M11)</f>
        <v>15841.700000000003</v>
      </c>
      <c r="N10" s="23">
        <f>M10*(1+N11)</f>
        <v>16792.202000000005</v>
      </c>
      <c r="O10" s="23">
        <f t="shared" ref="O10:V10" si="10">N10*(1+O11)</f>
        <v>17799.734120000005</v>
      </c>
      <c r="P10" s="23">
        <f t="shared" si="10"/>
        <v>18867.718167200004</v>
      </c>
      <c r="Q10" s="23">
        <f t="shared" si="10"/>
        <v>19999.781257232007</v>
      </c>
      <c r="R10" s="23">
        <f t="shared" si="10"/>
        <v>21199.768132665929</v>
      </c>
      <c r="S10" s="23">
        <f t="shared" si="10"/>
        <v>22471.754220625888</v>
      </c>
      <c r="T10" s="23">
        <f t="shared" si="10"/>
        <v>23820.059473863443</v>
      </c>
      <c r="U10" s="23">
        <f t="shared" si="10"/>
        <v>25249.26304229525</v>
      </c>
      <c r="V10" s="23">
        <f t="shared" si="10"/>
        <v>26764.218824832966</v>
      </c>
      <c r="W10" s="23"/>
      <c r="X10" s="23"/>
      <c r="Y10" s="23"/>
    </row>
    <row r="11" spans="2:25" s="8" customFormat="1" ht="14" x14ac:dyDescent="0.3">
      <c r="B11" s="24" t="s">
        <v>57</v>
      </c>
      <c r="C11" s="25" t="str">
        <f t="shared" ref="C11:L11" si="11" xml:space="preserve"> IFERROR(C10/B10-1,"-")</f>
        <v>-</v>
      </c>
      <c r="D11" s="25" t="str">
        <f t="shared" si="11"/>
        <v>-</v>
      </c>
      <c r="E11" s="25" t="str">
        <f t="shared" si="11"/>
        <v>-</v>
      </c>
      <c r="F11" s="25">
        <f t="shared" si="11"/>
        <v>9.6244131455398563E-3</v>
      </c>
      <c r="G11" s="25">
        <f t="shared" si="11"/>
        <v>0.11601953034178103</v>
      </c>
      <c r="H11" s="25">
        <f t="shared" si="11"/>
        <v>2.2499999999999964E-2</v>
      </c>
      <c r="I11" s="25">
        <f t="shared" si="11"/>
        <v>1.0757946210268932E-2</v>
      </c>
      <c r="J11" s="25">
        <f t="shared" si="11"/>
        <v>-6.0232220609579112E-2</v>
      </c>
      <c r="K11" s="25">
        <f t="shared" si="11"/>
        <v>3.4234234234234329E-2</v>
      </c>
      <c r="L11" s="25">
        <f t="shared" si="11"/>
        <v>-0.38008130081300806</v>
      </c>
      <c r="M11" s="27">
        <v>0.06</v>
      </c>
      <c r="N11" s="27">
        <v>0.06</v>
      </c>
      <c r="O11" s="27">
        <v>0.06</v>
      </c>
      <c r="P11" s="27">
        <v>0.06</v>
      </c>
      <c r="Q11" s="27">
        <v>0.06</v>
      </c>
      <c r="R11" s="27">
        <v>0.06</v>
      </c>
      <c r="S11" s="27">
        <v>0.06</v>
      </c>
      <c r="T11" s="27">
        <v>0.06</v>
      </c>
      <c r="U11" s="27">
        <v>0.06</v>
      </c>
      <c r="V11" s="27">
        <v>0.06</v>
      </c>
      <c r="W11" s="25"/>
      <c r="X11" s="25"/>
      <c r="Y11" s="25"/>
    </row>
    <row r="12" spans="2:25" s="16" customFormat="1" x14ac:dyDescent="0.25">
      <c r="B12" s="22" t="s">
        <v>7</v>
      </c>
      <c r="C12" s="23">
        <f t="shared" ref="C12:L12" si="12" xml:space="preserve"> IFERROR(C23*C16, "-")</f>
        <v>0</v>
      </c>
      <c r="D12" s="23">
        <f t="shared" si="12"/>
        <v>0</v>
      </c>
      <c r="E12" s="23">
        <f t="shared" si="12"/>
        <v>355</v>
      </c>
      <c r="F12" s="23">
        <f t="shared" si="12"/>
        <v>391</v>
      </c>
      <c r="G12" s="23">
        <f t="shared" si="12"/>
        <v>800</v>
      </c>
      <c r="H12" s="23">
        <f t="shared" si="12"/>
        <v>818</v>
      </c>
      <c r="I12" s="23">
        <f t="shared" si="12"/>
        <v>936</v>
      </c>
      <c r="J12" s="23">
        <f t="shared" si="12"/>
        <v>1036</v>
      </c>
      <c r="K12" s="23">
        <f t="shared" si="12"/>
        <v>1722</v>
      </c>
      <c r="L12" s="23">
        <f t="shared" si="12"/>
        <v>2135</v>
      </c>
      <c r="M12" s="23">
        <f>L12*(1+M13)</f>
        <v>2263.1</v>
      </c>
      <c r="N12" s="23">
        <f>M12*(1+N13)</f>
        <v>2398.886</v>
      </c>
      <c r="O12" s="23">
        <f t="shared" ref="O12:V12" si="13">N12*(1+O13)</f>
        <v>2542.81916</v>
      </c>
      <c r="P12" s="23">
        <f t="shared" si="13"/>
        <v>2695.3883096</v>
      </c>
      <c r="Q12" s="23">
        <f t="shared" si="13"/>
        <v>2857.1116081760001</v>
      </c>
      <c r="R12" s="23">
        <f t="shared" si="13"/>
        <v>3028.5383046665602</v>
      </c>
      <c r="S12" s="23">
        <f t="shared" si="13"/>
        <v>3210.250602946554</v>
      </c>
      <c r="T12" s="23">
        <f t="shared" si="13"/>
        <v>3402.8656391233471</v>
      </c>
      <c r="U12" s="23">
        <f t="shared" si="13"/>
        <v>3607.0375774707481</v>
      </c>
      <c r="V12" s="23">
        <f t="shared" si="13"/>
        <v>3823.4598321189933</v>
      </c>
      <c r="W12" s="23"/>
      <c r="X12" s="23"/>
      <c r="Y12" s="23"/>
    </row>
    <row r="13" spans="2:25" s="8" customFormat="1" ht="14" x14ac:dyDescent="0.3">
      <c r="B13" s="24" t="s">
        <v>57</v>
      </c>
      <c r="C13" s="25" t="str">
        <f t="shared" ref="C13:L13" si="14" xml:space="preserve"> IFERROR(C12/B12-1,"-")</f>
        <v>-</v>
      </c>
      <c r="D13" s="25" t="str">
        <f t="shared" si="14"/>
        <v>-</v>
      </c>
      <c r="E13" s="25" t="str">
        <f t="shared" si="14"/>
        <v>-</v>
      </c>
      <c r="F13" s="25">
        <f t="shared" si="14"/>
        <v>0.10140845070422544</v>
      </c>
      <c r="G13" s="25">
        <f t="shared" si="14"/>
        <v>1.0460358056265986</v>
      </c>
      <c r="H13" s="25">
        <f t="shared" si="14"/>
        <v>2.2499999999999964E-2</v>
      </c>
      <c r="I13" s="25">
        <f t="shared" si="14"/>
        <v>0.1442542787286063</v>
      </c>
      <c r="J13" s="25">
        <f t="shared" si="14"/>
        <v>0.1068376068376069</v>
      </c>
      <c r="K13" s="25">
        <f t="shared" si="14"/>
        <v>0.66216216216216206</v>
      </c>
      <c r="L13" s="25">
        <f t="shared" si="14"/>
        <v>0.23983739837398366</v>
      </c>
      <c r="M13" s="27">
        <v>0.06</v>
      </c>
      <c r="N13" s="27">
        <v>0.06</v>
      </c>
      <c r="O13" s="27">
        <v>0.06</v>
      </c>
      <c r="P13" s="27">
        <v>0.06</v>
      </c>
      <c r="Q13" s="27">
        <v>0.06</v>
      </c>
      <c r="R13" s="27">
        <v>0.06</v>
      </c>
      <c r="S13" s="27">
        <v>0.06</v>
      </c>
      <c r="T13" s="27">
        <v>0.06</v>
      </c>
      <c r="U13" s="27">
        <v>0.06</v>
      </c>
      <c r="V13" s="27">
        <v>0.06</v>
      </c>
      <c r="W13" s="25"/>
      <c r="X13" s="25"/>
      <c r="Y13" s="25"/>
    </row>
    <row r="14" spans="2:25" s="16" customFormat="1" x14ac:dyDescent="0.25">
      <c r="B14" s="22" t="s">
        <v>9</v>
      </c>
      <c r="C14" s="23">
        <f t="shared" ref="C14:L14" si="15" xml:space="preserve"> IFERROR(C24*C16, "-")</f>
        <v>0</v>
      </c>
      <c r="D14" s="23">
        <f t="shared" si="15"/>
        <v>0</v>
      </c>
      <c r="E14" s="23">
        <f t="shared" si="15"/>
        <v>1065</v>
      </c>
      <c r="F14" s="23">
        <f t="shared" si="15"/>
        <v>0</v>
      </c>
      <c r="G14" s="23">
        <f t="shared" si="15"/>
        <v>0</v>
      </c>
      <c r="H14" s="23">
        <f t="shared" si="15"/>
        <v>0</v>
      </c>
      <c r="I14" s="23">
        <f t="shared" si="15"/>
        <v>0</v>
      </c>
      <c r="J14" s="23">
        <f t="shared" si="15"/>
        <v>518</v>
      </c>
      <c r="K14" s="23">
        <f t="shared" si="15"/>
        <v>574</v>
      </c>
      <c r="L14" s="23">
        <f t="shared" si="15"/>
        <v>427</v>
      </c>
      <c r="M14" s="23">
        <f>L14*(1+M15)</f>
        <v>452.62</v>
      </c>
      <c r="N14" s="23">
        <f>M14*(1+N15)</f>
        <v>479.77720000000005</v>
      </c>
      <c r="O14" s="23">
        <f t="shared" ref="O14:V14" si="16">N14*(1+O15)</f>
        <v>508.5638320000001</v>
      </c>
      <c r="P14" s="23">
        <f t="shared" si="16"/>
        <v>539.07766192000008</v>
      </c>
      <c r="Q14" s="23">
        <f t="shared" si="16"/>
        <v>571.42232163520009</v>
      </c>
      <c r="R14" s="23">
        <f t="shared" si="16"/>
        <v>605.70766093331213</v>
      </c>
      <c r="S14" s="23">
        <f t="shared" si="16"/>
        <v>642.05012058931084</v>
      </c>
      <c r="T14" s="23">
        <f t="shared" si="16"/>
        <v>680.57312782466954</v>
      </c>
      <c r="U14" s="23">
        <f t="shared" si="16"/>
        <v>721.40751549414972</v>
      </c>
      <c r="V14" s="23">
        <f t="shared" si="16"/>
        <v>764.6919664237987</v>
      </c>
      <c r="W14" s="23"/>
      <c r="X14" s="23"/>
      <c r="Y14" s="23"/>
    </row>
    <row r="15" spans="2:25" s="8" customFormat="1" ht="14" x14ac:dyDescent="0.3">
      <c r="B15" s="24" t="s">
        <v>57</v>
      </c>
      <c r="C15" s="25" t="str">
        <f t="shared" ref="C15:L15" si="17" xml:space="preserve"> IFERROR(C14/B14-1,"-")</f>
        <v>-</v>
      </c>
      <c r="D15" s="25" t="str">
        <f t="shared" si="17"/>
        <v>-</v>
      </c>
      <c r="E15" s="25" t="str">
        <f t="shared" si="17"/>
        <v>-</v>
      </c>
      <c r="F15" s="25">
        <f t="shared" si="17"/>
        <v>-1</v>
      </c>
      <c r="G15" s="25" t="str">
        <f t="shared" si="17"/>
        <v>-</v>
      </c>
      <c r="H15" s="25" t="str">
        <f t="shared" si="17"/>
        <v>-</v>
      </c>
      <c r="I15" s="25" t="str">
        <f t="shared" si="17"/>
        <v>-</v>
      </c>
      <c r="J15" s="25" t="str">
        <f t="shared" si="17"/>
        <v>-</v>
      </c>
      <c r="K15" s="25">
        <f t="shared" si="17"/>
        <v>0.10810810810810811</v>
      </c>
      <c r="L15" s="25">
        <f t="shared" si="17"/>
        <v>-0.25609756097560976</v>
      </c>
      <c r="M15" s="27">
        <v>0.06</v>
      </c>
      <c r="N15" s="27">
        <v>0.06</v>
      </c>
      <c r="O15" s="27">
        <v>0.06</v>
      </c>
      <c r="P15" s="27">
        <v>0.06</v>
      </c>
      <c r="Q15" s="27">
        <v>0.06</v>
      </c>
      <c r="R15" s="27">
        <v>0.06</v>
      </c>
      <c r="S15" s="27">
        <v>0.06</v>
      </c>
      <c r="T15" s="27">
        <v>0.06</v>
      </c>
      <c r="U15" s="27">
        <v>0.06</v>
      </c>
      <c r="V15" s="27">
        <v>0.06</v>
      </c>
      <c r="W15" s="25"/>
      <c r="X15" s="25"/>
      <c r="Y15" s="25"/>
    </row>
    <row r="16" spans="2:25" s="16" customFormat="1" x14ac:dyDescent="0.25">
      <c r="B16" s="22" t="s">
        <v>58</v>
      </c>
      <c r="C16" s="23">
        <f xml:space="preserve"> '2011 (2)'!C4 * 1000</f>
        <v>350000</v>
      </c>
      <c r="D16" s="23">
        <f xml:space="preserve"> '2012 (2)'!C4 * 1000</f>
        <v>321000</v>
      </c>
      <c r="E16" s="23">
        <f xml:space="preserve"> '2013 (2)'!C4 * 1000</f>
        <v>355000</v>
      </c>
      <c r="F16" s="23">
        <f xml:space="preserve"> '2014 (2)'!C4 * 1000</f>
        <v>391000</v>
      </c>
      <c r="G16" s="23">
        <f xml:space="preserve"> '2015 (2)'!C4 * 1000</f>
        <v>400000</v>
      </c>
      <c r="H16" s="23">
        <f xml:space="preserve"> '2016 (2)'!C4 * 1000</f>
        <v>409000</v>
      </c>
      <c r="I16" s="23">
        <f xml:space="preserve"> '2017 (2)'!C4 * 1000</f>
        <v>468000</v>
      </c>
      <c r="J16" s="23">
        <f xml:space="preserve"> '2018 (2)'!C4 * 1000</f>
        <v>518000</v>
      </c>
      <c r="K16" s="23">
        <f xml:space="preserve"> '2019 (2)'!C4 * 1000</f>
        <v>574000</v>
      </c>
      <c r="L16" s="23">
        <f xml:space="preserve"> '2020 (2)'!C4 * 1000</f>
        <v>427000</v>
      </c>
      <c r="M16" s="23">
        <f>M8+M10+M12+M14</f>
        <v>452620.00000000006</v>
      </c>
      <c r="N16" s="23">
        <f t="shared" ref="N16:V16" si="18">N8+N10+N12+N14</f>
        <v>479777.20000000013</v>
      </c>
      <c r="O16" s="23">
        <f t="shared" si="18"/>
        <v>508563.83200000017</v>
      </c>
      <c r="P16" s="23">
        <f t="shared" si="18"/>
        <v>539077.6619200001</v>
      </c>
      <c r="Q16" s="23">
        <f t="shared" si="18"/>
        <v>571422.32163520018</v>
      </c>
      <c r="R16" s="23">
        <f t="shared" si="18"/>
        <v>605707.66093331215</v>
      </c>
      <c r="S16" s="23">
        <f t="shared" si="18"/>
        <v>642050.120589311</v>
      </c>
      <c r="T16" s="23">
        <f t="shared" si="18"/>
        <v>680573.12782466982</v>
      </c>
      <c r="U16" s="23">
        <f t="shared" si="18"/>
        <v>721407.51549414999</v>
      </c>
      <c r="V16" s="23">
        <f t="shared" si="18"/>
        <v>764691.96642379893</v>
      </c>
      <c r="W16" s="23"/>
      <c r="X16" s="23"/>
      <c r="Y16" s="23"/>
    </row>
    <row r="17" spans="2:25" s="8" customFormat="1" ht="13" x14ac:dyDescent="0.3">
      <c r="B17" s="24" t="s">
        <v>57</v>
      </c>
      <c r="C17" s="25" t="str">
        <f t="shared" ref="C17:L17" si="19" xml:space="preserve"> IFERROR(C16/B16-1,"")</f>
        <v/>
      </c>
      <c r="D17" s="25">
        <f t="shared" si="19"/>
        <v>-8.2857142857142851E-2</v>
      </c>
      <c r="E17" s="25">
        <f t="shared" si="19"/>
        <v>0.10591900311526481</v>
      </c>
      <c r="F17" s="25">
        <f t="shared" si="19"/>
        <v>0.10140845070422544</v>
      </c>
      <c r="G17" s="25">
        <f t="shared" si="19"/>
        <v>2.3017902813299296E-2</v>
      </c>
      <c r="H17" s="25">
        <f t="shared" si="19"/>
        <v>2.2499999999999964E-2</v>
      </c>
      <c r="I17" s="25">
        <f t="shared" si="19"/>
        <v>0.1442542787286063</v>
      </c>
      <c r="J17" s="25">
        <f t="shared" si="19"/>
        <v>0.1068376068376069</v>
      </c>
      <c r="K17" s="25">
        <f t="shared" si="19"/>
        <v>0.10810810810810811</v>
      </c>
      <c r="L17" s="25">
        <f t="shared" si="19"/>
        <v>-0.25609756097560976</v>
      </c>
      <c r="M17" s="28">
        <f t="shared" ref="M17:V17" si="20">IFERROR(M16/L16-1,"")</f>
        <v>6.0000000000000053E-2</v>
      </c>
      <c r="N17" s="28">
        <f t="shared" si="20"/>
        <v>6.0000000000000053E-2</v>
      </c>
      <c r="O17" s="28">
        <f t="shared" si="20"/>
        <v>6.0000000000000053E-2</v>
      </c>
      <c r="P17" s="28">
        <f t="shared" si="20"/>
        <v>5.9999999999999831E-2</v>
      </c>
      <c r="Q17" s="28">
        <f t="shared" si="20"/>
        <v>6.0000000000000053E-2</v>
      </c>
      <c r="R17" s="28">
        <f t="shared" si="20"/>
        <v>5.9999999999999831E-2</v>
      </c>
      <c r="S17" s="28">
        <f t="shared" si="20"/>
        <v>6.0000000000000275E-2</v>
      </c>
      <c r="T17" s="28">
        <f t="shared" si="20"/>
        <v>6.0000000000000275E-2</v>
      </c>
      <c r="U17" s="28">
        <f t="shared" si="20"/>
        <v>6.0000000000000053E-2</v>
      </c>
      <c r="V17" s="28">
        <f t="shared" si="20"/>
        <v>5.9999999999999831E-2</v>
      </c>
      <c r="W17" s="25"/>
      <c r="X17" s="25"/>
      <c r="Y17" s="25"/>
    </row>
    <row r="18" spans="2:25" x14ac:dyDescent="0.25">
      <c r="B18" s="22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20" spans="2:25" s="6" customFormat="1" ht="14" x14ac:dyDescent="0.3">
      <c r="B20" s="20" t="s">
        <v>59</v>
      </c>
    </row>
    <row r="21" spans="2:25" x14ac:dyDescent="0.25">
      <c r="B21" s="17" t="s">
        <v>56</v>
      </c>
      <c r="C21" s="5">
        <f xml:space="preserve"> '2011'!J4</f>
        <v>0</v>
      </c>
      <c r="D21" s="5">
        <f xml:space="preserve"> '2012'!J4</f>
        <v>0</v>
      </c>
      <c r="E21" s="11">
        <f xml:space="preserve"> '2013'!J4</f>
        <v>0.93599999999999994</v>
      </c>
      <c r="F21" s="11">
        <f xml:space="preserve"> '2014'!J4</f>
        <v>0.94400000000000006</v>
      </c>
      <c r="G21" s="11">
        <f xml:space="preserve"> '2015'!J4</f>
        <v>0.93799999999999994</v>
      </c>
      <c r="H21" s="11">
        <f xml:space="preserve"> '2016'!J4</f>
        <v>0.93799999999999994</v>
      </c>
      <c r="I21" s="11">
        <f xml:space="preserve"> '2017'!J4</f>
        <v>0.94500000000000006</v>
      </c>
      <c r="J21" s="11">
        <f xml:space="preserve"> '2018'!J4</f>
        <v>0.95299999999999996</v>
      </c>
      <c r="K21" s="11">
        <f xml:space="preserve"> '2019'!J4</f>
        <v>0.95400000000000007</v>
      </c>
      <c r="L21" s="11">
        <f xml:space="preserve"> '2020'!J4</f>
        <v>0.95900000000000007</v>
      </c>
    </row>
    <row r="22" spans="2:25" x14ac:dyDescent="0.25">
      <c r="B22" s="17" t="s">
        <v>5</v>
      </c>
      <c r="C22" s="5">
        <f xml:space="preserve"> '2011'!J5</f>
        <v>0</v>
      </c>
      <c r="D22" s="5">
        <f xml:space="preserve"> '2012'!J5</f>
        <v>0</v>
      </c>
      <c r="E22" s="11">
        <f xml:space="preserve"> '2013'!J5</f>
        <v>0.06</v>
      </c>
      <c r="F22" s="11">
        <f xml:space="preserve"> '2014'!J5</f>
        <v>5.5E-2</v>
      </c>
      <c r="G22" s="11">
        <f xml:space="preserve"> '2015'!J5</f>
        <v>0.06</v>
      </c>
      <c r="H22" s="11">
        <f xml:space="preserve"> '2016'!J5</f>
        <v>0.06</v>
      </c>
      <c r="I22" s="11">
        <f xml:space="preserve"> '2017'!J5</f>
        <v>5.2999999999999999E-2</v>
      </c>
      <c r="J22" s="11">
        <f xml:space="preserve"> '2018'!J5</f>
        <v>4.4999999999999998E-2</v>
      </c>
      <c r="K22" s="11">
        <f xml:space="preserve"> '2019'!J5</f>
        <v>4.2000000000000003E-2</v>
      </c>
      <c r="L22" s="11">
        <f xml:space="preserve"> '2020'!J5</f>
        <v>3.5000000000000003E-2</v>
      </c>
    </row>
    <row r="23" spans="2:25" x14ac:dyDescent="0.25">
      <c r="B23" s="17" t="s">
        <v>7</v>
      </c>
      <c r="C23" s="5">
        <f xml:space="preserve"> '2011'!J6</f>
        <v>0</v>
      </c>
      <c r="D23" s="5">
        <f xml:space="preserve"> '2012'!J6</f>
        <v>0</v>
      </c>
      <c r="E23" s="11">
        <f xml:space="preserve"> '2013'!J6</f>
        <v>1E-3</v>
      </c>
      <c r="F23" s="11">
        <f xml:space="preserve"> '2014'!J6</f>
        <v>1E-3</v>
      </c>
      <c r="G23" s="11">
        <f xml:space="preserve"> '2015'!J6</f>
        <v>2E-3</v>
      </c>
      <c r="H23" s="11">
        <f xml:space="preserve"> '2016'!J6</f>
        <v>2E-3</v>
      </c>
      <c r="I23" s="11">
        <f xml:space="preserve"> '2017'!J6</f>
        <v>2E-3</v>
      </c>
      <c r="J23" s="11">
        <f xml:space="preserve"> '2018'!J6</f>
        <v>2E-3</v>
      </c>
      <c r="K23" s="11">
        <f xml:space="preserve"> '2019'!J6</f>
        <v>3.0000000000000001E-3</v>
      </c>
      <c r="L23" s="11">
        <f xml:space="preserve"> '2020'!J6</f>
        <v>5.0000000000000001E-3</v>
      </c>
    </row>
    <row r="24" spans="2:25" x14ac:dyDescent="0.25">
      <c r="B24" s="17" t="s">
        <v>9</v>
      </c>
      <c r="C24" s="5">
        <f xml:space="preserve"> '2011'!J7</f>
        <v>0</v>
      </c>
      <c r="D24" s="5">
        <f xml:space="preserve"> '2012'!J7</f>
        <v>0</v>
      </c>
      <c r="E24" s="11">
        <f xml:space="preserve"> '2013'!J7</f>
        <v>3.0000000000000001E-3</v>
      </c>
      <c r="F24" s="11">
        <f xml:space="preserve"> '2014'!J7</f>
        <v>0</v>
      </c>
      <c r="G24" s="11">
        <f xml:space="preserve"> '2015'!J7</f>
        <v>0</v>
      </c>
      <c r="H24" s="11">
        <f xml:space="preserve"> '2016'!J7</f>
        <v>0</v>
      </c>
      <c r="I24" s="11">
        <f xml:space="preserve"> '2017'!J7</f>
        <v>0</v>
      </c>
      <c r="J24" s="11">
        <f xml:space="preserve"> '2018'!J7</f>
        <v>1E-3</v>
      </c>
      <c r="K24" s="11">
        <f xml:space="preserve"> '2019'!J7</f>
        <v>1E-3</v>
      </c>
      <c r="L24" s="11">
        <f xml:space="preserve"> '2020'!J7</f>
        <v>1E-3</v>
      </c>
    </row>
    <row r="25" spans="2:25" x14ac:dyDescent="0.25">
      <c r="B25" s="17" t="s">
        <v>58</v>
      </c>
      <c r="E25" s="11">
        <f>SUM(E21:E24)</f>
        <v>1</v>
      </c>
      <c r="F25" s="11">
        <f t="shared" ref="F25:L25" si="21">SUM(F21:F24)</f>
        <v>1</v>
      </c>
      <c r="G25" s="11">
        <f t="shared" si="21"/>
        <v>1</v>
      </c>
      <c r="H25" s="11">
        <f t="shared" si="21"/>
        <v>1</v>
      </c>
      <c r="I25" s="11">
        <f t="shared" si="21"/>
        <v>1</v>
      </c>
      <c r="J25" s="11">
        <f t="shared" si="21"/>
        <v>1.0009999999999999</v>
      </c>
      <c r="K25" s="11">
        <f t="shared" si="21"/>
        <v>1</v>
      </c>
      <c r="L25" s="11">
        <f t="shared" si="21"/>
        <v>1</v>
      </c>
    </row>
    <row r="28" spans="2:25" s="6" customFormat="1" ht="14" x14ac:dyDescent="0.3">
      <c r="B28" s="21" t="s">
        <v>60</v>
      </c>
    </row>
    <row r="29" spans="2:25" x14ac:dyDescent="0.25">
      <c r="B29" s="17" t="s">
        <v>61</v>
      </c>
      <c r="E29" s="7">
        <f>E42*E37</f>
        <v>0</v>
      </c>
      <c r="F29" s="7">
        <f t="shared" ref="F29:L29" si="22">F42*F37</f>
        <v>0</v>
      </c>
      <c r="G29" s="7">
        <f t="shared" si="22"/>
        <v>0</v>
      </c>
      <c r="H29" s="7">
        <f t="shared" si="22"/>
        <v>0</v>
      </c>
      <c r="I29" s="7">
        <f t="shared" si="22"/>
        <v>0</v>
      </c>
      <c r="J29" s="7">
        <f t="shared" si="22"/>
        <v>0</v>
      </c>
      <c r="K29" s="7">
        <f t="shared" si="22"/>
        <v>0</v>
      </c>
      <c r="L29" s="7">
        <f t="shared" si="22"/>
        <v>0</v>
      </c>
    </row>
    <row r="30" spans="2:25" ht="14" x14ac:dyDescent="0.3">
      <c r="B30" s="17" t="s">
        <v>57</v>
      </c>
      <c r="C30" s="8" t="str">
        <f t="shared" ref="C30:E30" si="23">IFERROR(C29/B29-1,"")</f>
        <v/>
      </c>
      <c r="D30" s="8" t="str">
        <f t="shared" si="23"/>
        <v/>
      </c>
      <c r="E30" s="8" t="str">
        <f t="shared" si="23"/>
        <v/>
      </c>
      <c r="F30" s="8" t="str">
        <f>IFERROR(F29/E29-1,"")</f>
        <v/>
      </c>
      <c r="G30" s="8" t="str">
        <f t="shared" ref="G30:L30" si="24">IFERROR(G29/F29-1,"")</f>
        <v/>
      </c>
      <c r="H30" s="8" t="str">
        <f t="shared" si="24"/>
        <v/>
      </c>
      <c r="I30" s="8" t="str">
        <f t="shared" si="24"/>
        <v/>
      </c>
      <c r="J30" s="8" t="str">
        <f t="shared" si="24"/>
        <v/>
      </c>
      <c r="K30" s="8" t="str">
        <f t="shared" si="24"/>
        <v/>
      </c>
      <c r="L30" s="8" t="str">
        <f t="shared" si="24"/>
        <v/>
      </c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5" x14ac:dyDescent="0.25">
      <c r="B31" s="17" t="s">
        <v>62</v>
      </c>
      <c r="E31" s="7">
        <v>0</v>
      </c>
      <c r="F31" s="9">
        <v>0</v>
      </c>
      <c r="G31" s="9">
        <v>0</v>
      </c>
      <c r="H31" s="10"/>
      <c r="I31" s="10"/>
      <c r="J31" s="10"/>
      <c r="K31" s="10"/>
      <c r="L31" s="10"/>
    </row>
    <row r="32" spans="2:25" x14ac:dyDescent="0.25">
      <c r="B32" s="17" t="s">
        <v>57</v>
      </c>
      <c r="F32" s="8" t="str">
        <f>IFERROR(F31/E31-1,"")</f>
        <v/>
      </c>
      <c r="G32" s="8" t="str">
        <f>IFERROR(G31/F31-1,"")</f>
        <v/>
      </c>
    </row>
    <row r="33" spans="2:12" x14ac:dyDescent="0.25">
      <c r="B33" s="17" t="s">
        <v>63</v>
      </c>
      <c r="E33" s="10"/>
      <c r="F33" s="10"/>
      <c r="G33" s="10"/>
      <c r="H33" s="10"/>
      <c r="I33" s="10"/>
      <c r="J33" s="10"/>
      <c r="K33" s="10"/>
      <c r="L33" s="10"/>
    </row>
    <row r="34" spans="2:12" x14ac:dyDescent="0.25">
      <c r="B34" s="17" t="s">
        <v>57</v>
      </c>
      <c r="F34" s="8" t="str">
        <f>IFERROR(F33/E33-1,"")</f>
        <v/>
      </c>
      <c r="G34" s="8" t="str">
        <f>IFERROR(G33/F33-1,"")</f>
        <v/>
      </c>
    </row>
    <row r="35" spans="2:12" x14ac:dyDescent="0.25">
      <c r="B35" s="17" t="s">
        <v>64</v>
      </c>
    </row>
    <row r="36" spans="2:12" x14ac:dyDescent="0.25">
      <c r="B36" s="17" t="s">
        <v>57</v>
      </c>
      <c r="F36" s="8" t="str">
        <f>IFERROR(F35/E35-1,"")</f>
        <v/>
      </c>
      <c r="G36" s="8" t="str">
        <f>IFERROR(G35/F35-1,"")</f>
        <v/>
      </c>
    </row>
    <row r="37" spans="2:12" x14ac:dyDescent="0.25">
      <c r="B37" s="17" t="s">
        <v>65</v>
      </c>
      <c r="E37" s="5">
        <v>2000000</v>
      </c>
      <c r="F37" s="5">
        <v>2000000</v>
      </c>
      <c r="G37" s="5">
        <v>2000000</v>
      </c>
      <c r="H37" s="5">
        <v>2000000</v>
      </c>
      <c r="I37" s="5">
        <v>2000000</v>
      </c>
      <c r="J37" s="5">
        <v>2000000</v>
      </c>
      <c r="K37" s="5">
        <v>2000000</v>
      </c>
      <c r="L37" s="5">
        <v>2000000</v>
      </c>
    </row>
    <row r="38" spans="2:12" x14ac:dyDescent="0.25">
      <c r="B38" s="17" t="s">
        <v>57</v>
      </c>
      <c r="F38" s="8">
        <f>IFERROR(F37/E37-1,"")</f>
        <v>0</v>
      </c>
      <c r="G38" s="8">
        <f>IFERROR(G37/F37-1,"")</f>
        <v>0</v>
      </c>
    </row>
    <row r="39" spans="2:12" x14ac:dyDescent="0.25">
      <c r="B39" s="17" t="s">
        <v>66</v>
      </c>
    </row>
    <row r="40" spans="2:12" x14ac:dyDescent="0.25">
      <c r="B40" s="17" t="s">
        <v>57</v>
      </c>
    </row>
    <row r="44" spans="2:12" x14ac:dyDescent="0.25">
      <c r="B44" t="s">
        <v>11</v>
      </c>
      <c r="C44" s="31">
        <v>18139</v>
      </c>
      <c r="D44" s="31">
        <v>19393</v>
      </c>
      <c r="E44" s="31">
        <v>19990</v>
      </c>
      <c r="F44" s="31">
        <v>22612</v>
      </c>
      <c r="G44" s="31">
        <v>27925</v>
      </c>
      <c r="H44" s="31">
        <v>31214</v>
      </c>
      <c r="I44" s="31">
        <v>33638</v>
      </c>
      <c r="J44" s="31">
        <v>19588</v>
      </c>
      <c r="K44" s="31">
        <v>23015</v>
      </c>
      <c r="L44" s="31">
        <v>14672</v>
      </c>
    </row>
    <row r="45" spans="2:12" x14ac:dyDescent="0.25">
      <c r="B45" s="17" t="s">
        <v>57</v>
      </c>
      <c r="C45" s="8" t="str">
        <f>IFERROR(C44/B44-1,"")</f>
        <v/>
      </c>
      <c r="D45" s="8">
        <f t="shared" ref="D45:K45" si="25">IFERROR(D44/C44-1,"")</f>
        <v>6.9132807762280146E-2</v>
      </c>
      <c r="E45" s="8">
        <f t="shared" si="25"/>
        <v>3.078430361470641E-2</v>
      </c>
      <c r="F45" s="8">
        <f t="shared" si="25"/>
        <v>0.13116558279139579</v>
      </c>
      <c r="G45" s="8">
        <f t="shared" si="25"/>
        <v>0.23496373606934373</v>
      </c>
      <c r="H45" s="8">
        <f t="shared" si="25"/>
        <v>0.11777976723366157</v>
      </c>
      <c r="I45" s="8">
        <f t="shared" si="25"/>
        <v>7.7657461395527649E-2</v>
      </c>
      <c r="J45" s="8">
        <f t="shared" si="25"/>
        <v>-0.41768238301920446</v>
      </c>
      <c r="K45" s="8">
        <f t="shared" si="25"/>
        <v>0.1749540535021441</v>
      </c>
      <c r="L45" s="8">
        <f>IFERROR(L44/K44-1,"")</f>
        <v>-0.36250271562024772</v>
      </c>
    </row>
    <row r="46" spans="2:12" x14ac:dyDescent="0.25">
      <c r="B46" t="s">
        <v>33</v>
      </c>
      <c r="C46" s="31">
        <v>42329</v>
      </c>
      <c r="D46" s="31">
        <v>32478</v>
      </c>
      <c r="E46" s="31">
        <v>43055</v>
      </c>
      <c r="F46" s="31">
        <v>35683</v>
      </c>
      <c r="G46" s="31">
        <v>32729</v>
      </c>
      <c r="H46" s="31">
        <v>18029</v>
      </c>
      <c r="I46" s="31"/>
      <c r="J46" s="31"/>
      <c r="K46" s="31"/>
      <c r="L46" s="31"/>
    </row>
    <row r="47" spans="2:12" x14ac:dyDescent="0.25">
      <c r="B47" s="17" t="s">
        <v>57</v>
      </c>
      <c r="C47" s="8" t="str">
        <f>IFERROR(C46/B46-1,"")</f>
        <v/>
      </c>
      <c r="D47" s="8">
        <f t="shared" ref="D47" si="26">IFERROR(D46/C46-1,"")</f>
        <v>-0.23272460960570762</v>
      </c>
      <c r="E47" s="8">
        <f t="shared" ref="E47" si="27">IFERROR(E46/D46-1,"")</f>
        <v>0.32566660508652001</v>
      </c>
      <c r="F47" s="8">
        <f t="shared" ref="F47" si="28">IFERROR(F46/E46-1,"")</f>
        <v>-0.17122285448844499</v>
      </c>
      <c r="G47" s="8">
        <f t="shared" ref="G47" si="29">IFERROR(G46/F46-1,"")</f>
        <v>-8.2784519238853216E-2</v>
      </c>
      <c r="H47" s="8">
        <f t="shared" ref="H47" si="30">IFERROR(H46/G46-1,"")</f>
        <v>-0.44914296189923308</v>
      </c>
      <c r="I47" s="8">
        <f t="shared" ref="I47" si="31">IFERROR(I46/H46-1,"")</f>
        <v>-1</v>
      </c>
      <c r="J47" s="8" t="str">
        <f t="shared" ref="J47" si="32">IFERROR(J46/I46-1,"")</f>
        <v/>
      </c>
      <c r="K47" s="8" t="str">
        <f t="shared" ref="K47" si="33">IFERROR(K46/J46-1,"")</f>
        <v/>
      </c>
      <c r="L47" s="8" t="str">
        <f>IFERROR(L46/K46-1,"")</f>
        <v/>
      </c>
    </row>
    <row r="48" spans="2:12" x14ac:dyDescent="0.25">
      <c r="B48" t="s">
        <v>38</v>
      </c>
      <c r="C48" s="31">
        <v>19559</v>
      </c>
      <c r="D48" s="31">
        <v>10854</v>
      </c>
      <c r="E48" s="31">
        <v>4681</v>
      </c>
      <c r="F48" s="31"/>
      <c r="G48" s="31"/>
      <c r="H48" s="31"/>
      <c r="I48" s="31"/>
      <c r="J48" s="31"/>
      <c r="K48" s="31"/>
      <c r="L48" s="31"/>
    </row>
    <row r="49" spans="2:12" x14ac:dyDescent="0.25">
      <c r="B49" s="17" t="s">
        <v>57</v>
      </c>
      <c r="C49" s="8" t="str">
        <f>IFERROR(C48/B48-1,"")</f>
        <v/>
      </c>
      <c r="D49" s="8">
        <f t="shared" ref="D49" si="34">IFERROR(D48/C48-1,"")</f>
        <v>-0.44506365356102051</v>
      </c>
      <c r="E49" s="8">
        <f t="shared" ref="E49" si="35">IFERROR(E48/D48-1,"")</f>
        <v>-0.56873042196425283</v>
      </c>
      <c r="F49" s="8">
        <f t="shared" ref="F49" si="36">IFERROR(F48/E48-1,"")</f>
        <v>-1</v>
      </c>
      <c r="G49" s="8" t="str">
        <f t="shared" ref="G49" si="37">IFERROR(G48/F48-1,"")</f>
        <v/>
      </c>
      <c r="H49" s="8" t="str">
        <f t="shared" ref="H49" si="38">IFERROR(H48/G48-1,"")</f>
        <v/>
      </c>
      <c r="I49" s="8" t="str">
        <f t="shared" ref="I49" si="39">IFERROR(I48/H48-1,"")</f>
        <v/>
      </c>
      <c r="J49" s="8" t="str">
        <f t="shared" ref="J49" si="40">IFERROR(J48/I48-1,"")</f>
        <v/>
      </c>
      <c r="K49" s="8" t="str">
        <f t="shared" ref="K49" si="41">IFERROR(K48/J48-1,"")</f>
        <v/>
      </c>
      <c r="L49" s="8" t="str">
        <f>IFERROR(L48/K48-1,"")</f>
        <v/>
      </c>
    </row>
    <row r="50" spans="2:12" x14ac:dyDescent="0.25">
      <c r="B50" t="s">
        <v>4</v>
      </c>
      <c r="C50" s="31"/>
      <c r="D50" s="31"/>
      <c r="E50" s="31"/>
      <c r="F50" s="31"/>
      <c r="G50" s="31"/>
      <c r="H50" s="31"/>
      <c r="I50" s="31">
        <v>17527</v>
      </c>
      <c r="J50" s="31">
        <v>110926</v>
      </c>
      <c r="K50" s="31">
        <v>134611</v>
      </c>
      <c r="L50" s="31">
        <v>78823</v>
      </c>
    </row>
    <row r="51" spans="2:12" x14ac:dyDescent="0.25">
      <c r="B51" s="17" t="s">
        <v>57</v>
      </c>
      <c r="C51" s="8" t="str">
        <f>IFERROR(C50/B50-1,"")</f>
        <v/>
      </c>
      <c r="D51" s="8" t="str">
        <f t="shared" ref="D51" si="42">IFERROR(D50/C50-1,"")</f>
        <v/>
      </c>
      <c r="E51" s="8" t="str">
        <f t="shared" ref="E51" si="43">IFERROR(E50/D50-1,"")</f>
        <v/>
      </c>
      <c r="F51" s="8" t="str">
        <f t="shared" ref="F51" si="44">IFERROR(F50/E50-1,"")</f>
        <v/>
      </c>
      <c r="G51" s="8" t="str">
        <f t="shared" ref="G51" si="45">IFERROR(G50/F50-1,"")</f>
        <v/>
      </c>
      <c r="H51" s="8" t="str">
        <f t="shared" ref="H51" si="46">IFERROR(H50/G50-1,"")</f>
        <v/>
      </c>
      <c r="I51" s="8" t="str">
        <f t="shared" ref="I51" si="47">IFERROR(I50/H50-1,"")</f>
        <v/>
      </c>
      <c r="J51" s="8">
        <f t="shared" ref="J51" si="48">IFERROR(J50/I50-1,"")</f>
        <v>5.3288640383408454</v>
      </c>
      <c r="K51" s="8">
        <f t="shared" ref="K51" si="49">IFERROR(K50/J50-1,"")</f>
        <v>0.2135207255287308</v>
      </c>
      <c r="L51" s="8">
        <f>IFERROR(L50/K50-1,"")</f>
        <v>-0.41443864171575873</v>
      </c>
    </row>
    <row r="52" spans="2:12" x14ac:dyDescent="0.25">
      <c r="B52" t="s">
        <v>6</v>
      </c>
      <c r="C52" s="31"/>
      <c r="D52" s="31"/>
      <c r="E52" s="31"/>
      <c r="F52" s="31"/>
      <c r="G52" s="31"/>
      <c r="H52" s="31">
        <v>35833</v>
      </c>
      <c r="I52" s="31">
        <v>77483</v>
      </c>
      <c r="J52" s="31">
        <v>90824</v>
      </c>
      <c r="K52" s="31">
        <v>98397</v>
      </c>
      <c r="L52" s="31">
        <v>76710</v>
      </c>
    </row>
    <row r="53" spans="2:12" x14ac:dyDescent="0.25">
      <c r="B53" s="17" t="s">
        <v>57</v>
      </c>
      <c r="C53" s="8" t="str">
        <f>IFERROR(C52/B52-1,"")</f>
        <v/>
      </c>
      <c r="D53" s="8" t="str">
        <f t="shared" ref="D53" si="50">IFERROR(D52/C52-1,"")</f>
        <v/>
      </c>
      <c r="E53" s="8" t="str">
        <f t="shared" ref="E53" si="51">IFERROR(E52/D52-1,"")</f>
        <v/>
      </c>
      <c r="F53" s="8" t="str">
        <f t="shared" ref="F53" si="52">IFERROR(F52/E52-1,"")</f>
        <v/>
      </c>
      <c r="G53" s="8" t="str">
        <f t="shared" ref="G53" si="53">IFERROR(G52/F52-1,"")</f>
        <v/>
      </c>
      <c r="H53" s="8" t="str">
        <f t="shared" ref="H53" si="54">IFERROR(H52/G52-1,"")</f>
        <v/>
      </c>
      <c r="I53" s="8">
        <f t="shared" ref="I53" si="55">IFERROR(I52/H52-1,"")</f>
        <v>1.1623363938269193</v>
      </c>
      <c r="J53" s="8">
        <f t="shared" ref="J53" si="56">IFERROR(J52/I52-1,"")</f>
        <v>0.17217970393505677</v>
      </c>
      <c r="K53" s="8">
        <f t="shared" ref="K53" si="57">IFERROR(K52/J52-1,"")</f>
        <v>8.3381044657799608E-2</v>
      </c>
      <c r="L53" s="8">
        <f>IFERROR(L52/K52-1,"")</f>
        <v>-0.22040306106893504</v>
      </c>
    </row>
    <row r="54" spans="2:12" x14ac:dyDescent="0.25">
      <c r="B54" t="s">
        <v>12</v>
      </c>
      <c r="C54" s="31"/>
      <c r="D54" s="31"/>
      <c r="E54" s="31"/>
      <c r="F54" s="31"/>
      <c r="G54" s="31"/>
      <c r="H54" s="31"/>
      <c r="I54" s="31"/>
      <c r="J54" s="31"/>
      <c r="K54" s="31"/>
      <c r="L54" s="31">
        <v>11041</v>
      </c>
    </row>
    <row r="55" spans="2:12" x14ac:dyDescent="0.25">
      <c r="B55" s="17" t="s">
        <v>57</v>
      </c>
      <c r="C55" s="8" t="str">
        <f>IFERROR(C54/B54-1,"")</f>
        <v/>
      </c>
      <c r="D55" s="8" t="str">
        <f t="shared" ref="D55" si="58">IFERROR(D54/C54-1,"")</f>
        <v/>
      </c>
      <c r="E55" s="8" t="str">
        <f t="shared" ref="E55" si="59">IFERROR(E54/D54-1,"")</f>
        <v/>
      </c>
      <c r="F55" s="8" t="str">
        <f t="shared" ref="F55" si="60">IFERROR(F54/E54-1,"")</f>
        <v/>
      </c>
      <c r="G55" s="8" t="str">
        <f t="shared" ref="G55" si="61">IFERROR(G54/F54-1,"")</f>
        <v/>
      </c>
      <c r="H55" s="8" t="str">
        <f t="shared" ref="H55" si="62">IFERROR(H54/G54-1,"")</f>
        <v/>
      </c>
      <c r="I55" s="8" t="str">
        <f t="shared" ref="I55" si="63">IFERROR(I54/H54-1,"")</f>
        <v/>
      </c>
      <c r="J55" s="8" t="str">
        <f t="shared" ref="J55" si="64">IFERROR(J54/I54-1,"")</f>
        <v/>
      </c>
      <c r="K55" s="8" t="str">
        <f t="shared" ref="K55" si="65">IFERROR(K54/J54-1,"")</f>
        <v/>
      </c>
      <c r="L55" s="8" t="str">
        <f>IFERROR(L54/K54-1,"")</f>
        <v/>
      </c>
    </row>
    <row r="56" spans="2:12" x14ac:dyDescent="0.25">
      <c r="B56" t="s">
        <v>8</v>
      </c>
      <c r="C56" s="31">
        <v>191183</v>
      </c>
      <c r="D56" s="31">
        <v>160887</v>
      </c>
      <c r="E56" s="31">
        <v>145041</v>
      </c>
      <c r="F56" s="31">
        <v>153633</v>
      </c>
      <c r="G56" s="31">
        <v>160451</v>
      </c>
      <c r="H56" s="31">
        <v>149988</v>
      </c>
      <c r="I56" s="31">
        <v>160377</v>
      </c>
      <c r="J56" s="31">
        <v>120287</v>
      </c>
      <c r="K56" s="31">
        <v>130243</v>
      </c>
      <c r="L56" s="31">
        <v>74564</v>
      </c>
    </row>
    <row r="57" spans="2:12" x14ac:dyDescent="0.25">
      <c r="B57" s="17" t="s">
        <v>57</v>
      </c>
      <c r="C57" s="8" t="str">
        <f>IFERROR(C56/B56-1,"")</f>
        <v/>
      </c>
      <c r="D57" s="8">
        <f t="shared" ref="D57" si="66">IFERROR(D56/C56-1,"")</f>
        <v>-0.15846597239294291</v>
      </c>
      <c r="E57" s="8">
        <f t="shared" ref="E57" si="67">IFERROR(E56/D56-1,"")</f>
        <v>-9.8491487814428735E-2</v>
      </c>
      <c r="F57" s="8">
        <f t="shared" ref="F57" si="68">IFERROR(F56/E56-1,"")</f>
        <v>5.9238422239228816E-2</v>
      </c>
      <c r="G57" s="8">
        <f t="shared" ref="G57" si="69">IFERROR(G56/F56-1,"")</f>
        <v>4.4378486392897321E-2</v>
      </c>
      <c r="H57" s="8">
        <f t="shared" ref="H57" si="70">IFERROR(H56/G56-1,"")</f>
        <v>-6.5209939483082069E-2</v>
      </c>
      <c r="I57" s="8">
        <f t="shared" ref="I57" si="71">IFERROR(I56/H56-1,"")</f>
        <v>6.9265541243299422E-2</v>
      </c>
      <c r="J57" s="8">
        <f t="shared" ref="J57" si="72">IFERROR(J56/I56-1,"")</f>
        <v>-0.24997349994076457</v>
      </c>
      <c r="K57" s="8">
        <f t="shared" ref="K57" si="73">IFERROR(K56/J56-1,"")</f>
        <v>8.2768711498333092E-2</v>
      </c>
      <c r="L57" s="8">
        <f>IFERROR(L56/K56-1,"")</f>
        <v>-0.42750090215980896</v>
      </c>
    </row>
    <row r="58" spans="2:12" x14ac:dyDescent="0.25">
      <c r="B58" t="s">
        <v>2</v>
      </c>
      <c r="C58" s="31">
        <v>80736</v>
      </c>
      <c r="D58" s="31">
        <v>71295</v>
      </c>
      <c r="E58" s="31">
        <v>114568</v>
      </c>
      <c r="F58" s="31">
        <v>157087</v>
      </c>
      <c r="G58" s="31">
        <v>169455</v>
      </c>
      <c r="H58" s="31">
        <v>163228</v>
      </c>
      <c r="I58" s="31">
        <v>163306</v>
      </c>
      <c r="J58" s="31">
        <v>159486</v>
      </c>
      <c r="K58" s="31">
        <v>153837</v>
      </c>
      <c r="L58" s="31">
        <v>124323</v>
      </c>
    </row>
    <row r="59" spans="2:12" x14ac:dyDescent="0.25">
      <c r="B59" s="17" t="s">
        <v>57</v>
      </c>
      <c r="C59" s="8" t="str">
        <f>IFERROR(C58/B58-1,"")</f>
        <v/>
      </c>
      <c r="D59" s="8">
        <f t="shared" ref="D59" si="74">IFERROR(D58/C58-1,"")</f>
        <v>-0.11693668252080858</v>
      </c>
      <c r="E59" s="8">
        <f t="shared" ref="E59" si="75">IFERROR(E58/D58-1,"")</f>
        <v>0.60695700960796684</v>
      </c>
      <c r="F59" s="8">
        <f t="shared" ref="F59" si="76">IFERROR(F58/E58-1,"")</f>
        <v>0.37112457230640317</v>
      </c>
      <c r="G59" s="8">
        <f t="shared" ref="G59" si="77">IFERROR(G58/F58-1,"")</f>
        <v>7.8733440704832347E-2</v>
      </c>
      <c r="H59" s="8">
        <f t="shared" ref="H59" si="78">IFERROR(H58/G58-1,"")</f>
        <v>-3.6747219025699995E-2</v>
      </c>
      <c r="I59" s="8">
        <f t="shared" ref="I59" si="79">IFERROR(I58/H58-1,"")</f>
        <v>4.7785919082521389E-4</v>
      </c>
      <c r="J59" s="8">
        <f t="shared" ref="J59" si="80">IFERROR(J58/I58-1,"")</f>
        <v>-2.3391669626345646E-2</v>
      </c>
      <c r="K59" s="8">
        <f t="shared" ref="K59" si="81">IFERROR(K58/J58-1,"")</f>
        <v>-3.5420036868439864E-2</v>
      </c>
      <c r="L59" s="8">
        <f>IFERROR(L58/K58-1,"")</f>
        <v>-0.19185241521870555</v>
      </c>
    </row>
    <row r="60" spans="2:12" x14ac:dyDescent="0.25">
      <c r="B60" t="s">
        <v>14</v>
      </c>
      <c r="C60" s="31">
        <v>990</v>
      </c>
      <c r="D60" s="31">
        <v>26409</v>
      </c>
      <c r="E60" s="31">
        <v>25489</v>
      </c>
      <c r="F60" s="31">
        <v>25845</v>
      </c>
      <c r="G60" s="31">
        <v>24516</v>
      </c>
      <c r="H60" s="31">
        <v>18720</v>
      </c>
      <c r="I60" s="31">
        <v>13825</v>
      </c>
      <c r="J60" s="31">
        <v>14369</v>
      </c>
      <c r="K60" s="31">
        <v>11479</v>
      </c>
      <c r="L60" s="31">
        <v>7593</v>
      </c>
    </row>
    <row r="61" spans="2:12" x14ac:dyDescent="0.25">
      <c r="B61" s="17" t="s">
        <v>57</v>
      </c>
      <c r="C61" s="8" t="str">
        <f>IFERROR(C60/B60-1,"")</f>
        <v/>
      </c>
      <c r="D61" s="8">
        <f t="shared" ref="D61" si="82">IFERROR(D60/C60-1,"")</f>
        <v>25.675757575757576</v>
      </c>
      <c r="E61" s="8">
        <f t="shared" ref="E61" si="83">IFERROR(E60/D60-1,"")</f>
        <v>-3.4836608731871666E-2</v>
      </c>
      <c r="F61" s="8">
        <f t="shared" ref="F61" si="84">IFERROR(F60/E60-1,"")</f>
        <v>1.3966809211816811E-2</v>
      </c>
      <c r="G61" s="8">
        <f t="shared" ref="G61" si="85">IFERROR(G60/F60-1,"")</f>
        <v>-5.1421938479396356E-2</v>
      </c>
      <c r="H61" s="8">
        <f t="shared" ref="H61" si="86">IFERROR(H60/G60-1,"")</f>
        <v>-0.23641703377386192</v>
      </c>
      <c r="I61" s="8">
        <f t="shared" ref="I61" si="87">IFERROR(I60/H60-1,"")</f>
        <v>-0.26148504273504269</v>
      </c>
      <c r="J61" s="8">
        <f t="shared" ref="J61" si="88">IFERROR(J60/I60-1,"")</f>
        <v>3.9349005424954786E-2</v>
      </c>
      <c r="K61" s="8">
        <f t="shared" ref="K61" si="89">IFERROR(K60/J60-1,"")</f>
        <v>-0.20112742710000697</v>
      </c>
      <c r="L61" s="8">
        <f>IFERROR(L60/K60-1,"")</f>
        <v>-0.33853123094346194</v>
      </c>
    </row>
    <row r="62" spans="2:12" x14ac:dyDescent="0.25">
      <c r="B62" t="s">
        <v>10</v>
      </c>
      <c r="C62" s="31"/>
      <c r="D62" s="31"/>
      <c r="E62" s="31"/>
      <c r="F62" s="31"/>
      <c r="G62" s="31"/>
      <c r="H62" s="31"/>
      <c r="I62" s="31"/>
      <c r="J62" s="31">
        <v>2398</v>
      </c>
      <c r="K62" s="31">
        <v>38721</v>
      </c>
      <c r="L62" s="31">
        <v>18726</v>
      </c>
    </row>
    <row r="63" spans="2:12" x14ac:dyDescent="0.25">
      <c r="B63" s="17" t="s">
        <v>57</v>
      </c>
      <c r="C63" s="8" t="str">
        <f>IFERROR(C62/B62-1,"")</f>
        <v/>
      </c>
      <c r="D63" s="8" t="str">
        <f t="shared" ref="D63" si="90">IFERROR(D62/C62-1,"")</f>
        <v/>
      </c>
      <c r="E63" s="8" t="str">
        <f t="shared" ref="E63" si="91">IFERROR(E62/D62-1,"")</f>
        <v/>
      </c>
      <c r="F63" s="8" t="str">
        <f t="shared" ref="F63" si="92">IFERROR(F62/E62-1,"")</f>
        <v/>
      </c>
      <c r="G63" s="8" t="str">
        <f t="shared" ref="G63" si="93">IFERROR(G62/F62-1,"")</f>
        <v/>
      </c>
      <c r="H63" s="8" t="str">
        <f t="shared" ref="H63" si="94">IFERROR(H62/G62-1,"")</f>
        <v/>
      </c>
      <c r="I63" s="8" t="str">
        <f t="shared" ref="I63" si="95">IFERROR(I62/H62-1,"")</f>
        <v/>
      </c>
      <c r="J63" s="8" t="str">
        <f t="shared" ref="J63" si="96">IFERROR(J62/I62-1,"")</f>
        <v/>
      </c>
      <c r="K63" s="8">
        <f t="shared" ref="K63" si="97">IFERROR(K62/J62-1,"")</f>
        <v>15.147206005004172</v>
      </c>
      <c r="L63" s="8">
        <f>IFERROR(L62/K62-1,"")</f>
        <v>-0.51638645696133878</v>
      </c>
    </row>
    <row r="64" spans="2:12" x14ac:dyDescent="0.25">
      <c r="B64" t="s">
        <v>15</v>
      </c>
      <c r="C64" s="31"/>
      <c r="D64" s="31"/>
      <c r="E64" s="31"/>
      <c r="F64" s="31"/>
      <c r="G64" s="31"/>
      <c r="H64" s="31"/>
      <c r="I64" s="31">
        <v>13146</v>
      </c>
      <c r="J64" s="31">
        <v>10151</v>
      </c>
      <c r="K64" s="31">
        <v>1506</v>
      </c>
      <c r="L64" s="31"/>
    </row>
    <row r="65" spans="2:12" x14ac:dyDescent="0.25">
      <c r="B65" s="17" t="s">
        <v>57</v>
      </c>
      <c r="C65" s="8" t="str">
        <f>IFERROR(C64/B64-1,"")</f>
        <v/>
      </c>
      <c r="D65" s="8" t="str">
        <f t="shared" ref="D65" si="98">IFERROR(D64/C64-1,"")</f>
        <v/>
      </c>
      <c r="E65" s="8" t="str">
        <f t="shared" ref="E65" si="99">IFERROR(E64/D64-1,"")</f>
        <v/>
      </c>
      <c r="F65" s="8" t="str">
        <f t="shared" ref="F65" si="100">IFERROR(F64/E64-1,"")</f>
        <v/>
      </c>
      <c r="G65" s="8" t="str">
        <f t="shared" ref="G65" si="101">IFERROR(G64/F64-1,"")</f>
        <v/>
      </c>
      <c r="H65" s="8" t="str">
        <f t="shared" ref="H65" si="102">IFERROR(H64/G64-1,"")</f>
        <v/>
      </c>
      <c r="I65" s="8" t="str">
        <f t="shared" ref="I65" si="103">IFERROR(I64/H64-1,"")</f>
        <v/>
      </c>
      <c r="J65" s="8">
        <f t="shared" ref="J65" si="104">IFERROR(J64/I64-1,"")</f>
        <v>-0.22782595466301536</v>
      </c>
      <c r="K65" s="8">
        <f t="shared" ref="K65" si="105">IFERROR(K64/J64-1,"")</f>
        <v>-0.8516402324894099</v>
      </c>
      <c r="L65" s="8">
        <f>IFERROR(L64/K64-1,"")</f>
        <v>-1</v>
      </c>
    </row>
    <row r="66" spans="2:12" x14ac:dyDescent="0.25">
      <c r="B66" t="s">
        <v>51</v>
      </c>
      <c r="C66" s="31">
        <v>352936</v>
      </c>
      <c r="D66" s="31">
        <v>321316</v>
      </c>
      <c r="E66" s="31">
        <v>352824</v>
      </c>
      <c r="F66" s="31">
        <v>394860</v>
      </c>
      <c r="G66" s="31">
        <v>415076</v>
      </c>
      <c r="H66" s="31">
        <v>417012</v>
      </c>
      <c r="I66" s="31">
        <v>479302</v>
      </c>
      <c r="J66" s="31">
        <v>528029</v>
      </c>
      <c r="K66" s="31">
        <v>591809</v>
      </c>
      <c r="L66" s="31">
        <v>406452</v>
      </c>
    </row>
    <row r="67" spans="2:12" x14ac:dyDescent="0.25">
      <c r="B67" s="17" t="s">
        <v>57</v>
      </c>
      <c r="C67" s="8" t="str">
        <f>IFERROR(C66/B66-1,"")</f>
        <v/>
      </c>
      <c r="D67" s="8">
        <f t="shared" ref="D67" si="106">IFERROR(D66/C66-1,"")</f>
        <v>-8.9591314005938782E-2</v>
      </c>
      <c r="E67" s="8">
        <f t="shared" ref="E67" si="107">IFERROR(E66/D66-1,"")</f>
        <v>9.8059231410823067E-2</v>
      </c>
      <c r="F67" s="8">
        <f t="shared" ref="F67" si="108">IFERROR(F66/E66-1,"")</f>
        <v>0.11914155499625867</v>
      </c>
      <c r="G67" s="8">
        <f t="shared" ref="G67" si="109">IFERROR(G66/F66-1,"")</f>
        <v>5.1197892924074395E-2</v>
      </c>
      <c r="H67" s="8">
        <f t="shared" ref="H67" si="110">IFERROR(H66/G66-1,"")</f>
        <v>4.664206073104582E-3</v>
      </c>
      <c r="I67" s="8">
        <f t="shared" ref="I67" si="111">IFERROR(I66/H66-1,"")</f>
        <v>0.14937220032037457</v>
      </c>
      <c r="J67" s="8">
        <f t="shared" ref="J67" si="112">IFERROR(J66/I66-1,"")</f>
        <v>0.10166241743201576</v>
      </c>
      <c r="K67" s="8">
        <f t="shared" ref="K67" si="113">IFERROR(K66/J66-1,"")</f>
        <v>0.12078882031100568</v>
      </c>
      <c r="L67" s="8">
        <f>IFERROR(L66/K66-1,"")</f>
        <v>-0.31320409118482484</v>
      </c>
    </row>
  </sheetData>
  <sortState xmlns:xlrd2="http://schemas.microsoft.com/office/spreadsheetml/2017/richdata2" ref="A44:L67">
    <sortCondition ref="A44:A67"/>
  </sortState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C10:L17 N8:V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5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2012</v>
      </c>
      <c r="E2" s="1">
        <v>2011</v>
      </c>
    </row>
    <row r="4" spans="1:12" ht="15.75" customHeight="1" x14ac:dyDescent="0.25">
      <c r="A4" s="1" t="s">
        <v>11</v>
      </c>
      <c r="C4" s="2">
        <v>19393</v>
      </c>
      <c r="E4" s="2">
        <v>18139</v>
      </c>
      <c r="I4" s="1" t="s">
        <v>3</v>
      </c>
      <c r="J4" s="15">
        <v>0</v>
      </c>
      <c r="L4" s="13"/>
    </row>
    <row r="5" spans="1:12" ht="15.75" customHeight="1" x14ac:dyDescent="0.25">
      <c r="A5" s="1" t="s">
        <v>33</v>
      </c>
      <c r="C5" s="2">
        <v>32478</v>
      </c>
      <c r="E5" s="2">
        <v>42329</v>
      </c>
      <c r="I5" s="1" t="s">
        <v>5</v>
      </c>
      <c r="J5" s="15">
        <v>0</v>
      </c>
      <c r="L5" s="13"/>
    </row>
    <row r="6" spans="1:12" ht="15.75" customHeight="1" x14ac:dyDescent="0.25">
      <c r="A6" s="1" t="s">
        <v>38</v>
      </c>
      <c r="C6" s="2">
        <v>10854</v>
      </c>
      <c r="E6" s="2">
        <v>19559</v>
      </c>
      <c r="I6" s="1" t="s">
        <v>7</v>
      </c>
      <c r="J6" s="15">
        <v>0</v>
      </c>
      <c r="L6" s="13"/>
    </row>
    <row r="7" spans="1:12" ht="15.75" customHeight="1" x14ac:dyDescent="0.25">
      <c r="A7" s="1" t="s">
        <v>8</v>
      </c>
      <c r="C7" s="2">
        <v>160887</v>
      </c>
      <c r="E7" s="2">
        <v>191183</v>
      </c>
      <c r="I7" s="1" t="s">
        <v>9</v>
      </c>
      <c r="J7" s="15">
        <v>0</v>
      </c>
      <c r="L7" s="13"/>
    </row>
    <row r="8" spans="1:12" ht="15.75" customHeight="1" x14ac:dyDescent="0.25">
      <c r="A8" s="1" t="s">
        <v>2</v>
      </c>
      <c r="C8" s="2">
        <v>71295</v>
      </c>
      <c r="E8" s="2">
        <v>80736</v>
      </c>
    </row>
    <row r="9" spans="1:12" ht="15.75" customHeight="1" x14ac:dyDescent="0.25">
      <c r="A9" s="1" t="s">
        <v>14</v>
      </c>
      <c r="C9" s="2">
        <v>26409</v>
      </c>
      <c r="E9" s="3">
        <v>990</v>
      </c>
    </row>
    <row r="10" spans="1:12" ht="15.75" customHeight="1" x14ac:dyDescent="0.25">
      <c r="A10" s="4" t="s">
        <v>51</v>
      </c>
      <c r="C10" s="2">
        <v>321316</v>
      </c>
      <c r="E10" s="2">
        <v>352936</v>
      </c>
    </row>
    <row r="18" spans="1:7" ht="15.75" customHeight="1" x14ac:dyDescent="0.25">
      <c r="A18" s="1"/>
      <c r="G18" s="1"/>
    </row>
    <row r="19" spans="1:7" ht="15.75" customHeight="1" x14ac:dyDescent="0.25">
      <c r="C19" s="1"/>
      <c r="E19" s="1"/>
      <c r="G19" s="1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</row>
    <row r="25" spans="1:7" ht="15.75" customHeight="1" x14ac:dyDescent="0.25">
      <c r="A25" s="1"/>
      <c r="C25" s="1"/>
      <c r="E25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6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2011</v>
      </c>
      <c r="E2" s="1">
        <v>2010</v>
      </c>
    </row>
    <row r="4" spans="1:12" ht="15.75" customHeight="1" x14ac:dyDescent="0.25">
      <c r="A4" s="1" t="s">
        <v>11</v>
      </c>
      <c r="C4" s="2">
        <v>18139</v>
      </c>
      <c r="E4" s="2">
        <v>10023</v>
      </c>
      <c r="I4" s="1" t="s">
        <v>3</v>
      </c>
      <c r="J4" s="15">
        <v>0</v>
      </c>
      <c r="L4" s="13"/>
    </row>
    <row r="5" spans="1:12" ht="15.75" customHeight="1" x14ac:dyDescent="0.25">
      <c r="A5" s="1" t="s">
        <v>33</v>
      </c>
      <c r="C5" s="2">
        <v>42329</v>
      </c>
      <c r="E5" s="2">
        <v>43351</v>
      </c>
      <c r="I5" s="1" t="s">
        <v>5</v>
      </c>
      <c r="J5" s="15">
        <v>0</v>
      </c>
      <c r="L5" s="13"/>
    </row>
    <row r="6" spans="1:12" ht="15.75" customHeight="1" x14ac:dyDescent="0.25">
      <c r="A6" s="1" t="s">
        <v>38</v>
      </c>
      <c r="C6" s="2">
        <v>19559</v>
      </c>
      <c r="E6" s="2">
        <v>23108</v>
      </c>
      <c r="I6" s="1" t="s">
        <v>7</v>
      </c>
      <c r="J6" s="15">
        <v>0</v>
      </c>
      <c r="L6" s="13"/>
    </row>
    <row r="7" spans="1:12" ht="15.75" customHeight="1" x14ac:dyDescent="0.25">
      <c r="A7" s="1" t="s">
        <v>8</v>
      </c>
      <c r="C7" s="2">
        <v>191183</v>
      </c>
      <c r="E7" s="2">
        <v>189083</v>
      </c>
      <c r="I7" s="1" t="s">
        <v>9</v>
      </c>
      <c r="J7" s="15">
        <v>0</v>
      </c>
      <c r="L7" s="13"/>
    </row>
    <row r="8" spans="1:12" ht="15.75" customHeight="1" x14ac:dyDescent="0.25">
      <c r="A8" s="1" t="s">
        <v>2</v>
      </c>
      <c r="C8" s="2">
        <v>80736</v>
      </c>
      <c r="E8" s="2">
        <v>79462</v>
      </c>
    </row>
    <row r="9" spans="1:12" ht="15.75" customHeight="1" x14ac:dyDescent="0.25">
      <c r="A9" s="1" t="s">
        <v>14</v>
      </c>
      <c r="C9" s="1">
        <v>990</v>
      </c>
      <c r="E9" s="1" t="s">
        <v>13</v>
      </c>
    </row>
    <row r="10" spans="1:12" ht="15.75" customHeight="1" x14ac:dyDescent="0.25">
      <c r="A10" s="4" t="s">
        <v>51</v>
      </c>
      <c r="C10" s="2">
        <v>352936</v>
      </c>
      <c r="E10" s="2">
        <v>345027</v>
      </c>
    </row>
    <row r="19" spans="1:7" ht="15.75" customHeight="1" x14ac:dyDescent="0.25">
      <c r="A19" s="1"/>
      <c r="G19" s="1"/>
    </row>
    <row r="20" spans="1:7" ht="15.75" customHeight="1" x14ac:dyDescent="0.25"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</row>
    <row r="26" spans="1:7" ht="15.75" customHeight="1" x14ac:dyDescent="0.25">
      <c r="A26" s="1"/>
      <c r="C26" s="1"/>
      <c r="E26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801B-8563-46F6-8D26-5BD65E4AA0B5}">
  <sheetPr>
    <outlinePr summaryBelow="0" summaryRight="0"/>
  </sheetPr>
  <dimension ref="A1:G9"/>
  <sheetViews>
    <sheetView workbookViewId="0">
      <selection activeCell="D14" sqref="D14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16</v>
      </c>
      <c r="B1" s="3"/>
      <c r="C1" s="3"/>
      <c r="D1" s="3"/>
      <c r="E1" s="3"/>
      <c r="F1" s="3"/>
      <c r="G1" s="3"/>
    </row>
    <row r="2" spans="1:7" ht="12.5" x14ac:dyDescent="0.25">
      <c r="C2" s="3">
        <v>2020</v>
      </c>
      <c r="E2" s="3">
        <v>2019</v>
      </c>
      <c r="G2" s="3" t="s">
        <v>17</v>
      </c>
    </row>
    <row r="4" spans="1:7" ht="12.5" x14ac:dyDescent="0.25">
      <c r="A4" s="3" t="s">
        <v>18</v>
      </c>
      <c r="C4" s="3">
        <v>427</v>
      </c>
      <c r="E4" s="3">
        <v>574</v>
      </c>
      <c r="G4" s="3" t="s">
        <v>19</v>
      </c>
    </row>
    <row r="5" spans="1:7" ht="12.5" x14ac:dyDescent="0.25">
      <c r="A5" s="3" t="s">
        <v>20</v>
      </c>
      <c r="C5" s="3">
        <v>484</v>
      </c>
      <c r="E5" s="3">
        <v>667</v>
      </c>
      <c r="G5" s="3" t="s">
        <v>21</v>
      </c>
    </row>
    <row r="6" spans="1:7" ht="12.5" x14ac:dyDescent="0.25">
      <c r="A6" s="3" t="s">
        <v>22</v>
      </c>
      <c r="C6" s="3">
        <v>406</v>
      </c>
      <c r="E6" s="3">
        <v>592</v>
      </c>
      <c r="G6" s="3" t="s">
        <v>23</v>
      </c>
    </row>
    <row r="7" spans="1:7" ht="12.5" x14ac:dyDescent="0.25">
      <c r="A7" s="3" t="s">
        <v>24</v>
      </c>
      <c r="C7" s="2">
        <v>9198</v>
      </c>
      <c r="E7" s="2">
        <v>11496</v>
      </c>
      <c r="G7" s="3" t="s">
        <v>25</v>
      </c>
    </row>
    <row r="8" spans="1:7" ht="12.5" x14ac:dyDescent="0.25">
      <c r="A8" s="3" t="s">
        <v>26</v>
      </c>
      <c r="C8" s="3" t="s">
        <v>27</v>
      </c>
      <c r="E8" s="3">
        <v>445</v>
      </c>
      <c r="G8" s="3" t="s">
        <v>28</v>
      </c>
    </row>
    <row r="9" spans="1:7" ht="12.5" x14ac:dyDescent="0.25">
      <c r="A9" s="3" t="s">
        <v>29</v>
      </c>
      <c r="C9" s="3" t="s">
        <v>30</v>
      </c>
      <c r="E9" s="3">
        <v>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9C6B-FA50-479D-B602-51DFB6FB71F2}">
  <sheetPr>
    <outlinePr summaryBelow="0" summaryRight="0"/>
  </sheetPr>
  <dimension ref="A1:G9"/>
  <sheetViews>
    <sheetView workbookViewId="0">
      <selection activeCell="D16" sqref="D1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  <c r="B1" s="3"/>
      <c r="C1" s="3"/>
      <c r="D1" s="3"/>
      <c r="E1" s="3"/>
      <c r="F1" s="3"/>
      <c r="G1" s="3"/>
    </row>
    <row r="2" spans="1:7" ht="12.5" x14ac:dyDescent="0.25">
      <c r="C2" s="3">
        <v>2019</v>
      </c>
      <c r="E2" s="3">
        <v>2018</v>
      </c>
      <c r="G2" s="3" t="s">
        <v>17</v>
      </c>
    </row>
    <row r="4" spans="1:7" ht="12.5" x14ac:dyDescent="0.25">
      <c r="A4" s="3" t="s">
        <v>18</v>
      </c>
      <c r="C4" s="3">
        <v>574</v>
      </c>
      <c r="E4" s="3">
        <v>518</v>
      </c>
      <c r="G4" s="3">
        <f>10.9</f>
        <v>10.9</v>
      </c>
    </row>
    <row r="5" spans="1:7" ht="12.5" x14ac:dyDescent="0.25">
      <c r="A5" s="3" t="s">
        <v>20</v>
      </c>
      <c r="C5" s="3">
        <v>667</v>
      </c>
      <c r="E5" s="3">
        <v>608</v>
      </c>
      <c r="G5" s="3">
        <f>9.8</f>
        <v>9.8000000000000007</v>
      </c>
    </row>
    <row r="6" spans="1:7" ht="12.5" x14ac:dyDescent="0.25">
      <c r="A6" s="3" t="s">
        <v>22</v>
      </c>
      <c r="C6" s="3">
        <v>592</v>
      </c>
      <c r="E6" s="3">
        <v>528</v>
      </c>
      <c r="G6" s="3">
        <f>12.1</f>
        <v>12.1</v>
      </c>
    </row>
    <row r="7" spans="1:7" ht="12.5" x14ac:dyDescent="0.25">
      <c r="A7" s="3" t="s">
        <v>24</v>
      </c>
      <c r="C7" s="2">
        <v>11496</v>
      </c>
      <c r="E7" s="2">
        <v>10202</v>
      </c>
      <c r="G7" s="3">
        <f>12.7</f>
        <v>12.7</v>
      </c>
    </row>
    <row r="8" spans="1:7" ht="12.5" x14ac:dyDescent="0.25">
      <c r="A8" s="3" t="s">
        <v>26</v>
      </c>
      <c r="C8" s="3">
        <v>445</v>
      </c>
      <c r="E8" s="3">
        <v>254</v>
      </c>
      <c r="G8" s="3">
        <f>74.7</f>
        <v>74.7</v>
      </c>
    </row>
    <row r="9" spans="1:7" ht="12.5" x14ac:dyDescent="0.25">
      <c r="A9" s="3" t="s">
        <v>29</v>
      </c>
      <c r="C9" s="3">
        <v>3.9</v>
      </c>
      <c r="E9" s="3">
        <v>2.5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1526-DFAD-4570-B51A-08A0CD7E2941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2018</v>
      </c>
      <c r="E2" s="3">
        <v>2017</v>
      </c>
      <c r="G2" s="3" t="s">
        <v>17</v>
      </c>
    </row>
    <row r="4" spans="1:7" ht="12.5" x14ac:dyDescent="0.25">
      <c r="A4" s="3" t="s">
        <v>18</v>
      </c>
      <c r="C4" s="3">
        <v>518</v>
      </c>
      <c r="E4" s="3">
        <v>468</v>
      </c>
      <c r="G4" s="3">
        <f>10.5</f>
        <v>10.5</v>
      </c>
    </row>
    <row r="5" spans="1:7" ht="12.5" x14ac:dyDescent="0.25">
      <c r="A5" s="3" t="s">
        <v>20</v>
      </c>
      <c r="C5" s="3">
        <v>608</v>
      </c>
      <c r="E5" s="3">
        <v>595</v>
      </c>
      <c r="G5" s="3">
        <f>2.2</f>
        <v>2.2000000000000002</v>
      </c>
    </row>
    <row r="6" spans="1:7" ht="12.5" x14ac:dyDescent="0.25">
      <c r="A6" s="3" t="s">
        <v>22</v>
      </c>
      <c r="C6" s="3">
        <v>528</v>
      </c>
      <c r="E6" s="3">
        <v>479</v>
      </c>
      <c r="G6" s="3">
        <f>10.2</f>
        <v>10.199999999999999</v>
      </c>
    </row>
    <row r="7" spans="1:7" ht="12.5" x14ac:dyDescent="0.25">
      <c r="A7" s="3" t="s">
        <v>24</v>
      </c>
      <c r="C7" s="2">
        <v>10202</v>
      </c>
      <c r="E7" s="2">
        <v>9892</v>
      </c>
      <c r="G7" s="3">
        <f>3.1</f>
        <v>3.1</v>
      </c>
    </row>
    <row r="8" spans="1:7" ht="12.5" x14ac:dyDescent="0.25">
      <c r="A8" s="3" t="s">
        <v>26</v>
      </c>
      <c r="C8" s="3">
        <v>254</v>
      </c>
      <c r="E8" s="3">
        <v>191</v>
      </c>
      <c r="G8" s="3">
        <f>33.4</f>
        <v>33.4</v>
      </c>
    </row>
    <row r="9" spans="1:7" ht="12.5" x14ac:dyDescent="0.25">
      <c r="A9" s="3" t="s">
        <v>29</v>
      </c>
      <c r="C9" s="3">
        <v>2.5</v>
      </c>
      <c r="E9" s="3">
        <v>1.9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8320-1049-4E33-834F-CB0E122596D0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2017</v>
      </c>
      <c r="E2" s="3">
        <v>2016</v>
      </c>
      <c r="G2" s="3" t="s">
        <v>17</v>
      </c>
    </row>
    <row r="4" spans="1:7" ht="12.5" x14ac:dyDescent="0.25">
      <c r="A4" s="3" t="s">
        <v>18</v>
      </c>
      <c r="C4" s="3">
        <v>468</v>
      </c>
      <c r="E4" s="3">
        <v>409</v>
      </c>
      <c r="G4" s="3">
        <f>14.6</f>
        <v>14.6</v>
      </c>
    </row>
    <row r="5" spans="1:7" ht="12.5" x14ac:dyDescent="0.25">
      <c r="A5" s="3" t="s">
        <v>20</v>
      </c>
      <c r="C5" s="3">
        <v>595</v>
      </c>
      <c r="E5" s="3">
        <v>548</v>
      </c>
      <c r="G5" s="3">
        <f>8.5</f>
        <v>8.5</v>
      </c>
    </row>
    <row r="6" spans="1:7" ht="12.5" x14ac:dyDescent="0.25">
      <c r="A6" s="3" t="s">
        <v>22</v>
      </c>
      <c r="C6" s="3">
        <v>479</v>
      </c>
      <c r="E6" s="3">
        <v>417</v>
      </c>
      <c r="G6" s="3">
        <f>14.9</f>
        <v>14.9</v>
      </c>
    </row>
    <row r="7" spans="1:7" ht="12.5" x14ac:dyDescent="0.25">
      <c r="A7" s="3" t="s">
        <v>24</v>
      </c>
      <c r="C7" s="2">
        <v>9892</v>
      </c>
      <c r="E7" s="2">
        <v>8894</v>
      </c>
      <c r="G7" s="3">
        <f>11.2</f>
        <v>11.2</v>
      </c>
    </row>
    <row r="8" spans="1:7" ht="12.5" x14ac:dyDescent="0.25">
      <c r="A8" s="3" t="s">
        <v>26</v>
      </c>
      <c r="C8" s="3">
        <v>191</v>
      </c>
      <c r="E8" s="3">
        <v>153</v>
      </c>
      <c r="G8" s="3">
        <f>24.8</f>
        <v>24.8</v>
      </c>
    </row>
    <row r="9" spans="1:7" ht="12.5" x14ac:dyDescent="0.25">
      <c r="A9" s="3" t="s">
        <v>32</v>
      </c>
      <c r="C9" s="3">
        <v>1.9</v>
      </c>
      <c r="E9" s="3">
        <v>1.7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4F60-04EF-4E2E-BA49-79867A186DFD}">
  <sheetPr>
    <outlinePr summaryBelow="0" summaryRight="0"/>
  </sheetPr>
  <dimension ref="A1:G9"/>
  <sheetViews>
    <sheetView workbookViewId="0">
      <selection activeCell="A17" sqref="A1:XFD17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2016</v>
      </c>
      <c r="E2" s="3">
        <v>2015</v>
      </c>
      <c r="G2" s="3" t="s">
        <v>17</v>
      </c>
    </row>
    <row r="4" spans="1:7" ht="15.75" customHeight="1" x14ac:dyDescent="0.25">
      <c r="A4" s="3" t="s">
        <v>18</v>
      </c>
      <c r="C4" s="3">
        <v>409</v>
      </c>
      <c r="E4" s="3">
        <v>400</v>
      </c>
      <c r="G4" s="3">
        <f>2.2</f>
        <v>2.2000000000000002</v>
      </c>
    </row>
    <row r="5" spans="1:7" ht="12.5" x14ac:dyDescent="0.25">
      <c r="A5" s="3" t="s">
        <v>20</v>
      </c>
      <c r="C5" s="3">
        <v>548</v>
      </c>
      <c r="E5" s="3">
        <v>544</v>
      </c>
      <c r="G5" s="3">
        <f>0.8</f>
        <v>0.8</v>
      </c>
    </row>
    <row r="6" spans="1:7" ht="12.5" x14ac:dyDescent="0.25">
      <c r="A6" s="3" t="s">
        <v>22</v>
      </c>
      <c r="C6" s="3">
        <v>417</v>
      </c>
      <c r="E6" s="3">
        <v>415</v>
      </c>
      <c r="G6" s="3">
        <f>0.5</f>
        <v>0.5</v>
      </c>
    </row>
    <row r="7" spans="1:7" ht="12.5" x14ac:dyDescent="0.25">
      <c r="A7" s="3" t="s">
        <v>24</v>
      </c>
      <c r="C7" s="2">
        <v>8894</v>
      </c>
      <c r="E7" s="2">
        <v>8572</v>
      </c>
      <c r="G7" s="3">
        <f>3.8</f>
        <v>3.8</v>
      </c>
    </row>
    <row r="8" spans="1:7" ht="12.5" x14ac:dyDescent="0.25">
      <c r="A8" s="3" t="s">
        <v>26</v>
      </c>
      <c r="C8" s="3">
        <v>153</v>
      </c>
      <c r="E8" s="3" t="s">
        <v>34</v>
      </c>
      <c r="G8" s="3" t="s">
        <v>28</v>
      </c>
    </row>
    <row r="9" spans="1:7" ht="12.5" x14ac:dyDescent="0.25">
      <c r="A9" s="3" t="s">
        <v>32</v>
      </c>
      <c r="C9" s="3">
        <v>1.7</v>
      </c>
      <c r="E9" s="3" t="s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D6E-5A6B-472B-8310-F93C9E9BC9D7}">
  <sheetPr>
    <outlinePr summaryBelow="0" summaryRight="0"/>
  </sheetPr>
  <dimension ref="A1:G9"/>
  <sheetViews>
    <sheetView workbookViewId="0">
      <selection activeCell="A17" sqref="A1:XFD17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</row>
    <row r="2" spans="1:7" ht="15.75" customHeight="1" x14ac:dyDescent="0.25">
      <c r="C2" s="3">
        <v>2015</v>
      </c>
      <c r="E2" s="3">
        <v>2014</v>
      </c>
      <c r="G2" s="3" t="s">
        <v>17</v>
      </c>
    </row>
    <row r="4" spans="1:7" ht="15.75" customHeight="1" x14ac:dyDescent="0.25">
      <c r="A4" s="3" t="s">
        <v>18</v>
      </c>
      <c r="C4" s="3">
        <v>400</v>
      </c>
      <c r="E4" s="3">
        <v>391</v>
      </c>
      <c r="G4" s="3">
        <f>2.4</f>
        <v>2.4</v>
      </c>
    </row>
    <row r="5" spans="1:7" ht="12.5" x14ac:dyDescent="0.25">
      <c r="A5" s="3" t="s">
        <v>20</v>
      </c>
      <c r="C5" s="3">
        <v>544</v>
      </c>
      <c r="E5" s="3">
        <v>501</v>
      </c>
      <c r="G5" s="3">
        <f>8.4</f>
        <v>8.4</v>
      </c>
    </row>
    <row r="6" spans="1:7" ht="12.5" x14ac:dyDescent="0.25">
      <c r="A6" s="3" t="s">
        <v>22</v>
      </c>
      <c r="C6" s="3">
        <v>415</v>
      </c>
      <c r="E6" s="3">
        <v>395</v>
      </c>
      <c r="G6" s="3">
        <f>5.1</f>
        <v>5.0999999999999996</v>
      </c>
    </row>
    <row r="7" spans="1:7" ht="12.5" x14ac:dyDescent="0.25">
      <c r="A7" s="3" t="s">
        <v>24</v>
      </c>
      <c r="C7" s="2">
        <v>8572</v>
      </c>
      <c r="E7" s="2">
        <v>7699</v>
      </c>
      <c r="G7" s="3">
        <f>11.3</f>
        <v>11.3</v>
      </c>
    </row>
    <row r="8" spans="1:7" ht="12.5" x14ac:dyDescent="0.25">
      <c r="A8" s="3" t="s">
        <v>26</v>
      </c>
      <c r="C8" s="3" t="s">
        <v>34</v>
      </c>
      <c r="E8" s="3" t="s">
        <v>36</v>
      </c>
      <c r="G8" s="3">
        <f>92</f>
        <v>92</v>
      </c>
    </row>
    <row r="9" spans="1:7" ht="12.5" x14ac:dyDescent="0.25">
      <c r="A9" s="3" t="s">
        <v>32</v>
      </c>
      <c r="C9" s="3" t="s">
        <v>35</v>
      </c>
      <c r="E9" s="3" t="s">
        <v>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3E5D-153D-447E-AE6D-0B30E28CB441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</row>
    <row r="2" spans="1:7" ht="15.75" customHeight="1" x14ac:dyDescent="0.25">
      <c r="C2" s="3">
        <v>2014</v>
      </c>
      <c r="E2" s="3">
        <v>2013</v>
      </c>
      <c r="G2" s="3" t="s">
        <v>17</v>
      </c>
    </row>
    <row r="4" spans="1:7" ht="12.5" x14ac:dyDescent="0.25">
      <c r="A4" s="3" t="s">
        <v>18</v>
      </c>
      <c r="C4" s="3">
        <v>391</v>
      </c>
      <c r="E4" s="3">
        <v>355</v>
      </c>
      <c r="G4" s="3">
        <f>10</f>
        <v>10</v>
      </c>
    </row>
    <row r="5" spans="1:7" ht="12.5" x14ac:dyDescent="0.25">
      <c r="A5" s="3" t="s">
        <v>20</v>
      </c>
      <c r="C5" s="3">
        <v>501</v>
      </c>
      <c r="E5" s="3">
        <v>459</v>
      </c>
      <c r="G5" s="3">
        <f>9.2</f>
        <v>9.1999999999999993</v>
      </c>
    </row>
    <row r="6" spans="1:7" ht="12.5" x14ac:dyDescent="0.25">
      <c r="A6" s="3" t="s">
        <v>22</v>
      </c>
      <c r="C6" s="3">
        <v>395</v>
      </c>
      <c r="E6" s="3">
        <v>353</v>
      </c>
      <c r="G6" s="3">
        <f>11.9</f>
        <v>11.9</v>
      </c>
    </row>
    <row r="7" spans="1:7" ht="12.5" x14ac:dyDescent="0.25">
      <c r="A7" s="3" t="s">
        <v>24</v>
      </c>
      <c r="C7" s="2">
        <v>7699</v>
      </c>
      <c r="E7" s="2">
        <v>6874</v>
      </c>
      <c r="G7" s="3">
        <f>12</f>
        <v>12</v>
      </c>
    </row>
    <row r="8" spans="1:7" ht="12.5" x14ac:dyDescent="0.25">
      <c r="A8" s="3" t="s">
        <v>26</v>
      </c>
      <c r="C8" s="3" t="s">
        <v>36</v>
      </c>
      <c r="E8" s="3" t="s">
        <v>39</v>
      </c>
      <c r="G8" s="3">
        <f>16.3</f>
        <v>16.3</v>
      </c>
    </row>
    <row r="9" spans="1:7" ht="12.5" x14ac:dyDescent="0.25">
      <c r="A9" s="3" t="s">
        <v>32</v>
      </c>
      <c r="C9" s="3" t="s">
        <v>37</v>
      </c>
      <c r="E9" s="3" t="s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35B-804C-4FDD-90C0-F28B965E12A6}">
  <sheetPr>
    <outlinePr summaryBelow="0" summaryRight="0"/>
  </sheetPr>
  <dimension ref="A1:G9"/>
  <sheetViews>
    <sheetView workbookViewId="0">
      <selection activeCell="A16" sqref="A1:XFD1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</row>
    <row r="2" spans="1:7" ht="15.75" customHeight="1" x14ac:dyDescent="0.25">
      <c r="C2" s="3">
        <v>2013</v>
      </c>
      <c r="E2" s="3">
        <v>2012</v>
      </c>
      <c r="G2" s="3" t="s">
        <v>17</v>
      </c>
    </row>
    <row r="4" spans="1:7" ht="15.75" customHeight="1" x14ac:dyDescent="0.25">
      <c r="A4" s="3" t="s">
        <v>18</v>
      </c>
      <c r="C4" s="3">
        <v>355</v>
      </c>
      <c r="E4" s="3">
        <v>321</v>
      </c>
      <c r="G4" s="3">
        <f>10.6</f>
        <v>10.6</v>
      </c>
    </row>
    <row r="5" spans="1:7" ht="15.75" customHeight="1" x14ac:dyDescent="0.25">
      <c r="A5" s="3" t="s">
        <v>20</v>
      </c>
      <c r="C5" s="3">
        <v>459</v>
      </c>
      <c r="E5" s="3">
        <v>429</v>
      </c>
      <c r="G5" s="3">
        <f>6.9</f>
        <v>6.9</v>
      </c>
    </row>
    <row r="6" spans="1:7" ht="12.5" x14ac:dyDescent="0.25">
      <c r="A6" s="3" t="s">
        <v>22</v>
      </c>
      <c r="C6" s="3">
        <v>353</v>
      </c>
      <c r="E6" s="3">
        <v>321</v>
      </c>
      <c r="G6" s="3">
        <f>9.8</f>
        <v>9.8000000000000007</v>
      </c>
    </row>
    <row r="7" spans="1:7" ht="12.5" x14ac:dyDescent="0.25">
      <c r="A7" s="3" t="s">
        <v>24</v>
      </c>
      <c r="C7" s="2">
        <v>6874</v>
      </c>
      <c r="E7" s="2">
        <v>6485</v>
      </c>
      <c r="G7" s="3">
        <f>6</f>
        <v>6</v>
      </c>
    </row>
    <row r="8" spans="1:7" ht="12.5" x14ac:dyDescent="0.25">
      <c r="A8" s="3" t="s">
        <v>26</v>
      </c>
      <c r="C8" s="3" t="s">
        <v>41</v>
      </c>
      <c r="E8" s="3" t="s">
        <v>42</v>
      </c>
      <c r="G8" s="3">
        <f>2.9</f>
        <v>2.9</v>
      </c>
    </row>
    <row r="9" spans="1:7" ht="12.5" x14ac:dyDescent="0.25">
      <c r="A9" s="3" t="s">
        <v>32</v>
      </c>
      <c r="C9" s="3" t="s">
        <v>43</v>
      </c>
      <c r="E9" s="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9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>
        <v>2019</v>
      </c>
    </row>
    <row r="4" spans="1:12" ht="15.75" customHeight="1" x14ac:dyDescent="0.25">
      <c r="A4" s="1" t="s">
        <v>11</v>
      </c>
      <c r="C4" s="2">
        <v>14672</v>
      </c>
      <c r="E4" s="2">
        <v>23015</v>
      </c>
      <c r="I4" s="1" t="s">
        <v>3</v>
      </c>
      <c r="J4" s="14">
        <v>0.95900000000000007</v>
      </c>
      <c r="K4" s="3"/>
      <c r="L4" s="13"/>
    </row>
    <row r="5" spans="1:12" ht="15.75" customHeight="1" x14ac:dyDescent="0.25">
      <c r="A5" s="1" t="s">
        <v>4</v>
      </c>
      <c r="C5" s="2">
        <v>78823</v>
      </c>
      <c r="E5" s="2">
        <v>134611</v>
      </c>
      <c r="I5" s="1" t="s">
        <v>5</v>
      </c>
      <c r="J5" s="14">
        <v>3.5000000000000003E-2</v>
      </c>
      <c r="K5" s="3"/>
      <c r="L5" s="13"/>
    </row>
    <row r="6" spans="1:12" ht="15.75" customHeight="1" x14ac:dyDescent="0.25">
      <c r="A6" s="1" t="s">
        <v>6</v>
      </c>
      <c r="C6" s="2">
        <v>76710</v>
      </c>
      <c r="E6" s="2">
        <v>98397</v>
      </c>
      <c r="I6" s="1" t="s">
        <v>7</v>
      </c>
      <c r="J6" s="14">
        <v>5.0000000000000001E-3</v>
      </c>
      <c r="K6" s="3"/>
      <c r="L6" s="13"/>
    </row>
    <row r="7" spans="1:12" ht="15.75" customHeight="1" x14ac:dyDescent="0.25">
      <c r="A7" s="1" t="s">
        <v>12</v>
      </c>
      <c r="C7" s="2">
        <v>11041</v>
      </c>
      <c r="E7" s="3" t="s">
        <v>13</v>
      </c>
      <c r="I7" s="1" t="s">
        <v>9</v>
      </c>
      <c r="J7" s="14">
        <v>1E-3</v>
      </c>
      <c r="K7" s="3"/>
      <c r="L7" s="13"/>
    </row>
    <row r="8" spans="1:12" ht="15.75" customHeight="1" x14ac:dyDescent="0.25">
      <c r="A8" s="1" t="s">
        <v>8</v>
      </c>
      <c r="C8" s="2">
        <v>74564</v>
      </c>
      <c r="E8" s="2">
        <v>130243</v>
      </c>
    </row>
    <row r="9" spans="1:12" ht="15.75" customHeight="1" x14ac:dyDescent="0.25">
      <c r="A9" s="1" t="s">
        <v>2</v>
      </c>
      <c r="C9" s="2">
        <v>124323</v>
      </c>
      <c r="E9" s="2">
        <v>153837</v>
      </c>
    </row>
    <row r="10" spans="1:12" ht="15.75" customHeight="1" x14ac:dyDescent="0.25">
      <c r="A10" s="1" t="s">
        <v>14</v>
      </c>
      <c r="C10" s="2">
        <v>7593</v>
      </c>
      <c r="E10" s="2">
        <v>11479</v>
      </c>
    </row>
    <row r="11" spans="1:12" ht="15.75" customHeight="1" x14ac:dyDescent="0.25">
      <c r="A11" s="1" t="s">
        <v>10</v>
      </c>
      <c r="C11" s="2">
        <v>18726</v>
      </c>
      <c r="E11" s="2">
        <v>38721</v>
      </c>
    </row>
    <row r="12" spans="1:12" ht="15.75" customHeight="1" x14ac:dyDescent="0.25">
      <c r="A12" s="1" t="s">
        <v>15</v>
      </c>
      <c r="C12" s="1" t="s">
        <v>13</v>
      </c>
      <c r="E12" s="2">
        <v>1506</v>
      </c>
    </row>
    <row r="13" spans="1:12" ht="15.75" customHeight="1" x14ac:dyDescent="0.25">
      <c r="A13" s="4" t="s">
        <v>51</v>
      </c>
      <c r="C13" s="2">
        <v>406452</v>
      </c>
      <c r="E13" s="2">
        <v>591809</v>
      </c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</row>
    <row r="20" spans="1:7" ht="15.75" customHeight="1" x14ac:dyDescent="0.25">
      <c r="A20" s="1"/>
    </row>
    <row r="21" spans="1:7" ht="15.75" customHeight="1" x14ac:dyDescent="0.25">
      <c r="A21" s="1"/>
      <c r="B21" s="1"/>
      <c r="C21" s="1"/>
      <c r="D21" s="1"/>
      <c r="E21" s="1"/>
      <c r="F21" s="1"/>
      <c r="G21" s="1"/>
    </row>
    <row r="22" spans="1:7" ht="12.5" x14ac:dyDescent="0.25">
      <c r="C22" s="1"/>
      <c r="E22" s="1"/>
      <c r="G22" s="1"/>
    </row>
    <row r="24" spans="1:7" ht="12.5" x14ac:dyDescent="0.25">
      <c r="A24" s="1"/>
      <c r="C24" s="1"/>
      <c r="E24" s="1"/>
      <c r="G24" s="1"/>
    </row>
    <row r="25" spans="1:7" ht="12.5" x14ac:dyDescent="0.25">
      <c r="A25" s="1"/>
      <c r="C25" s="1"/>
      <c r="E25" s="1"/>
      <c r="G25" s="1"/>
    </row>
    <row r="26" spans="1:7" ht="12.5" x14ac:dyDescent="0.25">
      <c r="A26" s="1"/>
      <c r="C26" s="1"/>
      <c r="E26" s="1"/>
      <c r="G26" s="1"/>
    </row>
    <row r="27" spans="1:7" ht="12.5" x14ac:dyDescent="0.25">
      <c r="A27" s="1"/>
      <c r="C27" s="2"/>
      <c r="E27" s="2"/>
      <c r="G27" s="1"/>
    </row>
    <row r="28" spans="1:7" ht="12.5" x14ac:dyDescent="0.25">
      <c r="A28" s="1"/>
      <c r="C28" s="1"/>
      <c r="E28" s="1"/>
      <c r="G28" s="1"/>
    </row>
    <row r="29" spans="1:7" ht="12.5" x14ac:dyDescent="0.25">
      <c r="A29" s="1"/>
      <c r="C29" s="1"/>
      <c r="E29" s="1"/>
    </row>
  </sheetData>
  <sortState xmlns:xlrd2="http://schemas.microsoft.com/office/spreadsheetml/2017/richdata2" ref="A4:E12">
    <sortCondition ref="A4:A1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3185-14BE-4C04-9247-6453424CA576}">
  <sheetPr>
    <outlinePr summaryBelow="0" summaryRight="0"/>
  </sheetPr>
  <dimension ref="A1:G9"/>
  <sheetViews>
    <sheetView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</row>
    <row r="2" spans="1:7" ht="15.75" customHeight="1" x14ac:dyDescent="0.25">
      <c r="C2" s="3">
        <v>2012</v>
      </c>
      <c r="E2" s="3">
        <v>2011</v>
      </c>
      <c r="G2" s="3" t="s">
        <v>17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18</v>
      </c>
      <c r="C4" s="3">
        <v>321</v>
      </c>
      <c r="E4" s="3">
        <v>350</v>
      </c>
      <c r="G4" s="3" t="s">
        <v>45</v>
      </c>
    </row>
    <row r="5" spans="1:7" ht="15.75" customHeight="1" x14ac:dyDescent="0.25">
      <c r="A5" s="3" t="s">
        <v>20</v>
      </c>
      <c r="C5" s="3">
        <v>429</v>
      </c>
      <c r="E5" s="3">
        <v>362</v>
      </c>
      <c r="G5" s="3">
        <f>18.8</f>
        <v>18.8</v>
      </c>
    </row>
    <row r="6" spans="1:7" ht="15.75" customHeight="1" x14ac:dyDescent="0.25">
      <c r="A6" s="3" t="s">
        <v>22</v>
      </c>
      <c r="C6" s="3">
        <v>321</v>
      </c>
      <c r="E6" s="3">
        <v>353</v>
      </c>
      <c r="G6" s="3" t="s">
        <v>46</v>
      </c>
    </row>
    <row r="7" spans="1:7" ht="12.5" x14ac:dyDescent="0.25">
      <c r="A7" s="3" t="s">
        <v>24</v>
      </c>
      <c r="C7" s="2">
        <v>6485</v>
      </c>
      <c r="E7" s="2">
        <v>5393</v>
      </c>
      <c r="G7" s="3">
        <f>20.2</f>
        <v>20.2</v>
      </c>
    </row>
    <row r="8" spans="1:7" ht="12.5" x14ac:dyDescent="0.25">
      <c r="A8" s="3" t="s">
        <v>26</v>
      </c>
      <c r="C8" s="3" t="s">
        <v>42</v>
      </c>
      <c r="E8" s="3" t="s">
        <v>47</v>
      </c>
      <c r="G8" s="3">
        <f>30.7</f>
        <v>30.7</v>
      </c>
    </row>
    <row r="9" spans="1:7" ht="12.5" x14ac:dyDescent="0.25">
      <c r="A9" s="3" t="s">
        <v>32</v>
      </c>
      <c r="C9" s="3" t="s">
        <v>44</v>
      </c>
      <c r="E9" s="3" t="s">
        <v>48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05A5-DB3C-4AF5-A118-55103D143035}">
  <sheetPr>
    <outlinePr summaryBelow="0" summaryRight="0"/>
  </sheetPr>
  <dimension ref="A1:G9"/>
  <sheetViews>
    <sheetView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31</v>
      </c>
    </row>
    <row r="2" spans="1:7" ht="15.75" customHeight="1" x14ac:dyDescent="0.25">
      <c r="C2" s="3">
        <v>2011</v>
      </c>
      <c r="E2" s="3">
        <v>2010</v>
      </c>
      <c r="G2" s="3" t="s">
        <v>17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18</v>
      </c>
      <c r="C4" s="3">
        <v>350</v>
      </c>
      <c r="E4" s="3">
        <v>340</v>
      </c>
      <c r="G4" s="3">
        <f>3.1</f>
        <v>3.1</v>
      </c>
    </row>
    <row r="5" spans="1:7" ht="15.75" customHeight="1" x14ac:dyDescent="0.25">
      <c r="A5" s="3" t="s">
        <v>20</v>
      </c>
      <c r="C5" s="3">
        <v>362</v>
      </c>
      <c r="E5" s="3">
        <v>349</v>
      </c>
      <c r="G5" s="3">
        <f>3.6</f>
        <v>3.6</v>
      </c>
    </row>
    <row r="6" spans="1:7" ht="12.5" x14ac:dyDescent="0.25">
      <c r="A6" s="3" t="s">
        <v>22</v>
      </c>
      <c r="C6" s="3">
        <v>353</v>
      </c>
      <c r="E6" s="3">
        <v>345</v>
      </c>
      <c r="G6" s="3">
        <f>2.3</f>
        <v>2.2999999999999998</v>
      </c>
    </row>
    <row r="7" spans="1:7" ht="12.5" x14ac:dyDescent="0.25">
      <c r="A7" s="3" t="s">
        <v>24</v>
      </c>
      <c r="C7" s="2">
        <v>5393</v>
      </c>
      <c r="E7" s="2">
        <v>5038</v>
      </c>
      <c r="G7" s="3">
        <f>7.1</f>
        <v>7.1</v>
      </c>
    </row>
    <row r="8" spans="1:7" ht="12.5" x14ac:dyDescent="0.25">
      <c r="A8" s="3" t="s">
        <v>26</v>
      </c>
      <c r="C8" s="3" t="s">
        <v>47</v>
      </c>
      <c r="E8" s="3" t="s">
        <v>49</v>
      </c>
      <c r="G8" s="3">
        <f>27.6</f>
        <v>27.6</v>
      </c>
    </row>
    <row r="9" spans="1:7" ht="12.5" x14ac:dyDescent="0.25">
      <c r="A9" s="3" t="s">
        <v>32</v>
      </c>
      <c r="C9" s="3" t="s">
        <v>48</v>
      </c>
      <c r="E9" s="3" t="s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F327-B238-4CD6-A483-1A757AF16C3D}">
  <dimension ref="A19:K31"/>
  <sheetViews>
    <sheetView topLeftCell="A9" workbookViewId="0">
      <selection activeCell="K31" sqref="A20:K31"/>
    </sheetView>
  </sheetViews>
  <sheetFormatPr defaultRowHeight="12.5" x14ac:dyDescent="0.25"/>
  <sheetData>
    <row r="19" spans="1:11" x14ac:dyDescent="0.25">
      <c r="B19">
        <v>2011</v>
      </c>
      <c r="C19">
        <v>2012</v>
      </c>
      <c r="D19">
        <v>2013</v>
      </c>
      <c r="E19">
        <v>2014</v>
      </c>
      <c r="F19">
        <v>2015</v>
      </c>
      <c r="G19">
        <v>2016</v>
      </c>
      <c r="H19">
        <v>2017</v>
      </c>
      <c r="I19">
        <v>2018</v>
      </c>
      <c r="J19">
        <v>2019</v>
      </c>
      <c r="K19" s="30">
        <v>2020</v>
      </c>
    </row>
    <row r="20" spans="1:11" x14ac:dyDescent="0.25">
      <c r="A20" t="s">
        <v>11</v>
      </c>
      <c r="B20" s="31">
        <v>18139</v>
      </c>
      <c r="C20" s="31">
        <v>19393</v>
      </c>
      <c r="D20" s="31">
        <v>19990</v>
      </c>
      <c r="E20" s="31">
        <v>22612</v>
      </c>
      <c r="F20" s="31">
        <v>27925</v>
      </c>
      <c r="G20" s="31">
        <v>31214</v>
      </c>
      <c r="H20" s="31">
        <v>33638</v>
      </c>
      <c r="I20" s="31">
        <v>19588</v>
      </c>
      <c r="J20" s="31">
        <v>23015</v>
      </c>
      <c r="K20" s="31">
        <v>14672</v>
      </c>
    </row>
    <row r="21" spans="1:11" x14ac:dyDescent="0.25">
      <c r="A21" t="s">
        <v>33</v>
      </c>
      <c r="B21" s="31">
        <v>42329</v>
      </c>
      <c r="C21" s="31">
        <v>32478</v>
      </c>
      <c r="D21" s="31">
        <v>43055</v>
      </c>
      <c r="E21" s="31">
        <v>35683</v>
      </c>
      <c r="F21" s="31">
        <v>32729</v>
      </c>
      <c r="G21" s="31">
        <v>18029</v>
      </c>
      <c r="H21" s="31"/>
      <c r="I21" s="31"/>
      <c r="J21" s="31"/>
      <c r="K21" s="31"/>
    </row>
    <row r="22" spans="1:11" x14ac:dyDescent="0.25">
      <c r="A22" t="s">
        <v>38</v>
      </c>
      <c r="B22" s="31">
        <v>19559</v>
      </c>
      <c r="C22" s="31">
        <v>10854</v>
      </c>
      <c r="D22" s="31">
        <v>4681</v>
      </c>
      <c r="E22" s="31"/>
      <c r="F22" s="31"/>
      <c r="G22" s="31"/>
      <c r="H22" s="31"/>
      <c r="I22" s="31"/>
      <c r="J22" s="31"/>
      <c r="K22" s="31"/>
    </row>
    <row r="23" spans="1:11" x14ac:dyDescent="0.25">
      <c r="A23" t="s">
        <v>4</v>
      </c>
      <c r="B23" s="31"/>
      <c r="C23" s="31"/>
      <c r="D23" s="31"/>
      <c r="E23" s="31"/>
      <c r="F23" s="31"/>
      <c r="G23" s="31"/>
      <c r="H23" s="31">
        <v>17527</v>
      </c>
      <c r="I23" s="31">
        <v>110926</v>
      </c>
      <c r="J23" s="31">
        <v>134611</v>
      </c>
      <c r="K23" s="31">
        <v>78823</v>
      </c>
    </row>
    <row r="24" spans="1:11" x14ac:dyDescent="0.25">
      <c r="A24" t="s">
        <v>6</v>
      </c>
      <c r="B24" s="31"/>
      <c r="C24" s="31"/>
      <c r="D24" s="31"/>
      <c r="E24" s="31"/>
      <c r="F24" s="31"/>
      <c r="G24" s="31">
        <v>35833</v>
      </c>
      <c r="H24" s="31">
        <v>77483</v>
      </c>
      <c r="I24" s="31">
        <v>90824</v>
      </c>
      <c r="J24" s="31">
        <v>98397</v>
      </c>
      <c r="K24" s="31">
        <v>76710</v>
      </c>
    </row>
    <row r="25" spans="1:11" x14ac:dyDescent="0.25">
      <c r="A25" t="s">
        <v>12</v>
      </c>
      <c r="B25" s="31"/>
      <c r="C25" s="31"/>
      <c r="D25" s="31"/>
      <c r="E25" s="31"/>
      <c r="F25" s="31"/>
      <c r="G25" s="31"/>
      <c r="H25" s="31"/>
      <c r="I25" s="31"/>
      <c r="J25" s="31"/>
      <c r="K25" s="31">
        <v>11041</v>
      </c>
    </row>
    <row r="26" spans="1:11" x14ac:dyDescent="0.25">
      <c r="A26" t="s">
        <v>8</v>
      </c>
      <c r="B26" s="31">
        <v>191183</v>
      </c>
      <c r="C26" s="31">
        <v>160887</v>
      </c>
      <c r="D26" s="31">
        <v>145041</v>
      </c>
      <c r="E26" s="31">
        <v>153633</v>
      </c>
      <c r="F26" s="31">
        <v>160451</v>
      </c>
      <c r="G26" s="31">
        <v>149988</v>
      </c>
      <c r="H26" s="31">
        <v>160377</v>
      </c>
      <c r="I26" s="31">
        <v>120287</v>
      </c>
      <c r="J26" s="31">
        <v>130243</v>
      </c>
      <c r="K26" s="31">
        <v>74564</v>
      </c>
    </row>
    <row r="27" spans="1:11" x14ac:dyDescent="0.25">
      <c r="A27" t="s">
        <v>2</v>
      </c>
      <c r="B27" s="31">
        <v>80736</v>
      </c>
      <c r="C27" s="31">
        <v>71295</v>
      </c>
      <c r="D27" s="31">
        <v>114568</v>
      </c>
      <c r="E27" s="31">
        <v>157087</v>
      </c>
      <c r="F27" s="31">
        <v>169455</v>
      </c>
      <c r="G27" s="31">
        <v>163228</v>
      </c>
      <c r="H27" s="31">
        <v>163306</v>
      </c>
      <c r="I27" s="31">
        <v>159486</v>
      </c>
      <c r="J27" s="31">
        <v>153837</v>
      </c>
      <c r="K27" s="31">
        <v>124323</v>
      </c>
    </row>
    <row r="28" spans="1:11" x14ac:dyDescent="0.25">
      <c r="A28" t="s">
        <v>14</v>
      </c>
      <c r="B28" s="31">
        <v>990</v>
      </c>
      <c r="C28" s="31">
        <v>26409</v>
      </c>
      <c r="D28" s="31">
        <v>25489</v>
      </c>
      <c r="E28" s="31">
        <v>25845</v>
      </c>
      <c r="F28" s="31">
        <v>24516</v>
      </c>
      <c r="G28" s="31">
        <v>18720</v>
      </c>
      <c r="H28" s="31">
        <v>13825</v>
      </c>
      <c r="I28" s="31">
        <v>14369</v>
      </c>
      <c r="J28" s="31">
        <v>11479</v>
      </c>
      <c r="K28" s="31">
        <v>7593</v>
      </c>
    </row>
    <row r="29" spans="1:11" x14ac:dyDescent="0.25">
      <c r="A29" t="s">
        <v>10</v>
      </c>
      <c r="B29" s="31"/>
      <c r="C29" s="31"/>
      <c r="D29" s="31"/>
      <c r="E29" s="31"/>
      <c r="F29" s="31"/>
      <c r="G29" s="31"/>
      <c r="H29" s="31"/>
      <c r="I29" s="31">
        <v>2398</v>
      </c>
      <c r="J29" s="31">
        <v>38721</v>
      </c>
      <c r="K29" s="31">
        <v>18726</v>
      </c>
    </row>
    <row r="30" spans="1:11" x14ac:dyDescent="0.25">
      <c r="A30" t="s">
        <v>15</v>
      </c>
      <c r="B30" s="31"/>
      <c r="C30" s="31"/>
      <c r="D30" s="31"/>
      <c r="E30" s="31"/>
      <c r="F30" s="31"/>
      <c r="G30" s="31"/>
      <c r="H30" s="31">
        <v>13146</v>
      </c>
      <c r="I30" s="31">
        <v>10151</v>
      </c>
      <c r="J30" s="31">
        <v>1506</v>
      </c>
      <c r="K30" s="31"/>
    </row>
    <row r="31" spans="1:11" x14ac:dyDescent="0.25">
      <c r="A31" t="s">
        <v>51</v>
      </c>
      <c r="B31" s="31">
        <v>352936</v>
      </c>
      <c r="C31" s="31">
        <v>321316</v>
      </c>
      <c r="D31" s="31">
        <v>352824</v>
      </c>
      <c r="E31" s="31">
        <v>394860</v>
      </c>
      <c r="F31" s="31">
        <v>415076</v>
      </c>
      <c r="G31" s="31">
        <v>417012</v>
      </c>
      <c r="H31" s="31">
        <v>479302</v>
      </c>
      <c r="I31" s="31">
        <v>528029</v>
      </c>
      <c r="J31" s="31">
        <v>591809</v>
      </c>
      <c r="K31" s="31">
        <v>406452</v>
      </c>
    </row>
  </sheetData>
  <dataConsolidate leftLabels="1" topLabels="1">
    <dataRefs count="10">
      <dataRef ref="A1:K14" sheet="2011 (3)"/>
      <dataRef ref="A1:K14" sheet="2012 (3)"/>
      <dataRef ref="A1:K14" sheet="2013 (3)"/>
      <dataRef ref="A1:K14" sheet="2014 (3)"/>
      <dataRef ref="A1:K14" sheet="2015 (3)"/>
      <dataRef ref="A1:K14" sheet="2016 (3)"/>
      <dataRef ref="A1:K14" sheet="2017 (3)"/>
      <dataRef ref="A1:K14" sheet="2018 (3)"/>
      <dataRef ref="A1:K14" sheet="2019 (3)"/>
      <dataRef ref="A1:K16" sheet="2020 (3)"/>
    </dataRefs>
  </dataConsolid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4CB3-370E-4470-B24E-8574A64001EC}">
  <sheetPr>
    <outlinePr summaryBelow="0" summaryRight="0"/>
  </sheetPr>
  <dimension ref="A1:K27"/>
  <sheetViews>
    <sheetView workbookViewId="0">
      <selection activeCell="D15" sqref="D15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K1" s="3">
        <v>2020</v>
      </c>
    </row>
    <row r="2" spans="1:11" ht="15.75" customHeight="1" x14ac:dyDescent="0.25">
      <c r="A2" s="3" t="s">
        <v>11</v>
      </c>
      <c r="D2" s="2"/>
      <c r="H2" s="3"/>
      <c r="I2" s="14"/>
      <c r="J2" s="3"/>
      <c r="K2" s="2">
        <v>14672</v>
      </c>
    </row>
    <row r="3" spans="1:11" ht="15.75" customHeight="1" x14ac:dyDescent="0.25">
      <c r="A3" s="3" t="s">
        <v>4</v>
      </c>
      <c r="D3" s="2"/>
      <c r="H3" s="3"/>
      <c r="I3" s="14"/>
      <c r="J3" s="3"/>
      <c r="K3" s="2">
        <v>78823</v>
      </c>
    </row>
    <row r="4" spans="1:11" ht="15.75" customHeight="1" x14ac:dyDescent="0.25">
      <c r="A4" s="3" t="s">
        <v>6</v>
      </c>
      <c r="D4" s="2"/>
      <c r="H4" s="3"/>
      <c r="I4" s="14"/>
      <c r="J4" s="3"/>
      <c r="K4" s="2">
        <v>76710</v>
      </c>
    </row>
    <row r="5" spans="1:11" ht="15.75" customHeight="1" x14ac:dyDescent="0.25">
      <c r="A5" s="3" t="s">
        <v>12</v>
      </c>
      <c r="D5" s="3"/>
      <c r="H5" s="3"/>
      <c r="I5" s="14"/>
      <c r="J5" s="3"/>
      <c r="K5" s="2">
        <v>11041</v>
      </c>
    </row>
    <row r="6" spans="1:11" ht="15.75" customHeight="1" x14ac:dyDescent="0.25">
      <c r="A6" s="3" t="s">
        <v>8</v>
      </c>
      <c r="D6" s="2"/>
      <c r="K6" s="2">
        <v>74564</v>
      </c>
    </row>
    <row r="7" spans="1:11" ht="15.75" customHeight="1" x14ac:dyDescent="0.25">
      <c r="A7" s="3" t="s">
        <v>2</v>
      </c>
      <c r="D7" s="2"/>
      <c r="K7" s="2">
        <v>124323</v>
      </c>
    </row>
    <row r="8" spans="1:11" ht="15.75" customHeight="1" x14ac:dyDescent="0.25">
      <c r="A8" s="3" t="s">
        <v>14</v>
      </c>
      <c r="D8" s="2"/>
      <c r="K8" s="2">
        <v>7593</v>
      </c>
    </row>
    <row r="9" spans="1:11" ht="15.75" customHeight="1" x14ac:dyDescent="0.25">
      <c r="A9" s="3" t="s">
        <v>10</v>
      </c>
      <c r="D9" s="2"/>
      <c r="K9" s="2">
        <v>18726</v>
      </c>
    </row>
    <row r="10" spans="1:11" ht="15.75" customHeight="1" x14ac:dyDescent="0.25">
      <c r="A10" s="3" t="s">
        <v>15</v>
      </c>
      <c r="D10" s="2"/>
      <c r="K10" s="3" t="s">
        <v>13</v>
      </c>
    </row>
    <row r="11" spans="1:11" ht="15.75" customHeight="1" x14ac:dyDescent="0.25">
      <c r="A11" s="4" t="s">
        <v>51</v>
      </c>
      <c r="D11" s="2"/>
      <c r="K11" s="2">
        <v>406452</v>
      </c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11" ht="15.75" customHeight="1" x14ac:dyDescent="0.25">
      <c r="A17" s="3"/>
    </row>
    <row r="18" spans="1:11" ht="15.75" customHeight="1" x14ac:dyDescent="0.25">
      <c r="A18" s="3"/>
    </row>
    <row r="19" spans="1:11" ht="15.75" customHeight="1" x14ac:dyDescent="0.25">
      <c r="A19" s="3"/>
      <c r="C19" s="3"/>
      <c r="D19" s="3"/>
      <c r="E19" s="3"/>
      <c r="F19" s="3"/>
      <c r="K19" s="3"/>
    </row>
    <row r="20" spans="1:11" ht="12.5" x14ac:dyDescent="0.25">
      <c r="D20" s="3"/>
      <c r="F20" s="3"/>
      <c r="K20" s="3"/>
    </row>
    <row r="22" spans="1:11" ht="12.5" x14ac:dyDescent="0.25">
      <c r="A22" s="3"/>
      <c r="D22" s="3"/>
      <c r="F22" s="3"/>
      <c r="K22" s="3"/>
    </row>
    <row r="23" spans="1:11" ht="12.5" x14ac:dyDescent="0.25">
      <c r="A23" s="3"/>
      <c r="D23" s="3"/>
      <c r="F23" s="3"/>
      <c r="K23" s="3"/>
    </row>
    <row r="24" spans="1:11" ht="12.5" x14ac:dyDescent="0.25">
      <c r="A24" s="3"/>
      <c r="D24" s="3"/>
      <c r="F24" s="3"/>
      <c r="K24" s="3"/>
    </row>
    <row r="25" spans="1:11" ht="12.5" x14ac:dyDescent="0.25">
      <c r="A25" s="3"/>
      <c r="D25" s="2"/>
      <c r="F25" s="3"/>
      <c r="K25" s="2"/>
    </row>
    <row r="26" spans="1:11" ht="12.5" x14ac:dyDescent="0.25">
      <c r="A26" s="3"/>
      <c r="D26" s="3"/>
      <c r="F26" s="3"/>
      <c r="K26" s="3"/>
    </row>
    <row r="27" spans="1:11" ht="12.5" x14ac:dyDescent="0.25">
      <c r="A27" s="3"/>
      <c r="D27" s="3"/>
      <c r="K27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5A1F-D047-4B02-B171-583BACBB0D15}">
  <sheetPr>
    <outlinePr summaryBelow="0" summaryRight="0"/>
  </sheetPr>
  <dimension ref="A1:K27"/>
  <sheetViews>
    <sheetView workbookViewId="0">
      <selection activeCell="J13" sqref="J13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J1" s="3">
        <v>2019</v>
      </c>
    </row>
    <row r="2" spans="1:11" ht="15.75" customHeight="1" x14ac:dyDescent="0.25">
      <c r="A2" s="3" t="s">
        <v>11</v>
      </c>
      <c r="D2" s="2"/>
      <c r="H2" s="3"/>
      <c r="I2" s="14"/>
      <c r="J2" s="2">
        <v>23015</v>
      </c>
      <c r="K2" s="13"/>
    </row>
    <row r="3" spans="1:11" ht="15.75" customHeight="1" x14ac:dyDescent="0.25">
      <c r="A3" s="3" t="s">
        <v>4</v>
      </c>
      <c r="D3" s="2"/>
      <c r="H3" s="3"/>
      <c r="I3" s="14"/>
      <c r="J3" s="2">
        <v>134611</v>
      </c>
      <c r="K3" s="13"/>
    </row>
    <row r="4" spans="1:11" ht="15.75" customHeight="1" x14ac:dyDescent="0.25">
      <c r="A4" s="3" t="s">
        <v>6</v>
      </c>
      <c r="D4" s="2"/>
      <c r="H4" s="3"/>
      <c r="I4" s="14"/>
      <c r="J4" s="2">
        <v>98397</v>
      </c>
      <c r="K4" s="13"/>
    </row>
    <row r="5" spans="1:11" ht="15.75" customHeight="1" x14ac:dyDescent="0.25">
      <c r="A5" s="3" t="s">
        <v>8</v>
      </c>
      <c r="D5" s="2"/>
      <c r="H5" s="3"/>
      <c r="I5" s="14"/>
      <c r="J5" s="2">
        <v>130243</v>
      </c>
      <c r="K5" s="13"/>
    </row>
    <row r="6" spans="1:11" ht="15.75" customHeight="1" x14ac:dyDescent="0.25">
      <c r="A6" s="3" t="s">
        <v>2</v>
      </c>
      <c r="D6" s="2"/>
      <c r="J6" s="2">
        <v>153837</v>
      </c>
    </row>
    <row r="7" spans="1:11" ht="15.75" customHeight="1" x14ac:dyDescent="0.25">
      <c r="A7" s="3" t="s">
        <v>14</v>
      </c>
      <c r="D7" s="2"/>
      <c r="J7" s="2">
        <v>11479</v>
      </c>
    </row>
    <row r="8" spans="1:11" ht="15.75" customHeight="1" x14ac:dyDescent="0.25">
      <c r="A8" s="3" t="s">
        <v>10</v>
      </c>
      <c r="D8" s="2"/>
      <c r="J8" s="2">
        <v>38721</v>
      </c>
    </row>
    <row r="9" spans="1:11" ht="15.75" customHeight="1" x14ac:dyDescent="0.25">
      <c r="A9" s="3" t="s">
        <v>15</v>
      </c>
      <c r="D9" s="2"/>
      <c r="J9" s="2">
        <v>1506</v>
      </c>
    </row>
    <row r="10" spans="1:11" ht="15.75" customHeight="1" x14ac:dyDescent="0.25">
      <c r="A10" s="4" t="s">
        <v>51</v>
      </c>
      <c r="D10" s="2"/>
      <c r="J10" s="2">
        <v>591809</v>
      </c>
    </row>
    <row r="19" spans="1:10" ht="15.75" customHeight="1" x14ac:dyDescent="0.25">
      <c r="A19" s="3"/>
      <c r="C19" s="3"/>
      <c r="D19" s="3"/>
      <c r="E19" s="3"/>
      <c r="F19" s="3"/>
      <c r="J19" s="3"/>
    </row>
    <row r="20" spans="1:10" ht="12.5" x14ac:dyDescent="0.25">
      <c r="D20" s="3"/>
      <c r="F20" s="3"/>
      <c r="J20" s="3"/>
    </row>
    <row r="22" spans="1:10" ht="12.5" x14ac:dyDescent="0.25">
      <c r="A22" s="3"/>
      <c r="D22" s="3"/>
      <c r="F22" s="3"/>
      <c r="J22" s="3"/>
    </row>
    <row r="23" spans="1:10" ht="12.5" x14ac:dyDescent="0.25">
      <c r="A23" s="3"/>
      <c r="D23" s="3"/>
      <c r="F23" s="3"/>
      <c r="J23" s="3"/>
    </row>
    <row r="24" spans="1:10" ht="12.5" x14ac:dyDescent="0.25">
      <c r="A24" s="3"/>
      <c r="D24" s="3"/>
      <c r="F24" s="3"/>
      <c r="J24" s="3"/>
    </row>
    <row r="25" spans="1:10" ht="12.5" x14ac:dyDescent="0.25">
      <c r="A25" s="3"/>
      <c r="D25" s="2"/>
      <c r="F25" s="3"/>
      <c r="J25" s="2"/>
    </row>
    <row r="26" spans="1:10" ht="12.5" x14ac:dyDescent="0.25">
      <c r="A26" s="3"/>
      <c r="D26" s="3"/>
      <c r="F26" s="3"/>
      <c r="J26" s="3"/>
    </row>
    <row r="27" spans="1:10" ht="12.5" x14ac:dyDescent="0.25">
      <c r="A27" s="3"/>
      <c r="D27" s="3"/>
      <c r="J27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370A-99E2-4A99-91CE-2A12ED48C720}">
  <sheetPr>
    <outlinePr summaryBelow="0" summaryRight="0"/>
  </sheetPr>
  <dimension ref="A1:K26"/>
  <sheetViews>
    <sheetView workbookViewId="0">
      <selection activeCell="I1" sqref="I1:I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I1" s="3">
        <v>2018</v>
      </c>
    </row>
    <row r="2" spans="1:11" ht="15.75" customHeight="1" x14ac:dyDescent="0.25">
      <c r="A2" s="3" t="s">
        <v>11</v>
      </c>
      <c r="D2" s="2"/>
      <c r="H2" s="3"/>
      <c r="I2" s="2">
        <v>19588</v>
      </c>
      <c r="J2" s="3"/>
      <c r="K2" s="13"/>
    </row>
    <row r="3" spans="1:11" ht="15.75" customHeight="1" x14ac:dyDescent="0.25">
      <c r="A3" s="3" t="s">
        <v>4</v>
      </c>
      <c r="D3" s="2"/>
      <c r="H3" s="3"/>
      <c r="I3" s="2">
        <v>110926</v>
      </c>
      <c r="J3" s="3"/>
      <c r="K3" s="13"/>
    </row>
    <row r="4" spans="1:11" ht="15.75" customHeight="1" x14ac:dyDescent="0.25">
      <c r="A4" s="3" t="s">
        <v>6</v>
      </c>
      <c r="D4" s="2"/>
      <c r="H4" s="3"/>
      <c r="I4" s="2">
        <v>90824</v>
      </c>
      <c r="J4" s="3"/>
      <c r="K4" s="13"/>
    </row>
    <row r="5" spans="1:11" ht="15.75" customHeight="1" x14ac:dyDescent="0.25">
      <c r="A5" s="3" t="s">
        <v>8</v>
      </c>
      <c r="D5" s="2"/>
      <c r="H5" s="3"/>
      <c r="I5" s="2">
        <v>120287</v>
      </c>
      <c r="J5" s="3"/>
      <c r="K5" s="13"/>
    </row>
    <row r="6" spans="1:11" ht="15.75" customHeight="1" x14ac:dyDescent="0.25">
      <c r="A6" s="3" t="s">
        <v>2</v>
      </c>
      <c r="D6" s="2"/>
      <c r="I6" s="2">
        <v>159486</v>
      </c>
    </row>
    <row r="7" spans="1:11" ht="15.75" customHeight="1" x14ac:dyDescent="0.25">
      <c r="A7" s="3" t="s">
        <v>14</v>
      </c>
      <c r="D7" s="2"/>
      <c r="I7" s="2">
        <v>14369</v>
      </c>
    </row>
    <row r="8" spans="1:11" ht="15.75" customHeight="1" x14ac:dyDescent="0.25">
      <c r="A8" s="3" t="s">
        <v>10</v>
      </c>
      <c r="D8" s="3"/>
      <c r="I8" s="2">
        <v>2398</v>
      </c>
    </row>
    <row r="9" spans="1:11" ht="15.75" customHeight="1" x14ac:dyDescent="0.25">
      <c r="A9" s="3" t="s">
        <v>15</v>
      </c>
      <c r="D9" s="2"/>
      <c r="I9" s="2">
        <v>10151</v>
      </c>
    </row>
    <row r="10" spans="1:11" ht="15.75" customHeight="1" x14ac:dyDescent="0.25">
      <c r="A10" s="4" t="s">
        <v>51</v>
      </c>
      <c r="D10" s="2"/>
      <c r="I10" s="2">
        <v>528029</v>
      </c>
    </row>
    <row r="18" spans="1:9" ht="15.75" customHeight="1" x14ac:dyDescent="0.25">
      <c r="A18" s="3"/>
      <c r="C18" s="3"/>
      <c r="D18" s="3"/>
      <c r="E18" s="3"/>
      <c r="F18" s="3"/>
      <c r="I18" s="3"/>
    </row>
    <row r="19" spans="1:9" ht="15.75" customHeight="1" x14ac:dyDescent="0.25">
      <c r="D19" s="3"/>
      <c r="F19" s="3"/>
      <c r="I19" s="3"/>
    </row>
    <row r="21" spans="1:9" ht="12.5" x14ac:dyDescent="0.25">
      <c r="A21" s="3"/>
      <c r="D21" s="3"/>
      <c r="F21" s="3"/>
      <c r="I21" s="3"/>
    </row>
    <row r="22" spans="1:9" ht="12.5" x14ac:dyDescent="0.25">
      <c r="A22" s="3"/>
      <c r="D22" s="3"/>
      <c r="F22" s="3"/>
      <c r="I22" s="3"/>
    </row>
    <row r="23" spans="1:9" ht="12.5" x14ac:dyDescent="0.25">
      <c r="A23" s="3"/>
      <c r="D23" s="3"/>
      <c r="F23" s="3"/>
      <c r="I23" s="3"/>
    </row>
    <row r="24" spans="1:9" ht="12.5" x14ac:dyDescent="0.25">
      <c r="A24" s="3"/>
      <c r="D24" s="2"/>
      <c r="F24" s="3"/>
      <c r="I24" s="2"/>
    </row>
    <row r="25" spans="1:9" ht="12.5" x14ac:dyDescent="0.25">
      <c r="A25" s="3"/>
      <c r="D25" s="3"/>
      <c r="F25" s="3"/>
      <c r="I25" s="3"/>
    </row>
    <row r="26" spans="1:9" ht="12.5" x14ac:dyDescent="0.25">
      <c r="A26" s="3"/>
      <c r="D26" s="3"/>
      <c r="I2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5A3F-2563-4FF8-B4A7-34C6F70D15A4}">
  <sheetPr>
    <outlinePr summaryBelow="0" summaryRight="0"/>
  </sheetPr>
  <dimension ref="A1:K26"/>
  <sheetViews>
    <sheetView workbookViewId="0">
      <selection activeCell="H1" sqref="H1:H1048576"/>
    </sheetView>
  </sheetViews>
  <sheetFormatPr defaultColWidth="14.453125" defaultRowHeight="15.75" customHeight="1" x14ac:dyDescent="0.25"/>
  <sheetData>
    <row r="1" spans="1:11" ht="15.75" customHeight="1" x14ac:dyDescent="0.25">
      <c r="A1" s="3"/>
      <c r="D1" s="3"/>
      <c r="H1" s="3">
        <v>2017</v>
      </c>
    </row>
    <row r="2" spans="1:11" ht="15.75" customHeight="1" x14ac:dyDescent="0.25">
      <c r="A2" s="3" t="s">
        <v>11</v>
      </c>
      <c r="D2" s="2"/>
      <c r="H2" s="2">
        <v>33638</v>
      </c>
      <c r="I2" s="14"/>
      <c r="J2" s="3"/>
      <c r="K2" s="13"/>
    </row>
    <row r="3" spans="1:11" ht="15.75" customHeight="1" x14ac:dyDescent="0.25">
      <c r="A3" s="3" t="s">
        <v>4</v>
      </c>
      <c r="D3" s="3"/>
      <c r="H3" s="2">
        <v>17527</v>
      </c>
      <c r="I3" s="14"/>
      <c r="J3" s="3"/>
      <c r="K3" s="13"/>
    </row>
    <row r="4" spans="1:11" ht="15.75" customHeight="1" x14ac:dyDescent="0.25">
      <c r="A4" s="3" t="s">
        <v>6</v>
      </c>
      <c r="D4" s="2"/>
      <c r="H4" s="2">
        <v>77483</v>
      </c>
      <c r="I4" s="14"/>
      <c r="J4" s="3"/>
      <c r="K4" s="13"/>
    </row>
    <row r="5" spans="1:11" ht="15.75" customHeight="1" x14ac:dyDescent="0.25">
      <c r="A5" s="3" t="s">
        <v>8</v>
      </c>
      <c r="D5" s="2"/>
      <c r="H5" s="2">
        <v>160377</v>
      </c>
      <c r="I5" s="14"/>
      <c r="J5" s="3"/>
      <c r="K5" s="13"/>
    </row>
    <row r="6" spans="1:11" ht="15.75" customHeight="1" x14ac:dyDescent="0.25">
      <c r="A6" s="3" t="s">
        <v>2</v>
      </c>
      <c r="D6" s="2"/>
      <c r="H6" s="2">
        <v>163306</v>
      </c>
    </row>
    <row r="7" spans="1:11" ht="15.75" customHeight="1" x14ac:dyDescent="0.25">
      <c r="A7" s="3" t="s">
        <v>14</v>
      </c>
      <c r="D7" s="2"/>
      <c r="H7" s="2">
        <v>13825</v>
      </c>
    </row>
    <row r="8" spans="1:11" ht="15.75" customHeight="1" x14ac:dyDescent="0.25">
      <c r="A8" s="3" t="s">
        <v>15</v>
      </c>
      <c r="D8" s="2"/>
      <c r="H8" s="2">
        <v>13146</v>
      </c>
    </row>
    <row r="9" spans="1:11" ht="15.75" customHeight="1" x14ac:dyDescent="0.25">
      <c r="A9" s="4" t="s">
        <v>51</v>
      </c>
      <c r="D9" s="2"/>
      <c r="H9" s="2">
        <v>479302</v>
      </c>
    </row>
    <row r="18" spans="1:8" ht="15.75" customHeight="1" x14ac:dyDescent="0.25">
      <c r="A18" s="3"/>
      <c r="C18" s="3"/>
      <c r="D18" s="3"/>
      <c r="E18" s="3"/>
      <c r="F18" s="3"/>
      <c r="H18" s="3"/>
    </row>
    <row r="19" spans="1:8" ht="15.75" customHeight="1" x14ac:dyDescent="0.25">
      <c r="D19" s="3"/>
      <c r="F19" s="3"/>
      <c r="H19" s="3"/>
    </row>
    <row r="21" spans="1:8" ht="12.5" x14ac:dyDescent="0.25">
      <c r="A21" s="3"/>
      <c r="D21" s="3"/>
      <c r="F21" s="3"/>
      <c r="H21" s="3"/>
    </row>
    <row r="22" spans="1:8" ht="12.5" x14ac:dyDescent="0.25">
      <c r="A22" s="3"/>
      <c r="D22" s="3"/>
      <c r="F22" s="3"/>
      <c r="H22" s="3"/>
    </row>
    <row r="23" spans="1:8" ht="12.5" x14ac:dyDescent="0.25">
      <c r="A23" s="3"/>
      <c r="D23" s="3"/>
      <c r="F23" s="3"/>
      <c r="H23" s="3"/>
    </row>
    <row r="24" spans="1:8" ht="12.5" x14ac:dyDescent="0.25">
      <c r="A24" s="3"/>
      <c r="D24" s="2"/>
      <c r="F24" s="3"/>
      <c r="H24" s="2"/>
    </row>
    <row r="25" spans="1:8" ht="12.5" x14ac:dyDescent="0.25">
      <c r="A25" s="3"/>
      <c r="D25" s="3"/>
      <c r="F25" s="3"/>
      <c r="H25" s="3"/>
    </row>
    <row r="26" spans="1:8" ht="12.5" x14ac:dyDescent="0.25">
      <c r="A26" s="3"/>
      <c r="D26" s="3"/>
      <c r="H2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F83F-1838-4F41-A7CF-4F2BD289C956}">
  <sheetPr>
    <outlinePr summaryBelow="0" summaryRight="0"/>
  </sheetPr>
  <dimension ref="A1:K24"/>
  <sheetViews>
    <sheetView workbookViewId="0">
      <selection activeCell="G1" sqref="G1:G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G1" s="3">
        <v>2016</v>
      </c>
    </row>
    <row r="2" spans="1:11" ht="15.75" customHeight="1" x14ac:dyDescent="0.25">
      <c r="A2" s="3" t="s">
        <v>11</v>
      </c>
      <c r="D2" s="2"/>
      <c r="G2" s="2">
        <v>31214</v>
      </c>
      <c r="H2" s="3"/>
      <c r="I2" s="14"/>
      <c r="J2" s="3"/>
      <c r="K2" s="13"/>
    </row>
    <row r="3" spans="1:11" ht="15.75" customHeight="1" x14ac:dyDescent="0.25">
      <c r="A3" s="3" t="s">
        <v>33</v>
      </c>
      <c r="D3" s="2"/>
      <c r="G3" s="2">
        <v>18029</v>
      </c>
      <c r="H3" s="3"/>
      <c r="I3" s="14"/>
      <c r="J3" s="3"/>
      <c r="K3" s="13"/>
    </row>
    <row r="4" spans="1:11" ht="15.75" customHeight="1" x14ac:dyDescent="0.25">
      <c r="A4" s="3" t="s">
        <v>6</v>
      </c>
      <c r="D4" s="3"/>
      <c r="G4" s="2">
        <v>35833</v>
      </c>
      <c r="H4" s="3"/>
      <c r="I4" s="14"/>
      <c r="J4" s="3"/>
      <c r="K4" s="13"/>
    </row>
    <row r="5" spans="1:11" ht="15.75" customHeight="1" x14ac:dyDescent="0.25">
      <c r="A5" s="3" t="s">
        <v>8</v>
      </c>
      <c r="D5" s="2"/>
      <c r="G5" s="2">
        <v>149988</v>
      </c>
      <c r="H5" s="3"/>
      <c r="I5" s="14"/>
      <c r="J5" s="3"/>
      <c r="K5" s="13"/>
    </row>
    <row r="6" spans="1:11" ht="15.75" customHeight="1" x14ac:dyDescent="0.25">
      <c r="A6" s="3" t="s">
        <v>2</v>
      </c>
      <c r="D6" s="2"/>
      <c r="G6" s="2">
        <v>163228</v>
      </c>
    </row>
    <row r="7" spans="1:11" ht="15.75" customHeight="1" x14ac:dyDescent="0.25">
      <c r="A7" s="3" t="s">
        <v>14</v>
      </c>
      <c r="D7" s="2"/>
      <c r="G7" s="2">
        <v>18720</v>
      </c>
    </row>
    <row r="8" spans="1:11" ht="15.75" customHeight="1" x14ac:dyDescent="0.25">
      <c r="A8" s="4" t="s">
        <v>51</v>
      </c>
      <c r="D8" s="2"/>
      <c r="G8" s="2">
        <v>417012</v>
      </c>
    </row>
    <row r="16" spans="1:11" ht="15.75" customHeight="1" x14ac:dyDescent="0.25">
      <c r="A16" s="3"/>
      <c r="C16" s="3"/>
      <c r="D16" s="3"/>
      <c r="E16" s="3"/>
      <c r="F16" s="3"/>
      <c r="G16" s="3"/>
    </row>
    <row r="17" spans="1:7" ht="15.75" customHeight="1" x14ac:dyDescent="0.25">
      <c r="D17" s="3"/>
      <c r="F17" s="3"/>
      <c r="G17" s="3"/>
    </row>
    <row r="19" spans="1:7" ht="15.75" customHeight="1" x14ac:dyDescent="0.25">
      <c r="A19" s="3"/>
      <c r="D19" s="3"/>
      <c r="F19" s="3"/>
      <c r="G19" s="3"/>
    </row>
    <row r="20" spans="1:7" ht="12.5" x14ac:dyDescent="0.25">
      <c r="A20" s="3"/>
      <c r="D20" s="3"/>
      <c r="F20" s="3"/>
      <c r="G20" s="3"/>
    </row>
    <row r="21" spans="1:7" ht="12.5" x14ac:dyDescent="0.25">
      <c r="A21" s="3"/>
      <c r="D21" s="3"/>
      <c r="F21" s="3"/>
      <c r="G21" s="3"/>
    </row>
    <row r="22" spans="1:7" ht="12.5" x14ac:dyDescent="0.25">
      <c r="A22" s="3"/>
      <c r="D22" s="2"/>
      <c r="F22" s="3"/>
      <c r="G22" s="2"/>
    </row>
    <row r="23" spans="1:7" ht="12.5" x14ac:dyDescent="0.25">
      <c r="A23" s="3"/>
      <c r="D23" s="3"/>
      <c r="F23" s="3"/>
      <c r="G23" s="3"/>
    </row>
    <row r="24" spans="1:7" ht="12.5" x14ac:dyDescent="0.25">
      <c r="A24" s="3"/>
      <c r="D24" s="3"/>
      <c r="G24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4DF6-A715-41ED-B670-19244E566A1F}">
  <sheetPr>
    <outlinePr summaryBelow="0" summaryRight="0"/>
  </sheetPr>
  <dimension ref="A1:K24"/>
  <sheetViews>
    <sheetView workbookViewId="0">
      <selection activeCell="F1" sqref="F1:F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F1" s="3">
        <v>2015</v>
      </c>
    </row>
    <row r="2" spans="1:11" ht="15.75" customHeight="1" x14ac:dyDescent="0.25">
      <c r="A2" s="3" t="s">
        <v>11</v>
      </c>
      <c r="D2" s="2"/>
      <c r="F2" s="2">
        <v>27925</v>
      </c>
      <c r="H2" s="3"/>
      <c r="I2" s="14"/>
      <c r="J2" s="3"/>
      <c r="K2" s="13"/>
    </row>
    <row r="3" spans="1:11" ht="15.75" customHeight="1" x14ac:dyDescent="0.25">
      <c r="A3" s="3" t="s">
        <v>33</v>
      </c>
      <c r="D3" s="2"/>
      <c r="F3" s="2">
        <v>32729</v>
      </c>
      <c r="H3" s="3"/>
      <c r="I3" s="14"/>
      <c r="J3" s="3"/>
      <c r="K3" s="13"/>
    </row>
    <row r="4" spans="1:11" ht="15.75" customHeight="1" x14ac:dyDescent="0.25">
      <c r="A4" s="3" t="s">
        <v>8</v>
      </c>
      <c r="D4" s="2"/>
      <c r="F4" s="2">
        <v>160451</v>
      </c>
      <c r="H4" s="3"/>
      <c r="I4" s="14"/>
      <c r="J4" s="3"/>
      <c r="K4" s="13"/>
    </row>
    <row r="5" spans="1:11" ht="15.75" customHeight="1" x14ac:dyDescent="0.25">
      <c r="A5" s="3" t="s">
        <v>2</v>
      </c>
      <c r="D5" s="2"/>
      <c r="F5" s="2">
        <v>169455</v>
      </c>
      <c r="H5" s="3"/>
      <c r="I5" s="14"/>
      <c r="J5" s="3"/>
      <c r="K5" s="13"/>
    </row>
    <row r="6" spans="1:11" ht="15.75" customHeight="1" x14ac:dyDescent="0.25">
      <c r="A6" s="3" t="s">
        <v>14</v>
      </c>
      <c r="D6" s="2"/>
      <c r="F6" s="2">
        <v>24516</v>
      </c>
    </row>
    <row r="7" spans="1:11" ht="15.75" customHeight="1" x14ac:dyDescent="0.25">
      <c r="A7" s="4" t="s">
        <v>51</v>
      </c>
      <c r="D7" s="2"/>
      <c r="F7" s="2">
        <v>415076</v>
      </c>
    </row>
    <row r="9" spans="1:11" ht="15.75" customHeight="1" x14ac:dyDescent="0.25">
      <c r="A9" s="3"/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6" ht="15.75" customHeight="1" x14ac:dyDescent="0.25">
      <c r="D17" s="3"/>
      <c r="F17" s="3"/>
    </row>
    <row r="19" spans="1:6" ht="15.75" customHeight="1" x14ac:dyDescent="0.25">
      <c r="A19" s="3"/>
      <c r="D19" s="3"/>
      <c r="F19" s="3"/>
    </row>
    <row r="20" spans="1:6" ht="12.5" x14ac:dyDescent="0.25">
      <c r="A20" s="3"/>
      <c r="D20" s="3"/>
      <c r="F20" s="3"/>
    </row>
    <row r="21" spans="1:6" ht="12.5" x14ac:dyDescent="0.25">
      <c r="A21" s="3"/>
      <c r="D21" s="3"/>
      <c r="F21" s="3"/>
    </row>
    <row r="22" spans="1:6" ht="12.5" x14ac:dyDescent="0.25">
      <c r="A22" s="3"/>
      <c r="D22" s="2"/>
      <c r="F22" s="2"/>
    </row>
    <row r="23" spans="1:6" ht="12.5" x14ac:dyDescent="0.25">
      <c r="A23" s="3"/>
      <c r="D23" s="3"/>
      <c r="F23" s="3"/>
    </row>
    <row r="24" spans="1:6" ht="12.5" x14ac:dyDescent="0.25">
      <c r="A24" s="3"/>
      <c r="D24" s="3"/>
      <c r="F24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D7A4-BF5F-484A-99F3-8008C90DD1FE}">
  <sheetPr>
    <outlinePr summaryBelow="0" summaryRight="0"/>
  </sheetPr>
  <dimension ref="A1:K25"/>
  <sheetViews>
    <sheetView workbookViewId="0">
      <selection activeCell="E1" sqref="E1:E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/>
      <c r="E1" s="3">
        <v>2014</v>
      </c>
    </row>
    <row r="2" spans="1:11" ht="15.75" customHeight="1" x14ac:dyDescent="0.25">
      <c r="A2" s="3" t="s">
        <v>11</v>
      </c>
      <c r="D2" s="2"/>
      <c r="E2" s="2">
        <v>22612</v>
      </c>
      <c r="H2" s="3"/>
      <c r="I2" s="14"/>
      <c r="J2" s="3"/>
      <c r="K2" s="13"/>
    </row>
    <row r="3" spans="1:11" ht="15.75" customHeight="1" x14ac:dyDescent="0.25">
      <c r="A3" s="3" t="s">
        <v>33</v>
      </c>
      <c r="D3" s="2"/>
      <c r="E3" s="2">
        <v>35683</v>
      </c>
      <c r="H3" s="3"/>
      <c r="I3" s="14"/>
      <c r="J3" s="3"/>
      <c r="K3" s="13"/>
    </row>
    <row r="4" spans="1:11" ht="15.75" customHeight="1" x14ac:dyDescent="0.25">
      <c r="A4" s="3" t="s">
        <v>38</v>
      </c>
      <c r="D4" s="2"/>
      <c r="E4" s="3" t="s">
        <v>13</v>
      </c>
      <c r="H4" s="3"/>
      <c r="I4" s="14"/>
      <c r="J4" s="3"/>
      <c r="K4" s="13"/>
    </row>
    <row r="5" spans="1:11" ht="15.75" customHeight="1" x14ac:dyDescent="0.25">
      <c r="A5" s="3" t="s">
        <v>8</v>
      </c>
      <c r="D5" s="2"/>
      <c r="E5" s="2">
        <v>153633</v>
      </c>
      <c r="H5" s="3"/>
      <c r="I5" s="14"/>
      <c r="J5" s="3"/>
      <c r="K5" s="13"/>
    </row>
    <row r="6" spans="1:11" ht="15.75" customHeight="1" x14ac:dyDescent="0.25">
      <c r="A6" s="3" t="s">
        <v>2</v>
      </c>
      <c r="D6" s="2"/>
      <c r="E6" s="2">
        <v>157087</v>
      </c>
    </row>
    <row r="7" spans="1:11" ht="15.75" customHeight="1" x14ac:dyDescent="0.25">
      <c r="A7" s="3" t="s">
        <v>14</v>
      </c>
      <c r="D7" s="2"/>
      <c r="E7" s="2">
        <v>25845</v>
      </c>
    </row>
    <row r="8" spans="1:11" ht="15.75" customHeight="1" x14ac:dyDescent="0.25">
      <c r="A8" s="4" t="s">
        <v>51</v>
      </c>
      <c r="D8" s="2"/>
      <c r="E8" s="2">
        <v>394860</v>
      </c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6" ht="15.75" customHeight="1" x14ac:dyDescent="0.25">
      <c r="A17" s="3"/>
    </row>
    <row r="18" spans="1:6" ht="15.75" customHeight="1" x14ac:dyDescent="0.25">
      <c r="D18" s="3"/>
      <c r="E18" s="3"/>
      <c r="F18" s="3"/>
    </row>
    <row r="20" spans="1:6" ht="12.5" x14ac:dyDescent="0.25">
      <c r="A20" s="3"/>
      <c r="D20" s="3"/>
      <c r="E20" s="3"/>
      <c r="F20" s="3"/>
    </row>
    <row r="21" spans="1:6" ht="12.5" x14ac:dyDescent="0.25">
      <c r="A21" s="3"/>
      <c r="D21" s="3"/>
      <c r="E21" s="3"/>
      <c r="F21" s="3"/>
    </row>
    <row r="22" spans="1:6" ht="12.5" x14ac:dyDescent="0.25">
      <c r="A22" s="3"/>
      <c r="D22" s="3"/>
      <c r="E22" s="3"/>
      <c r="F22" s="3"/>
    </row>
    <row r="23" spans="1:6" ht="12.5" x14ac:dyDescent="0.25">
      <c r="A23" s="3"/>
      <c r="D23" s="2"/>
      <c r="E23" s="2"/>
      <c r="F23" s="3"/>
    </row>
    <row r="24" spans="1:6" ht="12.5" x14ac:dyDescent="0.25">
      <c r="A24" s="3"/>
      <c r="D24" s="3"/>
      <c r="E24" s="3"/>
      <c r="F24" s="3"/>
    </row>
    <row r="25" spans="1:6" ht="12.5" x14ac:dyDescent="0.25">
      <c r="A25" s="3"/>
      <c r="D25" s="3"/>
      <c r="E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9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11</v>
      </c>
      <c r="C4" s="2">
        <v>23015</v>
      </c>
      <c r="E4" s="2">
        <v>19588</v>
      </c>
      <c r="I4" s="1" t="s">
        <v>3</v>
      </c>
      <c r="J4" s="14">
        <v>0.95400000000000007</v>
      </c>
      <c r="K4" s="3"/>
      <c r="L4" s="13"/>
    </row>
    <row r="5" spans="1:12" ht="15.75" customHeight="1" x14ac:dyDescent="0.25">
      <c r="A5" s="1" t="s">
        <v>4</v>
      </c>
      <c r="C5" s="2">
        <v>134611</v>
      </c>
      <c r="E5" s="2">
        <v>110926</v>
      </c>
      <c r="I5" s="1" t="s">
        <v>5</v>
      </c>
      <c r="J5" s="14">
        <v>4.2000000000000003E-2</v>
      </c>
      <c r="K5" s="3"/>
      <c r="L5" s="13"/>
    </row>
    <row r="6" spans="1:12" ht="15.75" customHeight="1" x14ac:dyDescent="0.25">
      <c r="A6" s="1" t="s">
        <v>6</v>
      </c>
      <c r="C6" s="2">
        <v>98397</v>
      </c>
      <c r="E6" s="2">
        <v>90824</v>
      </c>
      <c r="I6" s="1" t="s">
        <v>7</v>
      </c>
      <c r="J6" s="14">
        <v>3.0000000000000001E-3</v>
      </c>
      <c r="K6" s="3"/>
      <c r="L6" s="13"/>
    </row>
    <row r="7" spans="1:12" ht="15.75" customHeight="1" x14ac:dyDescent="0.25">
      <c r="A7" s="1" t="s">
        <v>8</v>
      </c>
      <c r="C7" s="2">
        <v>130243</v>
      </c>
      <c r="E7" s="2">
        <v>120287</v>
      </c>
      <c r="I7" s="1" t="s">
        <v>9</v>
      </c>
      <c r="J7" s="14">
        <v>1E-3</v>
      </c>
      <c r="K7" s="3"/>
      <c r="L7" s="13"/>
    </row>
    <row r="8" spans="1:12" ht="15.75" customHeight="1" x14ac:dyDescent="0.25">
      <c r="A8" s="1" t="s">
        <v>2</v>
      </c>
      <c r="C8" s="2">
        <v>153837</v>
      </c>
      <c r="E8" s="2">
        <v>159486</v>
      </c>
    </row>
    <row r="9" spans="1:12" ht="15.75" customHeight="1" x14ac:dyDescent="0.25">
      <c r="A9" s="1" t="s">
        <v>14</v>
      </c>
      <c r="C9" s="2">
        <v>11479</v>
      </c>
      <c r="E9" s="2">
        <v>14369</v>
      </c>
    </row>
    <row r="10" spans="1:12" ht="15.75" customHeight="1" x14ac:dyDescent="0.25">
      <c r="A10" s="1" t="s">
        <v>10</v>
      </c>
      <c r="C10" s="2">
        <v>38721</v>
      </c>
      <c r="E10" s="2">
        <v>2398</v>
      </c>
    </row>
    <row r="11" spans="1:12" ht="15.75" customHeight="1" x14ac:dyDescent="0.25">
      <c r="A11" s="1" t="s">
        <v>15</v>
      </c>
      <c r="C11" s="2">
        <v>1506</v>
      </c>
      <c r="E11" s="2">
        <v>10151</v>
      </c>
    </row>
    <row r="12" spans="1:12" ht="15.75" customHeight="1" x14ac:dyDescent="0.25">
      <c r="A12" s="4" t="s">
        <v>51</v>
      </c>
      <c r="C12" s="2">
        <v>591809</v>
      </c>
      <c r="E12" s="2">
        <v>528029</v>
      </c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B19" s="1"/>
    </row>
    <row r="20" spans="1:7" ht="15.75" customHeight="1" x14ac:dyDescent="0.25">
      <c r="B20" s="1"/>
    </row>
    <row r="21" spans="1:7" ht="15.75" customHeight="1" x14ac:dyDescent="0.25">
      <c r="A21" s="1"/>
      <c r="B21" s="1"/>
      <c r="C21" s="1"/>
      <c r="D21" s="1"/>
      <c r="E21" s="1"/>
      <c r="F21" s="1"/>
      <c r="G21" s="1"/>
    </row>
    <row r="22" spans="1:7" ht="12.5" x14ac:dyDescent="0.25">
      <c r="C22" s="1"/>
      <c r="E22" s="1"/>
      <c r="G22" s="1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  <c r="G25" s="3"/>
    </row>
    <row r="26" spans="1:7" ht="12.5" x14ac:dyDescent="0.25">
      <c r="A26" s="1"/>
      <c r="C26" s="1"/>
      <c r="E26" s="1"/>
      <c r="G26" s="3"/>
    </row>
    <row r="27" spans="1:7" ht="12.5" x14ac:dyDescent="0.25">
      <c r="A27" s="1"/>
      <c r="C27" s="2"/>
      <c r="E27" s="2"/>
      <c r="G27" s="3"/>
    </row>
    <row r="28" spans="1:7" ht="12.5" x14ac:dyDescent="0.25">
      <c r="A28" s="1"/>
      <c r="C28" s="1"/>
      <c r="E28" s="1"/>
      <c r="G28" s="3"/>
    </row>
    <row r="29" spans="1:7" ht="12.5" x14ac:dyDescent="0.25">
      <c r="A29" s="1"/>
      <c r="C29" s="1"/>
      <c r="E29" s="1"/>
    </row>
  </sheetData>
  <sortState xmlns:xlrd2="http://schemas.microsoft.com/office/spreadsheetml/2017/richdata2" ref="A4:E11">
    <sortCondition ref="A4:A1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A038-88F2-4EE3-BA1B-3774C0EFE033}">
  <sheetPr>
    <outlinePr summaryBelow="0" summaryRight="0"/>
  </sheetPr>
  <dimension ref="A1:K23"/>
  <sheetViews>
    <sheetView workbookViewId="0">
      <selection activeCell="D1" sqref="D1:D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D1" s="3">
        <v>2013</v>
      </c>
    </row>
    <row r="2" spans="1:11" ht="15.75" customHeight="1" x14ac:dyDescent="0.25">
      <c r="A2" s="3" t="s">
        <v>11</v>
      </c>
      <c r="D2" s="2">
        <v>19990</v>
      </c>
      <c r="H2" s="3"/>
      <c r="I2" s="14"/>
      <c r="J2" s="3"/>
      <c r="K2" s="13"/>
    </row>
    <row r="3" spans="1:11" ht="15.75" customHeight="1" x14ac:dyDescent="0.25">
      <c r="A3" s="3" t="s">
        <v>33</v>
      </c>
      <c r="D3" s="2">
        <v>43055</v>
      </c>
      <c r="H3" s="3"/>
      <c r="I3" s="14"/>
      <c r="J3" s="3"/>
      <c r="K3" s="13"/>
    </row>
    <row r="4" spans="1:11" ht="15.75" customHeight="1" x14ac:dyDescent="0.25">
      <c r="A4" s="3" t="s">
        <v>38</v>
      </c>
      <c r="D4" s="2">
        <v>4681</v>
      </c>
      <c r="H4" s="3"/>
      <c r="I4" s="14"/>
      <c r="J4" s="3"/>
      <c r="K4" s="13"/>
    </row>
    <row r="5" spans="1:11" ht="15.75" customHeight="1" x14ac:dyDescent="0.25">
      <c r="A5" s="3" t="s">
        <v>8</v>
      </c>
      <c r="D5" s="2">
        <v>145041</v>
      </c>
      <c r="H5" s="3"/>
      <c r="I5" s="14"/>
      <c r="J5" s="3"/>
      <c r="K5" s="13"/>
    </row>
    <row r="6" spans="1:11" ht="15.75" customHeight="1" x14ac:dyDescent="0.25">
      <c r="A6" s="3" t="s">
        <v>2</v>
      </c>
      <c r="D6" s="2">
        <v>114568</v>
      </c>
    </row>
    <row r="7" spans="1:11" ht="15.75" customHeight="1" x14ac:dyDescent="0.25">
      <c r="A7" s="3" t="s">
        <v>14</v>
      </c>
      <c r="D7" s="2">
        <v>25489</v>
      </c>
    </row>
    <row r="8" spans="1:11" ht="15.75" customHeight="1" x14ac:dyDescent="0.25">
      <c r="A8" s="4" t="s">
        <v>51</v>
      </c>
      <c r="D8" s="2">
        <v>352824</v>
      </c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D16" s="3"/>
      <c r="F16" s="3"/>
    </row>
    <row r="18" spans="1:6" ht="15.75" customHeight="1" x14ac:dyDescent="0.25">
      <c r="A18" s="3"/>
      <c r="D18" s="3"/>
      <c r="F18" s="3"/>
    </row>
    <row r="19" spans="1:6" ht="15.75" customHeight="1" x14ac:dyDescent="0.25">
      <c r="A19" s="3"/>
      <c r="D19" s="3"/>
      <c r="F19" s="3"/>
    </row>
    <row r="20" spans="1:6" ht="12.5" x14ac:dyDescent="0.25">
      <c r="A20" s="3"/>
      <c r="D20" s="3"/>
      <c r="F20" s="3"/>
    </row>
    <row r="21" spans="1:6" ht="12.5" x14ac:dyDescent="0.25">
      <c r="A21" s="3"/>
      <c r="D21" s="2"/>
      <c r="F21" s="3"/>
    </row>
    <row r="22" spans="1:6" ht="12.5" x14ac:dyDescent="0.25">
      <c r="A22" s="3"/>
      <c r="D22" s="3"/>
      <c r="F22" s="3"/>
    </row>
    <row r="23" spans="1:6" ht="12.5" x14ac:dyDescent="0.25">
      <c r="A23" s="3"/>
      <c r="D23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AECA-70E3-4154-B7A2-1022A5EBB9ED}">
  <sheetPr>
    <outlinePr summaryBelow="0" summaryRight="0"/>
  </sheetPr>
  <dimension ref="A1:K23"/>
  <sheetViews>
    <sheetView workbookViewId="0">
      <selection activeCell="B1" sqref="B1:B1048576"/>
    </sheetView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B1" s="3"/>
      <c r="C1" s="3">
        <v>2012</v>
      </c>
      <c r="D1" s="3"/>
    </row>
    <row r="2" spans="1:11" ht="15.75" customHeight="1" x14ac:dyDescent="0.25">
      <c r="A2" s="3" t="s">
        <v>11</v>
      </c>
      <c r="B2" s="2"/>
      <c r="C2" s="2">
        <v>19393</v>
      </c>
      <c r="D2" s="2"/>
      <c r="H2" s="3"/>
      <c r="I2" s="15"/>
      <c r="K2" s="13"/>
    </row>
    <row r="3" spans="1:11" ht="15.75" customHeight="1" x14ac:dyDescent="0.25">
      <c r="A3" s="3" t="s">
        <v>33</v>
      </c>
      <c r="B3" s="2"/>
      <c r="C3" s="2">
        <v>32478</v>
      </c>
      <c r="D3" s="2"/>
      <c r="H3" s="3"/>
      <c r="I3" s="15"/>
      <c r="K3" s="13"/>
    </row>
    <row r="4" spans="1:11" ht="15.75" customHeight="1" x14ac:dyDescent="0.25">
      <c r="A4" s="3" t="s">
        <v>38</v>
      </c>
      <c r="B4" s="2"/>
      <c r="C4" s="2">
        <v>10854</v>
      </c>
      <c r="D4" s="2"/>
      <c r="H4" s="3"/>
      <c r="I4" s="15"/>
      <c r="K4" s="13"/>
    </row>
    <row r="5" spans="1:11" ht="15.75" customHeight="1" x14ac:dyDescent="0.25">
      <c r="A5" s="3" t="s">
        <v>8</v>
      </c>
      <c r="B5" s="2"/>
      <c r="C5" s="2">
        <v>160887</v>
      </c>
      <c r="D5" s="2"/>
      <c r="H5" s="3"/>
      <c r="I5" s="15"/>
      <c r="K5" s="13"/>
    </row>
    <row r="6" spans="1:11" ht="15.75" customHeight="1" x14ac:dyDescent="0.25">
      <c r="A6" s="3" t="s">
        <v>2</v>
      </c>
      <c r="B6" s="2"/>
      <c r="C6" s="2">
        <v>71295</v>
      </c>
      <c r="D6" s="2"/>
    </row>
    <row r="7" spans="1:11" ht="15.75" customHeight="1" x14ac:dyDescent="0.25">
      <c r="A7" s="3" t="s">
        <v>14</v>
      </c>
      <c r="B7" s="2"/>
      <c r="C7" s="2">
        <v>26409</v>
      </c>
      <c r="D7" s="3"/>
    </row>
    <row r="8" spans="1:11" ht="15.75" customHeight="1" x14ac:dyDescent="0.25">
      <c r="A8" s="4" t="s">
        <v>51</v>
      </c>
      <c r="B8" s="2"/>
      <c r="C8" s="2">
        <v>321316</v>
      </c>
      <c r="D8" s="2"/>
    </row>
    <row r="16" spans="1:11" ht="15.75" customHeight="1" x14ac:dyDescent="0.25">
      <c r="A16" s="3"/>
      <c r="F16" s="3"/>
    </row>
    <row r="17" spans="1:6" ht="15.75" customHeight="1" x14ac:dyDescent="0.25">
      <c r="B17" s="3"/>
      <c r="C17" s="3"/>
      <c r="D17" s="3"/>
      <c r="F17" s="3"/>
    </row>
    <row r="18" spans="1:6" ht="15.75" customHeight="1" x14ac:dyDescent="0.25">
      <c r="A18" s="3"/>
      <c r="B18" s="3"/>
      <c r="C18" s="3"/>
      <c r="D18" s="3"/>
      <c r="F18" s="3"/>
    </row>
    <row r="19" spans="1:6" ht="15.75" customHeight="1" x14ac:dyDescent="0.25">
      <c r="A19" s="3"/>
      <c r="B19" s="3"/>
      <c r="C19" s="3"/>
      <c r="D19" s="3"/>
      <c r="F19" s="3"/>
    </row>
    <row r="20" spans="1:6" ht="12.5" x14ac:dyDescent="0.25">
      <c r="A20" s="3"/>
      <c r="B20" s="3"/>
      <c r="C20" s="3"/>
      <c r="D20" s="3"/>
      <c r="F20" s="3"/>
    </row>
    <row r="21" spans="1:6" ht="12.5" x14ac:dyDescent="0.25">
      <c r="A21" s="3"/>
      <c r="B21" s="2"/>
      <c r="C21" s="2"/>
      <c r="D21" s="2"/>
      <c r="F21" s="3"/>
    </row>
    <row r="22" spans="1:6" ht="12.5" x14ac:dyDescent="0.25">
      <c r="A22" s="3"/>
      <c r="B22" s="3"/>
      <c r="C22" s="3"/>
      <c r="D22" s="3"/>
    </row>
    <row r="23" spans="1:6" ht="15.75" customHeight="1" x14ac:dyDescent="0.25">
      <c r="A23" s="3"/>
      <c r="B23" s="3"/>
      <c r="C23" s="3"/>
      <c r="D23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86FF-7704-4363-ADFC-17FA685B1E4F}">
  <sheetPr>
    <outlinePr summaryBelow="0" summaryRight="0"/>
  </sheetPr>
  <dimension ref="A1:K24"/>
  <sheetViews>
    <sheetView workbookViewId="0"/>
  </sheetViews>
  <sheetFormatPr defaultColWidth="14.453125" defaultRowHeight="15.75" customHeight="1" x14ac:dyDescent="0.25"/>
  <cols>
    <col min="8" max="8" width="20.453125" customWidth="1"/>
  </cols>
  <sheetData>
    <row r="1" spans="1:11" ht="15.75" customHeight="1" x14ac:dyDescent="0.25">
      <c r="A1" s="3"/>
      <c r="B1" s="3">
        <v>2011</v>
      </c>
      <c r="D1" s="3"/>
    </row>
    <row r="2" spans="1:11" ht="15.75" customHeight="1" x14ac:dyDescent="0.25">
      <c r="A2" s="3" t="s">
        <v>11</v>
      </c>
      <c r="B2" s="2">
        <v>18139</v>
      </c>
      <c r="D2" s="2"/>
      <c r="H2" s="3"/>
      <c r="I2" s="15"/>
      <c r="K2" s="13"/>
    </row>
    <row r="3" spans="1:11" ht="15.75" customHeight="1" x14ac:dyDescent="0.25">
      <c r="A3" s="3" t="s">
        <v>33</v>
      </c>
      <c r="B3" s="2">
        <v>42329</v>
      </c>
      <c r="D3" s="2"/>
      <c r="H3" s="3"/>
      <c r="I3" s="15"/>
      <c r="K3" s="13"/>
    </row>
    <row r="4" spans="1:11" ht="15.75" customHeight="1" x14ac:dyDescent="0.25">
      <c r="A4" s="3" t="s">
        <v>38</v>
      </c>
      <c r="B4" s="2">
        <v>19559</v>
      </c>
      <c r="D4" s="2"/>
      <c r="H4" s="3"/>
      <c r="I4" s="15"/>
      <c r="K4" s="13"/>
    </row>
    <row r="5" spans="1:11" ht="15.75" customHeight="1" x14ac:dyDescent="0.25">
      <c r="A5" s="3" t="s">
        <v>8</v>
      </c>
      <c r="B5" s="2">
        <v>191183</v>
      </c>
      <c r="D5" s="2"/>
      <c r="H5" s="3"/>
      <c r="I5" s="15"/>
      <c r="K5" s="13"/>
    </row>
    <row r="6" spans="1:11" ht="15.75" customHeight="1" x14ac:dyDescent="0.25">
      <c r="A6" s="3" t="s">
        <v>2</v>
      </c>
      <c r="B6" s="2">
        <v>80736</v>
      </c>
      <c r="D6" s="2"/>
    </row>
    <row r="7" spans="1:11" ht="15.75" customHeight="1" x14ac:dyDescent="0.25">
      <c r="A7" s="3" t="s">
        <v>14</v>
      </c>
      <c r="B7" s="3">
        <v>990</v>
      </c>
      <c r="D7" s="3"/>
    </row>
    <row r="8" spans="1:11" ht="15.75" customHeight="1" x14ac:dyDescent="0.25">
      <c r="A8" s="4" t="s">
        <v>51</v>
      </c>
      <c r="B8" s="2">
        <v>352936</v>
      </c>
      <c r="D8" s="2"/>
    </row>
    <row r="17" spans="1:6" ht="15.75" customHeight="1" x14ac:dyDescent="0.25">
      <c r="A17" s="3"/>
      <c r="F17" s="3"/>
    </row>
    <row r="18" spans="1:6" ht="15.75" customHeight="1" x14ac:dyDescent="0.25">
      <c r="B18" s="3"/>
      <c r="D18" s="3"/>
      <c r="F18" s="3"/>
    </row>
    <row r="19" spans="1:6" ht="15.75" customHeight="1" x14ac:dyDescent="0.25">
      <c r="A19" s="3"/>
      <c r="B19" s="3"/>
      <c r="D19" s="3"/>
      <c r="F19" s="3"/>
    </row>
    <row r="20" spans="1:6" ht="12.5" x14ac:dyDescent="0.25">
      <c r="A20" s="3"/>
      <c r="B20" s="3"/>
      <c r="D20" s="3"/>
      <c r="F20" s="3"/>
    </row>
    <row r="21" spans="1:6" ht="12.5" x14ac:dyDescent="0.25">
      <c r="A21" s="3"/>
      <c r="B21" s="3"/>
      <c r="D21" s="3"/>
      <c r="F21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3"/>
      <c r="D23" s="3"/>
    </row>
    <row r="24" spans="1:6" ht="15.75" customHeight="1" x14ac:dyDescent="0.25">
      <c r="A24" s="3"/>
      <c r="B24" s="3"/>
      <c r="D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8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11</v>
      </c>
      <c r="C4" s="2">
        <v>19588</v>
      </c>
      <c r="E4" s="2">
        <v>33638</v>
      </c>
      <c r="I4" s="1" t="s">
        <v>3</v>
      </c>
      <c r="J4" s="14">
        <v>0.95299999999999996</v>
      </c>
      <c r="K4" s="3"/>
      <c r="L4" s="13"/>
    </row>
    <row r="5" spans="1:12" ht="15.75" customHeight="1" x14ac:dyDescent="0.25">
      <c r="A5" s="1" t="s">
        <v>4</v>
      </c>
      <c r="C5" s="2">
        <v>110926</v>
      </c>
      <c r="E5" s="2">
        <v>17527</v>
      </c>
      <c r="I5" s="1" t="s">
        <v>5</v>
      </c>
      <c r="J5" s="14">
        <v>4.4999999999999998E-2</v>
      </c>
      <c r="K5" s="3"/>
      <c r="L5" s="13"/>
    </row>
    <row r="6" spans="1:12" ht="15.75" customHeight="1" x14ac:dyDescent="0.25">
      <c r="A6" s="1" t="s">
        <v>6</v>
      </c>
      <c r="C6" s="2">
        <v>90824</v>
      </c>
      <c r="E6" s="2">
        <v>77483</v>
      </c>
      <c r="I6" s="1" t="s">
        <v>7</v>
      </c>
      <c r="J6" s="14">
        <v>2E-3</v>
      </c>
      <c r="K6" s="3"/>
      <c r="L6" s="13"/>
    </row>
    <row r="7" spans="1:12" ht="15.75" customHeight="1" x14ac:dyDescent="0.25">
      <c r="A7" s="1" t="s">
        <v>8</v>
      </c>
      <c r="C7" s="2">
        <v>120287</v>
      </c>
      <c r="E7" s="2">
        <v>160377</v>
      </c>
      <c r="I7" s="1" t="s">
        <v>9</v>
      </c>
      <c r="J7" s="14">
        <v>1E-3</v>
      </c>
      <c r="K7" s="3"/>
      <c r="L7" s="13"/>
    </row>
    <row r="8" spans="1:12" ht="15.75" customHeight="1" x14ac:dyDescent="0.25">
      <c r="A8" s="1" t="s">
        <v>2</v>
      </c>
      <c r="C8" s="2">
        <v>159486</v>
      </c>
      <c r="E8" s="2">
        <v>163306</v>
      </c>
    </row>
    <row r="9" spans="1:12" ht="15.75" customHeight="1" x14ac:dyDescent="0.25">
      <c r="A9" s="1" t="s">
        <v>14</v>
      </c>
      <c r="C9" s="2">
        <v>14369</v>
      </c>
      <c r="E9" s="2">
        <v>13825</v>
      </c>
    </row>
    <row r="10" spans="1:12" ht="15.75" customHeight="1" x14ac:dyDescent="0.25">
      <c r="A10" s="1" t="s">
        <v>10</v>
      </c>
      <c r="C10" s="2">
        <v>2398</v>
      </c>
      <c r="E10" s="3" t="s">
        <v>13</v>
      </c>
    </row>
    <row r="11" spans="1:12" ht="15.75" customHeight="1" x14ac:dyDescent="0.25">
      <c r="A11" s="1" t="s">
        <v>15</v>
      </c>
      <c r="C11" s="2">
        <v>10151</v>
      </c>
      <c r="E11" s="2">
        <v>13146</v>
      </c>
    </row>
    <row r="12" spans="1:12" ht="15.75" customHeight="1" x14ac:dyDescent="0.25">
      <c r="A12" s="4" t="s">
        <v>51</v>
      </c>
      <c r="C12" s="2">
        <v>528029</v>
      </c>
      <c r="E12" s="2">
        <v>479302</v>
      </c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B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  <c r="G27" s="3"/>
    </row>
    <row r="28" spans="1:7" ht="12.5" x14ac:dyDescent="0.25">
      <c r="A28" s="1"/>
      <c r="C28" s="1"/>
      <c r="E28" s="1"/>
    </row>
  </sheetData>
  <sortState xmlns:xlrd2="http://schemas.microsoft.com/office/spreadsheetml/2017/richdata2" ref="A4:E11">
    <sortCondition ref="A4:A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8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>
        <v>2016</v>
      </c>
    </row>
    <row r="4" spans="1:12" ht="15.75" customHeight="1" x14ac:dyDescent="0.25">
      <c r="A4" s="1" t="s">
        <v>11</v>
      </c>
      <c r="C4" s="2">
        <v>33638</v>
      </c>
      <c r="E4" s="2">
        <v>31214</v>
      </c>
      <c r="I4" s="1" t="s">
        <v>3</v>
      </c>
      <c r="J4" s="14">
        <v>0.94500000000000006</v>
      </c>
      <c r="K4" s="3"/>
      <c r="L4" s="13"/>
    </row>
    <row r="5" spans="1:12" ht="15.75" customHeight="1" x14ac:dyDescent="0.25">
      <c r="A5" s="1" t="s">
        <v>4</v>
      </c>
      <c r="C5" s="2">
        <v>17527</v>
      </c>
      <c r="E5" s="3" t="s">
        <v>13</v>
      </c>
      <c r="I5" s="1" t="s">
        <v>5</v>
      </c>
      <c r="J5" s="14">
        <v>5.2999999999999999E-2</v>
      </c>
      <c r="K5" s="3"/>
      <c r="L5" s="13"/>
    </row>
    <row r="6" spans="1:12" ht="15.75" customHeight="1" x14ac:dyDescent="0.25">
      <c r="A6" s="1" t="s">
        <v>6</v>
      </c>
      <c r="C6" s="2">
        <v>77483</v>
      </c>
      <c r="E6" s="2">
        <v>35833</v>
      </c>
      <c r="I6" s="1" t="s">
        <v>7</v>
      </c>
      <c r="J6" s="14">
        <v>2E-3</v>
      </c>
      <c r="K6" s="3"/>
      <c r="L6" s="13"/>
    </row>
    <row r="7" spans="1:12" ht="15.75" customHeight="1" x14ac:dyDescent="0.25">
      <c r="A7" s="1" t="s">
        <v>8</v>
      </c>
      <c r="C7" s="2">
        <v>160377</v>
      </c>
      <c r="E7" s="2">
        <v>149988</v>
      </c>
      <c r="I7" s="1" t="s">
        <v>9</v>
      </c>
      <c r="J7" s="14">
        <v>0</v>
      </c>
      <c r="K7" s="3"/>
      <c r="L7" s="13"/>
    </row>
    <row r="8" spans="1:12" ht="15.75" customHeight="1" x14ac:dyDescent="0.25">
      <c r="A8" s="1" t="s">
        <v>2</v>
      </c>
      <c r="C8" s="2">
        <v>163306</v>
      </c>
      <c r="E8" s="2">
        <v>163228</v>
      </c>
    </row>
    <row r="9" spans="1:12" ht="15.75" customHeight="1" x14ac:dyDescent="0.25">
      <c r="A9" s="1" t="s">
        <v>14</v>
      </c>
      <c r="C9" s="2">
        <v>13825</v>
      </c>
      <c r="E9" s="2">
        <v>18720</v>
      </c>
    </row>
    <row r="10" spans="1:12" ht="15.75" customHeight="1" x14ac:dyDescent="0.25">
      <c r="A10" s="1" t="s">
        <v>15</v>
      </c>
      <c r="C10" s="2">
        <v>13146</v>
      </c>
      <c r="E10" s="2">
        <v>18029</v>
      </c>
    </row>
    <row r="11" spans="1:12" ht="15.75" customHeight="1" x14ac:dyDescent="0.25">
      <c r="A11" s="4" t="s">
        <v>51</v>
      </c>
      <c r="C11" s="2">
        <v>479302</v>
      </c>
      <c r="E11" s="2">
        <v>417012</v>
      </c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B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  <c r="G27" s="3"/>
    </row>
    <row r="28" spans="1:7" ht="12.5" x14ac:dyDescent="0.25">
      <c r="A28" s="1"/>
      <c r="C28" s="1"/>
      <c r="E28" s="1"/>
    </row>
  </sheetData>
  <sortState xmlns:xlrd2="http://schemas.microsoft.com/office/spreadsheetml/2017/richdata2" ref="A4:E10">
    <sortCondition ref="A4:A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6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11</v>
      </c>
      <c r="C4" s="2">
        <v>31214</v>
      </c>
      <c r="E4" s="2">
        <v>27925</v>
      </c>
      <c r="I4" s="1" t="s">
        <v>3</v>
      </c>
      <c r="J4" s="14">
        <v>0.93799999999999994</v>
      </c>
      <c r="K4" s="3"/>
      <c r="L4" s="13"/>
    </row>
    <row r="5" spans="1:12" ht="15.75" customHeight="1" x14ac:dyDescent="0.25">
      <c r="A5" s="1" t="s">
        <v>33</v>
      </c>
      <c r="C5" s="2">
        <v>18029</v>
      </c>
      <c r="E5" s="2">
        <v>32729</v>
      </c>
      <c r="I5" s="1" t="s">
        <v>5</v>
      </c>
      <c r="J5" s="14">
        <v>0.06</v>
      </c>
      <c r="K5" s="3"/>
      <c r="L5" s="13"/>
    </row>
    <row r="6" spans="1:12" ht="15.75" customHeight="1" x14ac:dyDescent="0.25">
      <c r="A6" s="1" t="s">
        <v>6</v>
      </c>
      <c r="C6" s="2">
        <v>35833</v>
      </c>
      <c r="E6" s="1" t="s">
        <v>13</v>
      </c>
      <c r="I6" s="1" t="s">
        <v>7</v>
      </c>
      <c r="J6" s="14">
        <v>2E-3</v>
      </c>
      <c r="K6" s="3"/>
      <c r="L6" s="13"/>
    </row>
    <row r="7" spans="1:12" ht="15.75" customHeight="1" x14ac:dyDescent="0.25">
      <c r="A7" s="1" t="s">
        <v>8</v>
      </c>
      <c r="C7" s="2">
        <v>149988</v>
      </c>
      <c r="E7" s="2">
        <v>160451</v>
      </c>
      <c r="I7" s="1" t="s">
        <v>9</v>
      </c>
      <c r="J7" s="14">
        <v>0</v>
      </c>
      <c r="K7" s="3"/>
      <c r="L7" s="13"/>
    </row>
    <row r="8" spans="1:12" ht="15.75" customHeight="1" x14ac:dyDescent="0.25">
      <c r="A8" s="1" t="s">
        <v>2</v>
      </c>
      <c r="C8" s="2">
        <v>163228</v>
      </c>
      <c r="E8" s="2">
        <v>169455</v>
      </c>
    </row>
    <row r="9" spans="1:12" ht="15.75" customHeight="1" x14ac:dyDescent="0.25">
      <c r="A9" s="1" t="s">
        <v>14</v>
      </c>
      <c r="C9" s="2">
        <v>18720</v>
      </c>
      <c r="E9" s="2">
        <v>24516</v>
      </c>
    </row>
    <row r="10" spans="1:12" ht="15.75" customHeight="1" x14ac:dyDescent="0.25">
      <c r="A10" s="4" t="s">
        <v>51</v>
      </c>
      <c r="C10" s="2">
        <v>417012</v>
      </c>
      <c r="E10" s="2">
        <v>415076</v>
      </c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A18" s="1"/>
      <c r="B18" s="1"/>
      <c r="C18" s="1"/>
      <c r="D18" s="1"/>
      <c r="E18" s="1"/>
      <c r="F18" s="1"/>
      <c r="G18" s="1"/>
    </row>
    <row r="19" spans="1:7" ht="15.75" customHeight="1" x14ac:dyDescent="0.25">
      <c r="C19" s="1"/>
      <c r="E19" s="1"/>
      <c r="G19" s="1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  <c r="G25" s="1"/>
    </row>
    <row r="26" spans="1:7" ht="12.5" x14ac:dyDescent="0.25">
      <c r="A26" s="1"/>
      <c r="C26" s="1"/>
      <c r="E26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6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2015</v>
      </c>
      <c r="E2" s="1">
        <v>2014</v>
      </c>
    </row>
    <row r="4" spans="1:12" ht="15.75" customHeight="1" x14ac:dyDescent="0.25">
      <c r="A4" s="1" t="s">
        <v>11</v>
      </c>
      <c r="C4" s="2">
        <v>27925</v>
      </c>
      <c r="E4" s="2">
        <v>22612</v>
      </c>
      <c r="I4" s="1" t="s">
        <v>3</v>
      </c>
      <c r="J4" s="14">
        <v>0.93799999999999994</v>
      </c>
      <c r="K4" s="3"/>
      <c r="L4" s="13"/>
    </row>
    <row r="5" spans="1:12" ht="15.75" customHeight="1" x14ac:dyDescent="0.25">
      <c r="A5" s="1" t="s">
        <v>33</v>
      </c>
      <c r="C5" s="2">
        <v>32729</v>
      </c>
      <c r="E5" s="2">
        <v>35683</v>
      </c>
      <c r="I5" s="1" t="s">
        <v>5</v>
      </c>
      <c r="J5" s="14">
        <v>0.06</v>
      </c>
      <c r="K5" s="3"/>
      <c r="L5" s="13"/>
    </row>
    <row r="6" spans="1:12" ht="15.75" customHeight="1" x14ac:dyDescent="0.25">
      <c r="A6" s="1" t="s">
        <v>8</v>
      </c>
      <c r="C6" s="2">
        <v>160451</v>
      </c>
      <c r="E6" s="2">
        <v>153633</v>
      </c>
      <c r="I6" s="1" t="s">
        <v>7</v>
      </c>
      <c r="J6" s="14">
        <v>2E-3</v>
      </c>
      <c r="K6" s="3"/>
      <c r="L6" s="13"/>
    </row>
    <row r="7" spans="1:12" ht="15.75" customHeight="1" x14ac:dyDescent="0.25">
      <c r="A7" s="1" t="s">
        <v>2</v>
      </c>
      <c r="C7" s="2">
        <v>169455</v>
      </c>
      <c r="E7" s="2">
        <v>157087</v>
      </c>
      <c r="I7" s="1" t="s">
        <v>9</v>
      </c>
      <c r="J7" s="14">
        <v>0</v>
      </c>
      <c r="K7" s="3"/>
      <c r="L7" s="13"/>
    </row>
    <row r="8" spans="1:12" ht="15.75" customHeight="1" x14ac:dyDescent="0.25">
      <c r="A8" s="1" t="s">
        <v>14</v>
      </c>
      <c r="C8" s="2">
        <v>24516</v>
      </c>
      <c r="E8" s="2">
        <v>25845</v>
      </c>
    </row>
    <row r="9" spans="1:12" ht="15.75" customHeight="1" x14ac:dyDescent="0.25">
      <c r="A9" s="4" t="s">
        <v>51</v>
      </c>
      <c r="C9" s="2">
        <v>415076</v>
      </c>
      <c r="E9" s="2">
        <v>394860</v>
      </c>
    </row>
    <row r="10" spans="1:12" ht="15.75" customHeight="1" x14ac:dyDescent="0.25">
      <c r="B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C19" s="1"/>
      <c r="E19" s="1"/>
      <c r="G19" s="1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1"/>
      <c r="E25" s="1"/>
      <c r="G25" s="3"/>
    </row>
    <row r="26" spans="1:7" ht="12.5" x14ac:dyDescent="0.25">
      <c r="A26" s="1"/>
      <c r="C26" s="1"/>
      <c r="E26" s="1"/>
    </row>
  </sheetData>
  <sortState xmlns:xlrd2="http://schemas.microsoft.com/office/spreadsheetml/2017/richdata2" ref="A4:F8">
    <sortCondition ref="A4:A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7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2014</v>
      </c>
      <c r="E2" s="1">
        <v>2013</v>
      </c>
    </row>
    <row r="4" spans="1:12" ht="15.75" customHeight="1" x14ac:dyDescent="0.25">
      <c r="A4" s="1" t="s">
        <v>11</v>
      </c>
      <c r="C4" s="2">
        <v>22612</v>
      </c>
      <c r="E4" s="2">
        <v>19990</v>
      </c>
      <c r="I4" s="1" t="s">
        <v>3</v>
      </c>
      <c r="J4" s="14">
        <v>0.94400000000000006</v>
      </c>
      <c r="K4" s="3"/>
      <c r="L4" s="13"/>
    </row>
    <row r="5" spans="1:12" ht="15.75" customHeight="1" x14ac:dyDescent="0.25">
      <c r="A5" s="1" t="s">
        <v>33</v>
      </c>
      <c r="C5" s="2">
        <v>35683</v>
      </c>
      <c r="E5" s="2">
        <v>43055</v>
      </c>
      <c r="I5" s="1" t="s">
        <v>5</v>
      </c>
      <c r="J5" s="14">
        <v>5.5E-2</v>
      </c>
      <c r="K5" s="3"/>
      <c r="L5" s="13"/>
    </row>
    <row r="6" spans="1:12" ht="15.75" customHeight="1" x14ac:dyDescent="0.25">
      <c r="A6" s="1" t="s">
        <v>38</v>
      </c>
      <c r="C6" s="3" t="s">
        <v>13</v>
      </c>
      <c r="E6" s="2">
        <v>4681</v>
      </c>
      <c r="I6" s="1" t="s">
        <v>7</v>
      </c>
      <c r="J6" s="14">
        <v>1E-3</v>
      </c>
      <c r="K6" s="3"/>
      <c r="L6" s="13"/>
    </row>
    <row r="7" spans="1:12" ht="15.75" customHeight="1" x14ac:dyDescent="0.25">
      <c r="A7" s="1" t="s">
        <v>8</v>
      </c>
      <c r="C7" s="2">
        <v>153633</v>
      </c>
      <c r="E7" s="2">
        <v>145041</v>
      </c>
      <c r="I7" s="1" t="s">
        <v>9</v>
      </c>
      <c r="J7" s="14">
        <v>0</v>
      </c>
      <c r="K7" s="3"/>
      <c r="L7" s="13"/>
    </row>
    <row r="8" spans="1:12" ht="15.75" customHeight="1" x14ac:dyDescent="0.25">
      <c r="A8" s="1" t="s">
        <v>2</v>
      </c>
      <c r="C8" s="2">
        <v>157087</v>
      </c>
      <c r="E8" s="2">
        <v>114568</v>
      </c>
    </row>
    <row r="9" spans="1:12" ht="15.75" customHeight="1" x14ac:dyDescent="0.25">
      <c r="A9" s="1" t="s">
        <v>14</v>
      </c>
      <c r="C9" s="2">
        <v>25845</v>
      </c>
      <c r="E9" s="2">
        <v>25489</v>
      </c>
    </row>
    <row r="10" spans="1:12" ht="15.75" customHeight="1" x14ac:dyDescent="0.25">
      <c r="A10" s="4" t="s">
        <v>51</v>
      </c>
      <c r="C10" s="2">
        <v>394860</v>
      </c>
      <c r="E10" s="2">
        <v>352824</v>
      </c>
    </row>
    <row r="11" spans="1:12" ht="15.75" customHeight="1" x14ac:dyDescent="0.25">
      <c r="B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1"/>
      <c r="E26" s="1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5"/>
  <sheetViews>
    <sheetView workbookViewId="0">
      <selection activeCell="A4" sqref="A4:E12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2013</v>
      </c>
      <c r="E2" s="1">
        <v>2012</v>
      </c>
    </row>
    <row r="4" spans="1:12" ht="15.75" customHeight="1" x14ac:dyDescent="0.25">
      <c r="A4" s="1" t="s">
        <v>11</v>
      </c>
      <c r="C4" s="2">
        <v>19990</v>
      </c>
      <c r="E4" s="2">
        <v>19393</v>
      </c>
      <c r="I4" s="1" t="s">
        <v>3</v>
      </c>
      <c r="J4" s="14">
        <v>0.93599999999999994</v>
      </c>
      <c r="K4" s="3"/>
      <c r="L4" s="13"/>
    </row>
    <row r="5" spans="1:12" ht="15.75" customHeight="1" x14ac:dyDescent="0.25">
      <c r="A5" s="1" t="s">
        <v>33</v>
      </c>
      <c r="C5" s="2">
        <v>43055</v>
      </c>
      <c r="E5" s="2">
        <v>32478</v>
      </c>
      <c r="I5" s="1" t="s">
        <v>5</v>
      </c>
      <c r="J5" s="14">
        <v>0.06</v>
      </c>
      <c r="K5" s="3"/>
      <c r="L5" s="13"/>
    </row>
    <row r="6" spans="1:12" ht="15.75" customHeight="1" x14ac:dyDescent="0.25">
      <c r="A6" s="1" t="s">
        <v>38</v>
      </c>
      <c r="C6" s="2">
        <v>4681</v>
      </c>
      <c r="E6" s="2">
        <v>10854</v>
      </c>
      <c r="I6" s="1" t="s">
        <v>7</v>
      </c>
      <c r="J6" s="14">
        <v>1E-3</v>
      </c>
      <c r="K6" s="3"/>
      <c r="L6" s="13"/>
    </row>
    <row r="7" spans="1:12" ht="15.75" customHeight="1" x14ac:dyDescent="0.25">
      <c r="A7" s="1" t="s">
        <v>8</v>
      </c>
      <c r="C7" s="2">
        <v>145041</v>
      </c>
      <c r="E7" s="2">
        <v>160887</v>
      </c>
      <c r="I7" s="1" t="s">
        <v>9</v>
      </c>
      <c r="J7" s="14">
        <v>3.0000000000000001E-3</v>
      </c>
      <c r="K7" s="3"/>
      <c r="L7" s="13"/>
    </row>
    <row r="8" spans="1:12" ht="15.75" customHeight="1" x14ac:dyDescent="0.25">
      <c r="A8" s="1" t="s">
        <v>2</v>
      </c>
      <c r="C8" s="2">
        <v>114568</v>
      </c>
      <c r="E8" s="2">
        <v>71295</v>
      </c>
    </row>
    <row r="9" spans="1:12" ht="15.75" customHeight="1" x14ac:dyDescent="0.25">
      <c r="A9" s="1" t="s">
        <v>14</v>
      </c>
      <c r="C9" s="2">
        <v>25489</v>
      </c>
      <c r="E9" s="2">
        <v>26409</v>
      </c>
    </row>
    <row r="10" spans="1:12" ht="15.75" customHeight="1" x14ac:dyDescent="0.25">
      <c r="A10" s="4" t="s">
        <v>51</v>
      </c>
      <c r="C10" s="2">
        <v>352824</v>
      </c>
      <c r="E10" s="2">
        <v>321316</v>
      </c>
    </row>
    <row r="11" spans="1:12" ht="15.75" customHeight="1" x14ac:dyDescent="0.25">
      <c r="B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C18" s="1"/>
      <c r="E18" s="1"/>
      <c r="G18" s="1"/>
    </row>
    <row r="20" spans="1:7" ht="15.75" customHeight="1" x14ac:dyDescent="0.25">
      <c r="A20" s="1"/>
      <c r="C20" s="1"/>
      <c r="E20" s="1"/>
      <c r="G20" s="3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ALL - SEAT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Sheet11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  <vt:lpstr>2011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2021-05-01T11:58:12Z</dcterms:modified>
</cp:coreProperties>
</file>