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ntv489/Dropbox (GloriamGroup)/GPCRDB_Project_Alignments_and_Similarities/ECD/"/>
    </mc:Choice>
  </mc:AlternateContent>
  <bookViews>
    <workbookView xWindow="1040" yWindow="460" windowWidth="32520" windowHeight="20540" tabRatio="500"/>
  </bookViews>
  <sheets>
    <sheet name="xtal_annotation" sheetId="1" r:id="rId1"/>
    <sheet name="wt" sheetId="2" r:id="rId2"/>
    <sheet name="B1" sheetId="3" r:id="rId3"/>
    <sheet name="H2-T5 region" sheetId="4" r:id="rId4"/>
    <sheet name="anomalies" sheetId="6" r:id="rId5"/>
    <sheet name="ligand_alignment" sheetId="5" r:id="rId6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A3" i="2" l="1"/>
  <c r="BA4" i="2"/>
  <c r="BA5" i="2"/>
  <c r="BA6" i="2"/>
  <c r="BA7" i="2"/>
  <c r="BA8" i="2"/>
  <c r="BA9" i="2"/>
  <c r="BA10" i="2"/>
  <c r="BA11" i="2"/>
  <c r="BA12" i="2"/>
  <c r="BA13" i="2"/>
  <c r="BA14" i="2"/>
  <c r="BA15" i="2"/>
  <c r="BA16" i="2"/>
  <c r="BA17" i="2"/>
  <c r="BA2" i="2"/>
  <c r="AY3" i="2"/>
  <c r="AY4" i="2"/>
  <c r="AY5" i="2"/>
  <c r="AY6" i="2"/>
  <c r="AY7" i="2"/>
  <c r="AY8" i="2"/>
  <c r="AY9" i="2"/>
  <c r="AY10" i="2"/>
  <c r="AY11" i="2"/>
  <c r="AY12" i="2"/>
  <c r="AY13" i="2"/>
  <c r="AY14" i="2"/>
  <c r="AY15" i="2"/>
  <c r="AY16" i="2"/>
  <c r="AY17" i="2"/>
  <c r="AY2" i="2"/>
  <c r="AX3" i="2"/>
  <c r="AX4" i="2"/>
  <c r="AX5" i="2"/>
  <c r="AX6" i="2"/>
  <c r="AX7" i="2"/>
  <c r="AX8" i="2"/>
  <c r="AX9" i="2"/>
  <c r="AX10" i="2"/>
  <c r="AX11" i="2"/>
  <c r="AX12" i="2"/>
  <c r="AX13" i="2"/>
  <c r="AX14" i="2"/>
  <c r="AX15" i="2"/>
  <c r="AX16" i="2"/>
  <c r="AX17" i="2"/>
  <c r="AX2" i="2"/>
  <c r="AV3" i="2"/>
  <c r="AV4" i="2"/>
  <c r="AV5" i="2"/>
  <c r="AV6" i="2"/>
  <c r="AV7" i="2"/>
  <c r="AV8" i="2"/>
  <c r="AV9" i="2"/>
  <c r="AV10" i="2"/>
  <c r="AV11" i="2"/>
  <c r="AV12" i="2"/>
  <c r="AV13" i="2"/>
  <c r="AV14" i="2"/>
  <c r="AV15" i="2"/>
  <c r="AV16" i="2"/>
  <c r="AV17" i="2"/>
  <c r="AV2" i="2"/>
  <c r="AU3" i="2"/>
  <c r="AU4" i="2"/>
  <c r="AU5" i="2"/>
  <c r="AU6" i="2"/>
  <c r="AU7" i="2"/>
  <c r="AU8" i="2"/>
  <c r="AU9" i="2"/>
  <c r="AU10" i="2"/>
  <c r="AU11" i="2"/>
  <c r="AU12" i="2"/>
  <c r="AU13" i="2"/>
  <c r="AU14" i="2"/>
  <c r="AU15" i="2"/>
  <c r="AU16" i="2"/>
  <c r="AU17" i="2"/>
  <c r="AU2" i="2"/>
  <c r="AS3" i="2"/>
  <c r="AS4" i="2"/>
  <c r="AS5" i="2"/>
  <c r="AS6" i="2"/>
  <c r="AS7" i="2"/>
  <c r="AS8" i="2"/>
  <c r="AS9" i="2"/>
  <c r="AS10" i="2"/>
  <c r="AS11" i="2"/>
  <c r="AS12" i="2"/>
  <c r="AS13" i="2"/>
  <c r="AS14" i="2"/>
  <c r="AS15" i="2"/>
  <c r="AS16" i="2"/>
  <c r="AS17" i="2"/>
  <c r="AS2" i="2"/>
  <c r="AR3" i="2"/>
  <c r="AR4" i="2"/>
  <c r="AR5" i="2"/>
  <c r="AR6" i="2"/>
  <c r="AR7" i="2"/>
  <c r="AR8" i="2"/>
  <c r="AR9" i="2"/>
  <c r="AR10" i="2"/>
  <c r="AR11" i="2"/>
  <c r="AR12" i="2"/>
  <c r="AR13" i="2"/>
  <c r="AR14" i="2"/>
  <c r="AR15" i="2"/>
  <c r="AR16" i="2"/>
  <c r="AR17" i="2"/>
  <c r="AR2" i="2"/>
  <c r="AP3" i="2"/>
  <c r="AP4" i="2"/>
  <c r="AP5" i="2"/>
  <c r="AP6" i="2"/>
  <c r="AP7" i="2"/>
  <c r="AP8" i="2"/>
  <c r="AP9" i="2"/>
  <c r="AP10" i="2"/>
  <c r="AP11" i="2"/>
  <c r="AP12" i="2"/>
  <c r="AP13" i="2"/>
  <c r="AP14" i="2"/>
  <c r="AP15" i="2"/>
  <c r="AP16" i="2"/>
  <c r="AP17" i="2"/>
  <c r="AP2" i="2"/>
  <c r="AO3" i="2"/>
  <c r="AO4" i="2"/>
  <c r="AO5" i="2"/>
  <c r="AO6" i="2"/>
  <c r="AO7" i="2"/>
  <c r="AO8" i="2"/>
  <c r="AO9" i="2"/>
  <c r="AO10" i="2"/>
  <c r="AO11" i="2"/>
  <c r="AO12" i="2"/>
  <c r="AO13" i="2"/>
  <c r="AO14" i="2"/>
  <c r="AO15" i="2"/>
  <c r="AO16" i="2"/>
  <c r="AO17" i="2"/>
  <c r="AO2" i="2"/>
  <c r="AM3" i="2"/>
  <c r="AM4" i="2"/>
  <c r="AM5" i="2"/>
  <c r="AM6" i="2"/>
  <c r="AM7" i="2"/>
  <c r="AM8" i="2"/>
  <c r="AM9" i="2"/>
  <c r="AM10" i="2"/>
  <c r="AM11" i="2"/>
  <c r="AM12" i="2"/>
  <c r="AM13" i="2"/>
  <c r="AM14" i="2"/>
  <c r="AM15" i="2"/>
  <c r="AM16" i="2"/>
  <c r="AM17" i="2"/>
  <c r="AM2" i="2"/>
  <c r="AL3" i="2"/>
  <c r="AL4" i="2"/>
  <c r="AL5" i="2"/>
  <c r="AL6" i="2"/>
  <c r="AL7" i="2"/>
  <c r="AL8" i="2"/>
  <c r="AL9" i="2"/>
  <c r="AL10" i="2"/>
  <c r="AL11" i="2"/>
  <c r="AL12" i="2"/>
  <c r="AL13" i="2"/>
  <c r="AL14" i="2"/>
  <c r="AL15" i="2"/>
  <c r="AL16" i="2"/>
  <c r="AL17" i="2"/>
  <c r="AL2" i="2"/>
  <c r="AJ3" i="2"/>
  <c r="AJ4" i="2"/>
  <c r="AJ5" i="2"/>
  <c r="AJ6" i="2"/>
  <c r="AJ7" i="2"/>
  <c r="AJ8" i="2"/>
  <c r="AJ9" i="2"/>
  <c r="AJ10" i="2"/>
  <c r="AJ11" i="2"/>
  <c r="AJ12" i="2"/>
  <c r="AJ13" i="2"/>
  <c r="AJ14" i="2"/>
  <c r="AJ15" i="2"/>
  <c r="AJ16" i="2"/>
  <c r="AJ17" i="2"/>
  <c r="AJ2" i="2"/>
  <c r="AI3" i="2"/>
  <c r="AI4" i="2"/>
  <c r="AI5" i="2"/>
  <c r="AI6" i="2"/>
  <c r="AI7" i="2"/>
  <c r="AI8" i="2"/>
  <c r="AI9" i="2"/>
  <c r="AI10" i="2"/>
  <c r="AI11" i="2"/>
  <c r="AI12" i="2"/>
  <c r="AI13" i="2"/>
  <c r="AI14" i="2"/>
  <c r="AI15" i="2"/>
  <c r="AI16" i="2"/>
  <c r="AI17" i="2"/>
  <c r="AI2" i="2"/>
  <c r="AG3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2" i="2"/>
  <c r="AF3" i="2"/>
  <c r="AF4" i="2"/>
  <c r="AF5" i="2"/>
  <c r="AF6" i="2"/>
  <c r="AF7" i="2"/>
  <c r="AF8" i="2"/>
  <c r="AF9" i="2"/>
  <c r="AF10" i="2"/>
  <c r="AF11" i="2"/>
  <c r="AF12" i="2"/>
  <c r="AF13" i="2"/>
  <c r="AF14" i="2"/>
  <c r="AF15" i="2"/>
  <c r="AF16" i="2"/>
  <c r="AF17" i="2"/>
  <c r="AF2" i="2"/>
  <c r="AD3" i="2"/>
  <c r="AD4" i="2"/>
  <c r="AD5" i="2"/>
  <c r="AD6" i="2"/>
  <c r="AD7" i="2"/>
  <c r="AD8" i="2"/>
  <c r="AD9" i="2"/>
  <c r="AD10" i="2"/>
  <c r="AD11" i="2"/>
  <c r="AD12" i="2"/>
  <c r="AD13" i="2"/>
  <c r="AD14" i="2"/>
  <c r="AD15" i="2"/>
  <c r="AD16" i="2"/>
  <c r="AD17" i="2"/>
  <c r="AD2" i="2"/>
  <c r="AC3" i="2"/>
  <c r="AC4" i="2"/>
  <c r="AC5" i="2"/>
  <c r="AC6" i="2"/>
  <c r="AC7" i="2"/>
  <c r="AC8" i="2"/>
  <c r="AC9" i="2"/>
  <c r="AC10" i="2"/>
  <c r="AC11" i="2"/>
  <c r="AC12" i="2"/>
  <c r="AC13" i="2"/>
  <c r="AC14" i="2"/>
  <c r="AC15" i="2"/>
  <c r="AC16" i="2"/>
  <c r="AC17" i="2"/>
  <c r="AC2" i="2"/>
  <c r="AA3" i="2"/>
  <c r="AA4" i="2"/>
  <c r="AA5" i="2"/>
  <c r="AA6" i="2"/>
  <c r="AA7" i="2"/>
  <c r="AA8" i="2"/>
  <c r="AA9" i="2"/>
  <c r="AA10" i="2"/>
  <c r="AA11" i="2"/>
  <c r="AA12" i="2"/>
  <c r="AA13" i="2"/>
  <c r="AA14" i="2"/>
  <c r="AA15" i="2"/>
  <c r="AA16" i="2"/>
  <c r="AA17" i="2"/>
  <c r="AA2" i="2"/>
  <c r="Z3" i="2"/>
  <c r="Z4" i="2"/>
  <c r="Z5" i="2"/>
  <c r="Z6" i="2"/>
  <c r="Z7" i="2"/>
  <c r="Z8" i="2"/>
  <c r="Z9" i="2"/>
  <c r="Z10" i="2"/>
  <c r="Z11" i="2"/>
  <c r="Z12" i="2"/>
  <c r="Z13" i="2"/>
  <c r="Z14" i="2"/>
  <c r="Z15" i="2"/>
  <c r="Z16" i="2"/>
  <c r="Z17" i="2"/>
  <c r="Z2" i="2"/>
  <c r="X2" i="2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W3" i="2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2" i="2"/>
  <c r="U2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V17" i="2"/>
  <c r="V16" i="2"/>
  <c r="V15" i="2"/>
  <c r="V14" i="2"/>
  <c r="V13" i="2"/>
  <c r="V12" i="2"/>
  <c r="V11" i="2"/>
  <c r="V10" i="2"/>
  <c r="V9" i="2"/>
  <c r="V8" i="2"/>
  <c r="V7" i="2"/>
  <c r="V6" i="2"/>
  <c r="V5" i="2"/>
  <c r="V4" i="2"/>
  <c r="V3" i="2"/>
  <c r="V2" i="2"/>
  <c r="U17" i="2"/>
  <c r="U16" i="2"/>
  <c r="U15" i="2"/>
  <c r="U14" i="2"/>
  <c r="U13" i="2"/>
  <c r="U12" i="2"/>
  <c r="U11" i="2"/>
  <c r="U10" i="2"/>
  <c r="U9" i="2"/>
  <c r="U8" i="2"/>
  <c r="U7" i="2"/>
  <c r="U6" i="2"/>
  <c r="U5" i="2"/>
  <c r="U4" i="2"/>
  <c r="U3" i="2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T2" i="2"/>
  <c r="R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Q2" i="2"/>
  <c r="O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N2" i="2"/>
  <c r="L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2" i="2"/>
  <c r="I2" i="2"/>
  <c r="C4" i="2"/>
  <c r="E4" i="2"/>
  <c r="F4" i="2"/>
  <c r="H4" i="2"/>
  <c r="C15" i="2"/>
  <c r="E15" i="2"/>
  <c r="F15" i="2"/>
  <c r="H15" i="2"/>
  <c r="C16" i="2"/>
  <c r="E16" i="2"/>
  <c r="F16" i="2"/>
  <c r="H16" i="2"/>
  <c r="C17" i="2"/>
  <c r="E17" i="2"/>
  <c r="F17" i="2"/>
  <c r="H17" i="2"/>
  <c r="C11" i="2"/>
  <c r="E11" i="2"/>
  <c r="F11" i="2"/>
  <c r="H11" i="2"/>
  <c r="C12" i="2"/>
  <c r="E12" i="2"/>
  <c r="F12" i="2"/>
  <c r="H12" i="2"/>
  <c r="C13" i="2"/>
  <c r="E13" i="2"/>
  <c r="F13" i="2"/>
  <c r="H13" i="2"/>
  <c r="C14" i="2"/>
  <c r="E14" i="2"/>
  <c r="F14" i="2"/>
  <c r="H14" i="2"/>
  <c r="C10" i="2"/>
  <c r="E10" i="2"/>
  <c r="F10" i="2"/>
  <c r="H10" i="2"/>
  <c r="C3" i="2"/>
  <c r="E3" i="2"/>
  <c r="F3" i="2"/>
  <c r="H3" i="2"/>
  <c r="C5" i="2"/>
  <c r="E5" i="2"/>
  <c r="F5" i="2"/>
  <c r="H5" i="2"/>
  <c r="C6" i="2"/>
  <c r="E6" i="2"/>
  <c r="F6" i="2"/>
  <c r="H6" i="2"/>
  <c r="C7" i="2"/>
  <c r="E7" i="2"/>
  <c r="F7" i="2"/>
  <c r="H7" i="2"/>
  <c r="C8" i="2"/>
  <c r="E8" i="2"/>
  <c r="F8" i="2"/>
  <c r="H8" i="2"/>
  <c r="C9" i="2"/>
  <c r="E9" i="2"/>
  <c r="F9" i="2"/>
  <c r="H9" i="2"/>
  <c r="H2" i="2"/>
  <c r="F2" i="2"/>
  <c r="E2" i="2"/>
  <c r="C2" i="2"/>
</calcChain>
</file>

<file path=xl/sharedStrings.xml><?xml version="1.0" encoding="utf-8"?>
<sst xmlns="http://schemas.openxmlformats.org/spreadsheetml/2006/main" count="1456" uniqueCount="161">
  <si>
    <t>H1b</t>
  </si>
  <si>
    <t>H1e</t>
  </si>
  <si>
    <t>H3b</t>
  </si>
  <si>
    <t>H3e</t>
  </si>
  <si>
    <t>-</t>
  </si>
  <si>
    <t>glr_human</t>
  </si>
  <si>
    <t>_wt</t>
  </si>
  <si>
    <t>4L6R</t>
  </si>
  <si>
    <t>4L6R_dist</t>
  </si>
  <si>
    <t>5EE7</t>
  </si>
  <si>
    <t>5XEZ</t>
  </si>
  <si>
    <t>5XF1</t>
  </si>
  <si>
    <t>5YQZ</t>
  </si>
  <si>
    <t>glp1r_human</t>
  </si>
  <si>
    <t>5VEW</t>
  </si>
  <si>
    <t>5VEX</t>
  </si>
  <si>
    <t>5NX2</t>
  </si>
  <si>
    <t>6B3J</t>
  </si>
  <si>
    <t>g1sgd4_rabit</t>
  </si>
  <si>
    <t>5VAI</t>
  </si>
  <si>
    <t>pth1r_human</t>
  </si>
  <si>
    <t>6FJ3</t>
  </si>
  <si>
    <t>gipr_human</t>
  </si>
  <si>
    <t>glp2r_human</t>
  </si>
  <si>
    <t>sctr_human</t>
  </si>
  <si>
    <t>pth2r_human</t>
  </si>
  <si>
    <t>pacr_human</t>
  </si>
  <si>
    <t>vipr1_human</t>
  </si>
  <si>
    <t>vipr2_human</t>
  </si>
  <si>
    <t>H1x50</t>
  </si>
  <si>
    <t>H3x50</t>
  </si>
  <si>
    <t>2qkh</t>
  </si>
  <si>
    <t>ghrhr_human</t>
  </si>
  <si>
    <t>2xdg</t>
  </si>
  <si>
    <t>crfr1_human</t>
  </si>
  <si>
    <t>2l27</t>
  </si>
  <si>
    <t>crfr2_human</t>
  </si>
  <si>
    <t>3n93</t>
  </si>
  <si>
    <t>2x57</t>
  </si>
  <si>
    <t>calrl_human</t>
  </si>
  <si>
    <t>3n7r</t>
  </si>
  <si>
    <t>calcr_human</t>
  </si>
  <si>
    <t>5ii0</t>
  </si>
  <si>
    <t>Key</t>
  </si>
  <si>
    <t>PDB</t>
  </si>
  <si>
    <t>UniProt</t>
  </si>
  <si>
    <t>placeholder</t>
  </si>
  <si>
    <t>S1b</t>
  </si>
  <si>
    <t>S1e</t>
  </si>
  <si>
    <t>S1x50</t>
  </si>
  <si>
    <t>S2b</t>
  </si>
  <si>
    <t>S2e</t>
  </si>
  <si>
    <t>S2x50</t>
  </si>
  <si>
    <t>S3b</t>
  </si>
  <si>
    <t>S3x50</t>
  </si>
  <si>
    <t>S3e</t>
  </si>
  <si>
    <t>S4b</t>
  </si>
  <si>
    <t>S4e</t>
  </si>
  <si>
    <t>S4x50</t>
  </si>
  <si>
    <t>S5b</t>
  </si>
  <si>
    <t>S5e</t>
  </si>
  <si>
    <t>S5x50</t>
  </si>
  <si>
    <t>S6b</t>
  </si>
  <si>
    <t>S6e</t>
  </si>
  <si>
    <t>S6x50</t>
  </si>
  <si>
    <t>3ehu</t>
  </si>
  <si>
    <t>3n94</t>
  </si>
  <si>
    <t>protein</t>
  </si>
  <si>
    <t>x47</t>
  </si>
  <si>
    <t>x48</t>
  </si>
  <si>
    <t>x49</t>
  </si>
  <si>
    <t>x50</t>
  </si>
  <si>
    <t>P</t>
  </si>
  <si>
    <t>S</t>
  </si>
  <si>
    <t>D</t>
  </si>
  <si>
    <t>F</t>
  </si>
  <si>
    <t>x51</t>
  </si>
  <si>
    <t>x52</t>
  </si>
  <si>
    <t>x53</t>
  </si>
  <si>
    <t>x54</t>
  </si>
  <si>
    <t>x55</t>
  </si>
  <si>
    <t>H</t>
  </si>
  <si>
    <t>x56</t>
  </si>
  <si>
    <t>x57</t>
  </si>
  <si>
    <t>x58</t>
  </si>
  <si>
    <t>x59</t>
  </si>
  <si>
    <t>x60</t>
  </si>
  <si>
    <t>x61</t>
  </si>
  <si>
    <t>x62</t>
  </si>
  <si>
    <t>E</t>
  </si>
  <si>
    <t>x63</t>
  </si>
  <si>
    <t>G</t>
  </si>
  <si>
    <t>W</t>
  </si>
  <si>
    <t>Y</t>
  </si>
  <si>
    <t>L</t>
  </si>
  <si>
    <t>K</t>
  </si>
  <si>
    <t>V</t>
  </si>
  <si>
    <t>Q</t>
  </si>
  <si>
    <t>R</t>
  </si>
  <si>
    <t>I</t>
  </si>
  <si>
    <t>N</t>
  </si>
  <si>
    <t>M</t>
  </si>
  <si>
    <t>A</t>
  </si>
  <si>
    <t>T</t>
  </si>
  <si>
    <t>x64</t>
  </si>
  <si>
    <t>x65</t>
  </si>
  <si>
    <t>H2</t>
  </si>
  <si>
    <t>S4</t>
  </si>
  <si>
    <t>H3</t>
  </si>
  <si>
    <t>x46</t>
  </si>
  <si>
    <t>structure</t>
  </si>
  <si>
    <t>3EHU</t>
  </si>
  <si>
    <t>Tyr77</t>
  </si>
  <si>
    <t>Phe72</t>
  </si>
  <si>
    <t>ligand bound</t>
  </si>
  <si>
    <t>yes</t>
  </si>
  <si>
    <t>rec fam</t>
  </si>
  <si>
    <t>no</t>
  </si>
  <si>
    <t>glucagon</t>
  </si>
  <si>
    <t>corticotropin</t>
  </si>
  <si>
    <t>parathyroid</t>
  </si>
  <si>
    <t>calcitonin</t>
  </si>
  <si>
    <t>VIP and PACAP</t>
  </si>
  <si>
    <t>helix</t>
  </si>
  <si>
    <t>turn</t>
  </si>
  <si>
    <t>sheet</t>
  </si>
  <si>
    <t>loop</t>
  </si>
  <si>
    <t>helix (sheet in crfr1-2)</t>
  </si>
  <si>
    <t>T1b</t>
  </si>
  <si>
    <t>T1e</t>
  </si>
  <si>
    <t>T2b</t>
  </si>
  <si>
    <t>T2e</t>
  </si>
  <si>
    <t>H2b</t>
  </si>
  <si>
    <t>H2e</t>
  </si>
  <si>
    <t>T3b</t>
  </si>
  <si>
    <t>T3e</t>
  </si>
  <si>
    <t>T3</t>
  </si>
  <si>
    <t>T4</t>
  </si>
  <si>
    <t>T4b</t>
  </si>
  <si>
    <t>T4e</t>
  </si>
  <si>
    <t>T5</t>
  </si>
  <si>
    <t>h3t5</t>
  </si>
  <si>
    <t>T5b</t>
  </si>
  <si>
    <t>T5e</t>
  </si>
  <si>
    <t>T6b</t>
  </si>
  <si>
    <t>T6e</t>
  </si>
  <si>
    <t>S7b</t>
  </si>
  <si>
    <t>S7e</t>
  </si>
  <si>
    <t>H4b</t>
  </si>
  <si>
    <t>H4e</t>
  </si>
  <si>
    <t>T1x50</t>
  </si>
  <si>
    <t>T2x50</t>
  </si>
  <si>
    <t>H2x50</t>
  </si>
  <si>
    <t>T3x50</t>
  </si>
  <si>
    <t>T4x50</t>
  </si>
  <si>
    <t>T5x50</t>
  </si>
  <si>
    <t>T6x50</t>
  </si>
  <si>
    <t>S7x50</t>
  </si>
  <si>
    <t>H4x50</t>
  </si>
  <si>
    <t>placholder</t>
  </si>
  <si>
    <t>S6x501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</si>
</sst>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E38CE4"/>
        <bgColor indexed="64"/>
      </patternFill>
    </fill>
    <fill>
      <patternFill patternType="solid">
        <fgColor rgb="FF7EFF77"/>
        <bgColor indexed="64"/>
      </patternFill>
    </fill>
    <fill>
      <patternFill patternType="solid">
        <fgColor rgb="FFFF626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4">
    <xf numFmtId="0" fontId="0" fillId="0" borderId="0" xfId="0"/>
    <xf numFmtId="0" fontId="1" fillId="0" borderId="1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1" xfId="0" applyFill="1" applyBorder="1"/>
    <xf numFmtId="0" fontId="0" fillId="0" borderId="0" xfId="0" applyFill="1"/>
    <xf numFmtId="0" fontId="0" fillId="0" borderId="1" xfId="0" applyFont="1" applyFill="1" applyBorder="1"/>
    <xf numFmtId="0" fontId="0" fillId="0" borderId="0" xfId="0" applyFont="1" applyFill="1"/>
    <xf numFmtId="0" fontId="0" fillId="0" borderId="0" xfId="0" applyFont="1" applyFill="1" applyBorder="1"/>
    <xf numFmtId="0" fontId="0" fillId="0" borderId="0" xfId="0" applyFill="1" applyBorder="1"/>
    <xf numFmtId="0" fontId="2" fillId="0" borderId="0" xfId="0" applyFont="1" applyFill="1"/>
    <xf numFmtId="0" fontId="1" fillId="2" borderId="0" xfId="0" applyFont="1" applyFill="1" applyBorder="1" applyAlignment="1">
      <alignment horizontal="center"/>
    </xf>
    <xf numFmtId="0" fontId="0" fillId="2" borderId="0" xfId="0" applyFill="1"/>
    <xf numFmtId="0" fontId="1" fillId="2" borderId="0" xfId="0" applyFont="1" applyFill="1" applyAlignment="1">
      <alignment horizontal="center"/>
    </xf>
    <xf numFmtId="0" fontId="0" fillId="3" borderId="0" xfId="0" applyFont="1" applyFill="1"/>
    <xf numFmtId="0" fontId="0" fillId="3" borderId="1" xfId="0" applyFill="1" applyBorder="1"/>
    <xf numFmtId="0" fontId="0" fillId="3" borderId="0" xfId="0" applyFill="1"/>
    <xf numFmtId="0" fontId="0" fillId="3" borderId="0" xfId="0" applyFill="1" applyBorder="1"/>
    <xf numFmtId="0" fontId="0" fillId="3" borderId="1" xfId="0" applyFont="1" applyFill="1" applyBorder="1"/>
    <xf numFmtId="0" fontId="0" fillId="3" borderId="0" xfId="0" applyFont="1" applyFill="1" applyBorder="1"/>
    <xf numFmtId="0" fontId="0" fillId="4" borderId="0" xfId="0" applyFill="1"/>
    <xf numFmtId="0" fontId="0" fillId="5" borderId="1" xfId="0" applyFont="1" applyFill="1" applyBorder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0" borderId="2" xfId="0" applyBorder="1"/>
    <xf numFmtId="0" fontId="0" fillId="6" borderId="2" xfId="0" applyFill="1" applyBorder="1"/>
    <xf numFmtId="0" fontId="0" fillId="0" borderId="2" xfId="0" applyFill="1" applyBorder="1"/>
    <xf numFmtId="0" fontId="0" fillId="8" borderId="2" xfId="0" applyFill="1" applyBorder="1"/>
    <xf numFmtId="0" fontId="0" fillId="9" borderId="2" xfId="0" applyFill="1" applyBorder="1"/>
    <xf numFmtId="0" fontId="1" fillId="6" borderId="0" xfId="0" applyFont="1" applyFill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7"/>
  <colors>
    <mruColors>
      <color rgb="FFFF6265"/>
      <color rgb="FF2450FF"/>
      <color rgb="FF7EFF77"/>
      <color rgb="FFE38CE4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38"/>
  <sheetViews>
    <sheetView tabSelected="1" workbookViewId="0">
      <selection activeCell="R32" sqref="R32"/>
    </sheetView>
  </sheetViews>
  <sheetFormatPr baseColWidth="10" defaultRowHeight="16" x14ac:dyDescent="0.2"/>
  <cols>
    <col min="1" max="1" width="18.83203125" bestFit="1" customWidth="1"/>
    <col min="2" max="2" width="12.33203125" bestFit="1" customWidth="1"/>
    <col min="4" max="4" width="4.5" style="5" bestFit="1" customWidth="1"/>
    <col min="5" max="5" width="4.33203125" style="6" bestFit="1" customWidth="1"/>
    <col min="6" max="15" width="4.1640625" style="6" bestFit="1" customWidth="1"/>
    <col min="16" max="27" width="4.1640625" style="6" customWidth="1"/>
    <col min="28" max="35" width="4.1640625" style="6" bestFit="1" customWidth="1"/>
    <col min="36" max="36" width="4.5" style="6" bestFit="1" customWidth="1"/>
    <col min="37" max="37" width="4.33203125" style="6" bestFit="1" customWidth="1"/>
  </cols>
  <sheetData>
    <row r="1" spans="1:38" x14ac:dyDescent="0.2">
      <c r="A1" t="s">
        <v>43</v>
      </c>
      <c r="B1" t="s">
        <v>45</v>
      </c>
      <c r="C1" t="s">
        <v>44</v>
      </c>
      <c r="D1" s="1" t="s">
        <v>0</v>
      </c>
      <c r="E1" s="2" t="s">
        <v>1</v>
      </c>
      <c r="F1" s="2" t="s">
        <v>47</v>
      </c>
      <c r="G1" s="2" t="s">
        <v>48</v>
      </c>
      <c r="H1" s="2" t="s">
        <v>128</v>
      </c>
      <c r="I1" s="2" t="s">
        <v>129</v>
      </c>
      <c r="J1" s="2" t="s">
        <v>50</v>
      </c>
      <c r="K1" s="2" t="s">
        <v>51</v>
      </c>
      <c r="L1" s="2" t="s">
        <v>130</v>
      </c>
      <c r="M1" s="2" t="s">
        <v>131</v>
      </c>
      <c r="N1" s="2" t="s">
        <v>53</v>
      </c>
      <c r="O1" s="2" t="s">
        <v>55</v>
      </c>
      <c r="P1" s="2" t="s">
        <v>132</v>
      </c>
      <c r="Q1" s="2" t="s">
        <v>133</v>
      </c>
      <c r="R1" s="2" t="s">
        <v>134</v>
      </c>
      <c r="S1" s="2" t="s">
        <v>135</v>
      </c>
      <c r="T1" s="2" t="s">
        <v>56</v>
      </c>
      <c r="U1" s="2" t="s">
        <v>57</v>
      </c>
      <c r="V1" s="2" t="s">
        <v>138</v>
      </c>
      <c r="W1" s="2" t="s">
        <v>139</v>
      </c>
      <c r="X1" s="2" t="s">
        <v>2</v>
      </c>
      <c r="Y1" s="2" t="s">
        <v>3</v>
      </c>
      <c r="Z1" s="2" t="s">
        <v>142</v>
      </c>
      <c r="AA1" s="2" t="s">
        <v>143</v>
      </c>
      <c r="AB1" s="2" t="s">
        <v>59</v>
      </c>
      <c r="AC1" s="2" t="s">
        <v>60</v>
      </c>
      <c r="AD1" s="2" t="s">
        <v>144</v>
      </c>
      <c r="AE1" s="2" t="s">
        <v>145</v>
      </c>
      <c r="AF1" s="2" t="s">
        <v>62</v>
      </c>
      <c r="AG1" s="2" t="s">
        <v>63</v>
      </c>
      <c r="AH1" s="2" t="s">
        <v>146</v>
      </c>
      <c r="AI1" s="2" t="s">
        <v>147</v>
      </c>
      <c r="AJ1" s="2" t="s">
        <v>148</v>
      </c>
      <c r="AK1" s="2" t="s">
        <v>149</v>
      </c>
      <c r="AL1" s="2" t="s">
        <v>46</v>
      </c>
    </row>
    <row r="2" spans="1:38" x14ac:dyDescent="0.2">
      <c r="A2" s="6" t="str">
        <f t="shared" ref="A2:A38" si="0">CONCATENATE(B2,"_",C2)</f>
        <v>glr_human__wt</v>
      </c>
      <c r="B2" s="6" t="s">
        <v>5</v>
      </c>
      <c r="C2" s="6" t="s">
        <v>6</v>
      </c>
      <c r="D2" s="3">
        <v>27</v>
      </c>
      <c r="E2" s="4">
        <v>50</v>
      </c>
      <c r="F2" s="4">
        <v>56</v>
      </c>
      <c r="G2" s="8">
        <v>63</v>
      </c>
      <c r="H2" s="8">
        <v>64</v>
      </c>
      <c r="I2" s="8">
        <v>65</v>
      </c>
      <c r="J2" s="8">
        <v>66</v>
      </c>
      <c r="K2" s="8">
        <v>72</v>
      </c>
      <c r="L2" s="8">
        <v>73</v>
      </c>
      <c r="M2" s="8">
        <v>74</v>
      </c>
      <c r="N2" s="8">
        <v>75</v>
      </c>
      <c r="O2" s="8">
        <v>81</v>
      </c>
      <c r="P2" s="8">
        <v>82</v>
      </c>
      <c r="Q2" s="8">
        <v>85</v>
      </c>
      <c r="R2" s="8" t="s">
        <v>4</v>
      </c>
      <c r="S2" s="8" t="s">
        <v>4</v>
      </c>
      <c r="T2" s="8" t="s">
        <v>4</v>
      </c>
      <c r="U2" s="8" t="s">
        <v>4</v>
      </c>
      <c r="V2" s="8">
        <v>86</v>
      </c>
      <c r="W2" s="8">
        <v>86</v>
      </c>
      <c r="X2" s="8">
        <v>87</v>
      </c>
      <c r="Y2" s="8">
        <v>91</v>
      </c>
      <c r="Z2" s="8">
        <v>92</v>
      </c>
      <c r="AA2" s="8">
        <v>94</v>
      </c>
      <c r="AB2" s="8">
        <v>95</v>
      </c>
      <c r="AC2" s="8">
        <v>101</v>
      </c>
      <c r="AD2" s="8">
        <v>102</v>
      </c>
      <c r="AE2" s="8">
        <v>103</v>
      </c>
      <c r="AF2" s="8">
        <v>104</v>
      </c>
      <c r="AG2" s="8">
        <v>109</v>
      </c>
      <c r="AH2" s="8">
        <v>112</v>
      </c>
      <c r="AI2" s="8">
        <v>117</v>
      </c>
      <c r="AJ2" s="8">
        <v>118</v>
      </c>
      <c r="AK2" s="8">
        <v>122</v>
      </c>
    </row>
    <row r="3" spans="1:38" x14ac:dyDescent="0.2">
      <c r="A3" s="6" t="str">
        <f t="shared" si="0"/>
        <v>glr_human_4L6R</v>
      </c>
      <c r="B3" s="6" t="s">
        <v>5</v>
      </c>
      <c r="C3" s="6" t="s">
        <v>7</v>
      </c>
      <c r="D3" s="3" t="s">
        <v>4</v>
      </c>
      <c r="E3" s="4" t="s">
        <v>4</v>
      </c>
      <c r="F3" s="8" t="s">
        <v>4</v>
      </c>
      <c r="G3" s="8" t="s">
        <v>4</v>
      </c>
      <c r="H3" s="8"/>
      <c r="I3" s="8"/>
      <c r="J3" s="8" t="s">
        <v>4</v>
      </c>
      <c r="K3" s="8" t="s">
        <v>4</v>
      </c>
      <c r="L3" s="8"/>
      <c r="M3" s="8"/>
      <c r="N3" s="8" t="s">
        <v>4</v>
      </c>
      <c r="O3" s="8" t="s">
        <v>4</v>
      </c>
      <c r="P3" s="8" t="s">
        <v>4</v>
      </c>
      <c r="Q3" s="8" t="s">
        <v>4</v>
      </c>
      <c r="R3" s="8" t="s">
        <v>4</v>
      </c>
      <c r="S3" s="8" t="s">
        <v>4</v>
      </c>
      <c r="T3" s="8" t="s">
        <v>4</v>
      </c>
      <c r="U3" s="8" t="s">
        <v>4</v>
      </c>
      <c r="V3" s="8" t="s">
        <v>4</v>
      </c>
      <c r="W3" s="8" t="s">
        <v>4</v>
      </c>
      <c r="X3" s="8" t="s">
        <v>4</v>
      </c>
      <c r="Y3" s="8" t="s">
        <v>4</v>
      </c>
      <c r="Z3" s="8" t="s">
        <v>4</v>
      </c>
      <c r="AA3" s="8" t="s">
        <v>4</v>
      </c>
      <c r="AB3" s="8" t="s">
        <v>4</v>
      </c>
      <c r="AC3" s="8" t="s">
        <v>4</v>
      </c>
      <c r="AD3" s="8"/>
      <c r="AE3" s="8"/>
      <c r="AF3" s="8"/>
      <c r="AG3" s="8"/>
      <c r="AH3" s="8"/>
      <c r="AI3" s="8"/>
      <c r="AJ3" s="8" t="s">
        <v>4</v>
      </c>
      <c r="AK3" s="8" t="s">
        <v>4</v>
      </c>
    </row>
    <row r="4" spans="1:38" x14ac:dyDescent="0.2">
      <c r="A4" s="6" t="str">
        <f t="shared" si="0"/>
        <v>glr_human_4L6R_dist</v>
      </c>
      <c r="B4" s="6" t="s">
        <v>5</v>
      </c>
      <c r="C4" s="6" t="s">
        <v>8</v>
      </c>
      <c r="D4" s="3" t="s">
        <v>4</v>
      </c>
      <c r="E4" s="4" t="s">
        <v>4</v>
      </c>
      <c r="F4" s="8" t="s">
        <v>4</v>
      </c>
      <c r="G4" s="8" t="s">
        <v>4</v>
      </c>
      <c r="H4" s="8"/>
      <c r="I4" s="8"/>
      <c r="J4" s="8" t="s">
        <v>4</v>
      </c>
      <c r="K4" s="8" t="s">
        <v>4</v>
      </c>
      <c r="L4" s="8"/>
      <c r="M4" s="8"/>
      <c r="N4" s="8" t="s">
        <v>4</v>
      </c>
      <c r="O4" s="8" t="s">
        <v>4</v>
      </c>
      <c r="P4" s="8" t="s">
        <v>4</v>
      </c>
      <c r="Q4" s="8" t="s">
        <v>4</v>
      </c>
      <c r="R4" s="8" t="s">
        <v>4</v>
      </c>
      <c r="S4" s="8" t="s">
        <v>4</v>
      </c>
      <c r="T4" s="8" t="s">
        <v>4</v>
      </c>
      <c r="U4" s="8" t="s">
        <v>4</v>
      </c>
      <c r="V4" s="8" t="s">
        <v>4</v>
      </c>
      <c r="W4" s="8" t="s">
        <v>4</v>
      </c>
      <c r="X4" s="8" t="s">
        <v>4</v>
      </c>
      <c r="Y4" s="8" t="s">
        <v>4</v>
      </c>
      <c r="Z4" s="8" t="s">
        <v>4</v>
      </c>
      <c r="AA4" s="8" t="s">
        <v>4</v>
      </c>
      <c r="AB4" s="8" t="s">
        <v>4</v>
      </c>
      <c r="AC4" s="8" t="s">
        <v>4</v>
      </c>
      <c r="AD4" s="8"/>
      <c r="AE4" s="8"/>
      <c r="AF4" s="8"/>
      <c r="AG4" s="8"/>
      <c r="AH4" s="8"/>
      <c r="AI4" s="8"/>
      <c r="AJ4" s="8" t="s">
        <v>4</v>
      </c>
      <c r="AK4" s="8" t="s">
        <v>4</v>
      </c>
    </row>
    <row r="5" spans="1:38" x14ac:dyDescent="0.2">
      <c r="A5" s="6" t="str">
        <f t="shared" si="0"/>
        <v>glr_human_5EE7</v>
      </c>
      <c r="B5" s="6" t="s">
        <v>5</v>
      </c>
      <c r="C5" s="6" t="s">
        <v>9</v>
      </c>
      <c r="D5" s="3" t="s">
        <v>4</v>
      </c>
      <c r="E5" s="4" t="s">
        <v>4</v>
      </c>
      <c r="F5" s="8" t="s">
        <v>4</v>
      </c>
      <c r="G5" s="8" t="s">
        <v>4</v>
      </c>
      <c r="H5" s="8"/>
      <c r="I5" s="8"/>
      <c r="J5" s="8" t="s">
        <v>4</v>
      </c>
      <c r="K5" s="8" t="s">
        <v>4</v>
      </c>
      <c r="L5" s="8"/>
      <c r="M5" s="8"/>
      <c r="N5" s="8" t="s">
        <v>4</v>
      </c>
      <c r="O5" s="8" t="s">
        <v>4</v>
      </c>
      <c r="P5" s="8" t="s">
        <v>4</v>
      </c>
      <c r="Q5" s="8" t="s">
        <v>4</v>
      </c>
      <c r="R5" s="8" t="s">
        <v>4</v>
      </c>
      <c r="S5" s="8" t="s">
        <v>4</v>
      </c>
      <c r="T5" s="8" t="s">
        <v>4</v>
      </c>
      <c r="U5" s="8" t="s">
        <v>4</v>
      </c>
      <c r="V5" s="8" t="s">
        <v>4</v>
      </c>
      <c r="W5" s="8" t="s">
        <v>4</v>
      </c>
      <c r="X5" s="8" t="s">
        <v>4</v>
      </c>
      <c r="Y5" s="8" t="s">
        <v>4</v>
      </c>
      <c r="Z5" s="8" t="s">
        <v>4</v>
      </c>
      <c r="AA5" s="8" t="s">
        <v>4</v>
      </c>
      <c r="AB5" s="8" t="s">
        <v>4</v>
      </c>
      <c r="AC5" s="8" t="s">
        <v>4</v>
      </c>
      <c r="AD5" s="8"/>
      <c r="AE5" s="8"/>
      <c r="AF5" s="8"/>
      <c r="AG5" s="8"/>
      <c r="AH5" s="8"/>
      <c r="AI5" s="8"/>
      <c r="AJ5" s="8" t="s">
        <v>4</v>
      </c>
      <c r="AK5" s="8" t="s">
        <v>4</v>
      </c>
    </row>
    <row r="6" spans="1:38" x14ac:dyDescent="0.2">
      <c r="A6" s="6" t="str">
        <f t="shared" si="0"/>
        <v>glr_human_5XEZ</v>
      </c>
      <c r="B6" s="6" t="s">
        <v>5</v>
      </c>
      <c r="C6" s="6" t="s">
        <v>10</v>
      </c>
      <c r="D6" s="3">
        <v>27</v>
      </c>
      <c r="E6" s="4">
        <v>50</v>
      </c>
      <c r="F6" s="4">
        <v>57</v>
      </c>
      <c r="G6" s="8">
        <v>63</v>
      </c>
      <c r="H6" s="8">
        <v>64</v>
      </c>
      <c r="I6" s="8">
        <v>65</v>
      </c>
      <c r="J6" s="8">
        <v>66</v>
      </c>
      <c r="K6" s="8">
        <v>72</v>
      </c>
      <c r="L6" s="8">
        <v>73</v>
      </c>
      <c r="M6" s="8">
        <v>74</v>
      </c>
      <c r="N6" s="8">
        <v>75</v>
      </c>
      <c r="O6" s="8">
        <v>81</v>
      </c>
      <c r="P6" s="8">
        <v>82</v>
      </c>
      <c r="Q6" s="8">
        <v>85</v>
      </c>
      <c r="R6" s="8" t="s">
        <v>4</v>
      </c>
      <c r="S6" s="8" t="s">
        <v>4</v>
      </c>
      <c r="T6" s="8" t="s">
        <v>4</v>
      </c>
      <c r="U6" s="8" t="s">
        <v>4</v>
      </c>
      <c r="V6" s="8">
        <v>86</v>
      </c>
      <c r="W6" s="8">
        <v>86</v>
      </c>
      <c r="X6" s="8">
        <v>87</v>
      </c>
      <c r="Y6" s="8">
        <v>91</v>
      </c>
      <c r="Z6" s="8">
        <v>92</v>
      </c>
      <c r="AA6" s="8">
        <v>94</v>
      </c>
      <c r="AB6" s="8">
        <v>95</v>
      </c>
      <c r="AC6" s="8">
        <v>101</v>
      </c>
      <c r="AD6" s="8">
        <v>102</v>
      </c>
      <c r="AE6" s="8">
        <v>103</v>
      </c>
      <c r="AF6" s="8">
        <v>104</v>
      </c>
      <c r="AG6" s="8">
        <v>109</v>
      </c>
      <c r="AH6" s="8">
        <v>112</v>
      </c>
      <c r="AI6" s="8">
        <v>117</v>
      </c>
      <c r="AJ6" s="8">
        <v>118</v>
      </c>
      <c r="AK6" s="8">
        <v>122</v>
      </c>
    </row>
    <row r="7" spans="1:38" x14ac:dyDescent="0.2">
      <c r="A7" s="6" t="str">
        <f t="shared" si="0"/>
        <v>glr_human_5XF1</v>
      </c>
      <c r="B7" s="6" t="s">
        <v>5</v>
      </c>
      <c r="C7" s="6" t="s">
        <v>11</v>
      </c>
      <c r="D7" s="3">
        <v>27</v>
      </c>
      <c r="E7" s="4">
        <v>49</v>
      </c>
      <c r="F7" s="4">
        <v>58</v>
      </c>
      <c r="G7" s="8">
        <v>63</v>
      </c>
      <c r="H7" s="8">
        <v>64</v>
      </c>
      <c r="I7" s="8">
        <v>65</v>
      </c>
      <c r="J7" s="8">
        <v>66</v>
      </c>
      <c r="K7" s="8">
        <v>72</v>
      </c>
      <c r="L7" s="8">
        <v>73</v>
      </c>
      <c r="M7" s="8">
        <v>74</v>
      </c>
      <c r="N7" s="8">
        <v>75</v>
      </c>
      <c r="O7" s="8">
        <v>81</v>
      </c>
      <c r="P7" s="8">
        <v>82</v>
      </c>
      <c r="Q7" s="8">
        <v>85</v>
      </c>
      <c r="R7" s="8" t="s">
        <v>4</v>
      </c>
      <c r="S7" s="8" t="s">
        <v>4</v>
      </c>
      <c r="T7" s="8" t="s">
        <v>4</v>
      </c>
      <c r="U7" s="8" t="s">
        <v>4</v>
      </c>
      <c r="V7" s="8">
        <v>86</v>
      </c>
      <c r="W7" s="8">
        <v>86</v>
      </c>
      <c r="X7" s="8">
        <v>87</v>
      </c>
      <c r="Y7" s="8">
        <v>91</v>
      </c>
      <c r="Z7" s="8">
        <v>92</v>
      </c>
      <c r="AA7" s="8">
        <v>94</v>
      </c>
      <c r="AB7" s="8">
        <v>95</v>
      </c>
      <c r="AC7" s="8">
        <v>101</v>
      </c>
      <c r="AD7" s="8">
        <v>102</v>
      </c>
      <c r="AE7" s="8">
        <v>103</v>
      </c>
      <c r="AF7" s="8">
        <v>104</v>
      </c>
      <c r="AG7" s="8">
        <v>109</v>
      </c>
      <c r="AH7" s="8">
        <v>112</v>
      </c>
      <c r="AI7" s="8">
        <v>117</v>
      </c>
      <c r="AJ7" s="8">
        <v>118</v>
      </c>
      <c r="AK7" s="8">
        <v>122</v>
      </c>
    </row>
    <row r="8" spans="1:38" x14ac:dyDescent="0.2">
      <c r="A8" s="6" t="str">
        <f t="shared" si="0"/>
        <v>glr_human_5YQZ</v>
      </c>
      <c r="B8" s="6" t="s">
        <v>5</v>
      </c>
      <c r="C8" s="6" t="s">
        <v>12</v>
      </c>
      <c r="D8" s="3">
        <v>27</v>
      </c>
      <c r="E8" s="4">
        <v>51</v>
      </c>
      <c r="F8" s="4">
        <v>56</v>
      </c>
      <c r="G8" s="8">
        <v>64</v>
      </c>
      <c r="H8" s="8">
        <v>64</v>
      </c>
      <c r="I8" s="8">
        <v>65</v>
      </c>
      <c r="J8" s="8">
        <v>66</v>
      </c>
      <c r="K8" s="8">
        <v>72</v>
      </c>
      <c r="L8" s="8">
        <v>73</v>
      </c>
      <c r="M8" s="8">
        <v>74</v>
      </c>
      <c r="N8" s="8">
        <v>75</v>
      </c>
      <c r="O8" s="8">
        <v>81</v>
      </c>
      <c r="P8" s="8">
        <v>82</v>
      </c>
      <c r="Q8" s="8">
        <v>85</v>
      </c>
      <c r="R8" s="8" t="s">
        <v>4</v>
      </c>
      <c r="S8" s="8" t="s">
        <v>4</v>
      </c>
      <c r="T8" s="8" t="s">
        <v>4</v>
      </c>
      <c r="U8" s="8" t="s">
        <v>4</v>
      </c>
      <c r="V8" s="8">
        <v>86</v>
      </c>
      <c r="W8" s="8">
        <v>86</v>
      </c>
      <c r="X8" s="8">
        <v>87</v>
      </c>
      <c r="Y8" s="8">
        <v>91</v>
      </c>
      <c r="Z8" s="8">
        <v>92</v>
      </c>
      <c r="AA8" s="8">
        <v>94</v>
      </c>
      <c r="AB8" s="8">
        <v>95</v>
      </c>
      <c r="AC8" s="8">
        <v>101</v>
      </c>
      <c r="AD8" s="8">
        <v>102</v>
      </c>
      <c r="AE8" s="8">
        <v>103</v>
      </c>
      <c r="AF8" s="8">
        <v>104</v>
      </c>
      <c r="AG8" s="8">
        <v>109</v>
      </c>
      <c r="AH8" s="8">
        <v>112</v>
      </c>
      <c r="AI8" s="8">
        <v>117</v>
      </c>
      <c r="AJ8" s="8">
        <v>118</v>
      </c>
      <c r="AK8" s="8">
        <v>122</v>
      </c>
    </row>
    <row r="9" spans="1:38" x14ac:dyDescent="0.2">
      <c r="A9" s="6" t="str">
        <f t="shared" si="0"/>
        <v>glp1r_human__wt</v>
      </c>
      <c r="B9" s="6" t="s">
        <v>13</v>
      </c>
      <c r="C9" s="6" t="s">
        <v>6</v>
      </c>
      <c r="D9" s="3">
        <v>31</v>
      </c>
      <c r="E9" s="4">
        <v>53</v>
      </c>
      <c r="F9" s="4">
        <v>61</v>
      </c>
      <c r="G9" s="8">
        <v>67</v>
      </c>
      <c r="H9" s="8">
        <v>68</v>
      </c>
      <c r="I9" s="8">
        <v>69</v>
      </c>
      <c r="J9" s="8">
        <v>70</v>
      </c>
      <c r="K9" s="8">
        <v>76</v>
      </c>
      <c r="L9" s="8">
        <v>77</v>
      </c>
      <c r="M9" s="8">
        <v>78</v>
      </c>
      <c r="N9" s="8">
        <v>79</v>
      </c>
      <c r="O9" s="8">
        <v>85</v>
      </c>
      <c r="P9" s="8">
        <v>86</v>
      </c>
      <c r="Q9" s="8">
        <v>89</v>
      </c>
      <c r="R9" s="8" t="s">
        <v>4</v>
      </c>
      <c r="S9" s="8" t="s">
        <v>4</v>
      </c>
      <c r="T9" s="8" t="s">
        <v>4</v>
      </c>
      <c r="U9" s="8" t="s">
        <v>4</v>
      </c>
      <c r="V9" s="8">
        <v>90</v>
      </c>
      <c r="W9" s="8">
        <v>90</v>
      </c>
      <c r="X9" s="8">
        <v>91</v>
      </c>
      <c r="Y9" s="8">
        <v>95</v>
      </c>
      <c r="Z9" s="8">
        <v>96</v>
      </c>
      <c r="AA9" s="8">
        <v>98</v>
      </c>
      <c r="AB9" s="8">
        <v>99</v>
      </c>
      <c r="AC9" s="8">
        <v>105</v>
      </c>
      <c r="AD9" s="8">
        <v>106</v>
      </c>
      <c r="AE9" s="8">
        <v>107</v>
      </c>
      <c r="AF9" s="8">
        <v>108</v>
      </c>
      <c r="AG9" s="8">
        <v>113</v>
      </c>
      <c r="AH9" s="8">
        <v>116</v>
      </c>
      <c r="AI9" s="8">
        <v>122</v>
      </c>
      <c r="AJ9" s="8">
        <v>123</v>
      </c>
      <c r="AK9" s="8">
        <v>132</v>
      </c>
    </row>
    <row r="10" spans="1:38" x14ac:dyDescent="0.2">
      <c r="A10" s="6" t="str">
        <f t="shared" si="0"/>
        <v>glp1r_human_5VEW</v>
      </c>
      <c r="B10" s="6" t="s">
        <v>13</v>
      </c>
      <c r="C10" s="6" t="s">
        <v>14</v>
      </c>
      <c r="D10" s="3" t="s">
        <v>4</v>
      </c>
      <c r="E10" s="8" t="s">
        <v>4</v>
      </c>
      <c r="F10" s="8" t="s">
        <v>4</v>
      </c>
      <c r="G10" s="8" t="s">
        <v>4</v>
      </c>
      <c r="H10" s="8"/>
      <c r="I10" s="8"/>
      <c r="J10" s="8" t="s">
        <v>4</v>
      </c>
      <c r="K10" s="8" t="s">
        <v>4</v>
      </c>
      <c r="L10" s="8"/>
      <c r="M10" s="8"/>
      <c r="N10" s="8" t="s">
        <v>4</v>
      </c>
      <c r="O10" s="8" t="s">
        <v>4</v>
      </c>
      <c r="P10" s="8" t="s">
        <v>4</v>
      </c>
      <c r="Q10" s="8" t="s">
        <v>4</v>
      </c>
      <c r="R10" s="8" t="s">
        <v>4</v>
      </c>
      <c r="S10" s="8" t="s">
        <v>4</v>
      </c>
      <c r="T10" s="8" t="s">
        <v>4</v>
      </c>
      <c r="U10" s="8" t="s">
        <v>4</v>
      </c>
      <c r="V10" s="8" t="s">
        <v>4</v>
      </c>
      <c r="W10" s="8" t="s">
        <v>4</v>
      </c>
      <c r="X10" s="8" t="s">
        <v>4</v>
      </c>
      <c r="Y10" s="8" t="s">
        <v>4</v>
      </c>
      <c r="Z10" s="8" t="s">
        <v>4</v>
      </c>
      <c r="AA10" s="8" t="s">
        <v>4</v>
      </c>
      <c r="AB10" s="8" t="s">
        <v>4</v>
      </c>
      <c r="AC10" s="8" t="s">
        <v>4</v>
      </c>
      <c r="AD10" s="8"/>
      <c r="AE10" s="8"/>
      <c r="AF10" s="8"/>
      <c r="AG10" s="8"/>
      <c r="AH10" s="8"/>
      <c r="AI10" s="8"/>
      <c r="AJ10" s="8" t="s">
        <v>4</v>
      </c>
      <c r="AK10" s="8" t="s">
        <v>4</v>
      </c>
    </row>
    <row r="11" spans="1:38" x14ac:dyDescent="0.2">
      <c r="A11" s="6" t="str">
        <f t="shared" si="0"/>
        <v>glp1r_human_5VEX</v>
      </c>
      <c r="B11" s="6" t="s">
        <v>13</v>
      </c>
      <c r="C11" s="6" t="s">
        <v>15</v>
      </c>
      <c r="D11" s="3" t="s">
        <v>4</v>
      </c>
      <c r="E11" s="8" t="s">
        <v>4</v>
      </c>
      <c r="F11" s="8" t="s">
        <v>4</v>
      </c>
      <c r="G11" s="8" t="s">
        <v>4</v>
      </c>
      <c r="H11" s="8"/>
      <c r="I11" s="8"/>
      <c r="J11" s="8" t="s">
        <v>4</v>
      </c>
      <c r="K11" s="8" t="s">
        <v>4</v>
      </c>
      <c r="L11" s="8"/>
      <c r="M11" s="8"/>
      <c r="N11" s="8" t="s">
        <v>4</v>
      </c>
      <c r="O11" s="8" t="s">
        <v>4</v>
      </c>
      <c r="P11" s="8" t="s">
        <v>4</v>
      </c>
      <c r="Q11" s="8" t="s">
        <v>4</v>
      </c>
      <c r="R11" s="8" t="s">
        <v>4</v>
      </c>
      <c r="S11" s="8" t="s">
        <v>4</v>
      </c>
      <c r="T11" s="8" t="s">
        <v>4</v>
      </c>
      <c r="U11" s="8" t="s">
        <v>4</v>
      </c>
      <c r="V11" s="8" t="s">
        <v>4</v>
      </c>
      <c r="W11" s="8" t="s">
        <v>4</v>
      </c>
      <c r="X11" s="8" t="s">
        <v>4</v>
      </c>
      <c r="Y11" s="8" t="s">
        <v>4</v>
      </c>
      <c r="Z11" s="8" t="s">
        <v>4</v>
      </c>
      <c r="AA11" s="8" t="s">
        <v>4</v>
      </c>
      <c r="AB11" s="8" t="s">
        <v>4</v>
      </c>
      <c r="AC11" s="8" t="s">
        <v>4</v>
      </c>
      <c r="AD11" s="8"/>
      <c r="AE11" s="8"/>
      <c r="AF11" s="8"/>
      <c r="AG11" s="8"/>
      <c r="AH11" s="8"/>
      <c r="AI11" s="8"/>
      <c r="AJ11" s="8" t="s">
        <v>4</v>
      </c>
      <c r="AK11" s="8" t="s">
        <v>4</v>
      </c>
    </row>
    <row r="12" spans="1:38" x14ac:dyDescent="0.2">
      <c r="A12" s="6" t="str">
        <f t="shared" si="0"/>
        <v>glp1r_human_5NX2</v>
      </c>
      <c r="B12" s="6" t="s">
        <v>13</v>
      </c>
      <c r="C12" s="6" t="s">
        <v>16</v>
      </c>
      <c r="D12" s="3">
        <v>31</v>
      </c>
      <c r="E12" s="4">
        <v>53</v>
      </c>
      <c r="F12" s="4">
        <v>61</v>
      </c>
      <c r="G12" s="8">
        <v>67</v>
      </c>
      <c r="H12" s="8">
        <v>68</v>
      </c>
      <c r="I12" s="8">
        <v>69</v>
      </c>
      <c r="J12" s="8">
        <v>70</v>
      </c>
      <c r="K12" s="8">
        <v>76</v>
      </c>
      <c r="L12" s="8">
        <v>77</v>
      </c>
      <c r="M12" s="8">
        <v>78</v>
      </c>
      <c r="N12" s="8">
        <v>79</v>
      </c>
      <c r="O12" s="8">
        <v>85</v>
      </c>
      <c r="P12" s="8">
        <v>86</v>
      </c>
      <c r="Q12" s="8">
        <v>89</v>
      </c>
      <c r="R12" s="8" t="s">
        <v>4</v>
      </c>
      <c r="S12" s="8" t="s">
        <v>4</v>
      </c>
      <c r="T12" s="8" t="s">
        <v>4</v>
      </c>
      <c r="U12" s="8" t="s">
        <v>4</v>
      </c>
      <c r="V12" s="8">
        <v>90</v>
      </c>
      <c r="W12" s="8">
        <v>90</v>
      </c>
      <c r="X12" s="8">
        <v>91</v>
      </c>
      <c r="Y12" s="8">
        <v>95</v>
      </c>
      <c r="Z12" s="8">
        <v>96</v>
      </c>
      <c r="AA12" s="8">
        <v>98</v>
      </c>
      <c r="AB12" s="8">
        <v>99</v>
      </c>
      <c r="AC12" s="8">
        <v>105</v>
      </c>
      <c r="AD12" s="8">
        <v>106</v>
      </c>
      <c r="AE12" s="8">
        <v>107</v>
      </c>
      <c r="AF12" s="8">
        <v>108</v>
      </c>
      <c r="AG12" s="8">
        <v>113</v>
      </c>
      <c r="AH12" s="8">
        <v>116</v>
      </c>
      <c r="AI12" s="8">
        <v>122</v>
      </c>
      <c r="AJ12" s="8">
        <v>123</v>
      </c>
      <c r="AK12" s="8">
        <v>132</v>
      </c>
    </row>
    <row r="13" spans="1:38" x14ac:dyDescent="0.2">
      <c r="A13" s="6" t="str">
        <f t="shared" si="0"/>
        <v>glp1r_human_6B3J</v>
      </c>
      <c r="B13" s="6" t="s">
        <v>13</v>
      </c>
      <c r="C13" s="6" t="s">
        <v>17</v>
      </c>
      <c r="D13" s="3">
        <v>31</v>
      </c>
      <c r="E13" s="4">
        <v>53</v>
      </c>
      <c r="F13" s="4">
        <v>61</v>
      </c>
      <c r="G13" s="8">
        <v>67</v>
      </c>
      <c r="H13" s="8">
        <v>68</v>
      </c>
      <c r="I13" s="8">
        <v>69</v>
      </c>
      <c r="J13" s="8">
        <v>70</v>
      </c>
      <c r="K13" s="8">
        <v>76</v>
      </c>
      <c r="L13" s="8">
        <v>77</v>
      </c>
      <c r="M13" s="8">
        <v>78</v>
      </c>
      <c r="N13" s="8">
        <v>79</v>
      </c>
      <c r="O13" s="8">
        <v>85</v>
      </c>
      <c r="P13" s="8">
        <v>86</v>
      </c>
      <c r="Q13" s="8">
        <v>89</v>
      </c>
      <c r="R13" s="8" t="s">
        <v>4</v>
      </c>
      <c r="S13" s="8" t="s">
        <v>4</v>
      </c>
      <c r="T13" s="8" t="s">
        <v>4</v>
      </c>
      <c r="U13" s="8" t="s">
        <v>4</v>
      </c>
      <c r="V13" s="8">
        <v>90</v>
      </c>
      <c r="W13" s="8">
        <v>90</v>
      </c>
      <c r="X13" s="8">
        <v>91</v>
      </c>
      <c r="Y13" s="8">
        <v>95</v>
      </c>
      <c r="Z13" s="8">
        <v>96</v>
      </c>
      <c r="AA13" s="8">
        <v>98</v>
      </c>
      <c r="AB13" s="8">
        <v>99</v>
      </c>
      <c r="AC13" s="8">
        <v>105</v>
      </c>
      <c r="AD13" s="8">
        <v>106</v>
      </c>
      <c r="AE13" s="8">
        <v>107</v>
      </c>
      <c r="AF13" s="8">
        <v>108</v>
      </c>
      <c r="AG13" s="8">
        <v>114</v>
      </c>
      <c r="AH13" s="8">
        <v>117</v>
      </c>
      <c r="AI13" s="8">
        <v>122</v>
      </c>
      <c r="AJ13" s="8">
        <v>123</v>
      </c>
      <c r="AK13" s="8">
        <v>128</v>
      </c>
    </row>
    <row r="14" spans="1:38" s="15" customFormat="1" x14ac:dyDescent="0.2">
      <c r="A14" s="13" t="str">
        <f t="shared" ref="A14" si="1">CONCATENATE(B14,"_",C14)</f>
        <v>glp2r_human__wt</v>
      </c>
      <c r="B14" s="13" t="s">
        <v>23</v>
      </c>
      <c r="C14" s="13" t="s">
        <v>6</v>
      </c>
      <c r="D14" s="14">
        <v>68</v>
      </c>
      <c r="E14" s="15">
        <v>90</v>
      </c>
      <c r="F14" s="15">
        <v>95</v>
      </c>
      <c r="G14" s="16">
        <v>101</v>
      </c>
      <c r="H14" s="16">
        <v>102</v>
      </c>
      <c r="I14" s="16">
        <v>103</v>
      </c>
      <c r="J14" s="16">
        <v>104</v>
      </c>
      <c r="K14" s="16">
        <v>110</v>
      </c>
      <c r="L14" s="16">
        <v>111</v>
      </c>
      <c r="M14" s="16">
        <v>112</v>
      </c>
      <c r="N14" s="16">
        <v>113</v>
      </c>
      <c r="O14" s="16">
        <v>118</v>
      </c>
      <c r="P14" s="16">
        <v>119</v>
      </c>
      <c r="Q14" s="16">
        <v>122</v>
      </c>
      <c r="R14" s="16" t="s">
        <v>4</v>
      </c>
      <c r="S14" s="16" t="s">
        <v>4</v>
      </c>
      <c r="T14" s="16" t="s">
        <v>4</v>
      </c>
      <c r="U14" s="16" t="s">
        <v>4</v>
      </c>
      <c r="V14" s="16">
        <v>123</v>
      </c>
      <c r="W14" s="16">
        <v>123</v>
      </c>
      <c r="X14" s="16">
        <v>124</v>
      </c>
      <c r="Y14" s="16">
        <v>128</v>
      </c>
      <c r="Z14" s="16">
        <v>129</v>
      </c>
      <c r="AA14" s="16">
        <v>131</v>
      </c>
      <c r="AB14" s="16">
        <v>132</v>
      </c>
      <c r="AC14" s="16">
        <v>138</v>
      </c>
      <c r="AD14" s="16">
        <v>139</v>
      </c>
      <c r="AE14" s="16">
        <v>140</v>
      </c>
      <c r="AF14" s="16">
        <v>141</v>
      </c>
      <c r="AG14" s="16">
        <v>146</v>
      </c>
      <c r="AH14" s="16">
        <v>149</v>
      </c>
      <c r="AI14" s="16">
        <v>155</v>
      </c>
      <c r="AJ14" s="16">
        <v>156</v>
      </c>
      <c r="AK14" s="16">
        <v>163</v>
      </c>
    </row>
    <row r="15" spans="1:38" x14ac:dyDescent="0.2">
      <c r="A15" s="6" t="str">
        <f t="shared" si="0"/>
        <v>g1sgd4_rabit__wt</v>
      </c>
      <c r="B15" s="6" t="s">
        <v>18</v>
      </c>
      <c r="C15" s="6" t="s">
        <v>6</v>
      </c>
      <c r="D15" s="5">
        <v>31</v>
      </c>
      <c r="E15" s="6">
        <v>53</v>
      </c>
      <c r="F15" s="6">
        <v>61</v>
      </c>
      <c r="G15" s="7">
        <v>67</v>
      </c>
      <c r="H15" s="7">
        <v>68</v>
      </c>
      <c r="I15" s="7">
        <v>69</v>
      </c>
      <c r="J15" s="7">
        <v>70</v>
      </c>
      <c r="K15" s="7">
        <v>76</v>
      </c>
      <c r="L15" s="7">
        <v>77</v>
      </c>
      <c r="M15" s="7">
        <v>78</v>
      </c>
      <c r="N15" s="7">
        <v>79</v>
      </c>
      <c r="O15" s="7">
        <v>85</v>
      </c>
      <c r="P15" s="7">
        <v>86</v>
      </c>
      <c r="Q15" s="7">
        <v>89</v>
      </c>
      <c r="R15" s="8" t="s">
        <v>4</v>
      </c>
      <c r="S15" s="8" t="s">
        <v>4</v>
      </c>
      <c r="T15" s="8" t="s">
        <v>4</v>
      </c>
      <c r="U15" s="8" t="s">
        <v>4</v>
      </c>
      <c r="V15" s="7">
        <v>90</v>
      </c>
      <c r="W15" s="7">
        <v>90</v>
      </c>
      <c r="X15" s="7">
        <v>91</v>
      </c>
      <c r="Y15" s="7">
        <v>95</v>
      </c>
      <c r="Z15" s="7">
        <v>96</v>
      </c>
      <c r="AA15" s="7">
        <v>98</v>
      </c>
      <c r="AB15" s="7">
        <v>99</v>
      </c>
      <c r="AC15" s="7">
        <v>105</v>
      </c>
      <c r="AD15" s="7">
        <v>106</v>
      </c>
      <c r="AE15" s="7">
        <v>107</v>
      </c>
      <c r="AF15" s="7">
        <v>108</v>
      </c>
      <c r="AG15" s="7">
        <v>113</v>
      </c>
      <c r="AH15" s="7">
        <v>116</v>
      </c>
      <c r="AI15" s="7">
        <v>122</v>
      </c>
      <c r="AJ15" s="7">
        <v>123</v>
      </c>
      <c r="AK15" s="7">
        <v>132</v>
      </c>
    </row>
    <row r="16" spans="1:38" x14ac:dyDescent="0.2">
      <c r="A16" s="6" t="str">
        <f t="shared" si="0"/>
        <v>g1sgd4_rabit_5VAI</v>
      </c>
      <c r="B16" s="6" t="s">
        <v>18</v>
      </c>
      <c r="C16" s="6" t="s">
        <v>19</v>
      </c>
      <c r="D16" s="5">
        <v>31</v>
      </c>
      <c r="E16" s="6">
        <v>53</v>
      </c>
      <c r="F16" s="6">
        <v>61</v>
      </c>
      <c r="G16" s="7">
        <v>67</v>
      </c>
      <c r="H16" s="7">
        <v>68</v>
      </c>
      <c r="I16" s="7">
        <v>69</v>
      </c>
      <c r="J16" s="7">
        <v>70</v>
      </c>
      <c r="K16" s="7">
        <v>76</v>
      </c>
      <c r="L16" s="7">
        <v>77</v>
      </c>
      <c r="M16" s="7">
        <v>78</v>
      </c>
      <c r="N16" s="7">
        <v>79</v>
      </c>
      <c r="O16" s="7">
        <v>85</v>
      </c>
      <c r="P16" s="7">
        <v>86</v>
      </c>
      <c r="Q16" s="7">
        <v>89</v>
      </c>
      <c r="R16" s="8" t="s">
        <v>4</v>
      </c>
      <c r="S16" s="8" t="s">
        <v>4</v>
      </c>
      <c r="T16" s="8" t="s">
        <v>4</v>
      </c>
      <c r="U16" s="8" t="s">
        <v>4</v>
      </c>
      <c r="V16" s="7">
        <v>90</v>
      </c>
      <c r="W16" s="7">
        <v>90</v>
      </c>
      <c r="X16" s="7">
        <v>91</v>
      </c>
      <c r="Y16" s="7">
        <v>95</v>
      </c>
      <c r="Z16" s="7">
        <v>96</v>
      </c>
      <c r="AA16" s="7">
        <v>98</v>
      </c>
      <c r="AB16" s="7">
        <v>99</v>
      </c>
      <c r="AC16" s="7">
        <v>105</v>
      </c>
      <c r="AD16" s="7">
        <v>106</v>
      </c>
      <c r="AE16" s="7">
        <v>107</v>
      </c>
      <c r="AF16" s="7">
        <v>108</v>
      </c>
      <c r="AG16" s="7">
        <v>113</v>
      </c>
      <c r="AH16" s="7">
        <v>116</v>
      </c>
      <c r="AI16" s="7">
        <v>122</v>
      </c>
      <c r="AJ16" s="7">
        <v>123</v>
      </c>
      <c r="AK16" s="7">
        <v>127</v>
      </c>
    </row>
    <row r="17" spans="1:37" x14ac:dyDescent="0.2">
      <c r="A17" s="6" t="str">
        <f t="shared" si="0"/>
        <v>pth1r_human__wt</v>
      </c>
      <c r="B17" s="6" t="s">
        <v>20</v>
      </c>
      <c r="C17" s="6" t="s">
        <v>6</v>
      </c>
      <c r="D17" s="5">
        <v>33</v>
      </c>
      <c r="E17" s="6">
        <v>58</v>
      </c>
      <c r="F17" s="6">
        <v>107</v>
      </c>
      <c r="G17" s="7">
        <v>113</v>
      </c>
      <c r="H17" s="7">
        <v>114</v>
      </c>
      <c r="I17" s="7">
        <v>115</v>
      </c>
      <c r="J17" s="7">
        <v>116</v>
      </c>
      <c r="K17" s="7">
        <v>122</v>
      </c>
      <c r="L17" s="7">
        <v>123</v>
      </c>
      <c r="M17" s="7">
        <v>124</v>
      </c>
      <c r="N17" s="7">
        <v>125</v>
      </c>
      <c r="O17" s="7">
        <v>131</v>
      </c>
      <c r="P17" s="7">
        <v>132</v>
      </c>
      <c r="Q17" s="7">
        <v>135</v>
      </c>
      <c r="R17" s="8" t="s">
        <v>4</v>
      </c>
      <c r="S17" s="8" t="s">
        <v>4</v>
      </c>
      <c r="T17" s="8" t="s">
        <v>4</v>
      </c>
      <c r="U17" s="8" t="s">
        <v>4</v>
      </c>
      <c r="V17" s="7">
        <v>136</v>
      </c>
      <c r="W17" s="7">
        <v>137</v>
      </c>
      <c r="X17" s="7" t="s">
        <v>4</v>
      </c>
      <c r="Y17" s="7" t="s">
        <v>4</v>
      </c>
      <c r="Z17" s="7">
        <v>138</v>
      </c>
      <c r="AA17" s="7">
        <v>142</v>
      </c>
      <c r="AB17" s="7">
        <v>143</v>
      </c>
      <c r="AC17" s="7">
        <v>149</v>
      </c>
      <c r="AD17" s="7">
        <v>150</v>
      </c>
      <c r="AE17" s="7">
        <v>151</v>
      </c>
      <c r="AF17" s="7">
        <v>152</v>
      </c>
      <c r="AG17" s="7">
        <v>157</v>
      </c>
      <c r="AH17" s="7">
        <v>160</v>
      </c>
      <c r="AI17" s="7">
        <v>166</v>
      </c>
      <c r="AJ17" s="7">
        <v>167</v>
      </c>
      <c r="AK17" s="7">
        <v>174</v>
      </c>
    </row>
    <row r="18" spans="1:37" x14ac:dyDescent="0.2">
      <c r="A18" s="6" t="str">
        <f t="shared" si="0"/>
        <v>pth1r_human_6FJ3</v>
      </c>
      <c r="B18" s="6" t="s">
        <v>20</v>
      </c>
      <c r="C18" s="6" t="s">
        <v>21</v>
      </c>
      <c r="D18" s="5">
        <v>33</v>
      </c>
      <c r="E18" s="6">
        <v>58</v>
      </c>
      <c r="F18" s="6">
        <v>107</v>
      </c>
      <c r="G18" s="7">
        <v>113</v>
      </c>
      <c r="H18" s="7">
        <v>114</v>
      </c>
      <c r="I18" s="7">
        <v>115</v>
      </c>
      <c r="J18" s="7">
        <v>116</v>
      </c>
      <c r="K18" s="7">
        <v>122</v>
      </c>
      <c r="L18" s="7">
        <v>123</v>
      </c>
      <c r="M18" s="7">
        <v>124</v>
      </c>
      <c r="N18" s="7">
        <v>125</v>
      </c>
      <c r="O18" s="7">
        <v>131</v>
      </c>
      <c r="P18" s="7">
        <v>132</v>
      </c>
      <c r="Q18" s="7">
        <v>135</v>
      </c>
      <c r="R18" s="8" t="s">
        <v>4</v>
      </c>
      <c r="S18" s="8" t="s">
        <v>4</v>
      </c>
      <c r="T18" s="8" t="s">
        <v>4</v>
      </c>
      <c r="U18" s="8" t="s">
        <v>4</v>
      </c>
      <c r="V18" s="7">
        <v>136</v>
      </c>
      <c r="W18" s="7">
        <v>137</v>
      </c>
      <c r="X18" s="7" t="s">
        <v>4</v>
      </c>
      <c r="Y18" s="7" t="s">
        <v>4</v>
      </c>
      <c r="Z18" s="7">
        <v>138</v>
      </c>
      <c r="AA18" s="7">
        <v>142</v>
      </c>
      <c r="AB18" s="7">
        <v>143</v>
      </c>
      <c r="AC18" s="7">
        <v>149</v>
      </c>
      <c r="AD18" s="7">
        <v>150</v>
      </c>
      <c r="AE18" s="7">
        <v>151</v>
      </c>
      <c r="AF18" s="7">
        <v>152</v>
      </c>
      <c r="AG18" s="7">
        <v>157</v>
      </c>
      <c r="AH18" s="7">
        <v>160</v>
      </c>
      <c r="AI18" s="7">
        <v>166</v>
      </c>
      <c r="AJ18" s="7">
        <v>167</v>
      </c>
      <c r="AK18" s="7">
        <v>174</v>
      </c>
    </row>
    <row r="19" spans="1:37" s="15" customFormat="1" x14ac:dyDescent="0.2">
      <c r="A19" s="13" t="str">
        <f t="shared" ref="A19" si="2">CONCATENATE(B19,"_",C19)</f>
        <v>pth2r_human__wt</v>
      </c>
      <c r="B19" s="13" t="s">
        <v>25</v>
      </c>
      <c r="C19" s="13" t="s">
        <v>6</v>
      </c>
      <c r="D19" s="17">
        <v>33</v>
      </c>
      <c r="E19" s="13">
        <v>58</v>
      </c>
      <c r="F19" s="13">
        <v>62</v>
      </c>
      <c r="G19" s="18">
        <v>68</v>
      </c>
      <c r="H19" s="18">
        <v>69</v>
      </c>
      <c r="I19" s="18">
        <v>70</v>
      </c>
      <c r="J19" s="18">
        <v>71</v>
      </c>
      <c r="K19" s="18">
        <v>77</v>
      </c>
      <c r="L19" s="18">
        <v>78</v>
      </c>
      <c r="M19" s="18">
        <v>79</v>
      </c>
      <c r="N19" s="18">
        <v>80</v>
      </c>
      <c r="O19" s="18">
        <v>86</v>
      </c>
      <c r="P19" s="18">
        <v>87</v>
      </c>
      <c r="Q19" s="18">
        <v>90</v>
      </c>
      <c r="R19" s="18" t="s">
        <v>4</v>
      </c>
      <c r="S19" s="18" t="s">
        <v>4</v>
      </c>
      <c r="T19" s="18" t="s">
        <v>4</v>
      </c>
      <c r="U19" s="18" t="s">
        <v>4</v>
      </c>
      <c r="V19" s="18">
        <v>91</v>
      </c>
      <c r="W19" s="18">
        <v>92</v>
      </c>
      <c r="X19" s="18" t="s">
        <v>4</v>
      </c>
      <c r="Y19" s="18" t="s">
        <v>4</v>
      </c>
      <c r="Z19" s="18">
        <v>93</v>
      </c>
      <c r="AA19" s="18">
        <v>97</v>
      </c>
      <c r="AB19" s="18">
        <v>98</v>
      </c>
      <c r="AC19" s="18">
        <v>104</v>
      </c>
      <c r="AD19" s="18">
        <v>105</v>
      </c>
      <c r="AE19" s="18">
        <v>106</v>
      </c>
      <c r="AF19" s="18">
        <v>107</v>
      </c>
      <c r="AG19" s="18">
        <v>112</v>
      </c>
      <c r="AH19" s="18">
        <v>115</v>
      </c>
      <c r="AI19" s="18">
        <v>121</v>
      </c>
      <c r="AJ19" s="18">
        <v>122</v>
      </c>
      <c r="AK19" s="18">
        <v>129</v>
      </c>
    </row>
    <row r="20" spans="1:37" x14ac:dyDescent="0.2">
      <c r="A20" s="6" t="str">
        <f t="shared" si="0"/>
        <v>gipr_human__wt</v>
      </c>
      <c r="B20" s="6" t="s">
        <v>22</v>
      </c>
      <c r="C20" s="6" t="s">
        <v>6</v>
      </c>
      <c r="D20" s="5">
        <v>31</v>
      </c>
      <c r="E20" s="6">
        <v>53</v>
      </c>
      <c r="F20" s="6">
        <v>60</v>
      </c>
      <c r="G20" s="7">
        <v>66</v>
      </c>
      <c r="H20" s="7">
        <v>67</v>
      </c>
      <c r="I20" s="7">
        <v>68</v>
      </c>
      <c r="J20" s="7">
        <v>69</v>
      </c>
      <c r="K20" s="7">
        <v>75</v>
      </c>
      <c r="L20" s="7">
        <v>76</v>
      </c>
      <c r="M20" s="7">
        <v>77</v>
      </c>
      <c r="N20" s="7">
        <v>78</v>
      </c>
      <c r="O20" s="7">
        <v>84</v>
      </c>
      <c r="P20" s="7">
        <v>85</v>
      </c>
      <c r="Q20" s="7">
        <v>88</v>
      </c>
      <c r="R20" s="8" t="s">
        <v>4</v>
      </c>
      <c r="S20" s="8" t="s">
        <v>4</v>
      </c>
      <c r="T20" s="8" t="s">
        <v>4</v>
      </c>
      <c r="U20" s="8" t="s">
        <v>4</v>
      </c>
      <c r="V20" s="7">
        <v>89</v>
      </c>
      <c r="W20" s="7">
        <v>89</v>
      </c>
      <c r="X20" s="7">
        <v>90</v>
      </c>
      <c r="Y20" s="7">
        <v>94</v>
      </c>
      <c r="Z20" s="7">
        <v>95</v>
      </c>
      <c r="AA20" s="7">
        <v>97</v>
      </c>
      <c r="AB20" s="7">
        <v>98</v>
      </c>
      <c r="AC20" s="7">
        <v>104</v>
      </c>
      <c r="AD20" s="7">
        <v>105</v>
      </c>
      <c r="AE20" s="7">
        <v>106</v>
      </c>
      <c r="AF20" s="7">
        <v>107</v>
      </c>
      <c r="AG20" s="7">
        <v>110</v>
      </c>
      <c r="AH20" s="7">
        <v>112</v>
      </c>
      <c r="AI20" s="7">
        <v>114</v>
      </c>
      <c r="AJ20" s="7">
        <v>115</v>
      </c>
      <c r="AK20" s="7">
        <v>119</v>
      </c>
    </row>
    <row r="21" spans="1:37" x14ac:dyDescent="0.2">
      <c r="A21" s="6" t="str">
        <f t="shared" si="0"/>
        <v>gipr_human_2qkh</v>
      </c>
      <c r="B21" s="6" t="s">
        <v>22</v>
      </c>
      <c r="C21" s="6" t="s">
        <v>31</v>
      </c>
      <c r="D21" s="5">
        <v>31</v>
      </c>
      <c r="E21" s="6">
        <v>53</v>
      </c>
      <c r="F21" s="6">
        <v>60</v>
      </c>
      <c r="G21" s="7">
        <v>66</v>
      </c>
      <c r="H21" s="7">
        <v>67</v>
      </c>
      <c r="I21" s="7">
        <v>68</v>
      </c>
      <c r="J21" s="7">
        <v>69</v>
      </c>
      <c r="K21" s="7">
        <v>75</v>
      </c>
      <c r="L21" s="7">
        <v>76</v>
      </c>
      <c r="M21" s="7">
        <v>77</v>
      </c>
      <c r="N21" s="7">
        <v>78</v>
      </c>
      <c r="O21" s="7">
        <v>84</v>
      </c>
      <c r="P21" s="7">
        <v>85</v>
      </c>
      <c r="Q21" s="7">
        <v>88</v>
      </c>
      <c r="R21" s="8" t="s">
        <v>4</v>
      </c>
      <c r="S21" s="8" t="s">
        <v>4</v>
      </c>
      <c r="T21" s="8" t="s">
        <v>4</v>
      </c>
      <c r="U21" s="8" t="s">
        <v>4</v>
      </c>
      <c r="V21" s="7">
        <v>89</v>
      </c>
      <c r="W21" s="7">
        <v>89</v>
      </c>
      <c r="X21" s="7">
        <v>90</v>
      </c>
      <c r="Y21" s="7">
        <v>94</v>
      </c>
      <c r="Z21" s="7">
        <v>95</v>
      </c>
      <c r="AA21" s="7">
        <v>97</v>
      </c>
      <c r="AB21" s="7">
        <v>98</v>
      </c>
      <c r="AC21" s="7">
        <v>104</v>
      </c>
      <c r="AD21" s="7">
        <v>105</v>
      </c>
      <c r="AE21" s="7">
        <v>106</v>
      </c>
      <c r="AF21" s="7">
        <v>107</v>
      </c>
      <c r="AG21" s="7">
        <v>110</v>
      </c>
      <c r="AH21" s="7">
        <v>112</v>
      </c>
      <c r="AI21" s="7">
        <v>114</v>
      </c>
      <c r="AJ21" s="7">
        <v>115</v>
      </c>
      <c r="AK21" s="7">
        <v>119</v>
      </c>
    </row>
    <row r="22" spans="1:37" x14ac:dyDescent="0.2">
      <c r="A22" s="6" t="str">
        <f t="shared" si="0"/>
        <v>ghrhr_human__wt</v>
      </c>
      <c r="B22" s="6" t="s">
        <v>32</v>
      </c>
      <c r="C22" s="6" t="s">
        <v>6</v>
      </c>
      <c r="D22" s="5">
        <v>34</v>
      </c>
      <c r="E22" s="6">
        <v>48</v>
      </c>
      <c r="F22" s="6">
        <v>54</v>
      </c>
      <c r="G22" s="7">
        <v>60</v>
      </c>
      <c r="H22" s="7">
        <v>61</v>
      </c>
      <c r="I22" s="7">
        <v>62</v>
      </c>
      <c r="J22" s="7">
        <v>63</v>
      </c>
      <c r="K22" s="7">
        <v>69</v>
      </c>
      <c r="L22" s="7">
        <v>70</v>
      </c>
      <c r="M22" s="7">
        <v>71</v>
      </c>
      <c r="N22" s="7">
        <v>72</v>
      </c>
      <c r="O22" s="7">
        <v>78</v>
      </c>
      <c r="P22" s="7">
        <v>79</v>
      </c>
      <c r="Q22" s="7">
        <v>85</v>
      </c>
      <c r="R22" s="8" t="s">
        <v>4</v>
      </c>
      <c r="S22" s="8" t="s">
        <v>4</v>
      </c>
      <c r="T22" s="8" t="s">
        <v>4</v>
      </c>
      <c r="U22" s="8" t="s">
        <v>4</v>
      </c>
      <c r="V22" s="7" t="s">
        <v>4</v>
      </c>
      <c r="W22" s="7" t="s">
        <v>4</v>
      </c>
      <c r="X22" s="7" t="s">
        <v>4</v>
      </c>
      <c r="Y22" s="7" t="s">
        <v>4</v>
      </c>
      <c r="Z22" s="7">
        <v>90</v>
      </c>
      <c r="AA22" s="7">
        <v>90</v>
      </c>
      <c r="AB22" s="7">
        <v>91</v>
      </c>
      <c r="AC22" s="7">
        <v>97</v>
      </c>
      <c r="AD22" s="7">
        <v>98</v>
      </c>
      <c r="AE22" s="7">
        <v>99</v>
      </c>
      <c r="AF22" s="7">
        <v>100</v>
      </c>
      <c r="AG22" s="7">
        <v>102</v>
      </c>
      <c r="AH22" s="7">
        <v>104</v>
      </c>
      <c r="AI22" s="7">
        <v>106</v>
      </c>
      <c r="AJ22" s="7">
        <v>107</v>
      </c>
      <c r="AK22" s="7">
        <v>112</v>
      </c>
    </row>
    <row r="23" spans="1:37" x14ac:dyDescent="0.2">
      <c r="A23" s="6" t="str">
        <f t="shared" si="0"/>
        <v>ghrhr_human_2xdg</v>
      </c>
      <c r="B23" s="6" t="s">
        <v>32</v>
      </c>
      <c r="C23" s="6" t="s">
        <v>33</v>
      </c>
      <c r="D23" s="5">
        <v>34</v>
      </c>
      <c r="E23" s="6">
        <v>48</v>
      </c>
      <c r="F23" s="6">
        <v>54</v>
      </c>
      <c r="G23" s="7">
        <v>60</v>
      </c>
      <c r="H23" s="7">
        <v>61</v>
      </c>
      <c r="I23" s="7">
        <v>62</v>
      </c>
      <c r="J23" s="7">
        <v>63</v>
      </c>
      <c r="K23" s="7">
        <v>69</v>
      </c>
      <c r="L23" s="7">
        <v>70</v>
      </c>
      <c r="M23" s="7">
        <v>71</v>
      </c>
      <c r="N23" s="7">
        <v>72</v>
      </c>
      <c r="O23" s="7">
        <v>78</v>
      </c>
      <c r="P23" s="7">
        <v>79</v>
      </c>
      <c r="Q23" s="7">
        <v>85</v>
      </c>
      <c r="R23" s="8" t="s">
        <v>4</v>
      </c>
      <c r="S23" s="8" t="s">
        <v>4</v>
      </c>
      <c r="T23" s="8" t="s">
        <v>4</v>
      </c>
      <c r="U23" s="8" t="s">
        <v>4</v>
      </c>
      <c r="V23" s="7" t="s">
        <v>4</v>
      </c>
      <c r="W23" s="7" t="s">
        <v>4</v>
      </c>
      <c r="X23" s="7" t="s">
        <v>4</v>
      </c>
      <c r="Y23" s="7" t="s">
        <v>4</v>
      </c>
      <c r="Z23" s="7">
        <v>90</v>
      </c>
      <c r="AA23" s="7">
        <v>90</v>
      </c>
      <c r="AB23" s="7">
        <v>91</v>
      </c>
      <c r="AC23" s="7">
        <v>97</v>
      </c>
      <c r="AD23" s="7">
        <v>98</v>
      </c>
      <c r="AE23" s="7">
        <v>99</v>
      </c>
      <c r="AF23" s="7">
        <v>100</v>
      </c>
      <c r="AG23" s="7">
        <v>102</v>
      </c>
      <c r="AH23" s="7">
        <v>104</v>
      </c>
      <c r="AI23" s="7">
        <v>106</v>
      </c>
      <c r="AJ23" s="7">
        <v>107</v>
      </c>
      <c r="AK23" s="7">
        <v>112</v>
      </c>
    </row>
    <row r="24" spans="1:37" x14ac:dyDescent="0.2">
      <c r="A24" s="6" t="str">
        <f t="shared" si="0"/>
        <v>crfr1_human__wt</v>
      </c>
      <c r="B24" s="6" t="s">
        <v>34</v>
      </c>
      <c r="C24" s="6" t="s">
        <v>6</v>
      </c>
      <c r="D24" s="20">
        <v>17</v>
      </c>
      <c r="E24" s="6">
        <v>34</v>
      </c>
      <c r="F24" s="6">
        <v>42</v>
      </c>
      <c r="G24" s="7">
        <v>49</v>
      </c>
      <c r="H24" s="7">
        <v>50</v>
      </c>
      <c r="I24" s="7">
        <v>51</v>
      </c>
      <c r="J24" s="7">
        <v>52</v>
      </c>
      <c r="K24" s="7">
        <v>59</v>
      </c>
      <c r="L24" s="7">
        <v>60</v>
      </c>
      <c r="M24" s="7">
        <v>61</v>
      </c>
      <c r="N24" s="7">
        <v>62</v>
      </c>
      <c r="O24" s="7">
        <v>68</v>
      </c>
      <c r="P24" s="7">
        <v>69</v>
      </c>
      <c r="Q24" s="7">
        <v>72</v>
      </c>
      <c r="R24" s="8">
        <v>73</v>
      </c>
      <c r="S24" s="8">
        <v>74</v>
      </c>
      <c r="T24" s="8">
        <v>75</v>
      </c>
      <c r="U24" s="8">
        <v>76</v>
      </c>
      <c r="V24" s="7" t="s">
        <v>4</v>
      </c>
      <c r="W24" s="7" t="s">
        <v>4</v>
      </c>
      <c r="X24" s="7" t="s">
        <v>4</v>
      </c>
      <c r="Y24" s="7" t="s">
        <v>4</v>
      </c>
      <c r="Z24" s="7">
        <v>77</v>
      </c>
      <c r="AA24" s="7">
        <v>81</v>
      </c>
      <c r="AB24" s="7">
        <v>82</v>
      </c>
      <c r="AC24" s="7">
        <v>88</v>
      </c>
      <c r="AD24" s="7">
        <v>89</v>
      </c>
      <c r="AE24" s="7">
        <v>90</v>
      </c>
      <c r="AF24" s="7">
        <v>91</v>
      </c>
      <c r="AG24" s="7">
        <v>94</v>
      </c>
      <c r="AH24" s="7">
        <v>96</v>
      </c>
      <c r="AI24" s="7">
        <v>98</v>
      </c>
      <c r="AJ24" s="7">
        <v>99</v>
      </c>
      <c r="AK24" s="7">
        <v>102</v>
      </c>
    </row>
    <row r="25" spans="1:37" x14ac:dyDescent="0.2">
      <c r="A25" s="6" t="str">
        <f t="shared" si="0"/>
        <v>crfr1_human_2l27</v>
      </c>
      <c r="B25" s="6" t="s">
        <v>34</v>
      </c>
      <c r="C25" s="6" t="s">
        <v>35</v>
      </c>
      <c r="D25" s="5">
        <v>25</v>
      </c>
      <c r="E25" s="6">
        <v>34</v>
      </c>
      <c r="F25" s="6">
        <v>42</v>
      </c>
      <c r="G25" s="7">
        <v>49</v>
      </c>
      <c r="H25" s="7">
        <v>50</v>
      </c>
      <c r="I25" s="7">
        <v>51</v>
      </c>
      <c r="J25" s="7">
        <v>52</v>
      </c>
      <c r="K25" s="7">
        <v>59</v>
      </c>
      <c r="L25" s="7">
        <v>60</v>
      </c>
      <c r="M25" s="7">
        <v>61</v>
      </c>
      <c r="N25" s="7">
        <v>62</v>
      </c>
      <c r="O25" s="7">
        <v>68</v>
      </c>
      <c r="P25" s="7">
        <v>69</v>
      </c>
      <c r="Q25" s="7">
        <v>72</v>
      </c>
      <c r="R25" s="8">
        <v>73</v>
      </c>
      <c r="S25" s="8">
        <v>74</v>
      </c>
      <c r="T25" s="8">
        <v>75</v>
      </c>
      <c r="U25" s="8">
        <v>76</v>
      </c>
      <c r="V25" s="7" t="s">
        <v>4</v>
      </c>
      <c r="W25" s="7" t="s">
        <v>4</v>
      </c>
      <c r="X25" s="7" t="s">
        <v>4</v>
      </c>
      <c r="Y25" s="7" t="s">
        <v>4</v>
      </c>
      <c r="Z25" s="7">
        <v>77</v>
      </c>
      <c r="AA25" s="7">
        <v>81</v>
      </c>
      <c r="AB25" s="7">
        <v>82</v>
      </c>
      <c r="AC25" s="7">
        <v>88</v>
      </c>
      <c r="AD25" s="7">
        <v>89</v>
      </c>
      <c r="AE25" s="7">
        <v>90</v>
      </c>
      <c r="AF25" s="7">
        <v>91</v>
      </c>
      <c r="AG25" s="7">
        <v>94</v>
      </c>
      <c r="AH25" s="7">
        <v>96</v>
      </c>
      <c r="AI25" s="7">
        <v>98</v>
      </c>
      <c r="AJ25" s="7">
        <v>99</v>
      </c>
      <c r="AK25" s="7">
        <v>102</v>
      </c>
    </row>
    <row r="26" spans="1:37" x14ac:dyDescent="0.2">
      <c r="A26" s="6" t="str">
        <f t="shared" si="0"/>
        <v>crfr1_human_3ehu</v>
      </c>
      <c r="B26" s="6" t="s">
        <v>34</v>
      </c>
      <c r="C26" s="6" t="s">
        <v>65</v>
      </c>
      <c r="D26" s="5">
        <v>27</v>
      </c>
      <c r="E26" s="6">
        <v>34</v>
      </c>
      <c r="F26" s="6">
        <v>42</v>
      </c>
      <c r="G26" s="7">
        <v>49</v>
      </c>
      <c r="H26" s="7">
        <v>50</v>
      </c>
      <c r="I26" s="7">
        <v>51</v>
      </c>
      <c r="J26" s="7">
        <v>52</v>
      </c>
      <c r="K26" s="7">
        <v>59</v>
      </c>
      <c r="L26" s="7">
        <v>60</v>
      </c>
      <c r="M26" s="7">
        <v>61</v>
      </c>
      <c r="N26" s="7">
        <v>62</v>
      </c>
      <c r="O26" s="7">
        <v>68</v>
      </c>
      <c r="P26" s="7">
        <v>69</v>
      </c>
      <c r="Q26" s="7">
        <v>72</v>
      </c>
      <c r="R26" s="8">
        <v>73</v>
      </c>
      <c r="S26" s="8">
        <v>74</v>
      </c>
      <c r="T26" s="8">
        <v>75</v>
      </c>
      <c r="U26" s="8">
        <v>76</v>
      </c>
      <c r="V26" s="7" t="s">
        <v>4</v>
      </c>
      <c r="W26" s="7" t="s">
        <v>4</v>
      </c>
      <c r="X26" s="7" t="s">
        <v>4</v>
      </c>
      <c r="Y26" s="7" t="s">
        <v>4</v>
      </c>
      <c r="Z26" s="7">
        <v>77</v>
      </c>
      <c r="AA26" s="7">
        <v>81</v>
      </c>
      <c r="AB26" s="7">
        <v>82</v>
      </c>
      <c r="AC26" s="7">
        <v>88</v>
      </c>
      <c r="AD26" s="7">
        <v>89</v>
      </c>
      <c r="AE26" s="7">
        <v>90</v>
      </c>
      <c r="AF26" s="7">
        <v>91</v>
      </c>
      <c r="AG26" s="7">
        <v>94</v>
      </c>
      <c r="AH26" s="7">
        <v>96</v>
      </c>
      <c r="AI26" s="7">
        <v>98</v>
      </c>
      <c r="AJ26" s="7">
        <v>99</v>
      </c>
      <c r="AK26" s="7">
        <v>102</v>
      </c>
    </row>
    <row r="27" spans="1:37" x14ac:dyDescent="0.2">
      <c r="A27" s="6" t="str">
        <f t="shared" si="0"/>
        <v>crfr2_human__wt</v>
      </c>
      <c r="B27" s="6" t="s">
        <v>36</v>
      </c>
      <c r="C27" s="6" t="s">
        <v>6</v>
      </c>
      <c r="D27" s="5">
        <v>1</v>
      </c>
      <c r="E27" s="6">
        <v>28</v>
      </c>
      <c r="F27" s="6">
        <v>39</v>
      </c>
      <c r="G27" s="7">
        <v>45</v>
      </c>
      <c r="H27" s="7">
        <v>46</v>
      </c>
      <c r="I27" s="7">
        <v>47</v>
      </c>
      <c r="J27" s="7">
        <v>48</v>
      </c>
      <c r="K27" s="7">
        <v>55</v>
      </c>
      <c r="L27" s="7">
        <v>56</v>
      </c>
      <c r="M27" s="7">
        <v>57</v>
      </c>
      <c r="N27" s="7">
        <v>58</v>
      </c>
      <c r="O27" s="7">
        <v>64</v>
      </c>
      <c r="P27" s="7">
        <v>65</v>
      </c>
      <c r="Q27" s="7">
        <v>68</v>
      </c>
      <c r="R27" s="8">
        <v>69</v>
      </c>
      <c r="S27" s="8">
        <v>70</v>
      </c>
      <c r="T27" s="8">
        <v>71</v>
      </c>
      <c r="U27" s="8">
        <v>72</v>
      </c>
      <c r="V27" s="7" t="s">
        <v>4</v>
      </c>
      <c r="W27" s="7" t="s">
        <v>4</v>
      </c>
      <c r="X27" s="7" t="s">
        <v>4</v>
      </c>
      <c r="Y27" s="7" t="s">
        <v>4</v>
      </c>
      <c r="Z27" s="7">
        <v>73</v>
      </c>
      <c r="AA27" s="7">
        <v>77</v>
      </c>
      <c r="AB27" s="7">
        <v>78</v>
      </c>
      <c r="AC27" s="7">
        <v>84</v>
      </c>
      <c r="AD27" s="7">
        <v>85</v>
      </c>
      <c r="AE27" s="7">
        <v>86</v>
      </c>
      <c r="AF27" s="7">
        <v>87</v>
      </c>
      <c r="AG27" s="7">
        <v>90</v>
      </c>
      <c r="AH27" s="7">
        <v>92</v>
      </c>
      <c r="AI27" s="7">
        <v>94</v>
      </c>
      <c r="AJ27" s="7">
        <v>95</v>
      </c>
      <c r="AK27" s="7">
        <v>98</v>
      </c>
    </row>
    <row r="28" spans="1:37" x14ac:dyDescent="0.2">
      <c r="A28" s="6" t="str">
        <f t="shared" si="0"/>
        <v>crfr2_human_3n93</v>
      </c>
      <c r="B28" s="6" t="s">
        <v>36</v>
      </c>
      <c r="C28" s="6" t="s">
        <v>37</v>
      </c>
      <c r="D28" s="5">
        <v>1</v>
      </c>
      <c r="E28" s="6">
        <v>28</v>
      </c>
      <c r="F28" s="6">
        <v>39</v>
      </c>
      <c r="G28" s="7">
        <v>45</v>
      </c>
      <c r="H28" s="7">
        <v>46</v>
      </c>
      <c r="I28" s="7">
        <v>47</v>
      </c>
      <c r="J28" s="7">
        <v>48</v>
      </c>
      <c r="K28" s="7">
        <v>55</v>
      </c>
      <c r="L28" s="7">
        <v>56</v>
      </c>
      <c r="M28" s="7">
        <v>57</v>
      </c>
      <c r="N28" s="7">
        <v>58</v>
      </c>
      <c r="O28" s="7">
        <v>64</v>
      </c>
      <c r="P28" s="7">
        <v>65</v>
      </c>
      <c r="Q28" s="7">
        <v>68</v>
      </c>
      <c r="R28" s="8">
        <v>69</v>
      </c>
      <c r="S28" s="8">
        <v>70</v>
      </c>
      <c r="T28" s="8">
        <v>71</v>
      </c>
      <c r="U28" s="8">
        <v>72</v>
      </c>
      <c r="V28" s="7" t="s">
        <v>4</v>
      </c>
      <c r="W28" s="7" t="s">
        <v>4</v>
      </c>
      <c r="X28" s="7" t="s">
        <v>4</v>
      </c>
      <c r="Y28" s="7" t="s">
        <v>4</v>
      </c>
      <c r="Z28" s="7">
        <v>73</v>
      </c>
      <c r="AA28" s="7">
        <v>77</v>
      </c>
      <c r="AB28" s="7">
        <v>78</v>
      </c>
      <c r="AC28" s="7">
        <v>84</v>
      </c>
      <c r="AD28" s="7">
        <v>85</v>
      </c>
      <c r="AE28" s="7">
        <v>86</v>
      </c>
      <c r="AF28" s="7">
        <v>87</v>
      </c>
      <c r="AG28" s="7">
        <v>90</v>
      </c>
      <c r="AH28" s="7">
        <v>92</v>
      </c>
      <c r="AI28" s="7">
        <v>94</v>
      </c>
      <c r="AJ28" s="7">
        <v>95</v>
      </c>
      <c r="AK28" s="7">
        <v>98</v>
      </c>
    </row>
    <row r="29" spans="1:37" x14ac:dyDescent="0.2">
      <c r="A29" s="6" t="str">
        <f t="shared" si="0"/>
        <v>pacr_human__wt</v>
      </c>
      <c r="B29" s="6" t="s">
        <v>26</v>
      </c>
      <c r="C29" s="6" t="s">
        <v>6</v>
      </c>
      <c r="D29" s="5">
        <v>26</v>
      </c>
      <c r="E29" s="6">
        <v>49</v>
      </c>
      <c r="F29" s="6">
        <v>53</v>
      </c>
      <c r="G29" s="7">
        <v>59</v>
      </c>
      <c r="H29" s="7">
        <v>60</v>
      </c>
      <c r="I29" s="7">
        <v>61</v>
      </c>
      <c r="J29" s="7">
        <v>62</v>
      </c>
      <c r="K29" s="7">
        <v>68</v>
      </c>
      <c r="L29" s="7">
        <v>69</v>
      </c>
      <c r="M29" s="7">
        <v>70</v>
      </c>
      <c r="N29" s="7">
        <v>71</v>
      </c>
      <c r="O29" s="7">
        <v>77</v>
      </c>
      <c r="P29" s="7">
        <v>78</v>
      </c>
      <c r="Q29" s="7">
        <v>84</v>
      </c>
      <c r="R29" s="8" t="s">
        <v>4</v>
      </c>
      <c r="S29" s="8" t="s">
        <v>4</v>
      </c>
      <c r="T29" s="8" t="s">
        <v>4</v>
      </c>
      <c r="U29" s="8" t="s">
        <v>4</v>
      </c>
      <c r="V29" s="7" t="s">
        <v>4</v>
      </c>
      <c r="W29" s="7" t="s">
        <v>4</v>
      </c>
      <c r="X29" s="7" t="s">
        <v>4</v>
      </c>
      <c r="Y29" s="7" t="s">
        <v>4</v>
      </c>
      <c r="Z29" s="7">
        <v>89</v>
      </c>
      <c r="AA29" s="7">
        <v>91</v>
      </c>
      <c r="AB29" s="7">
        <v>92</v>
      </c>
      <c r="AC29" s="7">
        <v>98</v>
      </c>
      <c r="AD29" s="7">
        <v>99</v>
      </c>
      <c r="AE29" s="7">
        <v>100</v>
      </c>
      <c r="AF29" s="7">
        <v>101</v>
      </c>
      <c r="AG29" s="7">
        <v>103</v>
      </c>
      <c r="AH29" s="7">
        <v>105</v>
      </c>
      <c r="AI29" s="7">
        <v>107</v>
      </c>
      <c r="AJ29" s="7">
        <v>108</v>
      </c>
      <c r="AK29" s="7">
        <v>114</v>
      </c>
    </row>
    <row r="30" spans="1:37" x14ac:dyDescent="0.2">
      <c r="A30" s="6" t="str">
        <f t="shared" si="0"/>
        <v>pacr_human_3n94</v>
      </c>
      <c r="B30" s="6" t="s">
        <v>26</v>
      </c>
      <c r="C30" s="6" t="s">
        <v>66</v>
      </c>
      <c r="D30" s="5">
        <v>26</v>
      </c>
      <c r="E30" s="6">
        <v>49</v>
      </c>
      <c r="F30" s="6">
        <v>53</v>
      </c>
      <c r="G30" s="7">
        <v>59</v>
      </c>
      <c r="H30" s="7">
        <v>60</v>
      </c>
      <c r="I30" s="7">
        <v>61</v>
      </c>
      <c r="J30" s="7">
        <v>62</v>
      </c>
      <c r="K30" s="7">
        <v>68</v>
      </c>
      <c r="L30" s="7">
        <v>69</v>
      </c>
      <c r="M30" s="7">
        <v>70</v>
      </c>
      <c r="N30" s="7">
        <v>71</v>
      </c>
      <c r="O30" s="7">
        <v>77</v>
      </c>
      <c r="P30" s="7">
        <v>78</v>
      </c>
      <c r="Q30" s="7">
        <v>84</v>
      </c>
      <c r="R30" s="8" t="s">
        <v>4</v>
      </c>
      <c r="S30" s="8" t="s">
        <v>4</v>
      </c>
      <c r="T30" s="8" t="s">
        <v>4</v>
      </c>
      <c r="U30" s="8" t="s">
        <v>4</v>
      </c>
      <c r="V30" s="7" t="s">
        <v>4</v>
      </c>
      <c r="W30" s="7" t="s">
        <v>4</v>
      </c>
      <c r="X30" s="7" t="s">
        <v>4</v>
      </c>
      <c r="Y30" s="7" t="s">
        <v>4</v>
      </c>
      <c r="Z30" s="7">
        <v>89</v>
      </c>
      <c r="AA30" s="7">
        <v>91</v>
      </c>
      <c r="AB30" s="7">
        <v>92</v>
      </c>
      <c r="AC30" s="7">
        <v>98</v>
      </c>
      <c r="AD30" s="7">
        <v>99</v>
      </c>
      <c r="AE30" s="7">
        <v>100</v>
      </c>
      <c r="AF30" s="7">
        <v>101</v>
      </c>
      <c r="AG30" s="7">
        <v>103</v>
      </c>
      <c r="AH30" s="7">
        <v>105</v>
      </c>
      <c r="AI30" s="7">
        <v>107</v>
      </c>
      <c r="AJ30" s="7">
        <v>108</v>
      </c>
      <c r="AK30" s="7">
        <v>114</v>
      </c>
    </row>
    <row r="31" spans="1:37" s="15" customFormat="1" x14ac:dyDescent="0.2">
      <c r="A31" s="13" t="str">
        <f t="shared" ref="A31" si="3">CONCATENATE(B31,"_",C31)</f>
        <v>vipr1_human__wt</v>
      </c>
      <c r="B31" s="13" t="s">
        <v>27</v>
      </c>
      <c r="C31" s="13" t="s">
        <v>6</v>
      </c>
      <c r="D31" s="17">
        <v>38</v>
      </c>
      <c r="E31" s="13">
        <v>58</v>
      </c>
      <c r="F31" s="13">
        <v>62</v>
      </c>
      <c r="G31" s="18">
        <v>68</v>
      </c>
      <c r="H31" s="18">
        <v>69</v>
      </c>
      <c r="I31" s="18">
        <v>70</v>
      </c>
      <c r="J31" s="18">
        <v>71</v>
      </c>
      <c r="K31" s="18">
        <v>77</v>
      </c>
      <c r="L31" s="18">
        <v>78</v>
      </c>
      <c r="M31" s="18">
        <v>79</v>
      </c>
      <c r="N31" s="18">
        <v>80</v>
      </c>
      <c r="O31" s="18">
        <v>86</v>
      </c>
      <c r="P31" s="18">
        <v>87</v>
      </c>
      <c r="Q31" s="18">
        <v>93</v>
      </c>
      <c r="R31" s="18" t="s">
        <v>4</v>
      </c>
      <c r="S31" s="18" t="s">
        <v>4</v>
      </c>
      <c r="T31" s="18" t="s">
        <v>4</v>
      </c>
      <c r="U31" s="18" t="s">
        <v>4</v>
      </c>
      <c r="V31" s="18" t="s">
        <v>4</v>
      </c>
      <c r="W31" s="18" t="s">
        <v>4</v>
      </c>
      <c r="X31" s="18" t="s">
        <v>4</v>
      </c>
      <c r="Y31" s="18" t="s">
        <v>4</v>
      </c>
      <c r="Z31" s="18">
        <v>99</v>
      </c>
      <c r="AA31" s="18">
        <v>99</v>
      </c>
      <c r="AB31" s="18">
        <v>100</v>
      </c>
      <c r="AC31" s="18">
        <v>106</v>
      </c>
      <c r="AD31" s="18">
        <v>107</v>
      </c>
      <c r="AE31" s="18">
        <v>108</v>
      </c>
      <c r="AF31" s="18">
        <v>109</v>
      </c>
      <c r="AG31" s="18">
        <v>111</v>
      </c>
      <c r="AH31" s="18">
        <v>114</v>
      </c>
      <c r="AI31" s="18">
        <v>116</v>
      </c>
      <c r="AJ31" s="18">
        <v>117</v>
      </c>
      <c r="AK31" s="18">
        <v>123</v>
      </c>
    </row>
    <row r="32" spans="1:37" x14ac:dyDescent="0.2">
      <c r="A32" s="6" t="str">
        <f t="shared" si="0"/>
        <v>vipr2_human__wt</v>
      </c>
      <c r="B32" s="6" t="s">
        <v>28</v>
      </c>
      <c r="C32" s="6" t="s">
        <v>6</v>
      </c>
      <c r="D32" s="5">
        <v>26</v>
      </c>
      <c r="E32" s="6">
        <v>46</v>
      </c>
      <c r="F32" s="6">
        <v>51</v>
      </c>
      <c r="G32" s="7">
        <v>57</v>
      </c>
      <c r="H32" s="7">
        <v>58</v>
      </c>
      <c r="I32" s="7">
        <v>59</v>
      </c>
      <c r="J32" s="7">
        <v>60</v>
      </c>
      <c r="K32" s="7">
        <v>66</v>
      </c>
      <c r="L32" s="7">
        <v>67</v>
      </c>
      <c r="M32" s="7">
        <v>68</v>
      </c>
      <c r="N32" s="7">
        <v>69</v>
      </c>
      <c r="O32" s="7">
        <v>75</v>
      </c>
      <c r="P32" s="7">
        <v>76</v>
      </c>
      <c r="Q32" s="7">
        <v>82</v>
      </c>
      <c r="R32" s="8" t="s">
        <v>4</v>
      </c>
      <c r="S32" s="8" t="s">
        <v>4</v>
      </c>
      <c r="T32" s="8" t="s">
        <v>4</v>
      </c>
      <c r="U32" s="8" t="s">
        <v>4</v>
      </c>
      <c r="V32" s="7" t="s">
        <v>4</v>
      </c>
      <c r="W32" s="7" t="s">
        <v>4</v>
      </c>
      <c r="X32" s="7" t="s">
        <v>4</v>
      </c>
      <c r="Y32" s="7" t="s">
        <v>4</v>
      </c>
      <c r="Z32" s="7">
        <v>87</v>
      </c>
      <c r="AA32" s="7">
        <v>87</v>
      </c>
      <c r="AB32" s="7">
        <v>88</v>
      </c>
      <c r="AC32" s="7">
        <v>94</v>
      </c>
      <c r="AD32" s="7">
        <v>95</v>
      </c>
      <c r="AE32" s="7">
        <v>96</v>
      </c>
      <c r="AF32" s="7">
        <v>97</v>
      </c>
      <c r="AG32" s="7">
        <v>99</v>
      </c>
      <c r="AH32" s="7">
        <v>101</v>
      </c>
      <c r="AI32" s="7">
        <v>103</v>
      </c>
      <c r="AJ32" s="7">
        <v>104</v>
      </c>
      <c r="AK32" s="7">
        <v>110</v>
      </c>
    </row>
    <row r="33" spans="1:37" x14ac:dyDescent="0.2">
      <c r="A33" s="6" t="str">
        <f t="shared" si="0"/>
        <v>vipr2_human_2x57</v>
      </c>
      <c r="B33" s="6" t="s">
        <v>28</v>
      </c>
      <c r="C33" s="6" t="s">
        <v>38</v>
      </c>
      <c r="D33" s="5">
        <v>26</v>
      </c>
      <c r="E33" s="6">
        <v>46</v>
      </c>
      <c r="F33" s="6">
        <v>51</v>
      </c>
      <c r="G33" s="7">
        <v>57</v>
      </c>
      <c r="H33" s="7">
        <v>58</v>
      </c>
      <c r="I33" s="7">
        <v>59</v>
      </c>
      <c r="J33" s="7">
        <v>60</v>
      </c>
      <c r="K33" s="7">
        <v>66</v>
      </c>
      <c r="L33" s="7">
        <v>67</v>
      </c>
      <c r="M33" s="7">
        <v>68</v>
      </c>
      <c r="N33" s="7">
        <v>69</v>
      </c>
      <c r="O33" s="7">
        <v>75</v>
      </c>
      <c r="P33" s="7">
        <v>76</v>
      </c>
      <c r="Q33" s="7">
        <v>82</v>
      </c>
      <c r="R33" s="8" t="s">
        <v>4</v>
      </c>
      <c r="S33" s="8" t="s">
        <v>4</v>
      </c>
      <c r="T33" s="8" t="s">
        <v>4</v>
      </c>
      <c r="U33" s="8" t="s">
        <v>4</v>
      </c>
      <c r="V33" s="7" t="s">
        <v>4</v>
      </c>
      <c r="W33" s="7" t="s">
        <v>4</v>
      </c>
      <c r="X33" s="7" t="s">
        <v>4</v>
      </c>
      <c r="Y33" s="7" t="s">
        <v>4</v>
      </c>
      <c r="Z33" s="7">
        <v>87</v>
      </c>
      <c r="AA33" s="7">
        <v>87</v>
      </c>
      <c r="AB33" s="7">
        <v>88</v>
      </c>
      <c r="AC33" s="7">
        <v>94</v>
      </c>
      <c r="AD33" s="7">
        <v>95</v>
      </c>
      <c r="AE33" s="7">
        <v>96</v>
      </c>
      <c r="AF33" s="7">
        <v>97</v>
      </c>
      <c r="AG33" s="7">
        <v>99</v>
      </c>
      <c r="AH33" s="7">
        <v>101</v>
      </c>
      <c r="AI33" s="7">
        <v>103</v>
      </c>
      <c r="AJ33" s="7">
        <v>104</v>
      </c>
      <c r="AK33" s="7">
        <v>110</v>
      </c>
    </row>
    <row r="34" spans="1:37" s="15" customFormat="1" x14ac:dyDescent="0.2">
      <c r="A34" s="13" t="str">
        <f t="shared" ref="A34" si="4">CONCATENATE(B34,"_",C34)</f>
        <v>sctr_human__wt</v>
      </c>
      <c r="B34" s="13" t="s">
        <v>24</v>
      </c>
      <c r="C34" s="13" t="s">
        <v>6</v>
      </c>
      <c r="D34" s="17">
        <v>33</v>
      </c>
      <c r="E34" s="13">
        <v>53</v>
      </c>
      <c r="F34" s="13">
        <v>65</v>
      </c>
      <c r="G34" s="18">
        <v>71</v>
      </c>
      <c r="H34" s="18">
        <v>72</v>
      </c>
      <c r="I34" s="18">
        <v>73</v>
      </c>
      <c r="J34" s="18">
        <v>74</v>
      </c>
      <c r="K34" s="18">
        <v>80</v>
      </c>
      <c r="L34" s="18">
        <v>81</v>
      </c>
      <c r="M34" s="18">
        <v>82</v>
      </c>
      <c r="N34" s="18">
        <v>83</v>
      </c>
      <c r="O34" s="18">
        <v>89</v>
      </c>
      <c r="P34" s="18">
        <v>90</v>
      </c>
      <c r="Q34" s="18">
        <v>96</v>
      </c>
      <c r="R34" s="18" t="s">
        <v>4</v>
      </c>
      <c r="S34" s="18" t="s">
        <v>4</v>
      </c>
      <c r="T34" s="18" t="s">
        <v>4</v>
      </c>
      <c r="U34" s="18" t="s">
        <v>4</v>
      </c>
      <c r="V34" s="18" t="s">
        <v>4</v>
      </c>
      <c r="W34" s="18" t="s">
        <v>4</v>
      </c>
      <c r="X34" s="18" t="s">
        <v>4</v>
      </c>
      <c r="Y34" s="18" t="s">
        <v>4</v>
      </c>
      <c r="Z34" s="18">
        <v>101</v>
      </c>
      <c r="AA34" s="18">
        <v>101</v>
      </c>
      <c r="AB34" s="18">
        <v>102</v>
      </c>
      <c r="AC34" s="18">
        <v>108</v>
      </c>
      <c r="AD34" s="18">
        <v>109</v>
      </c>
      <c r="AE34" s="18">
        <v>110</v>
      </c>
      <c r="AF34" s="18">
        <v>111</v>
      </c>
      <c r="AG34" s="18">
        <v>113</v>
      </c>
      <c r="AH34" s="18">
        <v>115</v>
      </c>
      <c r="AI34" s="18">
        <v>117</v>
      </c>
      <c r="AJ34" s="18">
        <v>118</v>
      </c>
      <c r="AK34" s="18">
        <v>124</v>
      </c>
    </row>
    <row r="35" spans="1:37" x14ac:dyDescent="0.2">
      <c r="A35" s="6" t="str">
        <f t="shared" si="0"/>
        <v>calrl_human__wt</v>
      </c>
      <c r="B35" s="6" t="s">
        <v>39</v>
      </c>
      <c r="C35" s="6" t="s">
        <v>6</v>
      </c>
      <c r="D35" s="5">
        <v>35</v>
      </c>
      <c r="E35" s="6">
        <v>55</v>
      </c>
      <c r="F35" s="6">
        <v>63</v>
      </c>
      <c r="G35" s="7">
        <v>70</v>
      </c>
      <c r="H35" s="7">
        <v>71</v>
      </c>
      <c r="I35" s="7">
        <v>72</v>
      </c>
      <c r="J35" s="7">
        <v>73</v>
      </c>
      <c r="K35" s="7">
        <v>79</v>
      </c>
      <c r="L35" s="7">
        <v>80</v>
      </c>
      <c r="M35" s="7">
        <v>81</v>
      </c>
      <c r="N35" s="7">
        <v>82</v>
      </c>
      <c r="O35" s="7">
        <v>88</v>
      </c>
      <c r="P35" s="7">
        <v>89</v>
      </c>
      <c r="Q35" s="7">
        <v>92</v>
      </c>
      <c r="R35" s="8" t="s">
        <v>4</v>
      </c>
      <c r="S35" s="8" t="s">
        <v>4</v>
      </c>
      <c r="T35" s="8" t="s">
        <v>4</v>
      </c>
      <c r="U35" s="8" t="s">
        <v>4</v>
      </c>
      <c r="V35" s="7">
        <v>93</v>
      </c>
      <c r="W35" s="7">
        <v>94</v>
      </c>
      <c r="X35" s="7" t="s">
        <v>4</v>
      </c>
      <c r="Y35" s="7" t="s">
        <v>4</v>
      </c>
      <c r="Z35" s="7">
        <v>95</v>
      </c>
      <c r="AA35" s="7">
        <v>99</v>
      </c>
      <c r="AB35" s="7">
        <v>100</v>
      </c>
      <c r="AC35" s="7">
        <v>106</v>
      </c>
      <c r="AD35" s="7">
        <v>107</v>
      </c>
      <c r="AE35" s="7">
        <v>108</v>
      </c>
      <c r="AF35" s="7">
        <v>109</v>
      </c>
      <c r="AG35" s="7">
        <v>114</v>
      </c>
      <c r="AH35" s="7">
        <v>118</v>
      </c>
      <c r="AI35" s="7">
        <v>123</v>
      </c>
      <c r="AJ35" s="7">
        <v>124</v>
      </c>
      <c r="AK35" s="7">
        <v>127</v>
      </c>
    </row>
    <row r="36" spans="1:37" x14ac:dyDescent="0.2">
      <c r="A36" s="6" t="str">
        <f t="shared" si="0"/>
        <v>calrl_human_3n7r</v>
      </c>
      <c r="B36" s="6" t="s">
        <v>39</v>
      </c>
      <c r="C36" s="6" t="s">
        <v>40</v>
      </c>
      <c r="D36" s="5">
        <v>35</v>
      </c>
      <c r="E36" s="6">
        <v>55</v>
      </c>
      <c r="F36" s="6">
        <v>63</v>
      </c>
      <c r="G36" s="7">
        <v>70</v>
      </c>
      <c r="H36" s="7">
        <v>71</v>
      </c>
      <c r="I36" s="7">
        <v>72</v>
      </c>
      <c r="J36" s="7">
        <v>73</v>
      </c>
      <c r="K36" s="7">
        <v>79</v>
      </c>
      <c r="L36" s="7">
        <v>80</v>
      </c>
      <c r="M36" s="7">
        <v>81</v>
      </c>
      <c r="N36" s="7">
        <v>82</v>
      </c>
      <c r="O36" s="7">
        <v>88</v>
      </c>
      <c r="P36" s="7">
        <v>89</v>
      </c>
      <c r="Q36" s="7">
        <v>92</v>
      </c>
      <c r="R36" s="8" t="s">
        <v>4</v>
      </c>
      <c r="S36" s="8" t="s">
        <v>4</v>
      </c>
      <c r="T36" s="8" t="s">
        <v>4</v>
      </c>
      <c r="U36" s="8" t="s">
        <v>4</v>
      </c>
      <c r="V36" s="7">
        <v>93</v>
      </c>
      <c r="W36" s="7">
        <v>94</v>
      </c>
      <c r="X36" s="7" t="s">
        <v>4</v>
      </c>
      <c r="Y36" s="7" t="s">
        <v>4</v>
      </c>
      <c r="Z36" s="7">
        <v>95</v>
      </c>
      <c r="AA36" s="7">
        <v>99</v>
      </c>
      <c r="AB36" s="7">
        <v>100</v>
      </c>
      <c r="AC36" s="7">
        <v>106</v>
      </c>
      <c r="AD36" s="7">
        <v>107</v>
      </c>
      <c r="AE36" s="7">
        <v>108</v>
      </c>
      <c r="AF36" s="7">
        <v>109</v>
      </c>
      <c r="AG36" s="7">
        <v>114</v>
      </c>
      <c r="AH36" s="7">
        <v>118</v>
      </c>
      <c r="AI36" s="7">
        <v>123</v>
      </c>
      <c r="AJ36" s="7">
        <v>124</v>
      </c>
      <c r="AK36" s="7">
        <v>127</v>
      </c>
    </row>
    <row r="37" spans="1:37" x14ac:dyDescent="0.2">
      <c r="A37" s="6" t="str">
        <f t="shared" si="0"/>
        <v>calcr_human__wt</v>
      </c>
      <c r="B37" s="6" t="s">
        <v>41</v>
      </c>
      <c r="C37" s="6" t="s">
        <v>6</v>
      </c>
      <c r="D37" s="5">
        <v>40</v>
      </c>
      <c r="E37" s="6">
        <v>62</v>
      </c>
      <c r="F37" s="6">
        <v>70</v>
      </c>
      <c r="G37" s="7">
        <v>77</v>
      </c>
      <c r="H37" s="7">
        <v>78</v>
      </c>
      <c r="I37" s="7">
        <v>79</v>
      </c>
      <c r="J37" s="7">
        <v>80</v>
      </c>
      <c r="K37" s="7">
        <v>86</v>
      </c>
      <c r="L37" s="7">
        <v>87</v>
      </c>
      <c r="M37" s="7">
        <v>88</v>
      </c>
      <c r="N37" s="7">
        <v>89</v>
      </c>
      <c r="O37" s="7">
        <v>95</v>
      </c>
      <c r="P37" s="7">
        <v>96</v>
      </c>
      <c r="Q37" s="7">
        <v>99</v>
      </c>
      <c r="R37" s="8" t="s">
        <v>4</v>
      </c>
      <c r="S37" s="8" t="s">
        <v>4</v>
      </c>
      <c r="T37" s="8" t="s">
        <v>4</v>
      </c>
      <c r="U37" s="8" t="s">
        <v>4</v>
      </c>
      <c r="V37" s="7">
        <v>100</v>
      </c>
      <c r="W37" s="7">
        <v>101</v>
      </c>
      <c r="X37" s="7" t="s">
        <v>4</v>
      </c>
      <c r="Y37" s="7" t="s">
        <v>4</v>
      </c>
      <c r="Z37" s="7">
        <v>102</v>
      </c>
      <c r="AA37" s="7">
        <v>106</v>
      </c>
      <c r="AB37" s="7">
        <v>107</v>
      </c>
      <c r="AC37" s="7">
        <v>113</v>
      </c>
      <c r="AD37" s="7">
        <v>114</v>
      </c>
      <c r="AE37" s="7">
        <v>115</v>
      </c>
      <c r="AF37" s="7">
        <v>116</v>
      </c>
      <c r="AG37" s="7">
        <v>121</v>
      </c>
      <c r="AH37" s="7">
        <v>125</v>
      </c>
      <c r="AI37" s="7">
        <v>130</v>
      </c>
      <c r="AJ37" s="7">
        <v>131</v>
      </c>
      <c r="AK37" s="7">
        <v>134</v>
      </c>
    </row>
    <row r="38" spans="1:37" x14ac:dyDescent="0.2">
      <c r="A38" s="6" t="str">
        <f t="shared" si="0"/>
        <v>calcr_human_5ii0</v>
      </c>
      <c r="B38" s="6" t="s">
        <v>41</v>
      </c>
      <c r="C38" s="6" t="s">
        <v>42</v>
      </c>
      <c r="D38" s="5">
        <v>40</v>
      </c>
      <c r="E38" s="6">
        <v>62</v>
      </c>
      <c r="F38" s="6">
        <v>70</v>
      </c>
      <c r="G38" s="7">
        <v>77</v>
      </c>
      <c r="H38" s="7">
        <v>78</v>
      </c>
      <c r="I38" s="7">
        <v>79</v>
      </c>
      <c r="J38" s="7">
        <v>80</v>
      </c>
      <c r="K38" s="7">
        <v>86</v>
      </c>
      <c r="L38" s="7">
        <v>87</v>
      </c>
      <c r="M38" s="7">
        <v>88</v>
      </c>
      <c r="N38" s="7">
        <v>89</v>
      </c>
      <c r="O38" s="7">
        <v>95</v>
      </c>
      <c r="P38" s="7">
        <v>96</v>
      </c>
      <c r="Q38" s="7">
        <v>99</v>
      </c>
      <c r="R38" s="8" t="s">
        <v>4</v>
      </c>
      <c r="S38" s="8" t="s">
        <v>4</v>
      </c>
      <c r="T38" s="8" t="s">
        <v>4</v>
      </c>
      <c r="U38" s="8" t="s">
        <v>4</v>
      </c>
      <c r="V38" s="7">
        <v>100</v>
      </c>
      <c r="W38" s="7">
        <v>101</v>
      </c>
      <c r="X38" s="7" t="s">
        <v>4</v>
      </c>
      <c r="Y38" s="7" t="s">
        <v>4</v>
      </c>
      <c r="Z38" s="7">
        <v>102</v>
      </c>
      <c r="AA38" s="7">
        <v>106</v>
      </c>
      <c r="AB38" s="7">
        <v>107</v>
      </c>
      <c r="AC38" s="7">
        <v>113</v>
      </c>
      <c r="AD38" s="7">
        <v>114</v>
      </c>
      <c r="AE38" s="7">
        <v>115</v>
      </c>
      <c r="AF38" s="7">
        <v>116</v>
      </c>
      <c r="AG38" s="7">
        <v>121</v>
      </c>
      <c r="AH38" s="7">
        <v>125</v>
      </c>
      <c r="AI38" s="7">
        <v>130</v>
      </c>
      <c r="AJ38" s="7">
        <v>131</v>
      </c>
      <c r="AK38" s="7">
        <v>134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26"/>
  <sheetViews>
    <sheetView workbookViewId="0">
      <selection activeCell="A8" sqref="A8:XFD8"/>
    </sheetView>
  </sheetViews>
  <sheetFormatPr baseColWidth="10" defaultRowHeight="16" x14ac:dyDescent="0.2"/>
  <cols>
    <col min="1" max="1" width="16.33203125" bestFit="1" customWidth="1"/>
    <col min="2" max="2" width="12.33203125" bestFit="1" customWidth="1"/>
    <col min="3" max="3" width="4.5" bestFit="1" customWidth="1"/>
    <col min="4" max="4" width="6.33203125" style="11" bestFit="1" customWidth="1"/>
    <col min="5" max="5" width="4.33203125" bestFit="1" customWidth="1"/>
    <col min="6" max="6" width="4.1640625" bestFit="1" customWidth="1"/>
    <col min="7" max="7" width="6" style="11" bestFit="1" customWidth="1"/>
    <col min="8" max="9" width="4.1640625" bestFit="1" customWidth="1"/>
    <col min="10" max="10" width="6" style="11" bestFit="1" customWidth="1"/>
    <col min="11" max="12" width="4.1640625" bestFit="1" customWidth="1"/>
    <col min="13" max="13" width="6" style="11" bestFit="1" customWidth="1"/>
    <col min="14" max="15" width="4.1640625" bestFit="1" customWidth="1"/>
    <col min="16" max="16" width="6" style="11" bestFit="1" customWidth="1"/>
    <col min="17" max="18" width="4.1640625" bestFit="1" customWidth="1"/>
    <col min="19" max="19" width="6" style="11" bestFit="1" customWidth="1"/>
    <col min="20" max="20" width="4.1640625" bestFit="1" customWidth="1"/>
    <col min="21" max="21" width="4.5" bestFit="1" customWidth="1"/>
    <col min="22" max="22" width="6.33203125" style="11" bestFit="1" customWidth="1"/>
    <col min="23" max="23" width="4.33203125" bestFit="1" customWidth="1"/>
    <col min="24" max="24" width="4.1640625" bestFit="1" customWidth="1"/>
    <col min="25" max="25" width="6" style="11" bestFit="1" customWidth="1"/>
    <col min="26" max="27" width="4.1640625" bestFit="1" customWidth="1"/>
    <col min="28" max="28" width="6" style="11" bestFit="1" customWidth="1"/>
    <col min="29" max="29" width="4" bestFit="1" customWidth="1"/>
    <col min="30" max="30" width="4.1640625" bestFit="1" customWidth="1"/>
    <col min="31" max="31" width="6" style="11" bestFit="1" customWidth="1"/>
    <col min="32" max="32" width="4.1640625" bestFit="1" customWidth="1"/>
    <col min="33" max="33" width="4.5" bestFit="1" customWidth="1"/>
    <col min="34" max="34" width="6.33203125" style="11" bestFit="1" customWidth="1"/>
    <col min="35" max="35" width="4.33203125" bestFit="1" customWidth="1"/>
    <col min="36" max="36" width="4.1640625" bestFit="1" customWidth="1"/>
    <col min="37" max="37" width="6" style="11" bestFit="1" customWidth="1"/>
    <col min="38" max="39" width="4.1640625" bestFit="1" customWidth="1"/>
    <col min="40" max="40" width="6" style="11" bestFit="1" customWidth="1"/>
    <col min="41" max="42" width="4.1640625" bestFit="1" customWidth="1"/>
    <col min="43" max="43" width="6" style="11" bestFit="1" customWidth="1"/>
    <col min="44" max="45" width="4.1640625" bestFit="1" customWidth="1"/>
    <col min="46" max="46" width="6" style="11" bestFit="1" customWidth="1"/>
    <col min="47" max="48" width="4.1640625" bestFit="1" customWidth="1"/>
    <col min="49" max="49" width="6" style="11" bestFit="1" customWidth="1"/>
    <col min="50" max="50" width="4.1640625" bestFit="1" customWidth="1"/>
    <col min="51" max="51" width="4.5" bestFit="1" customWidth="1"/>
    <col min="52" max="52" width="6.33203125" style="11" bestFit="1" customWidth="1"/>
    <col min="53" max="53" width="4.33203125" bestFit="1" customWidth="1"/>
  </cols>
  <sheetData>
    <row r="1" spans="1:54" x14ac:dyDescent="0.2">
      <c r="A1" t="s">
        <v>43</v>
      </c>
      <c r="B1" t="s">
        <v>45</v>
      </c>
      <c r="C1" s="1" t="s">
        <v>0</v>
      </c>
      <c r="D1" s="10" t="s">
        <v>29</v>
      </c>
      <c r="E1" s="2" t="s">
        <v>1</v>
      </c>
      <c r="F1" s="2" t="s">
        <v>47</v>
      </c>
      <c r="G1" s="12" t="s">
        <v>49</v>
      </c>
      <c r="H1" s="2" t="s">
        <v>48</v>
      </c>
      <c r="I1" s="2" t="s">
        <v>128</v>
      </c>
      <c r="J1" s="12" t="s">
        <v>150</v>
      </c>
      <c r="K1" s="2" t="s">
        <v>129</v>
      </c>
      <c r="L1" s="2" t="s">
        <v>50</v>
      </c>
      <c r="M1" s="12" t="s">
        <v>52</v>
      </c>
      <c r="N1" s="2" t="s">
        <v>51</v>
      </c>
      <c r="O1" s="2" t="s">
        <v>130</v>
      </c>
      <c r="P1" s="12" t="s">
        <v>151</v>
      </c>
      <c r="Q1" s="2" t="s">
        <v>131</v>
      </c>
      <c r="R1" s="2" t="s">
        <v>53</v>
      </c>
      <c r="S1" s="12" t="s">
        <v>54</v>
      </c>
      <c r="T1" s="2" t="s">
        <v>55</v>
      </c>
      <c r="U1" s="2" t="s">
        <v>132</v>
      </c>
      <c r="V1" s="12" t="s">
        <v>152</v>
      </c>
      <c r="W1" s="2" t="s">
        <v>133</v>
      </c>
      <c r="X1" s="2" t="s">
        <v>134</v>
      </c>
      <c r="Y1" s="12" t="s">
        <v>153</v>
      </c>
      <c r="Z1" s="2" t="s">
        <v>135</v>
      </c>
      <c r="AA1" s="2" t="s">
        <v>56</v>
      </c>
      <c r="AB1" s="12" t="s">
        <v>58</v>
      </c>
      <c r="AC1" s="2" t="s">
        <v>57</v>
      </c>
      <c r="AD1" s="2" t="s">
        <v>138</v>
      </c>
      <c r="AE1" s="12" t="s">
        <v>154</v>
      </c>
      <c r="AF1" s="2" t="s">
        <v>139</v>
      </c>
      <c r="AG1" s="2" t="s">
        <v>2</v>
      </c>
      <c r="AH1" s="12" t="s">
        <v>30</v>
      </c>
      <c r="AI1" s="2" t="s">
        <v>3</v>
      </c>
      <c r="AJ1" s="2" t="s">
        <v>142</v>
      </c>
      <c r="AK1" s="12" t="s">
        <v>155</v>
      </c>
      <c r="AL1" s="2" t="s">
        <v>143</v>
      </c>
      <c r="AM1" s="2" t="s">
        <v>59</v>
      </c>
      <c r="AN1" s="12" t="s">
        <v>61</v>
      </c>
      <c r="AO1" s="2" t="s">
        <v>60</v>
      </c>
      <c r="AP1" s="2" t="s">
        <v>144</v>
      </c>
      <c r="AQ1" s="12" t="s">
        <v>156</v>
      </c>
      <c r="AR1" s="2" t="s">
        <v>145</v>
      </c>
      <c r="AS1" s="2" t="s">
        <v>62</v>
      </c>
      <c r="AT1" s="12" t="s">
        <v>64</v>
      </c>
      <c r="AU1" s="2" t="s">
        <v>63</v>
      </c>
      <c r="AV1" s="2" t="s">
        <v>146</v>
      </c>
      <c r="AW1" s="12" t="s">
        <v>157</v>
      </c>
      <c r="AX1" s="2" t="s">
        <v>147</v>
      </c>
      <c r="AY1" s="2" t="s">
        <v>148</v>
      </c>
      <c r="AZ1" s="12" t="s">
        <v>158</v>
      </c>
      <c r="BA1" s="2" t="s">
        <v>149</v>
      </c>
      <c r="BB1" s="2" t="s">
        <v>46</v>
      </c>
    </row>
    <row r="2" spans="1:54" x14ac:dyDescent="0.2">
      <c r="A2" s="9" t="str">
        <f>CONCATENATE(B2,"__wt")</f>
        <v>glr_human__wt</v>
      </c>
      <c r="B2" s="6" t="s">
        <v>5</v>
      </c>
      <c r="C2">
        <f>VLOOKUP(wt!$A2,xtal_annotation!$A$1:$AK$105,4,FALSE)</f>
        <v>27</v>
      </c>
      <c r="D2" s="11">
        <v>43</v>
      </c>
      <c r="E2">
        <f>VLOOKUP(wt!$A2,xtal_annotation!$A$1:$AK$105,5,FALSE)</f>
        <v>50</v>
      </c>
      <c r="F2">
        <f>VLOOKUP(wt!$A2,xtal_annotation!$A$1:$AK$105,6,FALSE)</f>
        <v>56</v>
      </c>
      <c r="G2" s="11">
        <v>58</v>
      </c>
      <c r="H2">
        <f>VLOOKUP(wt!$A2,xtal_annotation!$A$1:$AK$105,7,FALSE)</f>
        <v>63</v>
      </c>
      <c r="I2">
        <f>VLOOKUP(wt!$A2,xtal_annotation!$A$1:$AK$105,8,FALSE)</f>
        <v>64</v>
      </c>
      <c r="J2" s="11">
        <v>65</v>
      </c>
      <c r="K2">
        <f>VLOOKUP(wt!$A2,xtal_annotation!$A$1:$AK$105,9,FALSE)</f>
        <v>65</v>
      </c>
      <c r="L2">
        <f>VLOOKUP(wt!$A2,xtal_annotation!$A$1:$AK$105,10,FALSE)</f>
        <v>66</v>
      </c>
      <c r="M2" s="11">
        <v>67</v>
      </c>
      <c r="N2">
        <f>VLOOKUP(wt!$A2,xtal_annotation!$A$1:$AK$105,11,FALSE)</f>
        <v>72</v>
      </c>
      <c r="O2">
        <f>VLOOKUP(wt!$A2,xtal_annotation!$A$1:$AK$105,12,FALSE)</f>
        <v>73</v>
      </c>
      <c r="P2" s="11">
        <v>74</v>
      </c>
      <c r="Q2">
        <f>VLOOKUP(wt!$A2,xtal_annotation!$A$1:$AK$105,13,FALSE)</f>
        <v>74</v>
      </c>
      <c r="R2">
        <f>VLOOKUP(wt!$A2,xtal_annotation!$A$1:$AK$105,14,FALSE)</f>
        <v>75</v>
      </c>
      <c r="S2" s="11">
        <v>81</v>
      </c>
      <c r="T2">
        <f>VLOOKUP(wt!$A2,xtal_annotation!$A$1:$AK$105,15,FALSE)</f>
        <v>81</v>
      </c>
      <c r="U2">
        <f>VLOOKUP(wt!$A2,xtal_annotation!$A$1:$AK$105,16,FALSE)</f>
        <v>82</v>
      </c>
      <c r="V2" s="11">
        <f>VLOOKUP(wt!$A2,xtal_annotation!$A$1:$AK$105,16,FALSE)</f>
        <v>82</v>
      </c>
      <c r="W2">
        <f>VLOOKUP(wt!$A2,xtal_annotation!$A$1:$AK$105,17,FALSE)</f>
        <v>85</v>
      </c>
      <c r="X2" t="str">
        <f>VLOOKUP(wt!$A2,xtal_annotation!$A$1:$AK$105,18,FALSE)</f>
        <v>-</v>
      </c>
      <c r="Y2" s="11" t="s">
        <v>4</v>
      </c>
      <c r="Z2" t="str">
        <f>VLOOKUP(wt!$A2,xtal_annotation!$A$1:$AK$105,19,FALSE)</f>
        <v>-</v>
      </c>
      <c r="AA2" t="str">
        <f>VLOOKUP(wt!$A2,xtal_annotation!$A$1:$AK$105,20,FALSE)</f>
        <v>-</v>
      </c>
      <c r="AB2" s="11" t="s">
        <v>4</v>
      </c>
      <c r="AC2" t="str">
        <f>VLOOKUP(wt!$A2,xtal_annotation!$A$1:$AK$105,21,FALSE)</f>
        <v>-</v>
      </c>
      <c r="AD2">
        <f>VLOOKUP(wt!$A2,xtal_annotation!$A$1:$AK$105,22,FALSE)</f>
        <v>86</v>
      </c>
      <c r="AE2" s="11">
        <v>86</v>
      </c>
      <c r="AF2">
        <f>VLOOKUP(wt!$A2,xtal_annotation!$A$1:$AK$105,23,FALSE)</f>
        <v>86</v>
      </c>
      <c r="AG2">
        <f>VLOOKUP(wt!$A2,xtal_annotation!$A$1:$AK$105,24,FALSE)</f>
        <v>87</v>
      </c>
      <c r="AH2" s="11">
        <v>87</v>
      </c>
      <c r="AI2">
        <f>VLOOKUP(wt!$A2,xtal_annotation!$A$1:$AK$105,25,FALSE)</f>
        <v>91</v>
      </c>
      <c r="AJ2">
        <f>VLOOKUP(wt!$A2,xtal_annotation!$A$1:$AK$105,26,FALSE)</f>
        <v>92</v>
      </c>
      <c r="AK2" s="11">
        <v>94</v>
      </c>
      <c r="AL2">
        <f>VLOOKUP(wt!$A2,xtal_annotation!$A$1:$AK$105,27,FALSE)</f>
        <v>94</v>
      </c>
      <c r="AM2">
        <f>VLOOKUP(wt!$A2,xtal_annotation!$A$1:$AK$105,28,FALSE)</f>
        <v>95</v>
      </c>
      <c r="AN2" s="11">
        <v>100</v>
      </c>
      <c r="AO2">
        <f>VLOOKUP(wt!$A2,xtal_annotation!$A$1:$AK$105,29,FALSE)</f>
        <v>101</v>
      </c>
      <c r="AP2">
        <f>VLOOKUP(wt!$A2,xtal_annotation!$A$1:$AK$105,30,FALSE)</f>
        <v>102</v>
      </c>
      <c r="AQ2" s="11">
        <v>103</v>
      </c>
      <c r="AR2">
        <f>VLOOKUP(wt!$A2,xtal_annotation!$A$1:$AK$105,31,FALSE)</f>
        <v>103</v>
      </c>
      <c r="AS2">
        <f>VLOOKUP(wt!$A2,xtal_annotation!$A$1:$AK$105,32,FALSE)</f>
        <v>104</v>
      </c>
      <c r="AT2" s="11">
        <v>104</v>
      </c>
      <c r="AU2">
        <f>VLOOKUP(wt!$A2,xtal_annotation!$A$1:$AK$105,33,FALSE)</f>
        <v>109</v>
      </c>
      <c r="AV2">
        <f>VLOOKUP(wt!$A2,xtal_annotation!$A$1:$AK$105,34,FALSE)</f>
        <v>112</v>
      </c>
      <c r="AW2" s="11">
        <v>117</v>
      </c>
      <c r="AX2">
        <f>VLOOKUP(wt!$A2,xtal_annotation!$A$1:$AK$105,35,FALSE)</f>
        <v>117</v>
      </c>
      <c r="AY2">
        <f>VLOOKUP(wt!$A2,xtal_annotation!$A$1:$AK$105,36,FALSE)</f>
        <v>118</v>
      </c>
      <c r="AZ2" s="11">
        <v>121</v>
      </c>
      <c r="BA2">
        <f>VLOOKUP(wt!$A2,xtal_annotation!$A$1:$AK$105,37,FALSE)</f>
        <v>122</v>
      </c>
    </row>
    <row r="3" spans="1:54" x14ac:dyDescent="0.2">
      <c r="A3" s="9" t="str">
        <f t="shared" ref="A3:A17" si="0">CONCATENATE(B3,"__wt")</f>
        <v>glp1r_human__wt</v>
      </c>
      <c r="B3" s="6" t="s">
        <v>13</v>
      </c>
      <c r="C3">
        <f>VLOOKUP(wt!$A3,xtal_annotation!$A$1:$AK$105,4,FALSE)</f>
        <v>31</v>
      </c>
      <c r="D3" s="11">
        <v>46</v>
      </c>
      <c r="E3">
        <f>VLOOKUP(wt!$A3,xtal_annotation!$A$1:$AK$105,5,FALSE)</f>
        <v>53</v>
      </c>
      <c r="F3">
        <f>VLOOKUP(wt!$A3,xtal_annotation!$A$1:$AK$105,6,FALSE)</f>
        <v>61</v>
      </c>
      <c r="G3" s="11">
        <v>62</v>
      </c>
      <c r="H3">
        <f>VLOOKUP(wt!$A3,xtal_annotation!$A$1:$AK$105,7,FALSE)</f>
        <v>67</v>
      </c>
      <c r="I3">
        <f>VLOOKUP(wt!$A3,xtal_annotation!$A$1:$AK$105,8,FALSE)</f>
        <v>68</v>
      </c>
      <c r="J3" s="11">
        <v>69</v>
      </c>
      <c r="K3">
        <f>VLOOKUP(wt!$A3,xtal_annotation!$A$1:$AK$105,9,FALSE)</f>
        <v>69</v>
      </c>
      <c r="L3">
        <f>VLOOKUP(wt!$A3,xtal_annotation!$A$1:$AK$105,10,FALSE)</f>
        <v>70</v>
      </c>
      <c r="M3" s="11">
        <v>71</v>
      </c>
      <c r="N3">
        <f>VLOOKUP(wt!$A3,xtal_annotation!$A$1:$AK$105,11,FALSE)</f>
        <v>76</v>
      </c>
      <c r="O3">
        <f>VLOOKUP(wt!$A3,xtal_annotation!$A$1:$AK$105,12,FALSE)</f>
        <v>77</v>
      </c>
      <c r="P3" s="11">
        <v>78</v>
      </c>
      <c r="Q3">
        <f>VLOOKUP(wt!$A3,xtal_annotation!$A$1:$AK$105,13,FALSE)</f>
        <v>78</v>
      </c>
      <c r="R3">
        <f>VLOOKUP(wt!$A3,xtal_annotation!$A$1:$AK$105,14,FALSE)</f>
        <v>79</v>
      </c>
      <c r="S3" s="11">
        <v>85</v>
      </c>
      <c r="T3">
        <f>VLOOKUP(wt!$A3,xtal_annotation!$A$1:$AK$105,15,FALSE)</f>
        <v>85</v>
      </c>
      <c r="U3">
        <f>VLOOKUP(wt!$A3,xtal_annotation!$A$1:$AK$105,16,FALSE)</f>
        <v>86</v>
      </c>
      <c r="V3" s="11">
        <f>VLOOKUP(wt!$A3,xtal_annotation!$A$1:$AK$105,16,FALSE)</f>
        <v>86</v>
      </c>
      <c r="W3">
        <f>VLOOKUP(wt!$A3,xtal_annotation!$A$1:$AK$105,17,FALSE)</f>
        <v>89</v>
      </c>
      <c r="X3" t="str">
        <f>VLOOKUP(wt!$A3,xtal_annotation!$A$1:$AK$105,18,FALSE)</f>
        <v>-</v>
      </c>
      <c r="Y3" s="11" t="s">
        <v>4</v>
      </c>
      <c r="Z3" t="str">
        <f>VLOOKUP(wt!$A3,xtal_annotation!$A$1:$AK$105,19,FALSE)</f>
        <v>-</v>
      </c>
      <c r="AA3" t="str">
        <f>VLOOKUP(wt!$A3,xtal_annotation!$A$1:$AK$105,20,FALSE)</f>
        <v>-</v>
      </c>
      <c r="AB3" s="11" t="s">
        <v>4</v>
      </c>
      <c r="AC3" t="str">
        <f>VLOOKUP(wt!$A3,xtal_annotation!$A$1:$AK$105,21,FALSE)</f>
        <v>-</v>
      </c>
      <c r="AD3">
        <f>VLOOKUP(wt!$A3,xtal_annotation!$A$1:$AK$105,22,FALSE)</f>
        <v>90</v>
      </c>
      <c r="AE3" s="11">
        <v>90</v>
      </c>
      <c r="AF3">
        <f>VLOOKUP(wt!$A3,xtal_annotation!$A$1:$AK$105,23,FALSE)</f>
        <v>90</v>
      </c>
      <c r="AG3">
        <f>VLOOKUP(wt!$A3,xtal_annotation!$A$1:$AK$105,24,FALSE)</f>
        <v>91</v>
      </c>
      <c r="AH3" s="11">
        <v>91</v>
      </c>
      <c r="AI3">
        <f>VLOOKUP(wt!$A3,xtal_annotation!$A$1:$AK$105,25,FALSE)</f>
        <v>95</v>
      </c>
      <c r="AJ3">
        <f>VLOOKUP(wt!$A3,xtal_annotation!$A$1:$AK$105,26,FALSE)</f>
        <v>96</v>
      </c>
      <c r="AK3" s="11">
        <v>98</v>
      </c>
      <c r="AL3">
        <f>VLOOKUP(wt!$A3,xtal_annotation!$A$1:$AK$105,27,FALSE)</f>
        <v>98</v>
      </c>
      <c r="AM3">
        <f>VLOOKUP(wt!$A3,xtal_annotation!$A$1:$AK$105,28,FALSE)</f>
        <v>99</v>
      </c>
      <c r="AN3" s="11">
        <v>104</v>
      </c>
      <c r="AO3">
        <f>VLOOKUP(wt!$A3,xtal_annotation!$A$1:$AK$105,29,FALSE)</f>
        <v>105</v>
      </c>
      <c r="AP3">
        <f>VLOOKUP(wt!$A3,xtal_annotation!$A$1:$AK$105,30,FALSE)</f>
        <v>106</v>
      </c>
      <c r="AQ3" s="11">
        <v>107</v>
      </c>
      <c r="AR3">
        <f>VLOOKUP(wt!$A3,xtal_annotation!$A$1:$AK$105,31,FALSE)</f>
        <v>107</v>
      </c>
      <c r="AS3">
        <f>VLOOKUP(wt!$A3,xtal_annotation!$A$1:$AK$105,32,FALSE)</f>
        <v>108</v>
      </c>
      <c r="AT3" s="11">
        <v>108</v>
      </c>
      <c r="AU3">
        <f>VLOOKUP(wt!$A3,xtal_annotation!$A$1:$AK$105,33,FALSE)</f>
        <v>113</v>
      </c>
      <c r="AV3">
        <f>VLOOKUP(wt!$A3,xtal_annotation!$A$1:$AK$105,34,FALSE)</f>
        <v>116</v>
      </c>
      <c r="AW3" s="11">
        <v>122</v>
      </c>
      <c r="AX3">
        <f>VLOOKUP(wt!$A3,xtal_annotation!$A$1:$AK$105,35,FALSE)</f>
        <v>122</v>
      </c>
      <c r="AY3">
        <f>VLOOKUP(wt!$A3,xtal_annotation!$A$1:$AK$105,36,FALSE)</f>
        <v>123</v>
      </c>
      <c r="AZ3" s="11">
        <v>126</v>
      </c>
      <c r="BA3">
        <f>VLOOKUP(wt!$A3,xtal_annotation!$A$1:$AK$105,37,FALSE)</f>
        <v>132</v>
      </c>
    </row>
    <row r="4" spans="1:54" x14ac:dyDescent="0.2">
      <c r="A4" s="9" t="str">
        <f t="shared" si="0"/>
        <v>glp2r_human__wt</v>
      </c>
      <c r="B4" s="6" t="s">
        <v>23</v>
      </c>
      <c r="C4">
        <f>VLOOKUP(wt!$A4,xtal_annotation!$A$1:$AK$105,4,FALSE)</f>
        <v>68</v>
      </c>
      <c r="D4" s="11">
        <v>83</v>
      </c>
      <c r="E4">
        <f>VLOOKUP(wt!$A4,xtal_annotation!$A$1:$AK$105,5,FALSE)</f>
        <v>90</v>
      </c>
      <c r="F4">
        <f>VLOOKUP(wt!$A4,xtal_annotation!$A$1:$AK$105,6,FALSE)</f>
        <v>95</v>
      </c>
      <c r="G4" s="11">
        <v>96</v>
      </c>
      <c r="H4">
        <f>VLOOKUP(wt!$A4,xtal_annotation!$A$1:$AK$105,7,FALSE)</f>
        <v>101</v>
      </c>
      <c r="I4">
        <f>VLOOKUP(wt!$A4,xtal_annotation!$A$1:$AK$105,8,FALSE)</f>
        <v>102</v>
      </c>
      <c r="J4" s="11">
        <v>103</v>
      </c>
      <c r="K4">
        <f>VLOOKUP(wt!$A4,xtal_annotation!$A$1:$AK$105,9,FALSE)</f>
        <v>103</v>
      </c>
      <c r="L4">
        <f>VLOOKUP(wt!$A4,xtal_annotation!$A$1:$AK$105,10,FALSE)</f>
        <v>104</v>
      </c>
      <c r="M4" s="11">
        <v>105</v>
      </c>
      <c r="N4">
        <f>VLOOKUP(wt!$A4,xtal_annotation!$A$1:$AK$105,11,FALSE)</f>
        <v>110</v>
      </c>
      <c r="O4">
        <f>VLOOKUP(wt!$A4,xtal_annotation!$A$1:$AK$105,12,FALSE)</f>
        <v>111</v>
      </c>
      <c r="P4" s="11">
        <v>112</v>
      </c>
      <c r="Q4">
        <f>VLOOKUP(wt!$A4,xtal_annotation!$A$1:$AK$105,13,FALSE)</f>
        <v>112</v>
      </c>
      <c r="R4">
        <f>VLOOKUP(wt!$A4,xtal_annotation!$A$1:$AK$105,14,FALSE)</f>
        <v>113</v>
      </c>
      <c r="S4" s="11">
        <v>118</v>
      </c>
      <c r="T4">
        <f>VLOOKUP(wt!$A4,xtal_annotation!$A$1:$AK$105,15,FALSE)</f>
        <v>118</v>
      </c>
      <c r="U4">
        <f>VLOOKUP(wt!$A4,xtal_annotation!$A$1:$AK$105,16,FALSE)</f>
        <v>119</v>
      </c>
      <c r="V4" s="11">
        <f>VLOOKUP(wt!$A4,xtal_annotation!$A$1:$AK$105,16,FALSE)</f>
        <v>119</v>
      </c>
      <c r="W4">
        <f>VLOOKUP(wt!$A4,xtal_annotation!$A$1:$AK$105,17,FALSE)</f>
        <v>122</v>
      </c>
      <c r="X4" t="str">
        <f>VLOOKUP(wt!$A4,xtal_annotation!$A$1:$AK$105,18,FALSE)</f>
        <v>-</v>
      </c>
      <c r="Y4" s="11" t="s">
        <v>4</v>
      </c>
      <c r="Z4" t="str">
        <f>VLOOKUP(wt!$A4,xtal_annotation!$A$1:$AK$105,19,FALSE)</f>
        <v>-</v>
      </c>
      <c r="AA4" t="str">
        <f>VLOOKUP(wt!$A4,xtal_annotation!$A$1:$AK$105,20,FALSE)</f>
        <v>-</v>
      </c>
      <c r="AB4" s="11" t="s">
        <v>4</v>
      </c>
      <c r="AC4" t="str">
        <f>VLOOKUP(wt!$A4,xtal_annotation!$A$1:$AK$105,21,FALSE)</f>
        <v>-</v>
      </c>
      <c r="AD4">
        <f>VLOOKUP(wt!$A4,xtal_annotation!$A$1:$AK$105,22,FALSE)</f>
        <v>123</v>
      </c>
      <c r="AE4" s="11">
        <v>123</v>
      </c>
      <c r="AF4">
        <f>VLOOKUP(wt!$A4,xtal_annotation!$A$1:$AK$105,23,FALSE)</f>
        <v>123</v>
      </c>
      <c r="AG4">
        <f>VLOOKUP(wt!$A4,xtal_annotation!$A$1:$AK$105,24,FALSE)</f>
        <v>124</v>
      </c>
      <c r="AH4" s="11">
        <v>124</v>
      </c>
      <c r="AI4">
        <f>VLOOKUP(wt!$A4,xtal_annotation!$A$1:$AK$105,25,FALSE)</f>
        <v>128</v>
      </c>
      <c r="AJ4">
        <f>VLOOKUP(wt!$A4,xtal_annotation!$A$1:$AK$105,26,FALSE)</f>
        <v>129</v>
      </c>
      <c r="AK4" s="11">
        <v>131</v>
      </c>
      <c r="AL4">
        <f>VLOOKUP(wt!$A4,xtal_annotation!$A$1:$AK$105,27,FALSE)</f>
        <v>131</v>
      </c>
      <c r="AM4">
        <f>VLOOKUP(wt!$A4,xtal_annotation!$A$1:$AK$105,28,FALSE)</f>
        <v>132</v>
      </c>
      <c r="AN4" s="11">
        <v>137</v>
      </c>
      <c r="AO4">
        <f>VLOOKUP(wt!$A4,xtal_annotation!$A$1:$AK$105,29,FALSE)</f>
        <v>138</v>
      </c>
      <c r="AP4">
        <f>VLOOKUP(wt!$A4,xtal_annotation!$A$1:$AK$105,30,FALSE)</f>
        <v>139</v>
      </c>
      <c r="AQ4" s="11">
        <v>140</v>
      </c>
      <c r="AR4">
        <f>VLOOKUP(wt!$A4,xtal_annotation!$A$1:$AK$105,31,FALSE)</f>
        <v>140</v>
      </c>
      <c r="AS4">
        <f>VLOOKUP(wt!$A4,xtal_annotation!$A$1:$AK$105,32,FALSE)</f>
        <v>141</v>
      </c>
      <c r="AT4" s="11">
        <v>141</v>
      </c>
      <c r="AU4">
        <f>VLOOKUP(wt!$A4,xtal_annotation!$A$1:$AK$105,33,FALSE)</f>
        <v>146</v>
      </c>
      <c r="AV4">
        <f>VLOOKUP(wt!$A4,xtal_annotation!$A$1:$AK$105,34,FALSE)</f>
        <v>149</v>
      </c>
      <c r="AW4" s="11">
        <v>155</v>
      </c>
      <c r="AX4">
        <f>VLOOKUP(wt!$A4,xtal_annotation!$A$1:$AK$105,35,FALSE)</f>
        <v>155</v>
      </c>
      <c r="AY4">
        <f>VLOOKUP(wt!$A4,xtal_annotation!$A$1:$AK$105,36,FALSE)</f>
        <v>156</v>
      </c>
      <c r="AZ4" s="11">
        <v>159</v>
      </c>
      <c r="BA4">
        <f>VLOOKUP(wt!$A4,xtal_annotation!$A$1:$AK$105,37,FALSE)</f>
        <v>163</v>
      </c>
    </row>
    <row r="5" spans="1:54" x14ac:dyDescent="0.2">
      <c r="A5" s="9" t="str">
        <f t="shared" si="0"/>
        <v>g1sgd4_rabit__wt</v>
      </c>
      <c r="B5" s="6" t="s">
        <v>18</v>
      </c>
      <c r="C5">
        <f>VLOOKUP(wt!$A5,xtal_annotation!$A$1:$AK$105,4,FALSE)</f>
        <v>31</v>
      </c>
      <c r="D5" s="11">
        <v>46</v>
      </c>
      <c r="E5">
        <f>VLOOKUP(wt!$A5,xtal_annotation!$A$1:$AK$105,5,FALSE)</f>
        <v>53</v>
      </c>
      <c r="F5">
        <f>VLOOKUP(wt!$A5,xtal_annotation!$A$1:$AK$105,6,FALSE)</f>
        <v>61</v>
      </c>
      <c r="G5" s="11">
        <v>62</v>
      </c>
      <c r="H5">
        <f>VLOOKUP(wt!$A5,xtal_annotation!$A$1:$AK$105,7,FALSE)</f>
        <v>67</v>
      </c>
      <c r="I5">
        <f>VLOOKUP(wt!$A5,xtal_annotation!$A$1:$AK$105,8,FALSE)</f>
        <v>68</v>
      </c>
      <c r="J5" s="11">
        <v>69</v>
      </c>
      <c r="K5">
        <f>VLOOKUP(wt!$A5,xtal_annotation!$A$1:$AK$105,9,FALSE)</f>
        <v>69</v>
      </c>
      <c r="L5">
        <f>VLOOKUP(wt!$A5,xtal_annotation!$A$1:$AK$105,10,FALSE)</f>
        <v>70</v>
      </c>
      <c r="M5" s="11">
        <v>71</v>
      </c>
      <c r="N5">
        <f>VLOOKUP(wt!$A5,xtal_annotation!$A$1:$AK$105,11,FALSE)</f>
        <v>76</v>
      </c>
      <c r="O5">
        <f>VLOOKUP(wt!$A5,xtal_annotation!$A$1:$AK$105,12,FALSE)</f>
        <v>77</v>
      </c>
      <c r="P5" s="11">
        <v>78</v>
      </c>
      <c r="Q5">
        <f>VLOOKUP(wt!$A5,xtal_annotation!$A$1:$AK$105,13,FALSE)</f>
        <v>78</v>
      </c>
      <c r="R5">
        <f>VLOOKUP(wt!$A5,xtal_annotation!$A$1:$AK$105,14,FALSE)</f>
        <v>79</v>
      </c>
      <c r="S5" s="11">
        <v>85</v>
      </c>
      <c r="T5">
        <f>VLOOKUP(wt!$A5,xtal_annotation!$A$1:$AK$105,15,FALSE)</f>
        <v>85</v>
      </c>
      <c r="U5">
        <f>VLOOKUP(wt!$A5,xtal_annotation!$A$1:$AK$105,16,FALSE)</f>
        <v>86</v>
      </c>
      <c r="V5" s="11">
        <f>VLOOKUP(wt!$A5,xtal_annotation!$A$1:$AK$105,16,FALSE)</f>
        <v>86</v>
      </c>
      <c r="W5">
        <f>VLOOKUP(wt!$A5,xtal_annotation!$A$1:$AK$105,17,FALSE)</f>
        <v>89</v>
      </c>
      <c r="X5" t="str">
        <f>VLOOKUP(wt!$A5,xtal_annotation!$A$1:$AK$105,18,FALSE)</f>
        <v>-</v>
      </c>
      <c r="Y5" s="11" t="s">
        <v>4</v>
      </c>
      <c r="Z5" t="str">
        <f>VLOOKUP(wt!$A5,xtal_annotation!$A$1:$AK$105,19,FALSE)</f>
        <v>-</v>
      </c>
      <c r="AA5" t="str">
        <f>VLOOKUP(wt!$A5,xtal_annotation!$A$1:$AK$105,20,FALSE)</f>
        <v>-</v>
      </c>
      <c r="AB5" s="11" t="s">
        <v>4</v>
      </c>
      <c r="AC5" t="str">
        <f>VLOOKUP(wt!$A5,xtal_annotation!$A$1:$AK$105,21,FALSE)</f>
        <v>-</v>
      </c>
      <c r="AD5">
        <f>VLOOKUP(wt!$A5,xtal_annotation!$A$1:$AK$105,22,FALSE)</f>
        <v>90</v>
      </c>
      <c r="AE5" s="11">
        <v>90</v>
      </c>
      <c r="AF5">
        <f>VLOOKUP(wt!$A5,xtal_annotation!$A$1:$AK$105,23,FALSE)</f>
        <v>90</v>
      </c>
      <c r="AG5">
        <f>VLOOKUP(wt!$A5,xtal_annotation!$A$1:$AK$105,24,FALSE)</f>
        <v>91</v>
      </c>
      <c r="AH5" s="11">
        <v>91</v>
      </c>
      <c r="AI5">
        <f>VLOOKUP(wt!$A5,xtal_annotation!$A$1:$AK$105,25,FALSE)</f>
        <v>95</v>
      </c>
      <c r="AJ5">
        <f>VLOOKUP(wt!$A5,xtal_annotation!$A$1:$AK$105,26,FALSE)</f>
        <v>96</v>
      </c>
      <c r="AK5" s="11">
        <v>98</v>
      </c>
      <c r="AL5">
        <f>VLOOKUP(wt!$A5,xtal_annotation!$A$1:$AK$105,27,FALSE)</f>
        <v>98</v>
      </c>
      <c r="AM5">
        <f>VLOOKUP(wt!$A5,xtal_annotation!$A$1:$AK$105,28,FALSE)</f>
        <v>99</v>
      </c>
      <c r="AN5" s="11">
        <v>104</v>
      </c>
      <c r="AO5">
        <f>VLOOKUP(wt!$A5,xtal_annotation!$A$1:$AK$105,29,FALSE)</f>
        <v>105</v>
      </c>
      <c r="AP5">
        <f>VLOOKUP(wt!$A5,xtal_annotation!$A$1:$AK$105,30,FALSE)</f>
        <v>106</v>
      </c>
      <c r="AQ5" s="11">
        <v>107</v>
      </c>
      <c r="AR5">
        <f>VLOOKUP(wt!$A5,xtal_annotation!$A$1:$AK$105,31,FALSE)</f>
        <v>107</v>
      </c>
      <c r="AS5">
        <f>VLOOKUP(wt!$A5,xtal_annotation!$A$1:$AK$105,32,FALSE)</f>
        <v>108</v>
      </c>
      <c r="AT5" s="11">
        <v>108</v>
      </c>
      <c r="AU5">
        <f>VLOOKUP(wt!$A5,xtal_annotation!$A$1:$AK$105,33,FALSE)</f>
        <v>113</v>
      </c>
      <c r="AV5">
        <f>VLOOKUP(wt!$A5,xtal_annotation!$A$1:$AK$105,34,FALSE)</f>
        <v>116</v>
      </c>
      <c r="AW5" s="11">
        <v>122</v>
      </c>
      <c r="AX5">
        <f>VLOOKUP(wt!$A5,xtal_annotation!$A$1:$AK$105,35,FALSE)</f>
        <v>122</v>
      </c>
      <c r="AY5">
        <f>VLOOKUP(wt!$A5,xtal_annotation!$A$1:$AK$105,36,FALSE)</f>
        <v>123</v>
      </c>
      <c r="AZ5" s="11">
        <v>126</v>
      </c>
      <c r="BA5">
        <f>VLOOKUP(wt!$A5,xtal_annotation!$A$1:$AK$105,37,FALSE)</f>
        <v>132</v>
      </c>
    </row>
    <row r="6" spans="1:54" x14ac:dyDescent="0.2">
      <c r="A6" s="9" t="str">
        <f t="shared" si="0"/>
        <v>pth1r_human__wt</v>
      </c>
      <c r="B6" s="6" t="s">
        <v>20</v>
      </c>
      <c r="C6">
        <f>VLOOKUP(wt!$A6,xtal_annotation!$A$1:$AK$105,4,FALSE)</f>
        <v>33</v>
      </c>
      <c r="D6" s="11">
        <v>48</v>
      </c>
      <c r="E6">
        <f>VLOOKUP(wt!$A6,xtal_annotation!$A$1:$AK$105,5,FALSE)</f>
        <v>58</v>
      </c>
      <c r="F6">
        <f>VLOOKUP(wt!$A6,xtal_annotation!$A$1:$AK$105,6,FALSE)</f>
        <v>107</v>
      </c>
      <c r="G6" s="11">
        <v>108</v>
      </c>
      <c r="H6">
        <f>VLOOKUP(wt!$A6,xtal_annotation!$A$1:$AK$105,7,FALSE)</f>
        <v>113</v>
      </c>
      <c r="I6">
        <f>VLOOKUP(wt!$A6,xtal_annotation!$A$1:$AK$105,8,FALSE)</f>
        <v>114</v>
      </c>
      <c r="J6" s="11">
        <v>115</v>
      </c>
      <c r="K6">
        <f>VLOOKUP(wt!$A6,xtal_annotation!$A$1:$AK$105,9,FALSE)</f>
        <v>115</v>
      </c>
      <c r="L6">
        <f>VLOOKUP(wt!$A6,xtal_annotation!$A$1:$AK$105,10,FALSE)</f>
        <v>116</v>
      </c>
      <c r="M6" s="11">
        <v>117</v>
      </c>
      <c r="N6">
        <f>VLOOKUP(wt!$A6,xtal_annotation!$A$1:$AK$105,11,FALSE)</f>
        <v>122</v>
      </c>
      <c r="O6">
        <f>VLOOKUP(wt!$A6,xtal_annotation!$A$1:$AK$105,12,FALSE)</f>
        <v>123</v>
      </c>
      <c r="P6" s="11">
        <v>124</v>
      </c>
      <c r="Q6">
        <f>VLOOKUP(wt!$A6,xtal_annotation!$A$1:$AK$105,13,FALSE)</f>
        <v>124</v>
      </c>
      <c r="R6">
        <f>VLOOKUP(wt!$A6,xtal_annotation!$A$1:$AK$105,14,FALSE)</f>
        <v>125</v>
      </c>
      <c r="S6" s="11">
        <v>131</v>
      </c>
      <c r="T6">
        <f>VLOOKUP(wt!$A6,xtal_annotation!$A$1:$AK$105,15,FALSE)</f>
        <v>131</v>
      </c>
      <c r="U6">
        <f>VLOOKUP(wt!$A6,xtal_annotation!$A$1:$AK$105,16,FALSE)</f>
        <v>132</v>
      </c>
      <c r="V6" s="11">
        <f>VLOOKUP(wt!$A6,xtal_annotation!$A$1:$AK$105,16,FALSE)</f>
        <v>132</v>
      </c>
      <c r="W6">
        <f>VLOOKUP(wt!$A6,xtal_annotation!$A$1:$AK$105,17,FALSE)</f>
        <v>135</v>
      </c>
      <c r="X6" t="str">
        <f>VLOOKUP(wt!$A6,xtal_annotation!$A$1:$AK$105,18,FALSE)</f>
        <v>-</v>
      </c>
      <c r="Y6" s="11" t="s">
        <v>4</v>
      </c>
      <c r="Z6" t="str">
        <f>VLOOKUP(wt!$A6,xtal_annotation!$A$1:$AK$105,19,FALSE)</f>
        <v>-</v>
      </c>
      <c r="AA6" t="str">
        <f>VLOOKUP(wt!$A6,xtal_annotation!$A$1:$AK$105,20,FALSE)</f>
        <v>-</v>
      </c>
      <c r="AB6" s="11" t="s">
        <v>4</v>
      </c>
      <c r="AC6" t="str">
        <f>VLOOKUP(wt!$A6,xtal_annotation!$A$1:$AK$105,21,FALSE)</f>
        <v>-</v>
      </c>
      <c r="AD6">
        <f>VLOOKUP(wt!$A6,xtal_annotation!$A$1:$AK$105,22,FALSE)</f>
        <v>136</v>
      </c>
      <c r="AE6" s="11">
        <v>136</v>
      </c>
      <c r="AF6">
        <f>VLOOKUP(wt!$A6,xtal_annotation!$A$1:$AK$105,23,FALSE)</f>
        <v>137</v>
      </c>
      <c r="AG6" t="str">
        <f>VLOOKUP(wt!$A6,xtal_annotation!$A$1:$AK$105,24,FALSE)</f>
        <v>-</v>
      </c>
      <c r="AH6" s="11" t="s">
        <v>4</v>
      </c>
      <c r="AI6" t="str">
        <f>VLOOKUP(wt!$A6,xtal_annotation!$A$1:$AK$105,25,FALSE)</f>
        <v>-</v>
      </c>
      <c r="AJ6">
        <f>VLOOKUP(wt!$A6,xtal_annotation!$A$1:$AK$105,26,FALSE)</f>
        <v>138</v>
      </c>
      <c r="AK6" s="11">
        <v>142</v>
      </c>
      <c r="AL6">
        <f>VLOOKUP(wt!$A6,xtal_annotation!$A$1:$AK$105,27,FALSE)</f>
        <v>142</v>
      </c>
      <c r="AM6">
        <f>VLOOKUP(wt!$A6,xtal_annotation!$A$1:$AK$105,28,FALSE)</f>
        <v>143</v>
      </c>
      <c r="AN6" s="11">
        <v>148</v>
      </c>
      <c r="AO6">
        <f>VLOOKUP(wt!$A6,xtal_annotation!$A$1:$AK$105,29,FALSE)</f>
        <v>149</v>
      </c>
      <c r="AP6">
        <f>VLOOKUP(wt!$A6,xtal_annotation!$A$1:$AK$105,30,FALSE)</f>
        <v>150</v>
      </c>
      <c r="AQ6" s="11">
        <v>151</v>
      </c>
      <c r="AR6">
        <f>VLOOKUP(wt!$A6,xtal_annotation!$A$1:$AK$105,31,FALSE)</f>
        <v>151</v>
      </c>
      <c r="AS6">
        <f>VLOOKUP(wt!$A6,xtal_annotation!$A$1:$AK$105,32,FALSE)</f>
        <v>152</v>
      </c>
      <c r="AT6" s="11">
        <v>152</v>
      </c>
      <c r="AU6">
        <f>VLOOKUP(wt!$A6,xtal_annotation!$A$1:$AK$105,33,FALSE)</f>
        <v>157</v>
      </c>
      <c r="AV6">
        <f>VLOOKUP(wt!$A6,xtal_annotation!$A$1:$AK$105,34,FALSE)</f>
        <v>160</v>
      </c>
      <c r="AW6" s="11">
        <v>166</v>
      </c>
      <c r="AX6">
        <f>VLOOKUP(wt!$A6,xtal_annotation!$A$1:$AK$105,35,FALSE)</f>
        <v>166</v>
      </c>
      <c r="AY6">
        <f>VLOOKUP(wt!$A6,xtal_annotation!$A$1:$AK$105,36,FALSE)</f>
        <v>167</v>
      </c>
      <c r="AZ6" s="11">
        <v>170</v>
      </c>
      <c r="BA6">
        <f>VLOOKUP(wt!$A6,xtal_annotation!$A$1:$AK$105,37,FALSE)</f>
        <v>174</v>
      </c>
    </row>
    <row r="7" spans="1:54" x14ac:dyDescent="0.2">
      <c r="A7" s="9" t="str">
        <f t="shared" si="0"/>
        <v>gipr_human__wt</v>
      </c>
      <c r="B7" s="6" t="s">
        <v>22</v>
      </c>
      <c r="C7">
        <f>VLOOKUP(wt!$A7,xtal_annotation!$A$1:$AK$105,4,FALSE)</f>
        <v>31</v>
      </c>
      <c r="D7" s="11">
        <v>46</v>
      </c>
      <c r="E7">
        <f>VLOOKUP(wt!$A7,xtal_annotation!$A$1:$AK$105,5,FALSE)</f>
        <v>53</v>
      </c>
      <c r="F7">
        <f>VLOOKUP(wt!$A7,xtal_annotation!$A$1:$AK$105,6,FALSE)</f>
        <v>60</v>
      </c>
      <c r="G7" s="11">
        <v>61</v>
      </c>
      <c r="H7">
        <f>VLOOKUP(wt!$A7,xtal_annotation!$A$1:$AK$105,7,FALSE)</f>
        <v>66</v>
      </c>
      <c r="I7">
        <f>VLOOKUP(wt!$A7,xtal_annotation!$A$1:$AK$105,8,FALSE)</f>
        <v>67</v>
      </c>
      <c r="J7" s="11">
        <v>68</v>
      </c>
      <c r="K7">
        <f>VLOOKUP(wt!$A7,xtal_annotation!$A$1:$AK$105,9,FALSE)</f>
        <v>68</v>
      </c>
      <c r="L7">
        <f>VLOOKUP(wt!$A7,xtal_annotation!$A$1:$AK$105,10,FALSE)</f>
        <v>69</v>
      </c>
      <c r="M7" s="11">
        <v>70</v>
      </c>
      <c r="N7">
        <f>VLOOKUP(wt!$A7,xtal_annotation!$A$1:$AK$105,11,FALSE)</f>
        <v>75</v>
      </c>
      <c r="O7">
        <f>VLOOKUP(wt!$A7,xtal_annotation!$A$1:$AK$105,12,FALSE)</f>
        <v>76</v>
      </c>
      <c r="P7" s="11">
        <v>77</v>
      </c>
      <c r="Q7">
        <f>VLOOKUP(wt!$A7,xtal_annotation!$A$1:$AK$105,13,FALSE)</f>
        <v>77</v>
      </c>
      <c r="R7">
        <f>VLOOKUP(wt!$A7,xtal_annotation!$A$1:$AK$105,14,FALSE)</f>
        <v>78</v>
      </c>
      <c r="S7" s="11">
        <v>84</v>
      </c>
      <c r="T7">
        <f>VLOOKUP(wt!$A7,xtal_annotation!$A$1:$AK$105,15,FALSE)</f>
        <v>84</v>
      </c>
      <c r="U7">
        <f>VLOOKUP(wt!$A7,xtal_annotation!$A$1:$AK$105,16,FALSE)</f>
        <v>85</v>
      </c>
      <c r="V7" s="11">
        <f>VLOOKUP(wt!$A7,xtal_annotation!$A$1:$AK$105,16,FALSE)</f>
        <v>85</v>
      </c>
      <c r="W7">
        <f>VLOOKUP(wt!$A7,xtal_annotation!$A$1:$AK$105,17,FALSE)</f>
        <v>88</v>
      </c>
      <c r="X7" t="str">
        <f>VLOOKUP(wt!$A7,xtal_annotation!$A$1:$AK$105,18,FALSE)</f>
        <v>-</v>
      </c>
      <c r="Y7" s="11" t="s">
        <v>4</v>
      </c>
      <c r="Z7" t="str">
        <f>VLOOKUP(wt!$A7,xtal_annotation!$A$1:$AK$105,19,FALSE)</f>
        <v>-</v>
      </c>
      <c r="AA7" t="str">
        <f>VLOOKUP(wt!$A7,xtal_annotation!$A$1:$AK$105,20,FALSE)</f>
        <v>-</v>
      </c>
      <c r="AB7" s="11" t="s">
        <v>4</v>
      </c>
      <c r="AC7" t="str">
        <f>VLOOKUP(wt!$A7,xtal_annotation!$A$1:$AK$105,21,FALSE)</f>
        <v>-</v>
      </c>
      <c r="AD7">
        <f>VLOOKUP(wt!$A7,xtal_annotation!$A$1:$AK$105,22,FALSE)</f>
        <v>89</v>
      </c>
      <c r="AE7" s="11">
        <v>89</v>
      </c>
      <c r="AF7">
        <f>VLOOKUP(wt!$A7,xtal_annotation!$A$1:$AK$105,23,FALSE)</f>
        <v>89</v>
      </c>
      <c r="AG7">
        <f>VLOOKUP(wt!$A7,xtal_annotation!$A$1:$AK$105,24,FALSE)</f>
        <v>90</v>
      </c>
      <c r="AH7" s="11">
        <v>90</v>
      </c>
      <c r="AI7">
        <f>VLOOKUP(wt!$A7,xtal_annotation!$A$1:$AK$105,25,FALSE)</f>
        <v>94</v>
      </c>
      <c r="AJ7">
        <f>VLOOKUP(wt!$A7,xtal_annotation!$A$1:$AK$105,26,FALSE)</f>
        <v>95</v>
      </c>
      <c r="AK7" s="11">
        <v>97</v>
      </c>
      <c r="AL7">
        <f>VLOOKUP(wt!$A7,xtal_annotation!$A$1:$AK$105,27,FALSE)</f>
        <v>97</v>
      </c>
      <c r="AM7">
        <f>VLOOKUP(wt!$A7,xtal_annotation!$A$1:$AK$105,28,FALSE)</f>
        <v>98</v>
      </c>
      <c r="AN7" s="11">
        <v>103</v>
      </c>
      <c r="AO7">
        <f>VLOOKUP(wt!$A7,xtal_annotation!$A$1:$AK$105,29,FALSE)</f>
        <v>104</v>
      </c>
      <c r="AP7">
        <f>VLOOKUP(wt!$A7,xtal_annotation!$A$1:$AK$105,30,FALSE)</f>
        <v>105</v>
      </c>
      <c r="AQ7" s="11">
        <v>106</v>
      </c>
      <c r="AR7">
        <f>VLOOKUP(wt!$A7,xtal_annotation!$A$1:$AK$105,31,FALSE)</f>
        <v>106</v>
      </c>
      <c r="AS7">
        <f>VLOOKUP(wt!$A7,xtal_annotation!$A$1:$AK$105,32,FALSE)</f>
        <v>107</v>
      </c>
      <c r="AT7" s="11">
        <v>107</v>
      </c>
      <c r="AU7">
        <f>VLOOKUP(wt!$A7,xtal_annotation!$A$1:$AK$105,33,FALSE)</f>
        <v>110</v>
      </c>
      <c r="AV7">
        <f>VLOOKUP(wt!$A7,xtal_annotation!$A$1:$AK$105,34,FALSE)</f>
        <v>112</v>
      </c>
      <c r="AW7" s="11">
        <v>114</v>
      </c>
      <c r="AX7">
        <f>VLOOKUP(wt!$A7,xtal_annotation!$A$1:$AK$105,35,FALSE)</f>
        <v>114</v>
      </c>
      <c r="AY7">
        <f>VLOOKUP(wt!$A7,xtal_annotation!$A$1:$AK$105,36,FALSE)</f>
        <v>115</v>
      </c>
      <c r="AZ7" s="11">
        <v>118</v>
      </c>
      <c r="BA7">
        <f>VLOOKUP(wt!$A7,xtal_annotation!$A$1:$AK$105,37,FALSE)</f>
        <v>119</v>
      </c>
    </row>
    <row r="8" spans="1:54" x14ac:dyDescent="0.2">
      <c r="A8" s="9" t="str">
        <f t="shared" ref="A8:A16" si="1">CONCATENATE(B8,"__wt")</f>
        <v>pacr_human__wt</v>
      </c>
      <c r="B8" s="6" t="s">
        <v>26</v>
      </c>
      <c r="C8">
        <f>VLOOKUP(wt!$A8,xtal_annotation!$A$1:$AK$105,4,FALSE)</f>
        <v>26</v>
      </c>
      <c r="D8" s="11">
        <v>34</v>
      </c>
      <c r="E8">
        <f>VLOOKUP(wt!$A8,xtal_annotation!$A$1:$AK$105,5,FALSE)</f>
        <v>49</v>
      </c>
      <c r="F8">
        <f>VLOOKUP(wt!$A8,xtal_annotation!$A$1:$AK$105,6,FALSE)</f>
        <v>53</v>
      </c>
      <c r="G8" s="11">
        <v>54</v>
      </c>
      <c r="H8">
        <f>VLOOKUP(wt!$A8,xtal_annotation!$A$1:$AK$105,7,FALSE)</f>
        <v>59</v>
      </c>
      <c r="I8">
        <f>VLOOKUP(wt!$A8,xtal_annotation!$A$1:$AK$105,8,FALSE)</f>
        <v>60</v>
      </c>
      <c r="J8" s="11">
        <v>61</v>
      </c>
      <c r="K8">
        <f>VLOOKUP(wt!$A8,xtal_annotation!$A$1:$AK$105,9,FALSE)</f>
        <v>61</v>
      </c>
      <c r="L8">
        <f>VLOOKUP(wt!$A8,xtal_annotation!$A$1:$AK$105,10,FALSE)</f>
        <v>62</v>
      </c>
      <c r="M8" s="11">
        <v>63</v>
      </c>
      <c r="N8">
        <f>VLOOKUP(wt!$A8,xtal_annotation!$A$1:$AK$105,11,FALSE)</f>
        <v>68</v>
      </c>
      <c r="O8">
        <f>VLOOKUP(wt!$A8,xtal_annotation!$A$1:$AK$105,12,FALSE)</f>
        <v>69</v>
      </c>
      <c r="P8" s="11">
        <v>70</v>
      </c>
      <c r="Q8">
        <f>VLOOKUP(wt!$A8,xtal_annotation!$A$1:$AK$105,13,FALSE)</f>
        <v>70</v>
      </c>
      <c r="R8">
        <f>VLOOKUP(wt!$A8,xtal_annotation!$A$1:$AK$105,14,FALSE)</f>
        <v>71</v>
      </c>
      <c r="S8" s="11">
        <v>77</v>
      </c>
      <c r="T8">
        <f>VLOOKUP(wt!$A8,xtal_annotation!$A$1:$AK$105,15,FALSE)</f>
        <v>77</v>
      </c>
      <c r="U8">
        <f>VLOOKUP(wt!$A8,xtal_annotation!$A$1:$AK$105,16,FALSE)</f>
        <v>78</v>
      </c>
      <c r="V8" s="11">
        <f>VLOOKUP(wt!$A8,xtal_annotation!$A$1:$AK$105,16,FALSE)</f>
        <v>78</v>
      </c>
      <c r="W8">
        <f>VLOOKUP(wt!$A8,xtal_annotation!$A$1:$AK$105,17,FALSE)</f>
        <v>84</v>
      </c>
      <c r="X8" t="str">
        <f>VLOOKUP(wt!$A8,xtal_annotation!$A$1:$AK$105,18,FALSE)</f>
        <v>-</v>
      </c>
      <c r="Y8" s="11" t="s">
        <v>4</v>
      </c>
      <c r="Z8" t="str">
        <f>VLOOKUP(wt!$A8,xtal_annotation!$A$1:$AK$105,19,FALSE)</f>
        <v>-</v>
      </c>
      <c r="AA8" t="str">
        <f>VLOOKUP(wt!$A8,xtal_annotation!$A$1:$AK$105,20,FALSE)</f>
        <v>-</v>
      </c>
      <c r="AB8" s="11" t="s">
        <v>4</v>
      </c>
      <c r="AC8" t="str">
        <f>VLOOKUP(wt!$A8,xtal_annotation!$A$1:$AK$105,21,FALSE)</f>
        <v>-</v>
      </c>
      <c r="AD8" t="str">
        <f>VLOOKUP(wt!$A8,xtal_annotation!$A$1:$AK$105,22,FALSE)</f>
        <v>-</v>
      </c>
      <c r="AE8" s="11" t="s">
        <v>4</v>
      </c>
      <c r="AF8" t="str">
        <f>VLOOKUP(wt!$A8,xtal_annotation!$A$1:$AK$105,23,FALSE)</f>
        <v>-</v>
      </c>
      <c r="AG8" t="str">
        <f>VLOOKUP(wt!$A8,xtal_annotation!$A$1:$AK$105,24,FALSE)</f>
        <v>-</v>
      </c>
      <c r="AH8" s="11" t="s">
        <v>4</v>
      </c>
      <c r="AI8" t="str">
        <f>VLOOKUP(wt!$A8,xtal_annotation!$A$1:$AK$105,25,FALSE)</f>
        <v>-</v>
      </c>
      <c r="AJ8">
        <f>VLOOKUP(wt!$A8,xtal_annotation!$A$1:$AK$105,26,FALSE)</f>
        <v>89</v>
      </c>
      <c r="AK8" s="11">
        <v>91</v>
      </c>
      <c r="AL8">
        <f>VLOOKUP(wt!$A8,xtal_annotation!$A$1:$AK$105,27,FALSE)</f>
        <v>91</v>
      </c>
      <c r="AM8">
        <f>VLOOKUP(wt!$A8,xtal_annotation!$A$1:$AK$105,28,FALSE)</f>
        <v>92</v>
      </c>
      <c r="AN8" s="11">
        <v>97</v>
      </c>
      <c r="AO8">
        <f>VLOOKUP(wt!$A8,xtal_annotation!$A$1:$AK$105,29,FALSE)</f>
        <v>98</v>
      </c>
      <c r="AP8">
        <f>VLOOKUP(wt!$A8,xtal_annotation!$A$1:$AK$105,30,FALSE)</f>
        <v>99</v>
      </c>
      <c r="AQ8" s="11">
        <v>100</v>
      </c>
      <c r="AR8">
        <f>VLOOKUP(wt!$A8,xtal_annotation!$A$1:$AK$105,31,FALSE)</f>
        <v>100</v>
      </c>
      <c r="AS8">
        <f>VLOOKUP(wt!$A8,xtal_annotation!$A$1:$AK$105,32,FALSE)</f>
        <v>101</v>
      </c>
      <c r="AT8" s="11">
        <v>101</v>
      </c>
      <c r="AU8">
        <f>VLOOKUP(wt!$A8,xtal_annotation!$A$1:$AK$105,33,FALSE)</f>
        <v>103</v>
      </c>
      <c r="AV8">
        <f>VLOOKUP(wt!$A8,xtal_annotation!$A$1:$AK$105,34,FALSE)</f>
        <v>105</v>
      </c>
      <c r="AW8" s="11">
        <v>106</v>
      </c>
      <c r="AX8">
        <f>VLOOKUP(wt!$A8,xtal_annotation!$A$1:$AK$105,35,FALSE)</f>
        <v>107</v>
      </c>
      <c r="AY8">
        <f>VLOOKUP(wt!$A8,xtal_annotation!$A$1:$AK$105,36,FALSE)</f>
        <v>108</v>
      </c>
      <c r="AZ8" s="11">
        <v>113</v>
      </c>
      <c r="BA8">
        <f>VLOOKUP(wt!$A8,xtal_annotation!$A$1:$AK$105,37,FALSE)</f>
        <v>114</v>
      </c>
    </row>
    <row r="9" spans="1:54" x14ac:dyDescent="0.2">
      <c r="A9" s="9" t="str">
        <f t="shared" si="1"/>
        <v>vipr2_human__wt</v>
      </c>
      <c r="B9" s="6" t="s">
        <v>28</v>
      </c>
      <c r="C9">
        <f>VLOOKUP(wt!$A9,xtal_annotation!$A$1:$AK$105,4,FALSE)</f>
        <v>26</v>
      </c>
      <c r="D9" s="11">
        <v>38</v>
      </c>
      <c r="E9">
        <f>VLOOKUP(wt!$A9,xtal_annotation!$A$1:$AK$105,5,FALSE)</f>
        <v>46</v>
      </c>
      <c r="F9">
        <f>VLOOKUP(wt!$A9,xtal_annotation!$A$1:$AK$105,6,FALSE)</f>
        <v>51</v>
      </c>
      <c r="G9" s="11">
        <v>52</v>
      </c>
      <c r="H9">
        <f>VLOOKUP(wt!$A9,xtal_annotation!$A$1:$AK$105,7,FALSE)</f>
        <v>57</v>
      </c>
      <c r="I9">
        <f>VLOOKUP(wt!$A9,xtal_annotation!$A$1:$AK$105,8,FALSE)</f>
        <v>58</v>
      </c>
      <c r="J9" s="11">
        <v>59</v>
      </c>
      <c r="K9">
        <f>VLOOKUP(wt!$A9,xtal_annotation!$A$1:$AK$105,9,FALSE)</f>
        <v>59</v>
      </c>
      <c r="L9">
        <f>VLOOKUP(wt!$A9,xtal_annotation!$A$1:$AK$105,10,FALSE)</f>
        <v>60</v>
      </c>
      <c r="M9" s="11">
        <v>61</v>
      </c>
      <c r="N9">
        <f>VLOOKUP(wt!$A9,xtal_annotation!$A$1:$AK$105,11,FALSE)</f>
        <v>66</v>
      </c>
      <c r="O9">
        <f>VLOOKUP(wt!$A9,xtal_annotation!$A$1:$AK$105,12,FALSE)</f>
        <v>67</v>
      </c>
      <c r="P9" s="11">
        <v>68</v>
      </c>
      <c r="Q9">
        <f>VLOOKUP(wt!$A9,xtal_annotation!$A$1:$AK$105,13,FALSE)</f>
        <v>68</v>
      </c>
      <c r="R9">
        <f>VLOOKUP(wt!$A9,xtal_annotation!$A$1:$AK$105,14,FALSE)</f>
        <v>69</v>
      </c>
      <c r="S9" s="11">
        <v>75</v>
      </c>
      <c r="T9">
        <f>VLOOKUP(wt!$A9,xtal_annotation!$A$1:$AK$105,15,FALSE)</f>
        <v>75</v>
      </c>
      <c r="U9">
        <f>VLOOKUP(wt!$A9,xtal_annotation!$A$1:$AK$105,16,FALSE)</f>
        <v>76</v>
      </c>
      <c r="V9" s="11">
        <f>VLOOKUP(wt!$A9,xtal_annotation!$A$1:$AK$105,16,FALSE)</f>
        <v>76</v>
      </c>
      <c r="W9">
        <f>VLOOKUP(wt!$A9,xtal_annotation!$A$1:$AK$105,17,FALSE)</f>
        <v>82</v>
      </c>
      <c r="X9" t="str">
        <f>VLOOKUP(wt!$A9,xtal_annotation!$A$1:$AK$105,18,FALSE)</f>
        <v>-</v>
      </c>
      <c r="Y9" s="11" t="s">
        <v>4</v>
      </c>
      <c r="Z9" t="str">
        <f>VLOOKUP(wt!$A9,xtal_annotation!$A$1:$AK$105,19,FALSE)</f>
        <v>-</v>
      </c>
      <c r="AA9" t="str">
        <f>VLOOKUP(wt!$A9,xtal_annotation!$A$1:$AK$105,20,FALSE)</f>
        <v>-</v>
      </c>
      <c r="AB9" s="11" t="s">
        <v>4</v>
      </c>
      <c r="AC9" t="str">
        <f>VLOOKUP(wt!$A9,xtal_annotation!$A$1:$AK$105,21,FALSE)</f>
        <v>-</v>
      </c>
      <c r="AD9" t="str">
        <f>VLOOKUP(wt!$A9,xtal_annotation!$A$1:$AK$105,22,FALSE)</f>
        <v>-</v>
      </c>
      <c r="AE9" s="11" t="s">
        <v>4</v>
      </c>
      <c r="AF9" t="str">
        <f>VLOOKUP(wt!$A9,xtal_annotation!$A$1:$AK$105,23,FALSE)</f>
        <v>-</v>
      </c>
      <c r="AG9" t="str">
        <f>VLOOKUP(wt!$A9,xtal_annotation!$A$1:$AK$105,24,FALSE)</f>
        <v>-</v>
      </c>
      <c r="AH9" s="11" t="s">
        <v>4</v>
      </c>
      <c r="AI9" t="str">
        <f>VLOOKUP(wt!$A9,xtal_annotation!$A$1:$AK$105,25,FALSE)</f>
        <v>-</v>
      </c>
      <c r="AJ9">
        <f>VLOOKUP(wt!$A9,xtal_annotation!$A$1:$AK$105,26,FALSE)</f>
        <v>87</v>
      </c>
      <c r="AK9" s="11">
        <v>87</v>
      </c>
      <c r="AL9">
        <f>VLOOKUP(wt!$A9,xtal_annotation!$A$1:$AK$105,27,FALSE)</f>
        <v>87</v>
      </c>
      <c r="AM9">
        <f>VLOOKUP(wt!$A9,xtal_annotation!$A$1:$AK$105,28,FALSE)</f>
        <v>88</v>
      </c>
      <c r="AN9" s="11">
        <v>93</v>
      </c>
      <c r="AO9">
        <f>VLOOKUP(wt!$A9,xtal_annotation!$A$1:$AK$105,29,FALSE)</f>
        <v>94</v>
      </c>
      <c r="AP9">
        <f>VLOOKUP(wt!$A9,xtal_annotation!$A$1:$AK$105,30,FALSE)</f>
        <v>95</v>
      </c>
      <c r="AQ9" s="11">
        <v>96</v>
      </c>
      <c r="AR9">
        <f>VLOOKUP(wt!$A9,xtal_annotation!$A$1:$AK$105,31,FALSE)</f>
        <v>96</v>
      </c>
      <c r="AS9">
        <f>VLOOKUP(wt!$A9,xtal_annotation!$A$1:$AK$105,32,FALSE)</f>
        <v>97</v>
      </c>
      <c r="AT9" s="11">
        <v>97</v>
      </c>
      <c r="AU9">
        <f>VLOOKUP(wt!$A9,xtal_annotation!$A$1:$AK$105,33,FALSE)</f>
        <v>99</v>
      </c>
      <c r="AV9">
        <f>VLOOKUP(wt!$A9,xtal_annotation!$A$1:$AK$105,34,FALSE)</f>
        <v>101</v>
      </c>
      <c r="AW9" s="11">
        <v>102</v>
      </c>
      <c r="AX9">
        <f>VLOOKUP(wt!$A9,xtal_annotation!$A$1:$AK$105,35,FALSE)</f>
        <v>103</v>
      </c>
      <c r="AY9">
        <f>VLOOKUP(wt!$A9,xtal_annotation!$A$1:$AK$105,36,FALSE)</f>
        <v>104</v>
      </c>
      <c r="AZ9" s="11">
        <v>109</v>
      </c>
      <c r="BA9">
        <f>VLOOKUP(wt!$A9,xtal_annotation!$A$1:$AK$105,37,FALSE)</f>
        <v>110</v>
      </c>
    </row>
    <row r="10" spans="1:54" x14ac:dyDescent="0.2">
      <c r="A10" s="9" t="str">
        <f t="shared" si="1"/>
        <v>ghrhr_human__wt</v>
      </c>
      <c r="B10" s="6" t="s">
        <v>32</v>
      </c>
      <c r="C10">
        <f>VLOOKUP(wt!$A10,xtal_annotation!$A$1:$AK$105,4,FALSE)</f>
        <v>34</v>
      </c>
      <c r="D10" s="11">
        <v>41</v>
      </c>
      <c r="E10">
        <f>VLOOKUP(wt!$A10,xtal_annotation!$A$1:$AK$105,5,FALSE)</f>
        <v>48</v>
      </c>
      <c r="F10">
        <f>VLOOKUP(wt!$A10,xtal_annotation!$A$1:$AK$105,6,FALSE)</f>
        <v>54</v>
      </c>
      <c r="G10" s="11">
        <v>55</v>
      </c>
      <c r="H10">
        <f>VLOOKUP(wt!$A10,xtal_annotation!$A$1:$AK$105,7,FALSE)</f>
        <v>60</v>
      </c>
      <c r="I10">
        <f>VLOOKUP(wt!$A10,xtal_annotation!$A$1:$AK$105,8,FALSE)</f>
        <v>61</v>
      </c>
      <c r="J10" s="11">
        <v>62</v>
      </c>
      <c r="K10">
        <f>VLOOKUP(wt!$A10,xtal_annotation!$A$1:$AK$105,9,FALSE)</f>
        <v>62</v>
      </c>
      <c r="L10">
        <f>VLOOKUP(wt!$A10,xtal_annotation!$A$1:$AK$105,10,FALSE)</f>
        <v>63</v>
      </c>
      <c r="M10" s="11">
        <v>64</v>
      </c>
      <c r="N10">
        <f>VLOOKUP(wt!$A10,xtal_annotation!$A$1:$AK$105,11,FALSE)</f>
        <v>69</v>
      </c>
      <c r="O10">
        <f>VLOOKUP(wt!$A10,xtal_annotation!$A$1:$AK$105,12,FALSE)</f>
        <v>70</v>
      </c>
      <c r="P10" s="11">
        <v>71</v>
      </c>
      <c r="Q10">
        <f>VLOOKUP(wt!$A10,xtal_annotation!$A$1:$AK$105,13,FALSE)</f>
        <v>71</v>
      </c>
      <c r="R10">
        <f>VLOOKUP(wt!$A10,xtal_annotation!$A$1:$AK$105,14,FALSE)</f>
        <v>72</v>
      </c>
      <c r="S10" s="11">
        <v>78</v>
      </c>
      <c r="T10">
        <f>VLOOKUP(wt!$A10,xtal_annotation!$A$1:$AK$105,15,FALSE)</f>
        <v>78</v>
      </c>
      <c r="U10">
        <f>VLOOKUP(wt!$A10,xtal_annotation!$A$1:$AK$105,16,FALSE)</f>
        <v>79</v>
      </c>
      <c r="V10" s="11">
        <f>VLOOKUP(wt!$A10,xtal_annotation!$A$1:$AK$105,16,FALSE)</f>
        <v>79</v>
      </c>
      <c r="W10">
        <f>VLOOKUP(wt!$A10,xtal_annotation!$A$1:$AK$105,17,FALSE)</f>
        <v>85</v>
      </c>
      <c r="X10" t="str">
        <f>VLOOKUP(wt!$A10,xtal_annotation!$A$1:$AK$105,18,FALSE)</f>
        <v>-</v>
      </c>
      <c r="Y10" s="11" t="s">
        <v>4</v>
      </c>
      <c r="Z10" t="str">
        <f>VLOOKUP(wt!$A10,xtal_annotation!$A$1:$AK$105,19,FALSE)</f>
        <v>-</v>
      </c>
      <c r="AA10" t="str">
        <f>VLOOKUP(wt!$A10,xtal_annotation!$A$1:$AK$105,20,FALSE)</f>
        <v>-</v>
      </c>
      <c r="AB10" s="11" t="s">
        <v>4</v>
      </c>
      <c r="AC10" t="str">
        <f>VLOOKUP(wt!$A10,xtal_annotation!$A$1:$AK$105,21,FALSE)</f>
        <v>-</v>
      </c>
      <c r="AD10" t="str">
        <f>VLOOKUP(wt!$A10,xtal_annotation!$A$1:$AK$105,22,FALSE)</f>
        <v>-</v>
      </c>
      <c r="AE10" s="11" t="s">
        <v>4</v>
      </c>
      <c r="AF10" t="str">
        <f>VLOOKUP(wt!$A10,xtal_annotation!$A$1:$AK$105,23,FALSE)</f>
        <v>-</v>
      </c>
      <c r="AG10" t="str">
        <f>VLOOKUP(wt!$A10,xtal_annotation!$A$1:$AK$105,24,FALSE)</f>
        <v>-</v>
      </c>
      <c r="AH10" s="11" t="s">
        <v>4</v>
      </c>
      <c r="AI10" t="str">
        <f>VLOOKUP(wt!$A10,xtal_annotation!$A$1:$AK$105,25,FALSE)</f>
        <v>-</v>
      </c>
      <c r="AJ10">
        <f>VLOOKUP(wt!$A10,xtal_annotation!$A$1:$AK$105,26,FALSE)</f>
        <v>90</v>
      </c>
      <c r="AK10" s="11">
        <v>90</v>
      </c>
      <c r="AL10">
        <f>VLOOKUP(wt!$A10,xtal_annotation!$A$1:$AK$105,27,FALSE)</f>
        <v>90</v>
      </c>
      <c r="AM10">
        <f>VLOOKUP(wt!$A10,xtal_annotation!$A$1:$AK$105,28,FALSE)</f>
        <v>91</v>
      </c>
      <c r="AN10" s="11">
        <v>96</v>
      </c>
      <c r="AO10">
        <f>VLOOKUP(wt!$A10,xtal_annotation!$A$1:$AK$105,29,FALSE)</f>
        <v>97</v>
      </c>
      <c r="AP10">
        <f>VLOOKUP(wt!$A10,xtal_annotation!$A$1:$AK$105,30,FALSE)</f>
        <v>98</v>
      </c>
      <c r="AQ10" s="11">
        <v>99</v>
      </c>
      <c r="AR10">
        <f>VLOOKUP(wt!$A10,xtal_annotation!$A$1:$AK$105,31,FALSE)</f>
        <v>99</v>
      </c>
      <c r="AS10">
        <f>VLOOKUP(wt!$A10,xtal_annotation!$A$1:$AK$105,32,FALSE)</f>
        <v>100</v>
      </c>
      <c r="AT10" s="11">
        <v>100</v>
      </c>
      <c r="AU10">
        <f>VLOOKUP(wt!$A10,xtal_annotation!$A$1:$AK$105,33,FALSE)</f>
        <v>102</v>
      </c>
      <c r="AV10">
        <f>VLOOKUP(wt!$A10,xtal_annotation!$A$1:$AK$105,34,FALSE)</f>
        <v>104</v>
      </c>
      <c r="AW10" s="11">
        <v>105</v>
      </c>
      <c r="AX10">
        <f>VLOOKUP(wt!$A10,xtal_annotation!$A$1:$AK$105,35,FALSE)</f>
        <v>106</v>
      </c>
      <c r="AY10">
        <f>VLOOKUP(wt!$A10,xtal_annotation!$A$1:$AK$105,36,FALSE)</f>
        <v>107</v>
      </c>
      <c r="AZ10" s="11">
        <v>112</v>
      </c>
      <c r="BA10">
        <f>VLOOKUP(wt!$A10,xtal_annotation!$A$1:$AK$105,37,FALSE)</f>
        <v>112</v>
      </c>
    </row>
    <row r="11" spans="1:54" x14ac:dyDescent="0.2">
      <c r="A11" s="9" t="str">
        <f t="shared" si="1"/>
        <v>crfr1_human__wt</v>
      </c>
      <c r="B11" s="6" t="s">
        <v>34</v>
      </c>
      <c r="C11">
        <f>VLOOKUP(wt!$A11,xtal_annotation!$A$1:$AK$105,4,FALSE)</f>
        <v>17</v>
      </c>
      <c r="D11" s="11">
        <v>30</v>
      </c>
      <c r="E11">
        <f>VLOOKUP(wt!$A11,xtal_annotation!$A$1:$AK$105,5,FALSE)</f>
        <v>34</v>
      </c>
      <c r="F11">
        <f>VLOOKUP(wt!$A11,xtal_annotation!$A$1:$AK$105,6,FALSE)</f>
        <v>42</v>
      </c>
      <c r="G11" s="11">
        <v>44</v>
      </c>
      <c r="H11">
        <f>VLOOKUP(wt!$A11,xtal_annotation!$A$1:$AK$105,7,FALSE)</f>
        <v>49</v>
      </c>
      <c r="I11">
        <f>VLOOKUP(wt!$A11,xtal_annotation!$A$1:$AK$105,8,FALSE)</f>
        <v>50</v>
      </c>
      <c r="J11" s="11">
        <v>51</v>
      </c>
      <c r="K11">
        <f>VLOOKUP(wt!$A11,xtal_annotation!$A$1:$AK$105,9,FALSE)</f>
        <v>51</v>
      </c>
      <c r="L11">
        <f>VLOOKUP(wt!$A11,xtal_annotation!$A$1:$AK$105,10,FALSE)</f>
        <v>52</v>
      </c>
      <c r="M11" s="11">
        <v>54</v>
      </c>
      <c r="N11">
        <f>VLOOKUP(wt!$A11,xtal_annotation!$A$1:$AK$105,11,FALSE)</f>
        <v>59</v>
      </c>
      <c r="O11">
        <f>VLOOKUP(wt!$A11,xtal_annotation!$A$1:$AK$105,12,FALSE)</f>
        <v>60</v>
      </c>
      <c r="P11" s="11">
        <v>61</v>
      </c>
      <c r="Q11">
        <f>VLOOKUP(wt!$A11,xtal_annotation!$A$1:$AK$105,13,FALSE)</f>
        <v>61</v>
      </c>
      <c r="R11">
        <f>VLOOKUP(wt!$A11,xtal_annotation!$A$1:$AK$105,14,FALSE)</f>
        <v>62</v>
      </c>
      <c r="S11" s="11">
        <v>68</v>
      </c>
      <c r="T11">
        <f>VLOOKUP(wt!$A11,xtal_annotation!$A$1:$AK$105,15,FALSE)</f>
        <v>68</v>
      </c>
      <c r="U11">
        <f>VLOOKUP(wt!$A11,xtal_annotation!$A$1:$AK$105,16,FALSE)</f>
        <v>69</v>
      </c>
      <c r="V11" s="11">
        <f>VLOOKUP(wt!$A11,xtal_annotation!$A$1:$AK$105,16,FALSE)</f>
        <v>69</v>
      </c>
      <c r="W11">
        <f>VLOOKUP(wt!$A11,xtal_annotation!$A$1:$AK$105,17,FALSE)</f>
        <v>72</v>
      </c>
      <c r="X11">
        <f>VLOOKUP(wt!$A11,xtal_annotation!$A$1:$AK$105,18,FALSE)</f>
        <v>73</v>
      </c>
      <c r="Y11" s="11">
        <v>74</v>
      </c>
      <c r="Z11">
        <f>VLOOKUP(wt!$A11,xtal_annotation!$A$1:$AK$105,19,FALSE)</f>
        <v>74</v>
      </c>
      <c r="AA11">
        <f>VLOOKUP(wt!$A11,xtal_annotation!$A$1:$AK$105,20,FALSE)</f>
        <v>75</v>
      </c>
      <c r="AB11" s="11">
        <v>75</v>
      </c>
      <c r="AC11">
        <f>VLOOKUP(wt!$A11,xtal_annotation!$A$1:$AK$105,21,FALSE)</f>
        <v>76</v>
      </c>
      <c r="AD11" t="str">
        <f>VLOOKUP(wt!$A11,xtal_annotation!$A$1:$AK$105,22,FALSE)</f>
        <v>-</v>
      </c>
      <c r="AE11" s="11" t="s">
        <v>4</v>
      </c>
      <c r="AF11" t="str">
        <f>VLOOKUP(wt!$A11,xtal_annotation!$A$1:$AK$105,23,FALSE)</f>
        <v>-</v>
      </c>
      <c r="AG11" t="str">
        <f>VLOOKUP(wt!$A11,xtal_annotation!$A$1:$AK$105,24,FALSE)</f>
        <v>-</v>
      </c>
      <c r="AH11" s="11" t="s">
        <v>4</v>
      </c>
      <c r="AI11" t="str">
        <f>VLOOKUP(wt!$A11,xtal_annotation!$A$1:$AK$105,25,FALSE)</f>
        <v>-</v>
      </c>
      <c r="AJ11">
        <f>VLOOKUP(wt!$A11,xtal_annotation!$A$1:$AK$105,26,FALSE)</f>
        <v>77</v>
      </c>
      <c r="AK11" s="11">
        <v>81</v>
      </c>
      <c r="AL11">
        <f>VLOOKUP(wt!$A11,xtal_annotation!$A$1:$AK$105,27,FALSE)</f>
        <v>81</v>
      </c>
      <c r="AM11">
        <f>VLOOKUP(wt!$A11,xtal_annotation!$A$1:$AK$105,28,FALSE)</f>
        <v>82</v>
      </c>
      <c r="AN11" s="11">
        <v>87</v>
      </c>
      <c r="AO11">
        <f>VLOOKUP(wt!$A11,xtal_annotation!$A$1:$AK$105,29,FALSE)</f>
        <v>88</v>
      </c>
      <c r="AP11">
        <f>VLOOKUP(wt!$A11,xtal_annotation!$A$1:$AK$105,30,FALSE)</f>
        <v>89</v>
      </c>
      <c r="AQ11" s="11">
        <v>90</v>
      </c>
      <c r="AR11">
        <f>VLOOKUP(wt!$A11,xtal_annotation!$A$1:$AK$105,31,FALSE)</f>
        <v>90</v>
      </c>
      <c r="AS11">
        <f>VLOOKUP(wt!$A11,xtal_annotation!$A$1:$AK$105,32,FALSE)</f>
        <v>91</v>
      </c>
      <c r="AT11" s="11">
        <v>91</v>
      </c>
      <c r="AU11">
        <f>VLOOKUP(wt!$A11,xtal_annotation!$A$1:$AK$105,33,FALSE)</f>
        <v>94</v>
      </c>
      <c r="AV11">
        <f>VLOOKUP(wt!$A11,xtal_annotation!$A$1:$AK$105,34,FALSE)</f>
        <v>96</v>
      </c>
      <c r="AW11" s="11">
        <v>98</v>
      </c>
      <c r="AX11">
        <f>VLOOKUP(wt!$A11,xtal_annotation!$A$1:$AK$105,35,FALSE)</f>
        <v>98</v>
      </c>
      <c r="AY11">
        <f>VLOOKUP(wt!$A11,xtal_annotation!$A$1:$AK$105,36,FALSE)</f>
        <v>99</v>
      </c>
      <c r="AZ11" s="11">
        <v>102</v>
      </c>
      <c r="BA11">
        <f>VLOOKUP(wt!$A11,xtal_annotation!$A$1:$AK$105,37,FALSE)</f>
        <v>102</v>
      </c>
    </row>
    <row r="12" spans="1:54" x14ac:dyDescent="0.2">
      <c r="A12" s="9" t="str">
        <f t="shared" si="1"/>
        <v>crfr2_human__wt</v>
      </c>
      <c r="B12" s="6" t="s">
        <v>36</v>
      </c>
      <c r="C12">
        <f>VLOOKUP(wt!$A12,xtal_annotation!$A$1:$AK$105,4,FALSE)</f>
        <v>1</v>
      </c>
      <c r="D12" s="11">
        <v>14</v>
      </c>
      <c r="E12">
        <f>VLOOKUP(wt!$A12,xtal_annotation!$A$1:$AK$105,5,FALSE)</f>
        <v>28</v>
      </c>
      <c r="F12">
        <f>VLOOKUP(wt!$A12,xtal_annotation!$A$1:$AK$105,6,FALSE)</f>
        <v>39</v>
      </c>
      <c r="G12" s="11">
        <v>40</v>
      </c>
      <c r="H12">
        <f>VLOOKUP(wt!$A12,xtal_annotation!$A$1:$AK$105,7,FALSE)</f>
        <v>45</v>
      </c>
      <c r="I12">
        <f>VLOOKUP(wt!$A12,xtal_annotation!$A$1:$AK$105,8,FALSE)</f>
        <v>46</v>
      </c>
      <c r="J12" s="11">
        <v>47</v>
      </c>
      <c r="K12">
        <f>VLOOKUP(wt!$A12,xtal_annotation!$A$1:$AK$105,9,FALSE)</f>
        <v>47</v>
      </c>
      <c r="L12">
        <f>VLOOKUP(wt!$A12,xtal_annotation!$A$1:$AK$105,10,FALSE)</f>
        <v>48</v>
      </c>
      <c r="M12" s="11">
        <v>50</v>
      </c>
      <c r="N12">
        <f>VLOOKUP(wt!$A12,xtal_annotation!$A$1:$AK$105,11,FALSE)</f>
        <v>55</v>
      </c>
      <c r="O12">
        <f>VLOOKUP(wt!$A12,xtal_annotation!$A$1:$AK$105,12,FALSE)</f>
        <v>56</v>
      </c>
      <c r="P12" s="11">
        <v>57</v>
      </c>
      <c r="Q12">
        <f>VLOOKUP(wt!$A12,xtal_annotation!$A$1:$AK$105,13,FALSE)</f>
        <v>57</v>
      </c>
      <c r="R12">
        <f>VLOOKUP(wt!$A12,xtal_annotation!$A$1:$AK$105,14,FALSE)</f>
        <v>58</v>
      </c>
      <c r="S12" s="11">
        <v>64</v>
      </c>
      <c r="T12">
        <f>VLOOKUP(wt!$A12,xtal_annotation!$A$1:$AK$105,15,FALSE)</f>
        <v>64</v>
      </c>
      <c r="U12">
        <f>VLOOKUP(wt!$A12,xtal_annotation!$A$1:$AK$105,16,FALSE)</f>
        <v>65</v>
      </c>
      <c r="V12" s="11">
        <f>VLOOKUP(wt!$A12,xtal_annotation!$A$1:$AK$105,16,FALSE)</f>
        <v>65</v>
      </c>
      <c r="W12">
        <f>VLOOKUP(wt!$A12,xtal_annotation!$A$1:$AK$105,17,FALSE)</f>
        <v>68</v>
      </c>
      <c r="X12">
        <f>VLOOKUP(wt!$A12,xtal_annotation!$A$1:$AK$105,18,FALSE)</f>
        <v>69</v>
      </c>
      <c r="Y12" s="11">
        <v>70</v>
      </c>
      <c r="Z12">
        <f>VLOOKUP(wt!$A12,xtal_annotation!$A$1:$AK$105,19,FALSE)</f>
        <v>70</v>
      </c>
      <c r="AA12">
        <f>VLOOKUP(wt!$A12,xtal_annotation!$A$1:$AK$105,20,FALSE)</f>
        <v>71</v>
      </c>
      <c r="AB12" s="11">
        <v>71</v>
      </c>
      <c r="AC12">
        <f>VLOOKUP(wt!$A12,xtal_annotation!$A$1:$AK$105,21,FALSE)</f>
        <v>72</v>
      </c>
      <c r="AD12" t="str">
        <f>VLOOKUP(wt!$A12,xtal_annotation!$A$1:$AK$105,22,FALSE)</f>
        <v>-</v>
      </c>
      <c r="AE12" s="11" t="s">
        <v>4</v>
      </c>
      <c r="AF12" t="str">
        <f>VLOOKUP(wt!$A12,xtal_annotation!$A$1:$AK$105,23,FALSE)</f>
        <v>-</v>
      </c>
      <c r="AG12" t="str">
        <f>VLOOKUP(wt!$A12,xtal_annotation!$A$1:$AK$105,24,FALSE)</f>
        <v>-</v>
      </c>
      <c r="AH12" s="11" t="s">
        <v>4</v>
      </c>
      <c r="AI12" t="str">
        <f>VLOOKUP(wt!$A12,xtal_annotation!$A$1:$AK$105,25,FALSE)</f>
        <v>-</v>
      </c>
      <c r="AJ12">
        <f>VLOOKUP(wt!$A12,xtal_annotation!$A$1:$AK$105,26,FALSE)</f>
        <v>73</v>
      </c>
      <c r="AK12" s="11">
        <v>77</v>
      </c>
      <c r="AL12">
        <f>VLOOKUP(wt!$A12,xtal_annotation!$A$1:$AK$105,27,FALSE)</f>
        <v>77</v>
      </c>
      <c r="AM12">
        <f>VLOOKUP(wt!$A12,xtal_annotation!$A$1:$AK$105,28,FALSE)</f>
        <v>78</v>
      </c>
      <c r="AN12" s="11">
        <v>83</v>
      </c>
      <c r="AO12">
        <f>VLOOKUP(wt!$A12,xtal_annotation!$A$1:$AK$105,29,FALSE)</f>
        <v>84</v>
      </c>
      <c r="AP12">
        <f>VLOOKUP(wt!$A12,xtal_annotation!$A$1:$AK$105,30,FALSE)</f>
        <v>85</v>
      </c>
      <c r="AQ12" s="11">
        <v>86</v>
      </c>
      <c r="AR12">
        <f>VLOOKUP(wt!$A12,xtal_annotation!$A$1:$AK$105,31,FALSE)</f>
        <v>86</v>
      </c>
      <c r="AS12">
        <f>VLOOKUP(wt!$A12,xtal_annotation!$A$1:$AK$105,32,FALSE)</f>
        <v>87</v>
      </c>
      <c r="AT12" s="11">
        <v>87</v>
      </c>
      <c r="AU12">
        <f>VLOOKUP(wt!$A12,xtal_annotation!$A$1:$AK$105,33,FALSE)</f>
        <v>90</v>
      </c>
      <c r="AV12">
        <f>VLOOKUP(wt!$A12,xtal_annotation!$A$1:$AK$105,34,FALSE)</f>
        <v>92</v>
      </c>
      <c r="AW12" s="11">
        <v>94</v>
      </c>
      <c r="AX12">
        <f>VLOOKUP(wt!$A12,xtal_annotation!$A$1:$AK$105,35,FALSE)</f>
        <v>94</v>
      </c>
      <c r="AY12">
        <f>VLOOKUP(wt!$A12,xtal_annotation!$A$1:$AK$105,36,FALSE)</f>
        <v>95</v>
      </c>
      <c r="AZ12" s="11">
        <v>98</v>
      </c>
      <c r="BA12">
        <f>VLOOKUP(wt!$A12,xtal_annotation!$A$1:$AK$105,37,FALSE)</f>
        <v>98</v>
      </c>
    </row>
    <row r="13" spans="1:54" x14ac:dyDescent="0.2">
      <c r="A13" s="9" t="str">
        <f t="shared" si="1"/>
        <v>calrl_human__wt</v>
      </c>
      <c r="B13" s="6" t="s">
        <v>39</v>
      </c>
      <c r="C13">
        <f>VLOOKUP(wt!$A13,xtal_annotation!$A$1:$AK$105,4,FALSE)</f>
        <v>35</v>
      </c>
      <c r="D13" s="11">
        <v>48</v>
      </c>
      <c r="E13">
        <f>VLOOKUP(wt!$A13,xtal_annotation!$A$1:$AK$105,5,FALSE)</f>
        <v>55</v>
      </c>
      <c r="F13">
        <f>VLOOKUP(wt!$A13,xtal_annotation!$A$1:$AK$105,6,FALSE)</f>
        <v>63</v>
      </c>
      <c r="G13" s="11">
        <v>65</v>
      </c>
      <c r="H13">
        <f>VLOOKUP(wt!$A13,xtal_annotation!$A$1:$AK$105,7,FALSE)</f>
        <v>70</v>
      </c>
      <c r="I13">
        <f>VLOOKUP(wt!$A13,xtal_annotation!$A$1:$AK$105,8,FALSE)</f>
        <v>71</v>
      </c>
      <c r="J13" s="11">
        <v>72</v>
      </c>
      <c r="K13">
        <f>VLOOKUP(wt!$A13,xtal_annotation!$A$1:$AK$105,9,FALSE)</f>
        <v>72</v>
      </c>
      <c r="L13">
        <f>VLOOKUP(wt!$A13,xtal_annotation!$A$1:$AK$105,10,FALSE)</f>
        <v>73</v>
      </c>
      <c r="M13" s="11">
        <v>74</v>
      </c>
      <c r="N13">
        <f>VLOOKUP(wt!$A13,xtal_annotation!$A$1:$AK$105,11,FALSE)</f>
        <v>79</v>
      </c>
      <c r="O13">
        <f>VLOOKUP(wt!$A13,xtal_annotation!$A$1:$AK$105,12,FALSE)</f>
        <v>80</v>
      </c>
      <c r="P13" s="11">
        <v>81</v>
      </c>
      <c r="Q13">
        <f>VLOOKUP(wt!$A13,xtal_annotation!$A$1:$AK$105,13,FALSE)</f>
        <v>81</v>
      </c>
      <c r="R13">
        <f>VLOOKUP(wt!$A13,xtal_annotation!$A$1:$AK$105,14,FALSE)</f>
        <v>82</v>
      </c>
      <c r="S13" s="11">
        <v>88</v>
      </c>
      <c r="T13">
        <f>VLOOKUP(wt!$A13,xtal_annotation!$A$1:$AK$105,15,FALSE)</f>
        <v>88</v>
      </c>
      <c r="U13">
        <f>VLOOKUP(wt!$A13,xtal_annotation!$A$1:$AK$105,16,FALSE)</f>
        <v>89</v>
      </c>
      <c r="V13" s="11">
        <f>VLOOKUP(wt!$A13,xtal_annotation!$A$1:$AK$105,16,FALSE)</f>
        <v>89</v>
      </c>
      <c r="W13">
        <f>VLOOKUP(wt!$A13,xtal_annotation!$A$1:$AK$105,17,FALSE)</f>
        <v>92</v>
      </c>
      <c r="X13" t="str">
        <f>VLOOKUP(wt!$A13,xtal_annotation!$A$1:$AK$105,18,FALSE)</f>
        <v>-</v>
      </c>
      <c r="Y13" s="11" t="s">
        <v>4</v>
      </c>
      <c r="Z13" t="str">
        <f>VLOOKUP(wt!$A13,xtal_annotation!$A$1:$AK$105,19,FALSE)</f>
        <v>-</v>
      </c>
      <c r="AA13" t="str">
        <f>VLOOKUP(wt!$A13,xtal_annotation!$A$1:$AK$105,20,FALSE)</f>
        <v>-</v>
      </c>
      <c r="AB13" s="11" t="s">
        <v>4</v>
      </c>
      <c r="AC13" t="str">
        <f>VLOOKUP(wt!$A13,xtal_annotation!$A$1:$AK$105,21,FALSE)</f>
        <v>-</v>
      </c>
      <c r="AD13">
        <f>VLOOKUP(wt!$A13,xtal_annotation!$A$1:$AK$105,22,FALSE)</f>
        <v>93</v>
      </c>
      <c r="AE13" s="11">
        <v>93</v>
      </c>
      <c r="AF13">
        <f>VLOOKUP(wt!$A13,xtal_annotation!$A$1:$AK$105,23,FALSE)</f>
        <v>94</v>
      </c>
      <c r="AG13" t="str">
        <f>VLOOKUP(wt!$A13,xtal_annotation!$A$1:$AK$105,24,FALSE)</f>
        <v>-</v>
      </c>
      <c r="AH13" s="11" t="s">
        <v>4</v>
      </c>
      <c r="AI13" t="str">
        <f>VLOOKUP(wt!$A13,xtal_annotation!$A$1:$AK$105,25,FALSE)</f>
        <v>-</v>
      </c>
      <c r="AJ13">
        <f>VLOOKUP(wt!$A13,xtal_annotation!$A$1:$AK$105,26,FALSE)</f>
        <v>95</v>
      </c>
      <c r="AK13" s="11">
        <v>99</v>
      </c>
      <c r="AL13">
        <f>VLOOKUP(wt!$A13,xtal_annotation!$A$1:$AK$105,27,FALSE)</f>
        <v>99</v>
      </c>
      <c r="AM13">
        <f>VLOOKUP(wt!$A13,xtal_annotation!$A$1:$AK$105,28,FALSE)</f>
        <v>100</v>
      </c>
      <c r="AN13" s="11">
        <v>105</v>
      </c>
      <c r="AO13">
        <f>VLOOKUP(wt!$A13,xtal_annotation!$A$1:$AK$105,29,FALSE)</f>
        <v>106</v>
      </c>
      <c r="AP13">
        <f>VLOOKUP(wt!$A13,xtal_annotation!$A$1:$AK$105,30,FALSE)</f>
        <v>107</v>
      </c>
      <c r="AQ13" s="11">
        <v>108</v>
      </c>
      <c r="AR13">
        <f>VLOOKUP(wt!$A13,xtal_annotation!$A$1:$AK$105,31,FALSE)</f>
        <v>108</v>
      </c>
      <c r="AS13">
        <f>VLOOKUP(wt!$A13,xtal_annotation!$A$1:$AK$105,32,FALSE)</f>
        <v>109</v>
      </c>
      <c r="AT13" s="11">
        <v>109</v>
      </c>
      <c r="AU13">
        <f>VLOOKUP(wt!$A13,xtal_annotation!$A$1:$AK$105,33,FALSE)</f>
        <v>114</v>
      </c>
      <c r="AV13">
        <f>VLOOKUP(wt!$A13,xtal_annotation!$A$1:$AK$105,34,FALSE)</f>
        <v>118</v>
      </c>
      <c r="AW13" s="11">
        <v>123</v>
      </c>
      <c r="AX13">
        <f>VLOOKUP(wt!$A13,xtal_annotation!$A$1:$AK$105,35,FALSE)</f>
        <v>123</v>
      </c>
      <c r="AY13">
        <f>VLOOKUP(wt!$A13,xtal_annotation!$A$1:$AK$105,36,FALSE)</f>
        <v>124</v>
      </c>
      <c r="AZ13" s="11">
        <v>127</v>
      </c>
      <c r="BA13">
        <f>VLOOKUP(wt!$A13,xtal_annotation!$A$1:$AK$105,37,FALSE)</f>
        <v>127</v>
      </c>
    </row>
    <row r="14" spans="1:54" x14ac:dyDescent="0.2">
      <c r="A14" s="9" t="str">
        <f t="shared" si="1"/>
        <v>calcr_human__wt</v>
      </c>
      <c r="B14" s="6" t="s">
        <v>41</v>
      </c>
      <c r="C14">
        <f>VLOOKUP(wt!$A14,xtal_annotation!$A$1:$AK$105,4,FALSE)</f>
        <v>40</v>
      </c>
      <c r="D14" s="11">
        <v>55</v>
      </c>
      <c r="E14">
        <f>VLOOKUP(wt!$A14,xtal_annotation!$A$1:$AK$105,5,FALSE)</f>
        <v>62</v>
      </c>
      <c r="F14">
        <f>VLOOKUP(wt!$A14,xtal_annotation!$A$1:$AK$105,6,FALSE)</f>
        <v>70</v>
      </c>
      <c r="G14" s="11">
        <v>72</v>
      </c>
      <c r="H14">
        <f>VLOOKUP(wt!$A14,xtal_annotation!$A$1:$AK$105,7,FALSE)</f>
        <v>77</v>
      </c>
      <c r="I14">
        <f>VLOOKUP(wt!$A14,xtal_annotation!$A$1:$AK$105,8,FALSE)</f>
        <v>78</v>
      </c>
      <c r="J14" s="11">
        <v>79</v>
      </c>
      <c r="K14">
        <f>VLOOKUP(wt!$A14,xtal_annotation!$A$1:$AK$105,9,FALSE)</f>
        <v>79</v>
      </c>
      <c r="L14">
        <f>VLOOKUP(wt!$A14,xtal_annotation!$A$1:$AK$105,10,FALSE)</f>
        <v>80</v>
      </c>
      <c r="M14" s="11">
        <v>81</v>
      </c>
      <c r="N14">
        <f>VLOOKUP(wt!$A14,xtal_annotation!$A$1:$AK$105,11,FALSE)</f>
        <v>86</v>
      </c>
      <c r="O14">
        <f>VLOOKUP(wt!$A14,xtal_annotation!$A$1:$AK$105,12,FALSE)</f>
        <v>87</v>
      </c>
      <c r="P14" s="11">
        <v>88</v>
      </c>
      <c r="Q14">
        <f>VLOOKUP(wt!$A14,xtal_annotation!$A$1:$AK$105,13,FALSE)</f>
        <v>88</v>
      </c>
      <c r="R14">
        <f>VLOOKUP(wt!$A14,xtal_annotation!$A$1:$AK$105,14,FALSE)</f>
        <v>89</v>
      </c>
      <c r="S14" s="11">
        <v>95</v>
      </c>
      <c r="T14">
        <f>VLOOKUP(wt!$A14,xtal_annotation!$A$1:$AK$105,15,FALSE)</f>
        <v>95</v>
      </c>
      <c r="U14">
        <f>VLOOKUP(wt!$A14,xtal_annotation!$A$1:$AK$105,16,FALSE)</f>
        <v>96</v>
      </c>
      <c r="V14" s="11">
        <f>VLOOKUP(wt!$A14,xtal_annotation!$A$1:$AK$105,16,FALSE)</f>
        <v>96</v>
      </c>
      <c r="W14">
        <f>VLOOKUP(wt!$A14,xtal_annotation!$A$1:$AK$105,17,FALSE)</f>
        <v>99</v>
      </c>
      <c r="X14" t="str">
        <f>VLOOKUP(wt!$A14,xtal_annotation!$A$1:$AK$105,18,FALSE)</f>
        <v>-</v>
      </c>
      <c r="Y14" s="11" t="s">
        <v>4</v>
      </c>
      <c r="Z14" t="str">
        <f>VLOOKUP(wt!$A14,xtal_annotation!$A$1:$AK$105,19,FALSE)</f>
        <v>-</v>
      </c>
      <c r="AA14" t="str">
        <f>VLOOKUP(wt!$A14,xtal_annotation!$A$1:$AK$105,20,FALSE)</f>
        <v>-</v>
      </c>
      <c r="AB14" s="11" t="s">
        <v>4</v>
      </c>
      <c r="AC14" t="str">
        <f>VLOOKUP(wt!$A14,xtal_annotation!$A$1:$AK$105,21,FALSE)</f>
        <v>-</v>
      </c>
      <c r="AD14">
        <f>VLOOKUP(wt!$A14,xtal_annotation!$A$1:$AK$105,22,FALSE)</f>
        <v>100</v>
      </c>
      <c r="AE14" s="11">
        <v>100</v>
      </c>
      <c r="AF14">
        <f>VLOOKUP(wt!$A14,xtal_annotation!$A$1:$AK$105,23,FALSE)</f>
        <v>101</v>
      </c>
      <c r="AG14" t="str">
        <f>VLOOKUP(wt!$A14,xtal_annotation!$A$1:$AK$105,24,FALSE)</f>
        <v>-</v>
      </c>
      <c r="AH14" s="11" t="s">
        <v>4</v>
      </c>
      <c r="AI14" t="str">
        <f>VLOOKUP(wt!$A14,xtal_annotation!$A$1:$AK$105,25,FALSE)</f>
        <v>-</v>
      </c>
      <c r="AJ14">
        <f>VLOOKUP(wt!$A14,xtal_annotation!$A$1:$AK$105,26,FALSE)</f>
        <v>102</v>
      </c>
      <c r="AK14" s="11">
        <v>106</v>
      </c>
      <c r="AL14">
        <f>VLOOKUP(wt!$A14,xtal_annotation!$A$1:$AK$105,27,FALSE)</f>
        <v>106</v>
      </c>
      <c r="AM14">
        <f>VLOOKUP(wt!$A14,xtal_annotation!$A$1:$AK$105,28,FALSE)</f>
        <v>107</v>
      </c>
      <c r="AN14" s="11">
        <v>112</v>
      </c>
      <c r="AO14">
        <f>VLOOKUP(wt!$A14,xtal_annotation!$A$1:$AK$105,29,FALSE)</f>
        <v>113</v>
      </c>
      <c r="AP14">
        <f>VLOOKUP(wt!$A14,xtal_annotation!$A$1:$AK$105,30,FALSE)</f>
        <v>114</v>
      </c>
      <c r="AQ14" s="11">
        <v>115</v>
      </c>
      <c r="AR14">
        <f>VLOOKUP(wt!$A14,xtal_annotation!$A$1:$AK$105,31,FALSE)</f>
        <v>115</v>
      </c>
      <c r="AS14">
        <f>VLOOKUP(wt!$A14,xtal_annotation!$A$1:$AK$105,32,FALSE)</f>
        <v>116</v>
      </c>
      <c r="AT14" s="11">
        <v>116</v>
      </c>
      <c r="AU14">
        <f>VLOOKUP(wt!$A14,xtal_annotation!$A$1:$AK$105,33,FALSE)</f>
        <v>121</v>
      </c>
      <c r="AV14">
        <f>VLOOKUP(wt!$A14,xtal_annotation!$A$1:$AK$105,34,FALSE)</f>
        <v>125</v>
      </c>
      <c r="AW14" s="11">
        <v>130</v>
      </c>
      <c r="AX14">
        <f>VLOOKUP(wt!$A14,xtal_annotation!$A$1:$AK$105,35,FALSE)</f>
        <v>130</v>
      </c>
      <c r="AY14">
        <f>VLOOKUP(wt!$A14,xtal_annotation!$A$1:$AK$105,36,FALSE)</f>
        <v>131</v>
      </c>
      <c r="AZ14" s="11">
        <v>134</v>
      </c>
      <c r="BA14">
        <f>VLOOKUP(wt!$A14,xtal_annotation!$A$1:$AK$105,37,FALSE)</f>
        <v>134</v>
      </c>
    </row>
    <row r="15" spans="1:54" x14ac:dyDescent="0.2">
      <c r="A15" s="9" t="str">
        <f t="shared" si="1"/>
        <v>sctr_human__wt</v>
      </c>
      <c r="B15" s="6" t="s">
        <v>24</v>
      </c>
      <c r="C15">
        <f>VLOOKUP(wt!$A15,xtal_annotation!$A$1:$AK$105,4,FALSE)</f>
        <v>33</v>
      </c>
      <c r="D15" s="11">
        <v>45</v>
      </c>
      <c r="E15">
        <f>VLOOKUP(wt!$A15,xtal_annotation!$A$1:$AK$105,5,FALSE)</f>
        <v>53</v>
      </c>
      <c r="F15">
        <f>VLOOKUP(wt!$A15,xtal_annotation!$A$1:$AK$105,6,FALSE)</f>
        <v>65</v>
      </c>
      <c r="G15" s="11">
        <v>66</v>
      </c>
      <c r="H15">
        <f>VLOOKUP(wt!$A15,xtal_annotation!$A$1:$AK$105,7,FALSE)</f>
        <v>71</v>
      </c>
      <c r="I15">
        <f>VLOOKUP(wt!$A15,xtal_annotation!$A$1:$AK$105,8,FALSE)</f>
        <v>72</v>
      </c>
      <c r="J15" s="11">
        <v>73</v>
      </c>
      <c r="K15">
        <f>VLOOKUP(wt!$A15,xtal_annotation!$A$1:$AK$105,9,FALSE)</f>
        <v>73</v>
      </c>
      <c r="L15">
        <f>VLOOKUP(wt!$A15,xtal_annotation!$A$1:$AK$105,10,FALSE)</f>
        <v>74</v>
      </c>
      <c r="M15" s="11">
        <v>75</v>
      </c>
      <c r="N15">
        <f>VLOOKUP(wt!$A15,xtal_annotation!$A$1:$AK$105,11,FALSE)</f>
        <v>80</v>
      </c>
      <c r="O15">
        <f>VLOOKUP(wt!$A15,xtal_annotation!$A$1:$AK$105,12,FALSE)</f>
        <v>81</v>
      </c>
      <c r="P15" s="11">
        <v>82</v>
      </c>
      <c r="Q15">
        <f>VLOOKUP(wt!$A15,xtal_annotation!$A$1:$AK$105,13,FALSE)</f>
        <v>82</v>
      </c>
      <c r="R15">
        <f>VLOOKUP(wt!$A15,xtal_annotation!$A$1:$AK$105,14,FALSE)</f>
        <v>83</v>
      </c>
      <c r="S15" s="11">
        <v>89</v>
      </c>
      <c r="T15">
        <f>VLOOKUP(wt!$A15,xtal_annotation!$A$1:$AK$105,15,FALSE)</f>
        <v>89</v>
      </c>
      <c r="U15">
        <f>VLOOKUP(wt!$A15,xtal_annotation!$A$1:$AK$105,16,FALSE)</f>
        <v>90</v>
      </c>
      <c r="V15" s="11">
        <f>VLOOKUP(wt!$A15,xtal_annotation!$A$1:$AK$105,16,FALSE)</f>
        <v>90</v>
      </c>
      <c r="W15">
        <f>VLOOKUP(wt!$A15,xtal_annotation!$A$1:$AK$105,17,FALSE)</f>
        <v>96</v>
      </c>
      <c r="X15" t="str">
        <f>VLOOKUP(wt!$A15,xtal_annotation!$A$1:$AK$105,18,FALSE)</f>
        <v>-</v>
      </c>
      <c r="Y15" s="11" t="s">
        <v>4</v>
      </c>
      <c r="Z15" t="str">
        <f>VLOOKUP(wt!$A15,xtal_annotation!$A$1:$AK$105,19,FALSE)</f>
        <v>-</v>
      </c>
      <c r="AA15" t="str">
        <f>VLOOKUP(wt!$A15,xtal_annotation!$A$1:$AK$105,20,FALSE)</f>
        <v>-</v>
      </c>
      <c r="AB15" s="11" t="s">
        <v>4</v>
      </c>
      <c r="AC15" t="str">
        <f>VLOOKUP(wt!$A15,xtal_annotation!$A$1:$AK$105,21,FALSE)</f>
        <v>-</v>
      </c>
      <c r="AD15" t="str">
        <f>VLOOKUP(wt!$A15,xtal_annotation!$A$1:$AK$105,22,FALSE)</f>
        <v>-</v>
      </c>
      <c r="AE15" s="11" t="s">
        <v>4</v>
      </c>
      <c r="AF15" t="str">
        <f>VLOOKUP(wt!$A15,xtal_annotation!$A$1:$AK$105,23,FALSE)</f>
        <v>-</v>
      </c>
      <c r="AG15" t="str">
        <f>VLOOKUP(wt!$A15,xtal_annotation!$A$1:$AK$105,24,FALSE)</f>
        <v>-</v>
      </c>
      <c r="AH15" s="11" t="s">
        <v>4</v>
      </c>
      <c r="AI15" t="str">
        <f>VLOOKUP(wt!$A15,xtal_annotation!$A$1:$AK$105,25,FALSE)</f>
        <v>-</v>
      </c>
      <c r="AJ15">
        <f>VLOOKUP(wt!$A15,xtal_annotation!$A$1:$AK$105,26,FALSE)</f>
        <v>101</v>
      </c>
      <c r="AK15" s="11">
        <v>101</v>
      </c>
      <c r="AL15">
        <f>VLOOKUP(wt!$A15,xtal_annotation!$A$1:$AK$105,27,FALSE)</f>
        <v>101</v>
      </c>
      <c r="AM15">
        <f>VLOOKUP(wt!$A15,xtal_annotation!$A$1:$AK$105,28,FALSE)</f>
        <v>102</v>
      </c>
      <c r="AN15" s="11">
        <v>107</v>
      </c>
      <c r="AO15">
        <f>VLOOKUP(wt!$A15,xtal_annotation!$A$1:$AK$105,29,FALSE)</f>
        <v>108</v>
      </c>
      <c r="AP15">
        <f>VLOOKUP(wt!$A15,xtal_annotation!$A$1:$AK$105,30,FALSE)</f>
        <v>109</v>
      </c>
      <c r="AQ15" s="11">
        <v>110</v>
      </c>
      <c r="AR15">
        <f>VLOOKUP(wt!$A15,xtal_annotation!$A$1:$AK$105,31,FALSE)</f>
        <v>110</v>
      </c>
      <c r="AS15">
        <f>VLOOKUP(wt!$A15,xtal_annotation!$A$1:$AK$105,32,FALSE)</f>
        <v>111</v>
      </c>
      <c r="AT15" s="11">
        <v>111</v>
      </c>
      <c r="AU15">
        <f>VLOOKUP(wt!$A15,xtal_annotation!$A$1:$AK$105,33,FALSE)</f>
        <v>113</v>
      </c>
      <c r="AV15">
        <f>VLOOKUP(wt!$A15,xtal_annotation!$A$1:$AK$105,34,FALSE)</f>
        <v>115</v>
      </c>
      <c r="AW15" s="11">
        <v>116</v>
      </c>
      <c r="AX15">
        <f>VLOOKUP(wt!$A15,xtal_annotation!$A$1:$AK$105,35,FALSE)</f>
        <v>117</v>
      </c>
      <c r="AY15">
        <f>VLOOKUP(wt!$A15,xtal_annotation!$A$1:$AK$105,36,FALSE)</f>
        <v>118</v>
      </c>
      <c r="AZ15" s="11">
        <v>123</v>
      </c>
      <c r="BA15">
        <f>VLOOKUP(wt!$A15,xtal_annotation!$A$1:$AK$105,37,FALSE)</f>
        <v>124</v>
      </c>
    </row>
    <row r="16" spans="1:54" x14ac:dyDescent="0.2">
      <c r="A16" s="9" t="str">
        <f t="shared" si="1"/>
        <v>pth2r_human__wt</v>
      </c>
      <c r="B16" s="6" t="s">
        <v>25</v>
      </c>
      <c r="C16">
        <f>VLOOKUP(wt!$A16,xtal_annotation!$A$1:$AK$105,4,FALSE)</f>
        <v>33</v>
      </c>
      <c r="D16" s="11">
        <v>48</v>
      </c>
      <c r="E16">
        <f>VLOOKUP(wt!$A16,xtal_annotation!$A$1:$AK$105,5,FALSE)</f>
        <v>58</v>
      </c>
      <c r="F16">
        <f>VLOOKUP(wt!$A16,xtal_annotation!$A$1:$AK$105,6,FALSE)</f>
        <v>62</v>
      </c>
      <c r="G16" s="11">
        <v>63</v>
      </c>
      <c r="H16">
        <f>VLOOKUP(wt!$A16,xtal_annotation!$A$1:$AK$105,7,FALSE)</f>
        <v>68</v>
      </c>
      <c r="I16">
        <f>VLOOKUP(wt!$A16,xtal_annotation!$A$1:$AK$105,8,FALSE)</f>
        <v>69</v>
      </c>
      <c r="J16" s="11">
        <v>70</v>
      </c>
      <c r="K16">
        <f>VLOOKUP(wt!$A16,xtal_annotation!$A$1:$AK$105,9,FALSE)</f>
        <v>70</v>
      </c>
      <c r="L16">
        <f>VLOOKUP(wt!$A16,xtal_annotation!$A$1:$AK$105,10,FALSE)</f>
        <v>71</v>
      </c>
      <c r="M16" s="11">
        <v>72</v>
      </c>
      <c r="N16">
        <f>VLOOKUP(wt!$A16,xtal_annotation!$A$1:$AK$105,11,FALSE)</f>
        <v>77</v>
      </c>
      <c r="O16">
        <f>VLOOKUP(wt!$A16,xtal_annotation!$A$1:$AK$105,12,FALSE)</f>
        <v>78</v>
      </c>
      <c r="P16" s="11">
        <v>79</v>
      </c>
      <c r="Q16">
        <f>VLOOKUP(wt!$A16,xtal_annotation!$A$1:$AK$105,13,FALSE)</f>
        <v>79</v>
      </c>
      <c r="R16">
        <f>VLOOKUP(wt!$A16,xtal_annotation!$A$1:$AK$105,14,FALSE)</f>
        <v>80</v>
      </c>
      <c r="S16" s="11">
        <v>86</v>
      </c>
      <c r="T16">
        <f>VLOOKUP(wt!$A16,xtal_annotation!$A$1:$AK$105,15,FALSE)</f>
        <v>86</v>
      </c>
      <c r="U16">
        <f>VLOOKUP(wt!$A16,xtal_annotation!$A$1:$AK$105,16,FALSE)</f>
        <v>87</v>
      </c>
      <c r="V16" s="11">
        <f>VLOOKUP(wt!$A16,xtal_annotation!$A$1:$AK$105,16,FALSE)</f>
        <v>87</v>
      </c>
      <c r="W16">
        <f>VLOOKUP(wt!$A16,xtal_annotation!$A$1:$AK$105,17,FALSE)</f>
        <v>90</v>
      </c>
      <c r="X16" t="str">
        <f>VLOOKUP(wt!$A16,xtal_annotation!$A$1:$AK$105,18,FALSE)</f>
        <v>-</v>
      </c>
      <c r="Y16" s="11" t="s">
        <v>4</v>
      </c>
      <c r="Z16" t="str">
        <f>VLOOKUP(wt!$A16,xtal_annotation!$A$1:$AK$105,19,FALSE)</f>
        <v>-</v>
      </c>
      <c r="AA16" t="str">
        <f>VLOOKUP(wt!$A16,xtal_annotation!$A$1:$AK$105,20,FALSE)</f>
        <v>-</v>
      </c>
      <c r="AB16" s="11" t="s">
        <v>4</v>
      </c>
      <c r="AC16" t="str">
        <f>VLOOKUP(wt!$A16,xtal_annotation!$A$1:$AK$105,21,FALSE)</f>
        <v>-</v>
      </c>
      <c r="AD16">
        <f>VLOOKUP(wt!$A16,xtal_annotation!$A$1:$AK$105,22,FALSE)</f>
        <v>91</v>
      </c>
      <c r="AE16" s="11">
        <v>91</v>
      </c>
      <c r="AF16">
        <f>VLOOKUP(wt!$A16,xtal_annotation!$A$1:$AK$105,23,FALSE)</f>
        <v>92</v>
      </c>
      <c r="AG16" t="str">
        <f>VLOOKUP(wt!$A16,xtal_annotation!$A$1:$AK$105,24,FALSE)</f>
        <v>-</v>
      </c>
      <c r="AH16" s="11" t="s">
        <v>4</v>
      </c>
      <c r="AI16" t="str">
        <f>VLOOKUP(wt!$A16,xtal_annotation!$A$1:$AK$105,25,FALSE)</f>
        <v>-</v>
      </c>
      <c r="AJ16">
        <f>VLOOKUP(wt!$A16,xtal_annotation!$A$1:$AK$105,26,FALSE)</f>
        <v>93</v>
      </c>
      <c r="AK16" s="11">
        <v>97</v>
      </c>
      <c r="AL16">
        <f>VLOOKUP(wt!$A16,xtal_annotation!$A$1:$AK$105,27,FALSE)</f>
        <v>97</v>
      </c>
      <c r="AM16">
        <f>VLOOKUP(wt!$A16,xtal_annotation!$A$1:$AK$105,28,FALSE)</f>
        <v>98</v>
      </c>
      <c r="AN16" s="11">
        <v>103</v>
      </c>
      <c r="AO16">
        <f>VLOOKUP(wt!$A16,xtal_annotation!$A$1:$AK$105,29,FALSE)</f>
        <v>104</v>
      </c>
      <c r="AP16">
        <f>VLOOKUP(wt!$A16,xtal_annotation!$A$1:$AK$105,30,FALSE)</f>
        <v>105</v>
      </c>
      <c r="AQ16" s="11">
        <v>106</v>
      </c>
      <c r="AR16">
        <f>VLOOKUP(wt!$A16,xtal_annotation!$A$1:$AK$105,31,FALSE)</f>
        <v>106</v>
      </c>
      <c r="AS16">
        <f>VLOOKUP(wt!$A16,xtal_annotation!$A$1:$AK$105,32,FALSE)</f>
        <v>107</v>
      </c>
      <c r="AT16" s="11">
        <v>107</v>
      </c>
      <c r="AU16">
        <f>VLOOKUP(wt!$A16,xtal_annotation!$A$1:$AK$105,33,FALSE)</f>
        <v>112</v>
      </c>
      <c r="AV16">
        <f>VLOOKUP(wt!$A16,xtal_annotation!$A$1:$AK$105,34,FALSE)</f>
        <v>115</v>
      </c>
      <c r="AW16" s="11">
        <v>121</v>
      </c>
      <c r="AX16">
        <f>VLOOKUP(wt!$A16,xtal_annotation!$A$1:$AK$105,35,FALSE)</f>
        <v>121</v>
      </c>
      <c r="AY16">
        <f>VLOOKUP(wt!$A16,xtal_annotation!$A$1:$AK$105,36,FALSE)</f>
        <v>122</v>
      </c>
      <c r="AZ16" s="11">
        <v>125</v>
      </c>
      <c r="BA16">
        <f>VLOOKUP(wt!$A16,xtal_annotation!$A$1:$AK$105,37,FALSE)</f>
        <v>129</v>
      </c>
    </row>
    <row r="17" spans="1:53" x14ac:dyDescent="0.2">
      <c r="A17" s="9" t="str">
        <f t="shared" si="0"/>
        <v>vipr1_human__wt</v>
      </c>
      <c r="B17" s="6" t="s">
        <v>27</v>
      </c>
      <c r="C17">
        <f>VLOOKUP(wt!$A17,xtal_annotation!$A$1:$AK$105,4,FALSE)</f>
        <v>38</v>
      </c>
      <c r="D17" s="11">
        <v>50</v>
      </c>
      <c r="E17">
        <f>VLOOKUP(wt!$A17,xtal_annotation!$A$1:$AK$105,5,FALSE)</f>
        <v>58</v>
      </c>
      <c r="F17">
        <f>VLOOKUP(wt!$A17,xtal_annotation!$A$1:$AK$105,6,FALSE)</f>
        <v>62</v>
      </c>
      <c r="G17" s="11">
        <v>63</v>
      </c>
      <c r="H17">
        <f>VLOOKUP(wt!$A17,xtal_annotation!$A$1:$AK$105,7,FALSE)</f>
        <v>68</v>
      </c>
      <c r="I17">
        <f>VLOOKUP(wt!$A17,xtal_annotation!$A$1:$AK$105,8,FALSE)</f>
        <v>69</v>
      </c>
      <c r="J17" s="11">
        <v>70</v>
      </c>
      <c r="K17">
        <f>VLOOKUP(wt!$A17,xtal_annotation!$A$1:$AK$105,9,FALSE)</f>
        <v>70</v>
      </c>
      <c r="L17">
        <f>VLOOKUP(wt!$A17,xtal_annotation!$A$1:$AK$105,10,FALSE)</f>
        <v>71</v>
      </c>
      <c r="M17" s="11">
        <v>72</v>
      </c>
      <c r="N17">
        <f>VLOOKUP(wt!$A17,xtal_annotation!$A$1:$AK$105,11,FALSE)</f>
        <v>77</v>
      </c>
      <c r="O17">
        <f>VLOOKUP(wt!$A17,xtal_annotation!$A$1:$AK$105,12,FALSE)</f>
        <v>78</v>
      </c>
      <c r="P17" s="11">
        <v>79</v>
      </c>
      <c r="Q17">
        <f>VLOOKUP(wt!$A17,xtal_annotation!$A$1:$AK$105,13,FALSE)</f>
        <v>79</v>
      </c>
      <c r="R17">
        <f>VLOOKUP(wt!$A17,xtal_annotation!$A$1:$AK$105,14,FALSE)</f>
        <v>80</v>
      </c>
      <c r="S17" s="11">
        <v>86</v>
      </c>
      <c r="T17">
        <f>VLOOKUP(wt!$A17,xtal_annotation!$A$1:$AK$105,15,FALSE)</f>
        <v>86</v>
      </c>
      <c r="U17">
        <f>VLOOKUP(wt!$A17,xtal_annotation!$A$1:$AK$105,16,FALSE)</f>
        <v>87</v>
      </c>
      <c r="V17" s="11">
        <f>VLOOKUP(wt!$A17,xtal_annotation!$A$1:$AK$105,16,FALSE)</f>
        <v>87</v>
      </c>
      <c r="W17">
        <f>VLOOKUP(wt!$A17,xtal_annotation!$A$1:$AK$105,17,FALSE)</f>
        <v>93</v>
      </c>
      <c r="X17" t="str">
        <f>VLOOKUP(wt!$A17,xtal_annotation!$A$1:$AK$105,18,FALSE)</f>
        <v>-</v>
      </c>
      <c r="Y17" s="11" t="s">
        <v>4</v>
      </c>
      <c r="Z17" t="str">
        <f>VLOOKUP(wt!$A17,xtal_annotation!$A$1:$AK$105,19,FALSE)</f>
        <v>-</v>
      </c>
      <c r="AA17" t="str">
        <f>VLOOKUP(wt!$A17,xtal_annotation!$A$1:$AK$105,20,FALSE)</f>
        <v>-</v>
      </c>
      <c r="AB17" s="11" t="s">
        <v>4</v>
      </c>
      <c r="AC17" t="str">
        <f>VLOOKUP(wt!$A17,xtal_annotation!$A$1:$AK$105,21,FALSE)</f>
        <v>-</v>
      </c>
      <c r="AD17" t="str">
        <f>VLOOKUP(wt!$A17,xtal_annotation!$A$1:$AK$105,22,FALSE)</f>
        <v>-</v>
      </c>
      <c r="AE17" s="11" t="s">
        <v>4</v>
      </c>
      <c r="AF17" t="str">
        <f>VLOOKUP(wt!$A17,xtal_annotation!$A$1:$AK$105,23,FALSE)</f>
        <v>-</v>
      </c>
      <c r="AG17" t="str">
        <f>VLOOKUP(wt!$A17,xtal_annotation!$A$1:$AK$105,24,FALSE)</f>
        <v>-</v>
      </c>
      <c r="AH17" s="11" t="s">
        <v>4</v>
      </c>
      <c r="AI17" t="str">
        <f>VLOOKUP(wt!$A17,xtal_annotation!$A$1:$AK$105,25,FALSE)</f>
        <v>-</v>
      </c>
      <c r="AJ17">
        <f>VLOOKUP(wt!$A17,xtal_annotation!$A$1:$AK$105,26,FALSE)</f>
        <v>99</v>
      </c>
      <c r="AK17" s="11">
        <v>99</v>
      </c>
      <c r="AL17">
        <f>VLOOKUP(wt!$A17,xtal_annotation!$A$1:$AK$105,27,FALSE)</f>
        <v>99</v>
      </c>
      <c r="AM17">
        <f>VLOOKUP(wt!$A17,xtal_annotation!$A$1:$AK$105,28,FALSE)</f>
        <v>100</v>
      </c>
      <c r="AN17" s="11">
        <v>105</v>
      </c>
      <c r="AO17">
        <f>VLOOKUP(wt!$A17,xtal_annotation!$A$1:$AK$105,29,FALSE)</f>
        <v>106</v>
      </c>
      <c r="AP17">
        <f>VLOOKUP(wt!$A17,xtal_annotation!$A$1:$AK$105,30,FALSE)</f>
        <v>107</v>
      </c>
      <c r="AQ17" s="11">
        <v>108</v>
      </c>
      <c r="AR17">
        <f>VLOOKUP(wt!$A17,xtal_annotation!$A$1:$AK$105,31,FALSE)</f>
        <v>108</v>
      </c>
      <c r="AS17">
        <f>VLOOKUP(wt!$A17,xtal_annotation!$A$1:$AK$105,32,FALSE)</f>
        <v>109</v>
      </c>
      <c r="AT17" s="11">
        <v>109</v>
      </c>
      <c r="AU17">
        <f>VLOOKUP(wt!$A17,xtal_annotation!$A$1:$AK$105,33,FALSE)</f>
        <v>111</v>
      </c>
      <c r="AV17">
        <f>VLOOKUP(wt!$A17,xtal_annotation!$A$1:$AK$105,34,FALSE)</f>
        <v>114</v>
      </c>
      <c r="AW17" s="11">
        <v>115</v>
      </c>
      <c r="AX17">
        <f>VLOOKUP(wt!$A17,xtal_annotation!$A$1:$AK$105,35,FALSE)</f>
        <v>116</v>
      </c>
      <c r="AY17">
        <f>VLOOKUP(wt!$A17,xtal_annotation!$A$1:$AK$105,36,FALSE)</f>
        <v>117</v>
      </c>
      <c r="AZ17" s="11">
        <v>122</v>
      </c>
      <c r="BA17">
        <f>VLOOKUP(wt!$A17,xtal_annotation!$A$1:$AK$105,37,FALSE)</f>
        <v>123</v>
      </c>
    </row>
    <row r="24" spans="1:53" x14ac:dyDescent="0.2">
      <c r="A24" s="9"/>
    </row>
    <row r="25" spans="1:53" x14ac:dyDescent="0.2">
      <c r="A25" s="9"/>
    </row>
    <row r="26" spans="1:53" x14ac:dyDescent="0.2">
      <c r="A26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7"/>
  <sheetViews>
    <sheetView workbookViewId="0">
      <selection sqref="A1:V21"/>
    </sheetView>
  </sheetViews>
  <sheetFormatPr baseColWidth="10" defaultRowHeight="16" x14ac:dyDescent="0.2"/>
  <cols>
    <col min="1" max="1" width="12.1640625" bestFit="1" customWidth="1"/>
    <col min="2" max="16" width="4" bestFit="1" customWidth="1"/>
    <col min="17" max="17" width="4" customWidth="1"/>
    <col min="18" max="20" width="4" bestFit="1" customWidth="1"/>
  </cols>
  <sheetData>
    <row r="1" spans="1:21" x14ac:dyDescent="0.2">
      <c r="A1" t="s">
        <v>67</v>
      </c>
      <c r="B1" t="s">
        <v>68</v>
      </c>
      <c r="C1" t="s">
        <v>69</v>
      </c>
      <c r="D1" t="s">
        <v>70</v>
      </c>
      <c r="E1" t="s">
        <v>71</v>
      </c>
      <c r="F1" t="s">
        <v>76</v>
      </c>
      <c r="G1" t="s">
        <v>77</v>
      </c>
      <c r="H1" t="s">
        <v>78</v>
      </c>
      <c r="I1" t="s">
        <v>79</v>
      </c>
      <c r="J1" t="s">
        <v>80</v>
      </c>
      <c r="K1" t="s">
        <v>82</v>
      </c>
      <c r="L1" t="s">
        <v>83</v>
      </c>
      <c r="M1" t="s">
        <v>84</v>
      </c>
      <c r="N1" t="s">
        <v>85</v>
      </c>
      <c r="O1" t="s">
        <v>86</v>
      </c>
      <c r="P1" t="s">
        <v>87</v>
      </c>
      <c r="Q1" t="s">
        <v>88</v>
      </c>
      <c r="R1" t="s">
        <v>90</v>
      </c>
      <c r="S1" t="s">
        <v>104</v>
      </c>
      <c r="T1" t="s">
        <v>105</v>
      </c>
      <c r="U1" t="s">
        <v>46</v>
      </c>
    </row>
    <row r="2" spans="1:21" x14ac:dyDescent="0.2">
      <c r="A2" t="s">
        <v>32</v>
      </c>
      <c r="B2" t="s">
        <v>72</v>
      </c>
      <c r="C2" t="s">
        <v>74</v>
      </c>
      <c r="D2" t="s">
        <v>75</v>
      </c>
      <c r="E2" t="s">
        <v>75</v>
      </c>
      <c r="F2" t="s">
        <v>4</v>
      </c>
      <c r="G2" t="s">
        <v>4</v>
      </c>
      <c r="H2" t="s">
        <v>4</v>
      </c>
      <c r="I2" t="s">
        <v>73</v>
      </c>
      <c r="J2" t="s">
        <v>81</v>
      </c>
      <c r="K2" t="s">
        <v>75</v>
      </c>
      <c r="L2" t="s">
        <v>4</v>
      </c>
      <c r="M2" t="s">
        <v>4</v>
      </c>
      <c r="N2" t="s">
        <v>73</v>
      </c>
      <c r="O2" t="s">
        <v>73</v>
      </c>
      <c r="P2" t="s">
        <v>89</v>
      </c>
      <c r="Q2" t="s">
        <v>4</v>
      </c>
      <c r="R2" t="s">
        <v>4</v>
      </c>
      <c r="S2" t="s">
        <v>73</v>
      </c>
      <c r="T2" t="s">
        <v>91</v>
      </c>
    </row>
    <row r="3" spans="1:21" x14ac:dyDescent="0.2">
      <c r="A3" t="s">
        <v>22</v>
      </c>
      <c r="B3" t="s">
        <v>72</v>
      </c>
      <c r="C3" t="s">
        <v>92</v>
      </c>
      <c r="D3" t="s">
        <v>93</v>
      </c>
      <c r="E3" t="s">
        <v>94</v>
      </c>
      <c r="F3" t="s">
        <v>4</v>
      </c>
      <c r="G3" t="s">
        <v>4</v>
      </c>
      <c r="H3" t="s">
        <v>4</v>
      </c>
      <c r="I3" t="s">
        <v>4</v>
      </c>
      <c r="J3" t="s">
        <v>72</v>
      </c>
      <c r="K3" t="s">
        <v>92</v>
      </c>
      <c r="L3" t="s">
        <v>81</v>
      </c>
      <c r="M3" t="s">
        <v>81</v>
      </c>
      <c r="N3" t="s">
        <v>81</v>
      </c>
      <c r="O3" t="s">
        <v>4</v>
      </c>
      <c r="P3" t="s">
        <v>96</v>
      </c>
      <c r="Q3" t="s">
        <v>4</v>
      </c>
      <c r="R3" t="s">
        <v>102</v>
      </c>
      <c r="S3" t="s">
        <v>102</v>
      </c>
      <c r="T3" t="s">
        <v>91</v>
      </c>
    </row>
    <row r="4" spans="1:21" x14ac:dyDescent="0.2">
      <c r="A4" t="s">
        <v>5</v>
      </c>
      <c r="B4" t="s">
        <v>72</v>
      </c>
      <c r="C4" t="s">
        <v>92</v>
      </c>
      <c r="D4" t="s">
        <v>93</v>
      </c>
      <c r="E4" t="s">
        <v>94</v>
      </c>
      <c r="F4" t="s">
        <v>4</v>
      </c>
      <c r="G4" t="s">
        <v>4</v>
      </c>
      <c r="H4" t="s">
        <v>4</v>
      </c>
      <c r="I4" t="s">
        <v>4</v>
      </c>
      <c r="J4" t="s">
        <v>72</v>
      </c>
      <c r="K4" t="s">
        <v>92</v>
      </c>
      <c r="L4" t="s">
        <v>81</v>
      </c>
      <c r="M4" t="s">
        <v>81</v>
      </c>
      <c r="N4" t="s">
        <v>95</v>
      </c>
      <c r="O4" t="s">
        <v>4</v>
      </c>
      <c r="P4" t="s">
        <v>96</v>
      </c>
      <c r="Q4" t="s">
        <v>4</v>
      </c>
      <c r="R4" t="s">
        <v>97</v>
      </c>
      <c r="S4" t="s">
        <v>81</v>
      </c>
      <c r="T4" t="s">
        <v>98</v>
      </c>
    </row>
    <row r="5" spans="1:21" x14ac:dyDescent="0.2">
      <c r="A5" t="s">
        <v>18</v>
      </c>
      <c r="B5" t="s">
        <v>72</v>
      </c>
      <c r="C5" t="s">
        <v>92</v>
      </c>
      <c r="D5" t="s">
        <v>93</v>
      </c>
      <c r="E5" t="s">
        <v>94</v>
      </c>
      <c r="F5" t="s">
        <v>4</v>
      </c>
      <c r="G5" t="s">
        <v>4</v>
      </c>
      <c r="H5" t="s">
        <v>4</v>
      </c>
      <c r="I5" t="s">
        <v>4</v>
      </c>
      <c r="J5" t="s">
        <v>72</v>
      </c>
      <c r="K5" t="s">
        <v>92</v>
      </c>
      <c r="L5" t="s">
        <v>102</v>
      </c>
      <c r="M5" t="s">
        <v>73</v>
      </c>
      <c r="N5" t="s">
        <v>100</v>
      </c>
      <c r="O5" t="s">
        <v>4</v>
      </c>
      <c r="P5" t="s">
        <v>96</v>
      </c>
      <c r="Q5" t="s">
        <v>4</v>
      </c>
      <c r="R5" t="s">
        <v>94</v>
      </c>
      <c r="S5" t="s">
        <v>97</v>
      </c>
      <c r="T5" t="s">
        <v>91</v>
      </c>
    </row>
    <row r="6" spans="1:21" x14ac:dyDescent="0.2">
      <c r="A6" t="s">
        <v>13</v>
      </c>
      <c r="B6" t="s">
        <v>72</v>
      </c>
      <c r="C6" t="s">
        <v>92</v>
      </c>
      <c r="D6" t="s">
        <v>93</v>
      </c>
      <c r="E6" t="s">
        <v>94</v>
      </c>
      <c r="F6" t="s">
        <v>4</v>
      </c>
      <c r="G6" t="s">
        <v>4</v>
      </c>
      <c r="H6" t="s">
        <v>4</v>
      </c>
      <c r="I6" t="s">
        <v>4</v>
      </c>
      <c r="J6" t="s">
        <v>72</v>
      </c>
      <c r="K6" t="s">
        <v>92</v>
      </c>
      <c r="L6" t="s">
        <v>102</v>
      </c>
      <c r="M6" t="s">
        <v>73</v>
      </c>
      <c r="N6" t="s">
        <v>73</v>
      </c>
      <c r="O6" t="s">
        <v>4</v>
      </c>
      <c r="P6" t="s">
        <v>96</v>
      </c>
      <c r="Q6" t="s">
        <v>4</v>
      </c>
      <c r="R6" t="s">
        <v>72</v>
      </c>
      <c r="S6" t="s">
        <v>97</v>
      </c>
      <c r="T6" t="s">
        <v>91</v>
      </c>
    </row>
    <row r="7" spans="1:21" s="19" customFormat="1" x14ac:dyDescent="0.2">
      <c r="A7" s="19" t="s">
        <v>23</v>
      </c>
      <c r="B7" s="19" t="s">
        <v>72</v>
      </c>
      <c r="C7" s="19" t="s">
        <v>73</v>
      </c>
      <c r="D7" s="19" t="s">
        <v>93</v>
      </c>
      <c r="E7" s="19" t="s">
        <v>94</v>
      </c>
      <c r="F7" s="19" t="s">
        <v>4</v>
      </c>
      <c r="G7" s="19" t="s">
        <v>4</v>
      </c>
      <c r="H7" s="19" t="s">
        <v>4</v>
      </c>
      <c r="I7" s="19" t="s">
        <v>4</v>
      </c>
      <c r="J7" s="19" t="s">
        <v>72</v>
      </c>
      <c r="K7" s="19" t="s">
        <v>92</v>
      </c>
      <c r="L7" s="19" t="s">
        <v>92</v>
      </c>
      <c r="M7" s="19" t="s">
        <v>73</v>
      </c>
      <c r="N7" s="19" t="s">
        <v>89</v>
      </c>
      <c r="O7" s="19" t="s">
        <v>4</v>
      </c>
      <c r="P7" s="19" t="s">
        <v>89</v>
      </c>
      <c r="Q7" s="19" t="s">
        <v>4</v>
      </c>
      <c r="R7" s="19" t="s">
        <v>73</v>
      </c>
      <c r="S7" s="19" t="s">
        <v>73</v>
      </c>
      <c r="T7" s="19" t="s">
        <v>91</v>
      </c>
    </row>
    <row r="8" spans="1:21" x14ac:dyDescent="0.2">
      <c r="A8" s="4" t="s">
        <v>41</v>
      </c>
      <c r="B8" t="s">
        <v>72</v>
      </c>
      <c r="C8" t="s">
        <v>74</v>
      </c>
      <c r="D8" t="s">
        <v>93</v>
      </c>
      <c r="E8" t="s">
        <v>75</v>
      </c>
      <c r="F8" t="s">
        <v>4</v>
      </c>
      <c r="G8" t="s">
        <v>4</v>
      </c>
      <c r="H8" t="s">
        <v>4</v>
      </c>
      <c r="I8" t="s">
        <v>4</v>
      </c>
      <c r="J8" t="s">
        <v>72</v>
      </c>
      <c r="K8" t="s">
        <v>74</v>
      </c>
      <c r="L8" t="s">
        <v>4</v>
      </c>
      <c r="M8" t="s">
        <v>4</v>
      </c>
      <c r="N8" t="s">
        <v>4</v>
      </c>
      <c r="O8" t="s">
        <v>4</v>
      </c>
      <c r="P8" t="s">
        <v>75</v>
      </c>
      <c r="Q8" t="s">
        <v>74</v>
      </c>
      <c r="R8" t="s">
        <v>72</v>
      </c>
      <c r="S8" t="s">
        <v>73</v>
      </c>
      <c r="T8" t="s">
        <v>89</v>
      </c>
    </row>
    <row r="9" spans="1:21" x14ac:dyDescent="0.2">
      <c r="A9" t="s">
        <v>39</v>
      </c>
      <c r="B9" t="s">
        <v>72</v>
      </c>
      <c r="C9" t="s">
        <v>74</v>
      </c>
      <c r="D9" t="s">
        <v>93</v>
      </c>
      <c r="E9" t="s">
        <v>75</v>
      </c>
      <c r="F9" t="s">
        <v>4</v>
      </c>
      <c r="G9" t="s">
        <v>4</v>
      </c>
      <c r="H9" t="s">
        <v>4</v>
      </c>
      <c r="I9" t="s">
        <v>4</v>
      </c>
      <c r="J9" t="s">
        <v>97</v>
      </c>
      <c r="K9" t="s">
        <v>74</v>
      </c>
      <c r="L9" t="s">
        <v>4</v>
      </c>
      <c r="M9" t="s">
        <v>4</v>
      </c>
      <c r="N9" t="s">
        <v>4</v>
      </c>
      <c r="O9" t="s">
        <v>4</v>
      </c>
      <c r="P9" t="s">
        <v>75</v>
      </c>
      <c r="Q9" t="s">
        <v>74</v>
      </c>
      <c r="R9" t="s">
        <v>72</v>
      </c>
      <c r="S9" t="s">
        <v>73</v>
      </c>
      <c r="T9" t="s">
        <v>89</v>
      </c>
    </row>
    <row r="10" spans="1:21" x14ac:dyDescent="0.2">
      <c r="A10" t="s">
        <v>20</v>
      </c>
      <c r="B10" t="s">
        <v>72</v>
      </c>
      <c r="C10" t="s">
        <v>74</v>
      </c>
      <c r="D10" t="s">
        <v>93</v>
      </c>
      <c r="E10" t="s">
        <v>99</v>
      </c>
      <c r="F10" t="s">
        <v>4</v>
      </c>
      <c r="G10" t="s">
        <v>4</v>
      </c>
      <c r="H10" t="s">
        <v>4</v>
      </c>
      <c r="I10" t="s">
        <v>4</v>
      </c>
      <c r="J10" t="s">
        <v>93</v>
      </c>
      <c r="K10" t="s">
        <v>74</v>
      </c>
      <c r="L10" t="s">
        <v>4</v>
      </c>
      <c r="M10" t="s">
        <v>4</v>
      </c>
      <c r="N10" t="s">
        <v>4</v>
      </c>
      <c r="O10" t="s">
        <v>4</v>
      </c>
      <c r="P10" t="s">
        <v>75</v>
      </c>
      <c r="Q10" t="s">
        <v>100</v>
      </c>
      <c r="R10" t="s">
        <v>81</v>
      </c>
      <c r="S10" t="s">
        <v>95</v>
      </c>
      <c r="T10" t="s">
        <v>91</v>
      </c>
    </row>
    <row r="11" spans="1:21" s="19" customFormat="1" x14ac:dyDescent="0.2">
      <c r="A11" s="19" t="s">
        <v>25</v>
      </c>
      <c r="B11" s="19" t="s">
        <v>72</v>
      </c>
      <c r="C11" s="19" t="s">
        <v>72</v>
      </c>
      <c r="D11" s="19" t="s">
        <v>93</v>
      </c>
      <c r="E11" s="19" t="s">
        <v>99</v>
      </c>
      <c r="F11" s="19" t="s">
        <v>4</v>
      </c>
      <c r="G11" s="19" t="s">
        <v>4</v>
      </c>
      <c r="H11" s="19" t="s">
        <v>4</v>
      </c>
      <c r="I11" s="19" t="s">
        <v>4</v>
      </c>
      <c r="J11" s="19" t="s">
        <v>93</v>
      </c>
      <c r="K11" s="19" t="s">
        <v>74</v>
      </c>
      <c r="L11" s="19" t="s">
        <v>4</v>
      </c>
      <c r="M11" s="19" t="s">
        <v>4</v>
      </c>
      <c r="N11" s="19" t="s">
        <v>4</v>
      </c>
      <c r="O11" s="19" t="s">
        <v>4</v>
      </c>
      <c r="P11" s="19" t="s">
        <v>75</v>
      </c>
      <c r="Q11" s="19" t="s">
        <v>100</v>
      </c>
      <c r="R11" s="19" t="s">
        <v>81</v>
      </c>
      <c r="S11" s="19" t="s">
        <v>95</v>
      </c>
      <c r="T11" s="19" t="s">
        <v>91</v>
      </c>
    </row>
    <row r="12" spans="1:21" x14ac:dyDescent="0.2">
      <c r="A12" t="s">
        <v>26</v>
      </c>
      <c r="B12" t="s">
        <v>72</v>
      </c>
      <c r="C12" t="s">
        <v>89</v>
      </c>
      <c r="D12" t="s">
        <v>94</v>
      </c>
      <c r="E12" t="s">
        <v>75</v>
      </c>
      <c r="F12" t="s">
        <v>4</v>
      </c>
      <c r="G12" t="s">
        <v>4</v>
      </c>
      <c r="H12" t="s">
        <v>4</v>
      </c>
      <c r="I12" t="s">
        <v>98</v>
      </c>
      <c r="J12" t="s">
        <v>99</v>
      </c>
      <c r="K12" t="s">
        <v>75</v>
      </c>
      <c r="L12" t="s">
        <v>100</v>
      </c>
      <c r="M12" t="s">
        <v>72</v>
      </c>
      <c r="N12" t="s">
        <v>74</v>
      </c>
      <c r="O12" t="s">
        <v>4</v>
      </c>
      <c r="P12" t="s">
        <v>97</v>
      </c>
      <c r="Q12" t="s">
        <v>4</v>
      </c>
      <c r="R12" t="s">
        <v>74</v>
      </c>
      <c r="S12" t="s">
        <v>101</v>
      </c>
      <c r="T12" t="s">
        <v>91</v>
      </c>
    </row>
    <row r="13" spans="1:21" x14ac:dyDescent="0.2">
      <c r="A13" t="s">
        <v>34</v>
      </c>
      <c r="B13" t="s">
        <v>72</v>
      </c>
      <c r="C13" t="s">
        <v>102</v>
      </c>
      <c r="D13" t="s">
        <v>75</v>
      </c>
      <c r="E13" t="s">
        <v>75</v>
      </c>
      <c r="F13" t="s">
        <v>93</v>
      </c>
      <c r="G13" t="s">
        <v>91</v>
      </c>
      <c r="H13" t="s">
        <v>96</v>
      </c>
      <c r="I13" t="s">
        <v>98</v>
      </c>
      <c r="J13" t="s">
        <v>4</v>
      </c>
      <c r="K13" t="s">
        <v>93</v>
      </c>
      <c r="L13" t="s">
        <v>4</v>
      </c>
      <c r="M13" t="s">
        <v>4</v>
      </c>
      <c r="N13" t="s">
        <v>100</v>
      </c>
      <c r="O13" t="s">
        <v>4</v>
      </c>
      <c r="P13" t="s">
        <v>4</v>
      </c>
      <c r="Q13" t="s">
        <v>4</v>
      </c>
      <c r="R13" t="s">
        <v>103</v>
      </c>
      <c r="S13" t="s">
        <v>103</v>
      </c>
      <c r="T13" t="s">
        <v>100</v>
      </c>
    </row>
    <row r="14" spans="1:21" x14ac:dyDescent="0.2">
      <c r="A14" t="s">
        <v>36</v>
      </c>
      <c r="B14" t="s">
        <v>72</v>
      </c>
      <c r="C14" t="s">
        <v>89</v>
      </c>
      <c r="D14" t="s">
        <v>93</v>
      </c>
      <c r="E14" t="s">
        <v>75</v>
      </c>
      <c r="F14" t="s">
        <v>100</v>
      </c>
      <c r="G14" t="s">
        <v>91</v>
      </c>
      <c r="H14" t="s">
        <v>96</v>
      </c>
      <c r="I14" t="s">
        <v>95</v>
      </c>
      <c r="J14" t="s">
        <v>4</v>
      </c>
      <c r="K14" t="s">
        <v>93</v>
      </c>
      <c r="L14" t="s">
        <v>4</v>
      </c>
      <c r="M14" t="s">
        <v>4</v>
      </c>
      <c r="N14" t="s">
        <v>100</v>
      </c>
      <c r="O14" t="s">
        <v>4</v>
      </c>
      <c r="P14" t="s">
        <v>4</v>
      </c>
      <c r="Q14" t="s">
        <v>4</v>
      </c>
      <c r="R14" t="s">
        <v>103</v>
      </c>
      <c r="S14" t="s">
        <v>103</v>
      </c>
      <c r="T14" t="s">
        <v>98</v>
      </c>
    </row>
    <row r="15" spans="1:21" s="19" customFormat="1" x14ac:dyDescent="0.2">
      <c r="A15" s="19" t="s">
        <v>27</v>
      </c>
      <c r="B15" s="19" t="s">
        <v>72</v>
      </c>
      <c r="C15" s="19" t="s">
        <v>94</v>
      </c>
      <c r="D15" s="19" t="s">
        <v>99</v>
      </c>
      <c r="E15" s="19" t="s">
        <v>75</v>
      </c>
      <c r="F15" s="19" t="s">
        <v>4</v>
      </c>
      <c r="G15" s="19" t="s">
        <v>4</v>
      </c>
      <c r="H15" s="19" t="s">
        <v>4</v>
      </c>
      <c r="I15" s="19" t="s">
        <v>95</v>
      </c>
      <c r="J15" s="19" t="s">
        <v>94</v>
      </c>
      <c r="K15" s="19" t="s">
        <v>75</v>
      </c>
      <c r="L15" s="19" t="s">
        <v>73</v>
      </c>
      <c r="M15" s="19" t="s">
        <v>4</v>
      </c>
      <c r="N15" s="19" t="s">
        <v>73</v>
      </c>
      <c r="O15" s="19" t="s">
        <v>99</v>
      </c>
      <c r="P15" s="19" t="s">
        <v>97</v>
      </c>
      <c r="Q15" s="19" t="s">
        <v>4</v>
      </c>
      <c r="R15" s="19" t="s">
        <v>4</v>
      </c>
      <c r="S15" s="19" t="s">
        <v>91</v>
      </c>
      <c r="T15" s="19" t="s">
        <v>98</v>
      </c>
    </row>
    <row r="16" spans="1:21" x14ac:dyDescent="0.2">
      <c r="A16" t="s">
        <v>28</v>
      </c>
      <c r="B16" t="s">
        <v>72</v>
      </c>
      <c r="C16" t="s">
        <v>95</v>
      </c>
      <c r="D16" t="s">
        <v>96</v>
      </c>
      <c r="E16" t="s">
        <v>75</v>
      </c>
      <c r="F16" t="s">
        <v>4</v>
      </c>
      <c r="G16" t="s">
        <v>4</v>
      </c>
      <c r="H16" t="s">
        <v>4</v>
      </c>
      <c r="I16" t="s">
        <v>73</v>
      </c>
      <c r="J16" t="s">
        <v>100</v>
      </c>
      <c r="K16" t="s">
        <v>75</v>
      </c>
      <c r="L16" t="s">
        <v>93</v>
      </c>
      <c r="M16" t="s">
        <v>4</v>
      </c>
      <c r="N16" t="s">
        <v>73</v>
      </c>
      <c r="O16" t="s">
        <v>4</v>
      </c>
      <c r="P16" t="s">
        <v>95</v>
      </c>
      <c r="Q16" t="s">
        <v>4</v>
      </c>
      <c r="R16" t="s">
        <v>4</v>
      </c>
      <c r="S16" t="s">
        <v>102</v>
      </c>
      <c r="T16" t="s">
        <v>91</v>
      </c>
    </row>
    <row r="17" spans="1:20" s="19" customFormat="1" x14ac:dyDescent="0.2">
      <c r="A17" s="19" t="s">
        <v>24</v>
      </c>
      <c r="B17" s="19" t="s">
        <v>72</v>
      </c>
      <c r="C17" s="19" t="s">
        <v>98</v>
      </c>
      <c r="D17" s="19" t="s">
        <v>75</v>
      </c>
      <c r="E17" s="19" t="s">
        <v>94</v>
      </c>
      <c r="F17" s="19" t="s">
        <v>4</v>
      </c>
      <c r="G17" s="19" t="s">
        <v>4</v>
      </c>
      <c r="H17" s="19" t="s">
        <v>4</v>
      </c>
      <c r="I17" s="19" t="s">
        <v>98</v>
      </c>
      <c r="J17" s="19" t="s">
        <v>101</v>
      </c>
      <c r="K17" s="19" t="s">
        <v>94</v>
      </c>
      <c r="L17" s="19" t="s">
        <v>4</v>
      </c>
      <c r="M17" s="19" t="s">
        <v>4</v>
      </c>
      <c r="N17" s="19" t="s">
        <v>103</v>
      </c>
      <c r="O17" s="19" t="s">
        <v>73</v>
      </c>
      <c r="P17" s="19" t="s">
        <v>98</v>
      </c>
      <c r="Q17" s="19" t="s">
        <v>4</v>
      </c>
      <c r="R17" s="19" t="s">
        <v>4</v>
      </c>
      <c r="S17" s="19" t="s">
        <v>100</v>
      </c>
      <c r="T17" s="19" t="s">
        <v>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9"/>
  <sheetViews>
    <sheetView workbookViewId="0">
      <selection activeCell="V2" sqref="V2"/>
    </sheetView>
  </sheetViews>
  <sheetFormatPr baseColWidth="10" defaultRowHeight="16" x14ac:dyDescent="0.2"/>
  <cols>
    <col min="1" max="1" width="13.1640625" bestFit="1" customWidth="1"/>
    <col min="2" max="2" width="12.83203125" customWidth="1"/>
    <col min="3" max="8" width="4" bestFit="1" customWidth="1"/>
    <col min="9" max="9" width="4" style="28" customWidth="1"/>
    <col min="10" max="10" width="5" bestFit="1" customWidth="1"/>
    <col min="11" max="11" width="4" style="28" customWidth="1"/>
    <col min="12" max="12" width="4" bestFit="1" customWidth="1"/>
    <col min="13" max="13" width="4" style="28" bestFit="1" customWidth="1"/>
    <col min="14" max="14" width="5" bestFit="1" customWidth="1"/>
    <col min="15" max="15" width="4" style="28" bestFit="1" customWidth="1"/>
    <col min="16" max="19" width="4" bestFit="1" customWidth="1"/>
    <col min="20" max="20" width="4" style="28" bestFit="1" customWidth="1"/>
    <col min="21" max="21" width="5" style="4" bestFit="1" customWidth="1"/>
    <col min="22" max="22" width="2.1640625" style="4" bestFit="1" customWidth="1"/>
    <col min="23" max="23" width="1.6640625" style="4" bestFit="1" customWidth="1"/>
    <col min="24" max="24" width="2.5" bestFit="1" customWidth="1"/>
    <col min="25" max="25" width="2.5" style="28" bestFit="1" customWidth="1"/>
    <col min="26" max="27" width="4" customWidth="1"/>
    <col min="28" max="29" width="4" bestFit="1" customWidth="1"/>
    <col min="30" max="30" width="4" style="28" bestFit="1" customWidth="1"/>
    <col min="31" max="31" width="11.6640625" bestFit="1" customWidth="1"/>
    <col min="32" max="32" width="8.5" bestFit="1" customWidth="1"/>
  </cols>
  <sheetData>
    <row r="1" spans="1:33" x14ac:dyDescent="0.2">
      <c r="C1" t="s">
        <v>127</v>
      </c>
      <c r="J1" t="s">
        <v>124</v>
      </c>
      <c r="L1" t="s">
        <v>125</v>
      </c>
      <c r="N1" t="s">
        <v>124</v>
      </c>
      <c r="P1" t="s">
        <v>123</v>
      </c>
      <c r="U1" s="4" t="s">
        <v>126</v>
      </c>
      <c r="Z1" t="s">
        <v>124</v>
      </c>
    </row>
    <row r="2" spans="1:33" x14ac:dyDescent="0.2">
      <c r="C2" t="s">
        <v>106</v>
      </c>
      <c r="J2" t="s">
        <v>136</v>
      </c>
      <c r="L2" t="s">
        <v>107</v>
      </c>
      <c r="N2" t="s">
        <v>137</v>
      </c>
      <c r="P2" t="s">
        <v>108</v>
      </c>
      <c r="U2" t="s">
        <v>141</v>
      </c>
      <c r="Z2" t="s">
        <v>140</v>
      </c>
    </row>
    <row r="3" spans="1:33" s="21" customFormat="1" x14ac:dyDescent="0.2">
      <c r="A3" s="21" t="s">
        <v>116</v>
      </c>
      <c r="B3" s="21" t="s">
        <v>67</v>
      </c>
      <c r="C3" s="21" t="s">
        <v>71</v>
      </c>
      <c r="D3" s="21" t="s">
        <v>76</v>
      </c>
      <c r="E3" s="21" t="s">
        <v>77</v>
      </c>
      <c r="F3" s="21" t="s">
        <v>78</v>
      </c>
      <c r="G3" s="21" t="s">
        <v>79</v>
      </c>
      <c r="H3" s="21" t="s">
        <v>80</v>
      </c>
      <c r="I3" s="29" t="s">
        <v>82</v>
      </c>
      <c r="J3" s="21" t="s">
        <v>70</v>
      </c>
      <c r="K3" s="29" t="s">
        <v>71</v>
      </c>
      <c r="L3" s="21" t="s">
        <v>71</v>
      </c>
      <c r="M3" s="29" t="s">
        <v>76</v>
      </c>
      <c r="N3" s="21" t="s">
        <v>71</v>
      </c>
      <c r="O3" s="29" t="s">
        <v>76</v>
      </c>
      <c r="P3" s="21" t="s">
        <v>71</v>
      </c>
      <c r="Q3" s="21" t="s">
        <v>76</v>
      </c>
      <c r="R3" s="21" t="s">
        <v>77</v>
      </c>
      <c r="S3" s="21" t="s">
        <v>78</v>
      </c>
      <c r="T3" s="29" t="s">
        <v>79</v>
      </c>
      <c r="Y3" s="29"/>
      <c r="Z3" s="21" t="s">
        <v>109</v>
      </c>
      <c r="AA3" s="21" t="s">
        <v>68</v>
      </c>
      <c r="AB3" s="21" t="s">
        <v>69</v>
      </c>
      <c r="AC3" s="21" t="s">
        <v>70</v>
      </c>
      <c r="AD3" s="29" t="s">
        <v>71</v>
      </c>
      <c r="AE3" s="21" t="s">
        <v>114</v>
      </c>
      <c r="AF3" s="21" t="s">
        <v>110</v>
      </c>
    </row>
    <row r="4" spans="1:33" x14ac:dyDescent="0.2">
      <c r="A4" s="11" t="s">
        <v>118</v>
      </c>
      <c r="B4" t="s">
        <v>22</v>
      </c>
      <c r="C4" t="s">
        <v>72</v>
      </c>
      <c r="D4" t="s">
        <v>92</v>
      </c>
      <c r="E4" t="s">
        <v>93</v>
      </c>
      <c r="F4" s="23" t="s">
        <v>94</v>
      </c>
      <c r="G4" t="s">
        <v>4</v>
      </c>
      <c r="H4" t="s">
        <v>4</v>
      </c>
      <c r="I4" s="28" t="s">
        <v>4</v>
      </c>
      <c r="J4" t="s">
        <v>4</v>
      </c>
      <c r="K4" s="28" t="s">
        <v>4</v>
      </c>
      <c r="L4" t="s">
        <v>4</v>
      </c>
      <c r="M4" s="28" t="s">
        <v>4</v>
      </c>
      <c r="N4" t="s">
        <v>72</v>
      </c>
      <c r="O4" s="28" t="s">
        <v>4</v>
      </c>
      <c r="P4" t="s">
        <v>92</v>
      </c>
      <c r="Q4" s="23" t="s">
        <v>81</v>
      </c>
      <c r="R4" t="s">
        <v>81</v>
      </c>
      <c r="S4" t="s">
        <v>81</v>
      </c>
      <c r="T4" s="28" t="s">
        <v>96</v>
      </c>
      <c r="U4" s="4" t="s">
        <v>4</v>
      </c>
      <c r="V4" s="4" t="s">
        <v>4</v>
      </c>
      <c r="W4" s="4" t="s">
        <v>4</v>
      </c>
      <c r="X4" s="4" t="s">
        <v>4</v>
      </c>
      <c r="Y4" s="30" t="s">
        <v>4</v>
      </c>
      <c r="Z4" t="s">
        <v>4</v>
      </c>
      <c r="AA4" t="s">
        <v>4</v>
      </c>
      <c r="AB4" t="s">
        <v>102</v>
      </c>
      <c r="AC4" t="s">
        <v>102</v>
      </c>
      <c r="AD4" s="28" t="s">
        <v>91</v>
      </c>
      <c r="AE4" t="s">
        <v>115</v>
      </c>
      <c r="AF4" t="s">
        <v>115</v>
      </c>
      <c r="AG4" s="8"/>
    </row>
    <row r="5" spans="1:33" x14ac:dyDescent="0.2">
      <c r="A5" s="11" t="s">
        <v>118</v>
      </c>
      <c r="B5" t="s">
        <v>5</v>
      </c>
      <c r="C5" t="s">
        <v>72</v>
      </c>
      <c r="D5" t="s">
        <v>92</v>
      </c>
      <c r="E5" t="s">
        <v>93</v>
      </c>
      <c r="F5" s="23" t="s">
        <v>94</v>
      </c>
      <c r="G5" t="s">
        <v>4</v>
      </c>
      <c r="H5" t="s">
        <v>4</v>
      </c>
      <c r="I5" s="28" t="s">
        <v>4</v>
      </c>
      <c r="J5" t="s">
        <v>4</v>
      </c>
      <c r="K5" s="28" t="s">
        <v>4</v>
      </c>
      <c r="L5" t="s">
        <v>4</v>
      </c>
      <c r="M5" s="28" t="s">
        <v>4</v>
      </c>
      <c r="N5" t="s">
        <v>72</v>
      </c>
      <c r="O5" s="28" t="s">
        <v>4</v>
      </c>
      <c r="P5" t="s">
        <v>92</v>
      </c>
      <c r="Q5" s="23" t="s">
        <v>81</v>
      </c>
      <c r="R5" t="s">
        <v>81</v>
      </c>
      <c r="S5" t="s">
        <v>95</v>
      </c>
      <c r="T5" s="28" t="s">
        <v>96</v>
      </c>
      <c r="U5" s="4" t="s">
        <v>4</v>
      </c>
      <c r="V5" s="4" t="s">
        <v>4</v>
      </c>
      <c r="W5" s="4" t="s">
        <v>4</v>
      </c>
      <c r="X5" s="4" t="s">
        <v>4</v>
      </c>
      <c r="Y5" s="30" t="s">
        <v>4</v>
      </c>
      <c r="Z5" t="s">
        <v>4</v>
      </c>
      <c r="AA5" t="s">
        <v>4</v>
      </c>
      <c r="AB5" t="s">
        <v>97</v>
      </c>
      <c r="AC5" t="s">
        <v>81</v>
      </c>
      <c r="AD5" s="28" t="s">
        <v>98</v>
      </c>
      <c r="AE5" t="s">
        <v>115</v>
      </c>
      <c r="AF5" t="s">
        <v>115</v>
      </c>
      <c r="AG5" s="8"/>
    </row>
    <row r="6" spans="1:33" x14ac:dyDescent="0.2">
      <c r="A6" s="11" t="s">
        <v>118</v>
      </c>
      <c r="B6" t="s">
        <v>18</v>
      </c>
      <c r="C6" t="s">
        <v>72</v>
      </c>
      <c r="D6" t="s">
        <v>92</v>
      </c>
      <c r="E6" t="s">
        <v>93</v>
      </c>
      <c r="F6" s="23" t="s">
        <v>94</v>
      </c>
      <c r="G6" t="s">
        <v>4</v>
      </c>
      <c r="H6" t="s">
        <v>4</v>
      </c>
      <c r="I6" s="28" t="s">
        <v>4</v>
      </c>
      <c r="J6" t="s">
        <v>4</v>
      </c>
      <c r="K6" s="28" t="s">
        <v>4</v>
      </c>
      <c r="L6" t="s">
        <v>4</v>
      </c>
      <c r="M6" s="28" t="s">
        <v>4</v>
      </c>
      <c r="N6" t="s">
        <v>72</v>
      </c>
      <c r="O6" s="28" t="s">
        <v>4</v>
      </c>
      <c r="P6" t="s">
        <v>92</v>
      </c>
      <c r="Q6" s="23" t="s">
        <v>102</v>
      </c>
      <c r="R6" t="s">
        <v>73</v>
      </c>
      <c r="S6" t="s">
        <v>100</v>
      </c>
      <c r="T6" s="28" t="s">
        <v>96</v>
      </c>
      <c r="U6" s="4" t="s">
        <v>4</v>
      </c>
      <c r="V6" s="4" t="s">
        <v>4</v>
      </c>
      <c r="W6" s="4" t="s">
        <v>4</v>
      </c>
      <c r="X6" s="4" t="s">
        <v>4</v>
      </c>
      <c r="Y6" s="30" t="s">
        <v>4</v>
      </c>
      <c r="Z6" t="s">
        <v>4</v>
      </c>
      <c r="AA6" t="s">
        <v>4</v>
      </c>
      <c r="AB6" t="s">
        <v>94</v>
      </c>
      <c r="AC6" t="s">
        <v>97</v>
      </c>
      <c r="AD6" s="28" t="s">
        <v>91</v>
      </c>
      <c r="AE6" t="s">
        <v>117</v>
      </c>
      <c r="AF6" t="s">
        <v>115</v>
      </c>
      <c r="AG6" s="8"/>
    </row>
    <row r="7" spans="1:33" x14ac:dyDescent="0.2">
      <c r="A7" s="11" t="s">
        <v>118</v>
      </c>
      <c r="B7" t="s">
        <v>13</v>
      </c>
      <c r="C7" t="s">
        <v>72</v>
      </c>
      <c r="D7" t="s">
        <v>92</v>
      </c>
      <c r="E7" t="s">
        <v>93</v>
      </c>
      <c r="F7" s="23" t="s">
        <v>94</v>
      </c>
      <c r="G7" t="s">
        <v>4</v>
      </c>
      <c r="H7" t="s">
        <v>4</v>
      </c>
      <c r="I7" s="28" t="s">
        <v>4</v>
      </c>
      <c r="J7" t="s">
        <v>4</v>
      </c>
      <c r="K7" s="28" t="s">
        <v>4</v>
      </c>
      <c r="L7" t="s">
        <v>4</v>
      </c>
      <c r="M7" s="28" t="s">
        <v>4</v>
      </c>
      <c r="N7" t="s">
        <v>72</v>
      </c>
      <c r="O7" s="28" t="s">
        <v>4</v>
      </c>
      <c r="P7" t="s">
        <v>92</v>
      </c>
      <c r="Q7" s="23" t="s">
        <v>102</v>
      </c>
      <c r="R7" t="s">
        <v>73</v>
      </c>
      <c r="S7" t="s">
        <v>73</v>
      </c>
      <c r="T7" s="28" t="s">
        <v>96</v>
      </c>
      <c r="U7" s="4" t="s">
        <v>4</v>
      </c>
      <c r="V7" s="4" t="s">
        <v>4</v>
      </c>
      <c r="W7" s="4" t="s">
        <v>4</v>
      </c>
      <c r="X7" s="4" t="s">
        <v>4</v>
      </c>
      <c r="Y7" s="30" t="s">
        <v>4</v>
      </c>
      <c r="Z7" t="s">
        <v>4</v>
      </c>
      <c r="AA7" t="s">
        <v>4</v>
      </c>
      <c r="AB7" t="s">
        <v>72</v>
      </c>
      <c r="AC7" t="s">
        <v>97</v>
      </c>
      <c r="AD7" s="28" t="s">
        <v>91</v>
      </c>
      <c r="AE7" t="s">
        <v>115</v>
      </c>
      <c r="AF7" t="s">
        <v>115</v>
      </c>
      <c r="AG7" s="8"/>
    </row>
    <row r="8" spans="1:33" x14ac:dyDescent="0.2">
      <c r="A8" s="11" t="s">
        <v>118</v>
      </c>
      <c r="B8" s="4" t="s">
        <v>23</v>
      </c>
      <c r="C8" s="4" t="s">
        <v>72</v>
      </c>
      <c r="D8" s="4" t="s">
        <v>73</v>
      </c>
      <c r="E8" s="4" t="s">
        <v>93</v>
      </c>
      <c r="F8" s="4" t="s">
        <v>94</v>
      </c>
      <c r="G8" s="4" t="s">
        <v>4</v>
      </c>
      <c r="H8" s="4" t="s">
        <v>4</v>
      </c>
      <c r="I8" s="30" t="s">
        <v>4</v>
      </c>
      <c r="J8" s="4" t="s">
        <v>4</v>
      </c>
      <c r="K8" s="30" t="s">
        <v>4</v>
      </c>
      <c r="L8" s="4" t="s">
        <v>4</v>
      </c>
      <c r="M8" s="30" t="s">
        <v>4</v>
      </c>
      <c r="N8" s="4" t="s">
        <v>72</v>
      </c>
      <c r="O8" s="30" t="s">
        <v>4</v>
      </c>
      <c r="P8" s="4" t="s">
        <v>92</v>
      </c>
      <c r="Q8" s="4" t="s">
        <v>92</v>
      </c>
      <c r="R8" s="4" t="s">
        <v>73</v>
      </c>
      <c r="S8" s="4" t="s">
        <v>89</v>
      </c>
      <c r="T8" s="30" t="s">
        <v>89</v>
      </c>
      <c r="U8" s="4" t="s">
        <v>4</v>
      </c>
      <c r="V8" s="4" t="s">
        <v>4</v>
      </c>
      <c r="W8" s="4" t="s">
        <v>4</v>
      </c>
      <c r="X8" s="4" t="s">
        <v>4</v>
      </c>
      <c r="Y8" s="30" t="s">
        <v>4</v>
      </c>
      <c r="Z8" s="4" t="s">
        <v>4</v>
      </c>
      <c r="AA8" s="4" t="s">
        <v>4</v>
      </c>
      <c r="AB8" s="4" t="s">
        <v>73</v>
      </c>
      <c r="AC8" s="4" t="s">
        <v>73</v>
      </c>
      <c r="AD8" s="30" t="s">
        <v>91</v>
      </c>
      <c r="AE8" s="19" t="s">
        <v>117</v>
      </c>
      <c r="AF8" s="19" t="s">
        <v>117</v>
      </c>
    </row>
    <row r="9" spans="1:33" x14ac:dyDescent="0.2">
      <c r="A9" s="24" t="s">
        <v>121</v>
      </c>
      <c r="B9" s="4" t="s">
        <v>41</v>
      </c>
      <c r="C9" t="s">
        <v>72</v>
      </c>
      <c r="D9" t="s">
        <v>74</v>
      </c>
      <c r="E9" t="s">
        <v>93</v>
      </c>
      <c r="F9" s="23" t="s">
        <v>75</v>
      </c>
      <c r="G9" t="s">
        <v>4</v>
      </c>
      <c r="H9" t="s">
        <v>4</v>
      </c>
      <c r="I9" s="28" t="s">
        <v>4</v>
      </c>
      <c r="J9" t="s">
        <v>4</v>
      </c>
      <c r="K9" s="28" t="s">
        <v>4</v>
      </c>
      <c r="L9" t="s">
        <v>4</v>
      </c>
      <c r="M9" s="28" t="s">
        <v>4</v>
      </c>
      <c r="N9" t="s">
        <v>72</v>
      </c>
      <c r="O9" s="28" t="s">
        <v>74</v>
      </c>
      <c r="P9" t="s">
        <v>4</v>
      </c>
      <c r="Q9" t="s">
        <v>4</v>
      </c>
      <c r="R9" t="s">
        <v>4</v>
      </c>
      <c r="S9" t="s">
        <v>4</v>
      </c>
      <c r="T9" s="28" t="s">
        <v>4</v>
      </c>
      <c r="U9" s="4" t="s">
        <v>4</v>
      </c>
      <c r="V9" s="4" t="s">
        <v>4</v>
      </c>
      <c r="W9" s="4" t="s">
        <v>4</v>
      </c>
      <c r="X9" s="4" t="s">
        <v>4</v>
      </c>
      <c r="Y9" s="30" t="s">
        <v>4</v>
      </c>
      <c r="Z9" s="23" t="s">
        <v>75</v>
      </c>
      <c r="AA9" t="s">
        <v>74</v>
      </c>
      <c r="AB9" t="s">
        <v>72</v>
      </c>
      <c r="AC9" t="s">
        <v>73</v>
      </c>
      <c r="AD9" s="28" t="s">
        <v>89</v>
      </c>
      <c r="AE9" t="s">
        <v>117</v>
      </c>
      <c r="AF9" t="s">
        <v>115</v>
      </c>
      <c r="AG9" s="8"/>
    </row>
    <row r="10" spans="1:33" x14ac:dyDescent="0.2">
      <c r="A10" s="24" t="s">
        <v>121</v>
      </c>
      <c r="B10" t="s">
        <v>39</v>
      </c>
      <c r="C10" t="s">
        <v>72</v>
      </c>
      <c r="D10" t="s">
        <v>74</v>
      </c>
      <c r="E10" t="s">
        <v>93</v>
      </c>
      <c r="F10" s="23" t="s">
        <v>75</v>
      </c>
      <c r="G10" t="s">
        <v>4</v>
      </c>
      <c r="H10" t="s">
        <v>4</v>
      </c>
      <c r="I10" s="28" t="s">
        <v>4</v>
      </c>
      <c r="J10" t="s">
        <v>4</v>
      </c>
      <c r="K10" s="28" t="s">
        <v>4</v>
      </c>
      <c r="L10" t="s">
        <v>4</v>
      </c>
      <c r="M10" s="28" t="s">
        <v>4</v>
      </c>
      <c r="N10" t="s">
        <v>97</v>
      </c>
      <c r="O10" s="28" t="s">
        <v>74</v>
      </c>
      <c r="P10" t="s">
        <v>4</v>
      </c>
      <c r="Q10" t="s">
        <v>4</v>
      </c>
      <c r="R10" t="s">
        <v>4</v>
      </c>
      <c r="S10" t="s">
        <v>4</v>
      </c>
      <c r="T10" s="28" t="s">
        <v>4</v>
      </c>
      <c r="U10" s="4" t="s">
        <v>4</v>
      </c>
      <c r="V10" s="4" t="s">
        <v>4</v>
      </c>
      <c r="W10" s="4" t="s">
        <v>4</v>
      </c>
      <c r="X10" s="4" t="s">
        <v>4</v>
      </c>
      <c r="Y10" s="30" t="s">
        <v>4</v>
      </c>
      <c r="Z10" s="23" t="s">
        <v>75</v>
      </c>
      <c r="AA10" t="s">
        <v>74</v>
      </c>
      <c r="AB10" t="s">
        <v>72</v>
      </c>
      <c r="AC10" t="s">
        <v>73</v>
      </c>
      <c r="AD10" s="28" t="s">
        <v>89</v>
      </c>
      <c r="AE10" t="s">
        <v>117</v>
      </c>
      <c r="AF10" t="s">
        <v>115</v>
      </c>
      <c r="AG10" s="8"/>
    </row>
    <row r="11" spans="1:33" x14ac:dyDescent="0.2">
      <c r="A11" s="25" t="s">
        <v>120</v>
      </c>
      <c r="B11" t="s">
        <v>20</v>
      </c>
      <c r="C11" t="s">
        <v>72</v>
      </c>
      <c r="D11" t="s">
        <v>74</v>
      </c>
      <c r="E11" t="s">
        <v>93</v>
      </c>
      <c r="F11" s="23" t="s">
        <v>99</v>
      </c>
      <c r="G11" t="s">
        <v>4</v>
      </c>
      <c r="H11" t="s">
        <v>4</v>
      </c>
      <c r="I11" s="28" t="s">
        <v>4</v>
      </c>
      <c r="J11" t="s">
        <v>4</v>
      </c>
      <c r="K11" s="28" t="s">
        <v>4</v>
      </c>
      <c r="L11" t="s">
        <v>4</v>
      </c>
      <c r="M11" s="28" t="s">
        <v>4</v>
      </c>
      <c r="N11" t="s">
        <v>93</v>
      </c>
      <c r="O11" s="32" t="s">
        <v>74</v>
      </c>
      <c r="P11" t="s">
        <v>4</v>
      </c>
      <c r="Q11" t="s">
        <v>4</v>
      </c>
      <c r="R11" t="s">
        <v>4</v>
      </c>
      <c r="S11" t="s">
        <v>4</v>
      </c>
      <c r="T11" s="28" t="s">
        <v>4</v>
      </c>
      <c r="U11" s="4" t="s">
        <v>4</v>
      </c>
      <c r="V11" s="4" t="s">
        <v>4</v>
      </c>
      <c r="W11" s="4" t="s">
        <v>4</v>
      </c>
      <c r="X11" s="4" t="s">
        <v>4</v>
      </c>
      <c r="Y11" s="30" t="s">
        <v>4</v>
      </c>
      <c r="Z11" s="23" t="s">
        <v>75</v>
      </c>
      <c r="AA11" t="s">
        <v>100</v>
      </c>
      <c r="AB11" t="s">
        <v>81</v>
      </c>
      <c r="AC11" t="s">
        <v>95</v>
      </c>
      <c r="AD11" s="28" t="s">
        <v>91</v>
      </c>
      <c r="AE11" t="s">
        <v>115</v>
      </c>
      <c r="AF11" t="s">
        <v>115</v>
      </c>
      <c r="AG11" s="8"/>
    </row>
    <row r="12" spans="1:33" x14ac:dyDescent="0.2">
      <c r="A12" s="25" t="s">
        <v>120</v>
      </c>
      <c r="B12" s="4" t="s">
        <v>25</v>
      </c>
      <c r="C12" s="4" t="s">
        <v>72</v>
      </c>
      <c r="D12" s="4" t="s">
        <v>72</v>
      </c>
      <c r="E12" s="4" t="s">
        <v>93</v>
      </c>
      <c r="F12" s="4" t="s">
        <v>99</v>
      </c>
      <c r="G12" s="4" t="s">
        <v>4</v>
      </c>
      <c r="H12" s="4" t="s">
        <v>4</v>
      </c>
      <c r="I12" s="30" t="s">
        <v>4</v>
      </c>
      <c r="J12" s="4" t="s">
        <v>4</v>
      </c>
      <c r="K12" s="30" t="s">
        <v>4</v>
      </c>
      <c r="L12" s="4" t="s">
        <v>4</v>
      </c>
      <c r="M12" s="30" t="s">
        <v>4</v>
      </c>
      <c r="N12" s="4" t="s">
        <v>93</v>
      </c>
      <c r="O12" s="30" t="s">
        <v>74</v>
      </c>
      <c r="P12" s="4" t="s">
        <v>4</v>
      </c>
      <c r="Q12" s="4" t="s">
        <v>4</v>
      </c>
      <c r="R12" s="4" t="s">
        <v>4</v>
      </c>
      <c r="S12" s="4" t="s">
        <v>4</v>
      </c>
      <c r="T12" s="30" t="s">
        <v>4</v>
      </c>
      <c r="U12" s="4" t="s">
        <v>4</v>
      </c>
      <c r="V12" s="4" t="s">
        <v>4</v>
      </c>
      <c r="W12" s="4" t="s">
        <v>4</v>
      </c>
      <c r="X12" s="4" t="s">
        <v>4</v>
      </c>
      <c r="Y12" s="30"/>
      <c r="Z12" s="4" t="s">
        <v>75</v>
      </c>
      <c r="AA12" s="4" t="s">
        <v>100</v>
      </c>
      <c r="AB12" s="4" t="s">
        <v>81</v>
      </c>
      <c r="AC12" s="4" t="s">
        <v>95</v>
      </c>
      <c r="AD12" s="30" t="s">
        <v>91</v>
      </c>
      <c r="AE12" s="19" t="s">
        <v>117</v>
      </c>
      <c r="AF12" s="19" t="s">
        <v>117</v>
      </c>
    </row>
    <row r="13" spans="1:33" x14ac:dyDescent="0.2">
      <c r="A13" s="26" t="s">
        <v>119</v>
      </c>
      <c r="B13" t="s">
        <v>34</v>
      </c>
      <c r="C13" t="s">
        <v>72</v>
      </c>
      <c r="D13" t="s">
        <v>102</v>
      </c>
      <c r="E13" t="s">
        <v>75</v>
      </c>
      <c r="F13" s="22" t="s">
        <v>75</v>
      </c>
      <c r="G13" t="s">
        <v>4</v>
      </c>
      <c r="H13" t="s">
        <v>4</v>
      </c>
      <c r="I13" s="28" t="s">
        <v>4</v>
      </c>
      <c r="J13" t="s">
        <v>93</v>
      </c>
      <c r="K13" s="28" t="s">
        <v>91</v>
      </c>
      <c r="L13" s="23" t="s">
        <v>96</v>
      </c>
      <c r="M13" s="28" t="s">
        <v>98</v>
      </c>
      <c r="N13" t="s">
        <v>4</v>
      </c>
      <c r="O13" s="28" t="s">
        <v>4</v>
      </c>
      <c r="P13" t="s">
        <v>4</v>
      </c>
      <c r="Q13" t="s">
        <v>4</v>
      </c>
      <c r="R13" t="s">
        <v>4</v>
      </c>
      <c r="S13" t="s">
        <v>4</v>
      </c>
      <c r="T13" s="28" t="s">
        <v>4</v>
      </c>
      <c r="U13" s="4" t="s">
        <v>4</v>
      </c>
      <c r="V13" s="4" t="s">
        <v>4</v>
      </c>
      <c r="W13" s="4" t="s">
        <v>4</v>
      </c>
      <c r="X13" s="4" t="s">
        <v>4</v>
      </c>
      <c r="Y13" s="30" t="s">
        <v>4</v>
      </c>
      <c r="Z13" s="22" t="s">
        <v>93</v>
      </c>
      <c r="AA13" t="s">
        <v>100</v>
      </c>
      <c r="AB13" t="s">
        <v>103</v>
      </c>
      <c r="AC13" t="s">
        <v>103</v>
      </c>
      <c r="AD13" s="28" t="s">
        <v>100</v>
      </c>
      <c r="AE13" t="s">
        <v>115</v>
      </c>
      <c r="AF13" t="s">
        <v>115</v>
      </c>
      <c r="AG13" s="8"/>
    </row>
    <row r="14" spans="1:33" x14ac:dyDescent="0.2">
      <c r="A14" s="26" t="s">
        <v>119</v>
      </c>
      <c r="B14" t="s">
        <v>36</v>
      </c>
      <c r="C14" t="s">
        <v>72</v>
      </c>
      <c r="D14" t="s">
        <v>89</v>
      </c>
      <c r="E14" t="s">
        <v>93</v>
      </c>
      <c r="F14" s="22" t="s">
        <v>75</v>
      </c>
      <c r="G14" t="s">
        <v>4</v>
      </c>
      <c r="H14" t="s">
        <v>4</v>
      </c>
      <c r="I14" s="28" t="s">
        <v>4</v>
      </c>
      <c r="J14" s="22" t="s">
        <v>100</v>
      </c>
      <c r="K14" s="28" t="s">
        <v>91</v>
      </c>
      <c r="L14" s="23" t="s">
        <v>96</v>
      </c>
      <c r="M14" s="28" t="s">
        <v>95</v>
      </c>
      <c r="N14" t="s">
        <v>4</v>
      </c>
      <c r="O14" s="28" t="s">
        <v>4</v>
      </c>
      <c r="P14" t="s">
        <v>4</v>
      </c>
      <c r="Q14" t="s">
        <v>4</v>
      </c>
      <c r="R14" t="s">
        <v>4</v>
      </c>
      <c r="S14" t="s">
        <v>4</v>
      </c>
      <c r="T14" s="28" t="s">
        <v>4</v>
      </c>
      <c r="U14" s="4" t="s">
        <v>4</v>
      </c>
      <c r="V14" s="4" t="s">
        <v>4</v>
      </c>
      <c r="W14" s="4" t="s">
        <v>4</v>
      </c>
      <c r="X14" s="4" t="s">
        <v>4</v>
      </c>
      <c r="Y14" s="30" t="s">
        <v>4</v>
      </c>
      <c r="Z14" s="22" t="s">
        <v>93</v>
      </c>
      <c r="AA14" t="s">
        <v>100</v>
      </c>
      <c r="AB14" t="s">
        <v>103</v>
      </c>
      <c r="AC14" t="s">
        <v>103</v>
      </c>
      <c r="AD14" s="28" t="s">
        <v>98</v>
      </c>
      <c r="AE14" t="s">
        <v>115</v>
      </c>
      <c r="AF14" t="s">
        <v>115</v>
      </c>
      <c r="AG14" s="8"/>
    </row>
    <row r="15" spans="1:33" x14ac:dyDescent="0.2">
      <c r="A15" s="11" t="s">
        <v>118</v>
      </c>
      <c r="B15" s="4" t="s">
        <v>24</v>
      </c>
      <c r="C15" s="4" t="s">
        <v>72</v>
      </c>
      <c r="D15" s="4" t="s">
        <v>98</v>
      </c>
      <c r="E15" s="4" t="s">
        <v>75</v>
      </c>
      <c r="F15" s="4" t="s">
        <v>94</v>
      </c>
      <c r="G15" s="4" t="s">
        <v>98</v>
      </c>
      <c r="H15" s="4" t="s">
        <v>101</v>
      </c>
      <c r="I15" s="30" t="s">
        <v>94</v>
      </c>
      <c r="J15" s="4" t="s">
        <v>4</v>
      </c>
      <c r="K15" s="30" t="s">
        <v>4</v>
      </c>
      <c r="L15" s="4" t="s">
        <v>4</v>
      </c>
      <c r="M15" s="30" t="s">
        <v>4</v>
      </c>
      <c r="N15" s="4" t="s">
        <v>4</v>
      </c>
      <c r="O15" s="30" t="s">
        <v>4</v>
      </c>
      <c r="P15" s="4" t="s">
        <v>4</v>
      </c>
      <c r="Q15" s="4" t="s">
        <v>4</v>
      </c>
      <c r="R15" s="4" t="s">
        <v>4</v>
      </c>
      <c r="S15" s="4" t="s">
        <v>4</v>
      </c>
      <c r="T15" s="30" t="s">
        <v>4</v>
      </c>
      <c r="U15" s="4" t="s">
        <v>103</v>
      </c>
      <c r="V15" s="4" t="s">
        <v>73</v>
      </c>
      <c r="W15" s="4" t="s">
        <v>4</v>
      </c>
      <c r="X15" s="4" t="s">
        <v>98</v>
      </c>
      <c r="Y15" s="30" t="s">
        <v>100</v>
      </c>
      <c r="Z15" s="4" t="s">
        <v>4</v>
      </c>
      <c r="AA15" s="4" t="s">
        <v>4</v>
      </c>
      <c r="AB15" s="4" t="s">
        <v>4</v>
      </c>
      <c r="AC15" s="4" t="s">
        <v>4</v>
      </c>
      <c r="AD15" s="30" t="s">
        <v>91</v>
      </c>
      <c r="AE15" s="19" t="s">
        <v>117</v>
      </c>
      <c r="AF15" s="19" t="s">
        <v>117</v>
      </c>
    </row>
    <row r="16" spans="1:33" x14ac:dyDescent="0.2">
      <c r="A16" s="11" t="s">
        <v>118</v>
      </c>
      <c r="B16" t="s">
        <v>32</v>
      </c>
      <c r="C16" t="s">
        <v>72</v>
      </c>
      <c r="D16" t="s">
        <v>74</v>
      </c>
      <c r="E16" t="s">
        <v>75</v>
      </c>
      <c r="F16" s="23" t="s">
        <v>75</v>
      </c>
      <c r="G16" t="s">
        <v>73</v>
      </c>
      <c r="H16" t="s">
        <v>81</v>
      </c>
      <c r="I16" s="31" t="s">
        <v>75</v>
      </c>
      <c r="J16" t="s">
        <v>4</v>
      </c>
      <c r="K16" s="28" t="s">
        <v>4</v>
      </c>
      <c r="L16" t="s">
        <v>4</v>
      </c>
      <c r="M16" s="28" t="s">
        <v>4</v>
      </c>
      <c r="N16" t="s">
        <v>4</v>
      </c>
      <c r="O16" s="28" t="s">
        <v>4</v>
      </c>
      <c r="P16" t="s">
        <v>4</v>
      </c>
      <c r="Q16" t="s">
        <v>4</v>
      </c>
      <c r="R16" t="s">
        <v>4</v>
      </c>
      <c r="S16" t="s">
        <v>4</v>
      </c>
      <c r="T16" s="28" t="s">
        <v>4</v>
      </c>
      <c r="U16" s="23" t="s">
        <v>73</v>
      </c>
      <c r="V16" t="s">
        <v>73</v>
      </c>
      <c r="W16" s="4" t="s">
        <v>4</v>
      </c>
      <c r="X16" t="s">
        <v>89</v>
      </c>
      <c r="Y16" s="28" t="s">
        <v>73</v>
      </c>
      <c r="Z16" t="s">
        <v>4</v>
      </c>
      <c r="AA16" t="s">
        <v>4</v>
      </c>
      <c r="AB16" t="s">
        <v>4</v>
      </c>
      <c r="AC16" t="s">
        <v>4</v>
      </c>
      <c r="AD16" s="28" t="s">
        <v>91</v>
      </c>
      <c r="AE16" t="s">
        <v>117</v>
      </c>
      <c r="AF16" t="s">
        <v>115</v>
      </c>
    </row>
    <row r="17" spans="1:34" x14ac:dyDescent="0.2">
      <c r="A17" s="27" t="s">
        <v>122</v>
      </c>
      <c r="B17" t="s">
        <v>26</v>
      </c>
      <c r="C17" t="s">
        <v>72</v>
      </c>
      <c r="D17" t="s">
        <v>89</v>
      </c>
      <c r="E17" t="s">
        <v>94</v>
      </c>
      <c r="F17" s="23" t="s">
        <v>75</v>
      </c>
      <c r="G17" t="s">
        <v>98</v>
      </c>
      <c r="H17" t="s">
        <v>99</v>
      </c>
      <c r="I17" s="31" t="s">
        <v>75</v>
      </c>
      <c r="J17" t="s">
        <v>4</v>
      </c>
      <c r="K17" s="28" t="s">
        <v>4</v>
      </c>
      <c r="L17" t="s">
        <v>4</v>
      </c>
      <c r="M17" s="28" t="s">
        <v>4</v>
      </c>
      <c r="N17" t="s">
        <v>4</v>
      </c>
      <c r="O17" s="28" t="s">
        <v>4</v>
      </c>
      <c r="P17" t="s">
        <v>4</v>
      </c>
      <c r="Q17" t="s">
        <v>4</v>
      </c>
      <c r="R17" t="s">
        <v>4</v>
      </c>
      <c r="S17" t="s">
        <v>4</v>
      </c>
      <c r="T17" s="28" t="s">
        <v>4</v>
      </c>
      <c r="U17" s="23" t="s">
        <v>100</v>
      </c>
      <c r="V17" t="s">
        <v>72</v>
      </c>
      <c r="W17" s="4" t="s">
        <v>4</v>
      </c>
      <c r="X17" s="8" t="s">
        <v>74</v>
      </c>
      <c r="Y17" s="28" t="s">
        <v>97</v>
      </c>
      <c r="Z17" s="8" t="s">
        <v>4</v>
      </c>
      <c r="AA17" s="8" t="s">
        <v>4</v>
      </c>
      <c r="AB17" t="s">
        <v>74</v>
      </c>
      <c r="AC17" t="s">
        <v>101</v>
      </c>
      <c r="AD17" s="28" t="s">
        <v>91</v>
      </c>
      <c r="AE17" t="s">
        <v>115</v>
      </c>
      <c r="AF17" t="s">
        <v>115</v>
      </c>
      <c r="AG17" s="8"/>
    </row>
    <row r="18" spans="1:34" x14ac:dyDescent="0.2">
      <c r="A18" s="27" t="s">
        <v>122</v>
      </c>
      <c r="B18" s="4" t="s">
        <v>27</v>
      </c>
      <c r="C18" s="4" t="s">
        <v>72</v>
      </c>
      <c r="D18" s="4" t="s">
        <v>94</v>
      </c>
      <c r="E18" s="4" t="s">
        <v>99</v>
      </c>
      <c r="F18" s="4" t="s">
        <v>75</v>
      </c>
      <c r="G18" s="4" t="s">
        <v>95</v>
      </c>
      <c r="H18" s="4" t="s">
        <v>94</v>
      </c>
      <c r="I18" s="30" t="s">
        <v>75</v>
      </c>
      <c r="J18" s="4" t="s">
        <v>4</v>
      </c>
      <c r="K18" s="30" t="s">
        <v>4</v>
      </c>
      <c r="L18" s="4" t="s">
        <v>4</v>
      </c>
      <c r="M18" s="30" t="s">
        <v>4</v>
      </c>
      <c r="N18" s="4" t="s">
        <v>4</v>
      </c>
      <c r="O18" s="30" t="s">
        <v>4</v>
      </c>
      <c r="P18" s="4" t="s">
        <v>4</v>
      </c>
      <c r="Q18" s="4" t="s">
        <v>4</v>
      </c>
      <c r="R18" s="4" t="s">
        <v>4</v>
      </c>
      <c r="S18" s="4" t="s">
        <v>4</v>
      </c>
      <c r="T18" s="30" t="s">
        <v>4</v>
      </c>
      <c r="U18" s="4" t="s">
        <v>73</v>
      </c>
      <c r="V18" s="4" t="s">
        <v>73</v>
      </c>
      <c r="W18" s="4" t="s">
        <v>99</v>
      </c>
      <c r="X18" s="4" t="s">
        <v>97</v>
      </c>
      <c r="Y18" s="30" t="s">
        <v>91</v>
      </c>
      <c r="Z18" s="4" t="s">
        <v>4</v>
      </c>
      <c r="AA18" s="4" t="s">
        <v>4</v>
      </c>
      <c r="AB18" s="4" t="s">
        <v>4</v>
      </c>
      <c r="AC18" s="4" t="s">
        <v>4</v>
      </c>
      <c r="AD18" s="30" t="s">
        <v>98</v>
      </c>
      <c r="AE18" s="19" t="s">
        <v>117</v>
      </c>
      <c r="AF18" s="19" t="s">
        <v>117</v>
      </c>
      <c r="AH18" s="4"/>
    </row>
    <row r="19" spans="1:34" x14ac:dyDescent="0.2">
      <c r="A19" s="27" t="s">
        <v>122</v>
      </c>
      <c r="B19" t="s">
        <v>28</v>
      </c>
      <c r="C19" t="s">
        <v>72</v>
      </c>
      <c r="D19" t="s">
        <v>95</v>
      </c>
      <c r="E19" t="s">
        <v>96</v>
      </c>
      <c r="F19" s="23" t="s">
        <v>75</v>
      </c>
      <c r="G19" t="s">
        <v>73</v>
      </c>
      <c r="H19" t="s">
        <v>100</v>
      </c>
      <c r="I19" s="31" t="s">
        <v>75</v>
      </c>
      <c r="J19" t="s">
        <v>4</v>
      </c>
      <c r="K19" s="28" t="s">
        <v>4</v>
      </c>
      <c r="L19" t="s">
        <v>4</v>
      </c>
      <c r="M19" s="28" t="s">
        <v>4</v>
      </c>
      <c r="N19" t="s">
        <v>4</v>
      </c>
      <c r="O19" s="28" t="s">
        <v>4</v>
      </c>
      <c r="P19" t="s">
        <v>4</v>
      </c>
      <c r="Q19" t="s">
        <v>4</v>
      </c>
      <c r="R19" t="s">
        <v>4</v>
      </c>
      <c r="S19" t="s">
        <v>4</v>
      </c>
      <c r="T19" s="28" t="s">
        <v>4</v>
      </c>
      <c r="U19" t="s">
        <v>93</v>
      </c>
      <c r="V19" t="s">
        <v>73</v>
      </c>
      <c r="W19" s="4" t="s">
        <v>4</v>
      </c>
      <c r="X19" t="s">
        <v>95</v>
      </c>
      <c r="Y19" s="28" t="s">
        <v>102</v>
      </c>
      <c r="Z19" t="s">
        <v>4</v>
      </c>
      <c r="AA19" t="s">
        <v>4</v>
      </c>
      <c r="AB19" t="s">
        <v>4</v>
      </c>
      <c r="AC19" t="s">
        <v>4</v>
      </c>
      <c r="AD19" s="28" t="s">
        <v>91</v>
      </c>
      <c r="AE19" t="s">
        <v>117</v>
      </c>
      <c r="AF19" t="s">
        <v>115</v>
      </c>
    </row>
  </sheetData>
  <conditionalFormatting sqref="AE4:AF19 AG17 AG13:AG14 AG9:AG11 AG4:AG7">
    <cfRule type="containsText" dxfId="1" priority="1" operator="containsText" text="yes">
      <formula>NOT(ISERROR(SEARCH("yes",AE4)))</formula>
    </cfRule>
    <cfRule type="containsText" dxfId="0" priority="2" operator="containsText" text="no">
      <formula>NOT(ISERROR(SEARCH("no",AE4)))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D8" sqref="D8"/>
    </sheetView>
  </sheetViews>
  <sheetFormatPr baseColWidth="10" defaultRowHeight="16" x14ac:dyDescent="0.2"/>
  <sheetData>
    <row r="1" spans="1:3" x14ac:dyDescent="0.2">
      <c r="A1" s="33" t="s">
        <v>67</v>
      </c>
      <c r="B1" s="33" t="s">
        <v>160</v>
      </c>
      <c r="C1" s="33" t="s">
        <v>159</v>
      </c>
    </row>
    <row r="2" spans="1:3" x14ac:dyDescent="0.2">
      <c r="A2" t="s">
        <v>22</v>
      </c>
      <c r="B2" t="s">
        <v>160</v>
      </c>
    </row>
    <row r="3" spans="1:3" x14ac:dyDescent="0.2">
      <c r="A3" t="s">
        <v>5</v>
      </c>
      <c r="B3" t="s">
        <v>160</v>
      </c>
    </row>
    <row r="4" spans="1:3" x14ac:dyDescent="0.2">
      <c r="A4" t="s">
        <v>18</v>
      </c>
      <c r="B4" t="s">
        <v>160</v>
      </c>
    </row>
    <row r="5" spans="1:3" x14ac:dyDescent="0.2">
      <c r="A5" t="s">
        <v>13</v>
      </c>
      <c r="B5" t="s">
        <v>160</v>
      </c>
    </row>
    <row r="6" spans="1:3" x14ac:dyDescent="0.2">
      <c r="A6" s="4" t="s">
        <v>23</v>
      </c>
      <c r="B6" t="s">
        <v>160</v>
      </c>
    </row>
    <row r="7" spans="1:3" x14ac:dyDescent="0.2">
      <c r="A7" s="4" t="s">
        <v>41</v>
      </c>
      <c r="B7" t="s">
        <v>160</v>
      </c>
    </row>
    <row r="8" spans="1:3" x14ac:dyDescent="0.2">
      <c r="A8" t="s">
        <v>39</v>
      </c>
      <c r="B8" t="s">
        <v>160</v>
      </c>
    </row>
    <row r="9" spans="1:3" x14ac:dyDescent="0.2">
      <c r="A9" t="s">
        <v>20</v>
      </c>
      <c r="B9" t="s">
        <v>160</v>
      </c>
    </row>
    <row r="10" spans="1:3" x14ac:dyDescent="0.2">
      <c r="A10" s="4" t="s">
        <v>25</v>
      </c>
      <c r="B10" t="s">
        <v>160</v>
      </c>
    </row>
    <row r="11" spans="1:3" x14ac:dyDescent="0.2">
      <c r="A11" t="s">
        <v>34</v>
      </c>
      <c r="B11" t="s">
        <v>160</v>
      </c>
    </row>
    <row r="12" spans="1:3" x14ac:dyDescent="0.2">
      <c r="A12" t="s">
        <v>36</v>
      </c>
      <c r="B12" t="s">
        <v>160</v>
      </c>
    </row>
    <row r="13" spans="1:3" x14ac:dyDescent="0.2">
      <c r="A13" s="4" t="s">
        <v>24</v>
      </c>
      <c r="B13" t="s">
        <v>4</v>
      </c>
    </row>
    <row r="14" spans="1:3" x14ac:dyDescent="0.2">
      <c r="A14" t="s">
        <v>32</v>
      </c>
      <c r="B14" t="s">
        <v>4</v>
      </c>
    </row>
    <row r="15" spans="1:3" x14ac:dyDescent="0.2">
      <c r="A15" t="s">
        <v>26</v>
      </c>
      <c r="B15" t="s">
        <v>4</v>
      </c>
    </row>
    <row r="16" spans="1:3" x14ac:dyDescent="0.2">
      <c r="A16" s="4" t="s">
        <v>27</v>
      </c>
      <c r="B16" t="s">
        <v>4</v>
      </c>
    </row>
    <row r="17" spans="1:2" x14ac:dyDescent="0.2">
      <c r="A17" t="s">
        <v>28</v>
      </c>
      <c r="B17" t="s">
        <v>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E2" sqref="E2"/>
    </sheetView>
  </sheetViews>
  <sheetFormatPr baseColWidth="10" defaultRowHeight="16" x14ac:dyDescent="0.2"/>
  <cols>
    <col min="2" max="2" width="11.6640625" bestFit="1" customWidth="1"/>
  </cols>
  <sheetData>
    <row r="1" spans="1:4" x14ac:dyDescent="0.2">
      <c r="A1" t="s">
        <v>110</v>
      </c>
      <c r="B1" t="s">
        <v>67</v>
      </c>
    </row>
    <row r="2" spans="1:4" x14ac:dyDescent="0.2">
      <c r="A2" t="s">
        <v>111</v>
      </c>
      <c r="B2" t="s">
        <v>34</v>
      </c>
      <c r="C2" t="s">
        <v>112</v>
      </c>
      <c r="D2" t="s">
        <v>113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xtal_annotation</vt:lpstr>
      <vt:lpstr>wt</vt:lpstr>
      <vt:lpstr>B1</vt:lpstr>
      <vt:lpstr>H2-T5 region</vt:lpstr>
      <vt:lpstr>anomalies</vt:lpstr>
      <vt:lpstr>ligand_alignment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Gaspar Pandy</dc:creator>
  <cp:lastModifiedBy>Gaspar Pandy</cp:lastModifiedBy>
  <dcterms:created xsi:type="dcterms:W3CDTF">2019-04-03T09:51:36Z</dcterms:created>
  <dcterms:modified xsi:type="dcterms:W3CDTF">2019-08-21T12:32:22Z</dcterms:modified>
</cp:coreProperties>
</file>