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0140" yWindow="-75" windowWidth="9225" windowHeight="8790" tabRatio="891" activeTab="4"/>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workbook>
</file>

<file path=xl/calcChain.xml><?xml version="1.0" encoding="utf-8"?>
<calcChain xmlns="http://schemas.openxmlformats.org/spreadsheetml/2006/main">
  <c r="D26" i="10"/>
  <c r="G123" i="2"/>
  <c r="F123"/>
  <c r="E123"/>
  <c r="D123"/>
  <c r="C123"/>
  <c r="H7" i="3"/>
  <c r="G7"/>
  <c r="F7"/>
  <c r="E7"/>
  <c r="D7"/>
  <c r="C7"/>
  <c r="B7"/>
  <c r="E238" i="10" s="1"/>
  <c r="E102" i="2"/>
  <c r="F102"/>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I444"/>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F336"/>
  <c r="E336"/>
  <c r="D336"/>
  <c r="C146"/>
  <c r="C14" i="11"/>
  <c r="C13"/>
  <c r="B12" i="9"/>
  <c r="P38"/>
  <c r="P14"/>
  <c r="L8"/>
  <c r="A5"/>
  <c r="A4"/>
  <c r="A3"/>
  <c r="E237" i="10"/>
  <c r="E235"/>
  <c r="E234"/>
  <c r="E233"/>
  <c r="E232"/>
  <c r="E231"/>
  <c r="E230"/>
  <c r="E229"/>
  <c r="E228"/>
  <c r="H178"/>
  <c r="F178"/>
  <c r="G177"/>
  <c r="F176"/>
  <c r="F174"/>
  <c r="F173"/>
  <c r="F171"/>
  <c r="F172"/>
  <c r="F170"/>
  <c r="F169"/>
  <c r="E169"/>
  <c r="F168"/>
  <c r="F167"/>
  <c r="E166"/>
  <c r="F166"/>
  <c r="F165"/>
  <c r="I152"/>
  <c r="H152"/>
  <c r="D148"/>
  <c r="E148"/>
  <c r="F148"/>
  <c r="G148"/>
  <c r="H148"/>
  <c r="I147"/>
  <c r="H147"/>
  <c r="G147"/>
  <c r="F147"/>
  <c r="E147"/>
  <c r="D147"/>
  <c r="C147"/>
  <c r="K25"/>
  <c r="J25"/>
  <c r="I25"/>
  <c r="H25"/>
  <c r="K24"/>
  <c r="J24"/>
  <c r="I24"/>
  <c r="H24"/>
  <c r="K23"/>
  <c r="J23"/>
  <c r="I23"/>
  <c r="H23"/>
  <c r="K22"/>
  <c r="J22"/>
  <c r="I22"/>
  <c r="H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K138"/>
  <c r="J138"/>
  <c r="I138"/>
  <c r="H138"/>
  <c r="K136"/>
  <c r="J136"/>
  <c r="I136"/>
  <c r="H136"/>
  <c r="K135"/>
  <c r="J135"/>
  <c r="I135"/>
  <c r="H135"/>
  <c r="K133"/>
  <c r="J133"/>
  <c r="I133"/>
  <c r="H133"/>
  <c r="K131"/>
  <c r="J131"/>
  <c r="I131"/>
  <c r="H131"/>
  <c r="K123"/>
  <c r="H123"/>
  <c r="G123"/>
  <c r="F123"/>
  <c r="E123"/>
  <c r="D123"/>
  <c r="O123" s="1"/>
  <c r="K119"/>
  <c r="J119"/>
  <c r="I119"/>
  <c r="H119"/>
  <c r="K118"/>
  <c r="J118"/>
  <c r="I118"/>
  <c r="H118"/>
  <c r="K117"/>
  <c r="J117"/>
  <c r="I117"/>
  <c r="H117"/>
  <c r="K115"/>
  <c r="J115"/>
  <c r="I115"/>
  <c r="H115"/>
  <c r="K114"/>
  <c r="J114"/>
  <c r="I114"/>
  <c r="H114"/>
  <c r="K113"/>
  <c r="J113"/>
  <c r="I113"/>
  <c r="H113"/>
  <c r="K112"/>
  <c r="J112"/>
  <c r="I112"/>
  <c r="H112"/>
  <c r="K111"/>
  <c r="J111"/>
  <c r="I111"/>
  <c r="H111"/>
  <c r="K109"/>
  <c r="J109"/>
  <c r="I109"/>
  <c r="H109"/>
  <c r="K108"/>
  <c r="J108"/>
  <c r="I108"/>
  <c r="H108"/>
  <c r="K107"/>
  <c r="J107"/>
  <c r="I107"/>
  <c r="H107"/>
  <c r="K101"/>
  <c r="H101"/>
  <c r="G101"/>
  <c r="F101"/>
  <c r="E101"/>
  <c r="D101"/>
  <c r="M101" s="1"/>
  <c r="K97"/>
  <c r="J97"/>
  <c r="I97"/>
  <c r="H97"/>
  <c r="J96"/>
  <c r="J95"/>
  <c r="J94"/>
  <c r="J93"/>
  <c r="K92"/>
  <c r="J92"/>
  <c r="I92"/>
  <c r="H92"/>
  <c r="K91"/>
  <c r="K105" s="1"/>
  <c r="J91"/>
  <c r="J105" s="1"/>
  <c r="I91"/>
  <c r="I105" s="1"/>
  <c r="H91"/>
  <c r="H105" s="1"/>
  <c r="I90"/>
  <c r="I154" s="1"/>
  <c r="H90"/>
  <c r="H154" s="1"/>
  <c r="J89"/>
  <c r="J88"/>
  <c r="J87"/>
  <c r="J86"/>
  <c r="K85"/>
  <c r="J85"/>
  <c r="I85"/>
  <c r="H85"/>
  <c r="K84"/>
  <c r="K103" s="1"/>
  <c r="J84"/>
  <c r="J103" s="1"/>
  <c r="I84"/>
  <c r="I103" s="1"/>
  <c r="H84"/>
  <c r="H103" s="1"/>
  <c r="I83"/>
  <c r="H83"/>
  <c r="K82"/>
  <c r="J82"/>
  <c r="I82"/>
  <c r="H82"/>
  <c r="J79"/>
  <c r="H79"/>
  <c r="G79"/>
  <c r="C79"/>
  <c r="J78"/>
  <c r="L78" s="1"/>
  <c r="J77"/>
  <c r="G77"/>
  <c r="H77"/>
  <c r="C77"/>
  <c r="J76"/>
  <c r="L76"/>
  <c r="K61"/>
  <c r="J61"/>
  <c r="I61"/>
  <c r="H61"/>
  <c r="M72"/>
  <c r="M71"/>
  <c r="M70"/>
  <c r="M57"/>
  <c r="M56"/>
  <c r="M55"/>
  <c r="BO28" i="6"/>
  <c r="BG29"/>
  <c r="AY28"/>
  <c r="AQ28"/>
  <c r="K47" i="10"/>
  <c r="J47"/>
  <c r="I47"/>
  <c r="H47"/>
  <c r="K35"/>
  <c r="K124" s="1"/>
  <c r="J35"/>
  <c r="J124" s="1"/>
  <c r="I35"/>
  <c r="I124" s="1"/>
  <c r="H35"/>
  <c r="H124" s="1"/>
  <c r="G35"/>
  <c r="G124" s="1"/>
  <c r="F35"/>
  <c r="F124" s="1"/>
  <c r="E35"/>
  <c r="E124" s="1"/>
  <c r="D35"/>
  <c r="D124" s="1"/>
  <c r="C35"/>
  <c r="C124" s="1"/>
  <c r="K34"/>
  <c r="K102" s="1"/>
  <c r="J34"/>
  <c r="J102"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0"/>
  <c r="L13"/>
  <c r="K10"/>
  <c r="J10"/>
  <c r="I10"/>
  <c r="H10"/>
  <c r="G10"/>
  <c r="F10"/>
  <c r="E10"/>
  <c r="D10"/>
  <c r="C10"/>
  <c r="J272" i="5"/>
  <c r="J271"/>
  <c r="I272"/>
  <c r="I271"/>
  <c r="H272"/>
  <c r="H271"/>
  <c r="G272"/>
  <c r="G271"/>
  <c r="F272"/>
  <c r="F271"/>
  <c r="E272"/>
  <c r="E271"/>
  <c r="F85" i="8"/>
  <c r="E85"/>
  <c r="D85"/>
  <c r="F83"/>
  <c r="E83"/>
  <c r="D83"/>
  <c r="F70"/>
  <c r="D88" s="1"/>
  <c r="C38" i="11" s="1"/>
  <c r="I38" s="1"/>
  <c r="K20" i="8"/>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I17" i="1"/>
  <c r="K129" i="2"/>
  <c r="A6" i="9" l="1"/>
  <c r="G178" i="10"/>
  <c r="F175"/>
  <c r="C26" i="11"/>
  <c r="C27"/>
  <c r="C15"/>
  <c r="C17" s="1"/>
  <c r="D89" i="8"/>
  <c r="A10" i="9"/>
  <c r="I62" i="10"/>
  <c r="I130" s="1"/>
  <c r="K128"/>
  <c r="K62"/>
  <c r="K130" s="1"/>
  <c r="I128"/>
  <c r="L17"/>
  <c r="L21"/>
  <c r="L147"/>
  <c r="I68"/>
  <c r="I66"/>
  <c r="I129" s="1"/>
  <c r="H128"/>
  <c r="H62"/>
  <c r="H63" s="1"/>
  <c r="H125"/>
  <c r="H67"/>
  <c r="J128"/>
  <c r="J62"/>
  <c r="J66" s="1"/>
  <c r="J129" s="1"/>
  <c r="J125"/>
  <c r="J67"/>
  <c r="K68"/>
  <c r="K66"/>
  <c r="K129" s="1"/>
  <c r="O124"/>
  <c r="F180" s="1"/>
  <c r="J63"/>
  <c r="I64"/>
  <c r="L148"/>
  <c r="K26"/>
  <c r="K143" s="1"/>
  <c r="I63"/>
  <c r="K63"/>
  <c r="I65"/>
  <c r="I81" s="1"/>
  <c r="K65"/>
  <c r="K81" s="1"/>
  <c r="I67"/>
  <c r="K67"/>
  <c r="I69"/>
  <c r="K69"/>
  <c r="I125"/>
  <c r="K125"/>
  <c r="L18"/>
  <c r="H26"/>
  <c r="H143" s="1"/>
  <c r="J26"/>
  <c r="J143" s="1"/>
  <c r="I26"/>
  <c r="I143" s="1"/>
  <c r="L79"/>
  <c r="L77"/>
  <c r="I48"/>
  <c r="I52" s="1"/>
  <c r="I126" s="1"/>
  <c r="K48"/>
  <c r="K52" s="1"/>
  <c r="K126" s="1"/>
  <c r="K50"/>
  <c r="I51"/>
  <c r="I80" s="1"/>
  <c r="K51"/>
  <c r="K80" s="1"/>
  <c r="I53"/>
  <c r="K53"/>
  <c r="I54"/>
  <c r="K54"/>
  <c r="H48"/>
  <c r="H52" s="1"/>
  <c r="H126" s="1"/>
  <c r="J48"/>
  <c r="J54" s="1"/>
  <c r="H49"/>
  <c r="J49"/>
  <c r="H50"/>
  <c r="J50"/>
  <c r="H51"/>
  <c r="H80" s="1"/>
  <c r="J51"/>
  <c r="J80" s="1"/>
  <c r="H53"/>
  <c r="J53"/>
  <c r="L31"/>
  <c r="L30"/>
  <c r="L19"/>
  <c r="L10"/>
  <c r="L12"/>
  <c r="L14"/>
  <c r="L11"/>
  <c r="L15"/>
  <c r="L16"/>
  <c r="D90" i="8"/>
  <c r="E68" i="6"/>
  <c r="L64"/>
  <c r="T64"/>
  <c r="AB64"/>
  <c r="AJ69"/>
  <c r="AR69"/>
  <c r="AZ64"/>
  <c r="BH70"/>
  <c r="BO64"/>
  <c r="E124" i="2"/>
  <c r="D67" i="3" s="1"/>
  <c r="E67" i="6"/>
  <c r="L65"/>
  <c r="T65"/>
  <c r="AB65"/>
  <c r="AJ68"/>
  <c r="AR68"/>
  <c r="AZ63"/>
  <c r="BH69"/>
  <c r="D128" i="3"/>
  <c r="J130" i="2"/>
  <c r="D45" i="1"/>
  <c r="F45"/>
  <c r="E19" i="2"/>
  <c r="G19"/>
  <c r="I19"/>
  <c r="K19"/>
  <c r="E41"/>
  <c r="G41"/>
  <c r="I41"/>
  <c r="K41"/>
  <c r="E91"/>
  <c r="G91"/>
  <c r="I91"/>
  <c r="K91"/>
  <c r="K46" i="1"/>
  <c r="H128" i="2"/>
  <c r="H130" s="1"/>
  <c r="F128"/>
  <c r="F130" s="1"/>
  <c r="F122"/>
  <c r="D128"/>
  <c r="D130" s="1"/>
  <c r="D122"/>
  <c r="D124" s="1"/>
  <c r="C128"/>
  <c r="C130" s="1"/>
  <c r="B67" i="3" s="1"/>
  <c r="C11" i="2"/>
  <c r="C45" i="1"/>
  <c r="K45" s="1"/>
  <c r="E45"/>
  <c r="G45"/>
  <c r="I45"/>
  <c r="F19" i="2"/>
  <c r="H19"/>
  <c r="J19"/>
  <c r="L19"/>
  <c r="J41"/>
  <c r="L41"/>
  <c r="E61" i="10" l="1"/>
  <c r="E23"/>
  <c r="E22"/>
  <c r="E47"/>
  <c r="E77" i="6"/>
  <c r="C22" i="10"/>
  <c r="C47"/>
  <c r="C16" i="11"/>
  <c r="C23"/>
  <c r="C71" s="1"/>
  <c r="I26"/>
  <c r="C73"/>
  <c r="C39"/>
  <c r="I39" s="1"/>
  <c r="I50" i="10"/>
  <c r="I49"/>
  <c r="K64"/>
  <c r="J127"/>
  <c r="J65"/>
  <c r="J81" s="1"/>
  <c r="J69"/>
  <c r="J130"/>
  <c r="J64"/>
  <c r="J68"/>
  <c r="H65"/>
  <c r="H81" s="1"/>
  <c r="H69"/>
  <c r="H130"/>
  <c r="H64"/>
  <c r="H68"/>
  <c r="I127"/>
  <c r="H127"/>
  <c r="H66"/>
  <c r="H129" s="1"/>
  <c r="K127"/>
  <c r="J52"/>
  <c r="J126" s="1"/>
  <c r="K49"/>
  <c r="H54"/>
  <c r="BO60" i="6"/>
  <c r="BH61"/>
  <c r="AB60"/>
  <c r="T60"/>
  <c r="L60"/>
  <c r="E59"/>
  <c r="BH62"/>
  <c r="AZ59"/>
  <c r="AR61"/>
  <c r="AJ61"/>
  <c r="E60"/>
  <c r="T75"/>
  <c r="S34"/>
  <c r="S35" s="1"/>
  <c r="T15"/>
  <c r="T76"/>
  <c r="S41"/>
  <c r="E29"/>
  <c r="E30" s="1"/>
  <c r="E14"/>
  <c r="D78" i="3"/>
  <c r="F139"/>
  <c r="D17" i="4"/>
  <c r="D14" i="5"/>
  <c r="F8" i="3"/>
  <c r="AJ14" i="6" s="1"/>
  <c r="C15" i="2"/>
  <c r="E8" i="3"/>
  <c r="AB14" i="6" s="1"/>
  <c r="E9" i="3"/>
  <c r="F9"/>
  <c r="G8"/>
  <c r="AR14" i="6" s="1"/>
  <c r="B8" i="3"/>
  <c r="E13" i="6" s="1"/>
  <c r="I7" i="3"/>
  <c r="C8"/>
  <c r="L14" i="6" s="1"/>
  <c r="J7" i="3"/>
  <c r="C9"/>
  <c r="D8"/>
  <c r="T14" i="6" s="1"/>
  <c r="H8" i="3"/>
  <c r="AZ14" i="6" s="1"/>
  <c r="C67" i="3"/>
  <c r="C128"/>
  <c r="F78"/>
  <c r="D9" i="4"/>
  <c r="D23" s="1"/>
  <c r="L91" i="2"/>
  <c r="M41"/>
  <c r="M19"/>
  <c r="B128" i="3"/>
  <c r="T25" i="6" l="1"/>
  <c r="E135" i="10"/>
  <c r="E97"/>
  <c r="T77" i="6"/>
  <c r="E24" i="10"/>
  <c r="E82" s="1"/>
  <c r="E62"/>
  <c r="E130" s="1"/>
  <c r="E128"/>
  <c r="E64"/>
  <c r="E63"/>
  <c r="E65"/>
  <c r="E81" s="1"/>
  <c r="E67"/>
  <c r="E69"/>
  <c r="E125"/>
  <c r="T78" i="6"/>
  <c r="D54" s="1"/>
  <c r="E107" i="10"/>
  <c r="E25"/>
  <c r="E26" s="1"/>
  <c r="E143" s="1"/>
  <c r="E48"/>
  <c r="E51"/>
  <c r="E80" s="1"/>
  <c r="E54"/>
  <c r="D22"/>
  <c r="D47"/>
  <c r="D23"/>
  <c r="D61"/>
  <c r="C48"/>
  <c r="C54" s="1"/>
  <c r="C50"/>
  <c r="C53"/>
  <c r="C61"/>
  <c r="C23"/>
  <c r="F34"/>
  <c r="F102" s="1"/>
  <c r="F32"/>
  <c r="F149" s="1"/>
  <c r="D34"/>
  <c r="D102" s="1"/>
  <c r="D32"/>
  <c r="D149" s="1"/>
  <c r="G34"/>
  <c r="G102" s="1"/>
  <c r="G33"/>
  <c r="D39" s="1"/>
  <c r="D40" s="1"/>
  <c r="G32"/>
  <c r="G149" s="1"/>
  <c r="C101" i="11"/>
  <c r="C100"/>
  <c r="C106"/>
  <c r="C102"/>
  <c r="C103"/>
  <c r="C99"/>
  <c r="C97"/>
  <c r="C104"/>
  <c r="C98"/>
  <c r="C105"/>
  <c r="C88"/>
  <c r="C89"/>
  <c r="C84"/>
  <c r="C92"/>
  <c r="C96"/>
  <c r="C81"/>
  <c r="C85"/>
  <c r="C93"/>
  <c r="C82"/>
  <c r="C86"/>
  <c r="C90"/>
  <c r="C94"/>
  <c r="C83"/>
  <c r="C87"/>
  <c r="C91"/>
  <c r="C95"/>
  <c r="C80"/>
  <c r="C70"/>
  <c r="C65"/>
  <c r="C66"/>
  <c r="C74"/>
  <c r="C69"/>
  <c r="C64"/>
  <c r="C68"/>
  <c r="C72"/>
  <c r="C63"/>
  <c r="C67"/>
  <c r="E78" i="6"/>
  <c r="E38"/>
  <c r="E36"/>
  <c r="K36"/>
  <c r="L76"/>
  <c r="BW38"/>
  <c r="S45"/>
  <c r="T18"/>
  <c r="S42"/>
  <c r="T20" s="1"/>
  <c r="S17" i="7"/>
  <c r="L17"/>
  <c r="F17"/>
  <c r="Z17"/>
  <c r="T17" i="6"/>
  <c r="S47"/>
  <c r="S39"/>
  <c r="T16" s="1"/>
  <c r="L75"/>
  <c r="L15"/>
  <c r="K29"/>
  <c r="K30" s="1"/>
  <c r="S15" i="7"/>
  <c r="F15"/>
  <c r="Z15"/>
  <c r="L15"/>
  <c r="G9" i="3"/>
  <c r="E41" i="6"/>
  <c r="D139" i="3"/>
  <c r="B17" i="4"/>
  <c r="E41"/>
  <c r="E94"/>
  <c r="E139" i="3"/>
  <c r="C17" i="4"/>
  <c r="D24" i="10" s="1"/>
  <c r="D82" s="1"/>
  <c r="G124" i="2"/>
  <c r="I123"/>
  <c r="I124" s="1"/>
  <c r="K123"/>
  <c r="K124" s="1"/>
  <c r="F124"/>
  <c r="H123"/>
  <c r="H124" s="1"/>
  <c r="J123"/>
  <c r="J124" s="1"/>
  <c r="C9" i="4"/>
  <c r="C23" s="1"/>
  <c r="E78" i="3"/>
  <c r="J8"/>
  <c r="I8"/>
  <c r="E34" i="6"/>
  <c r="E15" s="1"/>
  <c r="E16"/>
  <c r="B9" i="4"/>
  <c r="B23" s="1"/>
  <c r="H9" i="3"/>
  <c r="D9"/>
  <c r="B9"/>
  <c r="T23" i="6" l="1"/>
  <c r="E133" i="10"/>
  <c r="E92"/>
  <c r="E90"/>
  <c r="E154" s="1"/>
  <c r="E91"/>
  <c r="E105" s="1"/>
  <c r="E52"/>
  <c r="E126" s="1"/>
  <c r="E50"/>
  <c r="E127"/>
  <c r="T21" i="6"/>
  <c r="E152" i="10"/>
  <c r="E84"/>
  <c r="E103" s="1"/>
  <c r="E131"/>
  <c r="E85"/>
  <c r="E83"/>
  <c r="E53"/>
  <c r="E49"/>
  <c r="E66"/>
  <c r="E129" s="1"/>
  <c r="E68"/>
  <c r="L23" i="6"/>
  <c r="D135" i="10"/>
  <c r="D97"/>
  <c r="D62"/>
  <c r="D63" s="1"/>
  <c r="D128"/>
  <c r="D125"/>
  <c r="D64"/>
  <c r="D130"/>
  <c r="D68"/>
  <c r="D66"/>
  <c r="D129" s="1"/>
  <c r="D48"/>
  <c r="D52" s="1"/>
  <c r="D126" s="1"/>
  <c r="D53"/>
  <c r="E79" i="6"/>
  <c r="C24" i="10"/>
  <c r="C62"/>
  <c r="C68"/>
  <c r="C65"/>
  <c r="C69"/>
  <c r="C125"/>
  <c r="C128"/>
  <c r="C66"/>
  <c r="C63"/>
  <c r="C67"/>
  <c r="C130"/>
  <c r="E22" i="6"/>
  <c r="C135" i="10"/>
  <c r="C97"/>
  <c r="C52"/>
  <c r="C49"/>
  <c r="C127"/>
  <c r="C51"/>
  <c r="I34"/>
  <c r="I102" s="1"/>
  <c r="I32"/>
  <c r="I149" s="1"/>
  <c r="E32"/>
  <c r="E149" s="1"/>
  <c r="E34"/>
  <c r="E102" s="1"/>
  <c r="H34"/>
  <c r="H102" s="1"/>
  <c r="H33"/>
  <c r="E39" s="1"/>
  <c r="E40" s="1"/>
  <c r="H32"/>
  <c r="H149" s="1"/>
  <c r="C33"/>
  <c r="C34"/>
  <c r="C32"/>
  <c r="E224" i="5"/>
  <c r="BW37" i="6"/>
  <c r="G10" i="7"/>
  <c r="J9" i="3"/>
  <c r="BP14" i="6"/>
  <c r="BW39"/>
  <c r="S44"/>
  <c r="T19" s="1"/>
  <c r="S48"/>
  <c r="E17"/>
  <c r="B14" i="5"/>
  <c r="I9" i="3"/>
  <c r="BH14" i="6"/>
  <c r="C14" i="5"/>
  <c r="L77" i="6"/>
  <c r="Z16" i="7"/>
  <c r="S16"/>
  <c r="L16"/>
  <c r="F16"/>
  <c r="K42" i="6"/>
  <c r="L17"/>
  <c r="K34"/>
  <c r="L16" s="1"/>
  <c r="K40"/>
  <c r="K39" s="1"/>
  <c r="L19" s="1"/>
  <c r="K37"/>
  <c r="L20" s="1"/>
  <c r="L18"/>
  <c r="E39"/>
  <c r="E37" s="1"/>
  <c r="E18" s="1"/>
  <c r="F224" i="5"/>
  <c r="G224" s="1"/>
  <c r="D41" i="4"/>
  <c r="D94"/>
  <c r="G67" i="3"/>
  <c r="G128"/>
  <c r="J128"/>
  <c r="J67"/>
  <c r="F128"/>
  <c r="F67"/>
  <c r="E225" i="5"/>
  <c r="C41" i="4"/>
  <c r="C94"/>
  <c r="I67" i="3"/>
  <c r="I128"/>
  <c r="E67"/>
  <c r="E128"/>
  <c r="H128"/>
  <c r="H67"/>
  <c r="D7" i="5"/>
  <c r="D20" s="1"/>
  <c r="G22" i="10" l="1"/>
  <c r="G47"/>
  <c r="G61"/>
  <c r="G23"/>
  <c r="D54"/>
  <c r="D50"/>
  <c r="D65"/>
  <c r="D81" s="1"/>
  <c r="F22"/>
  <c r="F47"/>
  <c r="F23"/>
  <c r="L23" s="1"/>
  <c r="F61"/>
  <c r="D131"/>
  <c r="D152"/>
  <c r="D85"/>
  <c r="D84"/>
  <c r="D103" s="1"/>
  <c r="D83"/>
  <c r="L22" i="6"/>
  <c r="D133" i="10"/>
  <c r="D92"/>
  <c r="D91"/>
  <c r="D105" s="1"/>
  <c r="D90"/>
  <c r="L78" i="6"/>
  <c r="C54" s="1"/>
  <c r="D25" i="10"/>
  <c r="D143" s="1"/>
  <c r="D107"/>
  <c r="K43" i="6"/>
  <c r="D127" i="10"/>
  <c r="D51"/>
  <c r="D80" s="1"/>
  <c r="D49"/>
  <c r="D69"/>
  <c r="D67"/>
  <c r="E80" i="6"/>
  <c r="B54" s="1"/>
  <c r="C107" i="10"/>
  <c r="C25"/>
  <c r="C126"/>
  <c r="E20" i="6"/>
  <c r="C131" i="10"/>
  <c r="C84"/>
  <c r="C85"/>
  <c r="C133"/>
  <c r="C92"/>
  <c r="C91"/>
  <c r="C80"/>
  <c r="C129"/>
  <c r="C81"/>
  <c r="C64"/>
  <c r="C82"/>
  <c r="C26"/>
  <c r="E19" i="6"/>
  <c r="E279" i="10"/>
  <c r="G213"/>
  <c r="G12" i="7"/>
  <c r="E280" i="10"/>
  <c r="F214"/>
  <c r="H212"/>
  <c r="E281"/>
  <c r="F215"/>
  <c r="G212"/>
  <c r="C149"/>
  <c r="L32"/>
  <c r="L12" i="9" s="1"/>
  <c r="C39" i="10"/>
  <c r="L33"/>
  <c r="F14" i="9" s="1"/>
  <c r="C102" i="10"/>
  <c r="M102" s="1"/>
  <c r="L34"/>
  <c r="AZ15" i="6"/>
  <c r="AZ72"/>
  <c r="AY27"/>
  <c r="AA34"/>
  <c r="AB76"/>
  <c r="BH80"/>
  <c r="BG35"/>
  <c r="C97" i="4"/>
  <c r="E21" i="6"/>
  <c r="AZ73"/>
  <c r="AY34"/>
  <c r="AB75"/>
  <c r="AA27"/>
  <c r="AA28" s="1"/>
  <c r="AB15"/>
  <c r="BH79"/>
  <c r="BH15"/>
  <c r="BG28"/>
  <c r="AJ81"/>
  <c r="AI34"/>
  <c r="BO72"/>
  <c r="BO34"/>
  <c r="AR80"/>
  <c r="AQ27"/>
  <c r="AR15"/>
  <c r="L21"/>
  <c r="H10" i="7"/>
  <c r="H12" s="1"/>
  <c r="E42" i="6"/>
  <c r="AI27"/>
  <c r="AI28" s="1"/>
  <c r="AJ15"/>
  <c r="AJ80"/>
  <c r="BO71"/>
  <c r="BO27"/>
  <c r="BP15"/>
  <c r="AR81"/>
  <c r="AQ34"/>
  <c r="BW33"/>
  <c r="BW36"/>
  <c r="E101" s="1"/>
  <c r="H9" i="4"/>
  <c r="J78" i="3"/>
  <c r="G139"/>
  <c r="E17" i="4"/>
  <c r="F24" i="10" s="1"/>
  <c r="F82" s="1"/>
  <c r="K128" i="3"/>
  <c r="D137" s="1"/>
  <c r="K139"/>
  <c r="I17" i="4"/>
  <c r="H78" i="3"/>
  <c r="F9" i="4"/>
  <c r="L78" i="3"/>
  <c r="J9" i="4"/>
  <c r="I139" i="3"/>
  <c r="G17" i="4"/>
  <c r="AR82" i="6" s="1"/>
  <c r="G14" i="5"/>
  <c r="AR83" i="6" s="1"/>
  <c r="G54" s="1"/>
  <c r="F36" i="5"/>
  <c r="F106"/>
  <c r="H17" i="4"/>
  <c r="AZ74" i="6" s="1"/>
  <c r="J139" i="3"/>
  <c r="H14" i="5"/>
  <c r="AZ75" i="6" s="1"/>
  <c r="H54" s="1"/>
  <c r="E9" i="4"/>
  <c r="E23" s="1"/>
  <c r="G78" i="3"/>
  <c r="K67"/>
  <c r="D76" s="1"/>
  <c r="K78"/>
  <c r="I9" i="4"/>
  <c r="I23" s="1"/>
  <c r="BH24" i="6" s="1"/>
  <c r="C44" i="4"/>
  <c r="B7" i="5"/>
  <c r="B20" s="1"/>
  <c r="F17" i="4"/>
  <c r="H139" i="3"/>
  <c r="F14" i="5"/>
  <c r="J17" i="4"/>
  <c r="BO73" i="6" s="1"/>
  <c r="L139" i="3"/>
  <c r="J14" i="5"/>
  <c r="BO74" i="6" s="1"/>
  <c r="J54" s="1"/>
  <c r="I78" i="3"/>
  <c r="G9" i="4"/>
  <c r="G23" s="1"/>
  <c r="AR23" i="6" s="1"/>
  <c r="C7" i="5"/>
  <c r="C20" s="1"/>
  <c r="G48" i="10" l="1"/>
  <c r="G52" s="1"/>
  <c r="G126" s="1"/>
  <c r="G127"/>
  <c r="AJ83" i="6"/>
  <c r="G107" i="10"/>
  <c r="G25"/>
  <c r="AJ82" i="6"/>
  <c r="G24" i="10"/>
  <c r="G82" s="1"/>
  <c r="G125"/>
  <c r="G128"/>
  <c r="G62"/>
  <c r="G130" s="1"/>
  <c r="G66"/>
  <c r="G129" s="1"/>
  <c r="G69"/>
  <c r="L22"/>
  <c r="L82"/>
  <c r="B26" i="9" s="1"/>
  <c r="AB23" i="6"/>
  <c r="F135" i="10"/>
  <c r="F97"/>
  <c r="F128"/>
  <c r="O128" s="1"/>
  <c r="F125"/>
  <c r="O125" s="1"/>
  <c r="F62"/>
  <c r="F63" s="1"/>
  <c r="F66"/>
  <c r="F64"/>
  <c r="M61"/>
  <c r="F48"/>
  <c r="F51" s="1"/>
  <c r="F50"/>
  <c r="F53"/>
  <c r="F127"/>
  <c r="F52"/>
  <c r="M47"/>
  <c r="L24"/>
  <c r="O127"/>
  <c r="E138"/>
  <c r="E114"/>
  <c r="E136"/>
  <c r="E108"/>
  <c r="D154"/>
  <c r="C103"/>
  <c r="E240"/>
  <c r="H184"/>
  <c r="G184"/>
  <c r="C89"/>
  <c r="C88"/>
  <c r="C87"/>
  <c r="L87" s="1"/>
  <c r="C86"/>
  <c r="L86" s="1"/>
  <c r="E245"/>
  <c r="H188"/>
  <c r="G188"/>
  <c r="E260"/>
  <c r="G193"/>
  <c r="E24" i="11" s="1"/>
  <c r="C96" i="10"/>
  <c r="C95"/>
  <c r="C94"/>
  <c r="L94" s="1"/>
  <c r="J155" s="1"/>
  <c r="L155" s="1"/>
  <c r="C93"/>
  <c r="L93" s="1"/>
  <c r="C143"/>
  <c r="C105"/>
  <c r="F179"/>
  <c r="D32" i="9"/>
  <c r="E236" i="10"/>
  <c r="F40"/>
  <c r="G39"/>
  <c r="C40"/>
  <c r="G40" s="1"/>
  <c r="E239"/>
  <c r="D14" i="11" s="1"/>
  <c r="L149" i="10"/>
  <c r="E282"/>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7" i="6"/>
  <c r="F108" i="5"/>
  <c r="T28" i="6"/>
  <c r="F38" i="5"/>
  <c r="T26" i="6"/>
  <c r="D10" s="1"/>
  <c r="D85" s="1"/>
  <c r="E36" i="5"/>
  <c r="E106"/>
  <c r="H94" i="4"/>
  <c r="AR22" i="6" s="1"/>
  <c r="H41" i="4"/>
  <c r="D106" i="5"/>
  <c r="D36"/>
  <c r="J94" i="4"/>
  <c r="J41"/>
  <c r="BH21" i="6" s="1"/>
  <c r="F41" i="4"/>
  <c r="F94"/>
  <c r="D79" i="3"/>
  <c r="E177" i="5" s="1"/>
  <c r="J23" i="4"/>
  <c r="BP23" i="6" s="1"/>
  <c r="F23" i="4"/>
  <c r="D140" i="3"/>
  <c r="F177" i="5" s="1"/>
  <c r="H23" i="4"/>
  <c r="AZ23" i="6" s="1"/>
  <c r="G26" i="10" l="1"/>
  <c r="G143" s="1"/>
  <c r="G65"/>
  <c r="G81" s="1"/>
  <c r="G64"/>
  <c r="M64" s="1"/>
  <c r="G67"/>
  <c r="G68"/>
  <c r="G49"/>
  <c r="G53"/>
  <c r="G54"/>
  <c r="G50"/>
  <c r="AJ23" i="6"/>
  <c r="G135" i="10"/>
  <c r="O135" s="1"/>
  <c r="G97"/>
  <c r="M53"/>
  <c r="M50"/>
  <c r="L97"/>
  <c r="G63"/>
  <c r="M63" s="1"/>
  <c r="G51"/>
  <c r="G80" s="1"/>
  <c r="D28" i="11"/>
  <c r="AB22" i="6"/>
  <c r="F133" i="10"/>
  <c r="F92"/>
  <c r="F91"/>
  <c r="F90"/>
  <c r="E244"/>
  <c r="F150"/>
  <c r="F80"/>
  <c r="L80" s="1"/>
  <c r="M51"/>
  <c r="F129"/>
  <c r="O129" s="1"/>
  <c r="M66"/>
  <c r="F65"/>
  <c r="M62"/>
  <c r="AB21" i="6"/>
  <c r="F152" i="10"/>
  <c r="F131"/>
  <c r="F85"/>
  <c r="F84"/>
  <c r="F83"/>
  <c r="AB78" i="6"/>
  <c r="E54" s="1"/>
  <c r="F25" i="10"/>
  <c r="F107"/>
  <c r="M107" s="1"/>
  <c r="B32" i="9" s="1"/>
  <c r="F126" i="10"/>
  <c r="O126" s="1"/>
  <c r="M52"/>
  <c r="E242" s="1"/>
  <c r="F187"/>
  <c r="F183"/>
  <c r="F54"/>
  <c r="M48"/>
  <c r="F49"/>
  <c r="M49" s="1"/>
  <c r="F68"/>
  <c r="M68" s="1"/>
  <c r="F69"/>
  <c r="F130"/>
  <c r="O130" s="1"/>
  <c r="F67"/>
  <c r="M67" s="1"/>
  <c r="E113"/>
  <c r="E111"/>
  <c r="E109"/>
  <c r="E112"/>
  <c r="E110"/>
  <c r="E119"/>
  <c r="E117"/>
  <c r="E115"/>
  <c r="E118"/>
  <c r="E116"/>
  <c r="D138"/>
  <c r="D114"/>
  <c r="D136"/>
  <c r="D108"/>
  <c r="L95"/>
  <c r="L106"/>
  <c r="M106" s="1"/>
  <c r="J153"/>
  <c r="L153" s="1"/>
  <c r="L26" i="9"/>
  <c r="L89" i="10"/>
  <c r="L132"/>
  <c r="E277"/>
  <c r="E275"/>
  <c r="F211"/>
  <c r="H208"/>
  <c r="E276"/>
  <c r="F210"/>
  <c r="G209"/>
  <c r="E278" s="1"/>
  <c r="G208"/>
  <c r="C136"/>
  <c r="C108"/>
  <c r="E272"/>
  <c r="G205"/>
  <c r="E274" s="1"/>
  <c r="F207"/>
  <c r="H204"/>
  <c r="E273"/>
  <c r="E271"/>
  <c r="F206"/>
  <c r="G204"/>
  <c r="C138"/>
  <c r="C114"/>
  <c r="L96"/>
  <c r="L134"/>
  <c r="O134" s="1"/>
  <c r="L104"/>
  <c r="M104" s="1"/>
  <c r="L88"/>
  <c r="N28" i="9"/>
  <c r="D23" i="11"/>
  <c r="F43" i="10"/>
  <c r="F42"/>
  <c r="F41"/>
  <c r="G41" s="1"/>
  <c r="N16" i="9" s="1"/>
  <c r="CB31" i="6"/>
  <c r="BW31" s="1"/>
  <c r="J97" i="4"/>
  <c r="BH23" i="6"/>
  <c r="G7" i="5"/>
  <c r="G20" s="1"/>
  <c r="AR21" i="6"/>
  <c r="L10" i="7"/>
  <c r="L12" s="1"/>
  <c r="AA41" i="6"/>
  <c r="CB32" s="1"/>
  <c r="I10" i="7"/>
  <c r="J10"/>
  <c r="J12" s="1"/>
  <c r="I54" i="6"/>
  <c r="BG38"/>
  <c r="BH19" s="1"/>
  <c r="E108" i="5"/>
  <c r="L25" i="6"/>
  <c r="E38" i="5"/>
  <c r="L24" i="6"/>
  <c r="C10" s="1"/>
  <c r="C85" s="1"/>
  <c r="D108" i="5"/>
  <c r="E24" i="6"/>
  <c r="D38" i="5"/>
  <c r="E23" i="6"/>
  <c r="G41" i="4"/>
  <c r="G94"/>
  <c r="E255" i="10" s="1"/>
  <c r="K41" i="4"/>
  <c r="K94"/>
  <c r="BP22" i="6" s="1"/>
  <c r="E7" i="5"/>
  <c r="E20" s="1"/>
  <c r="I41" i="4"/>
  <c r="I94"/>
  <c r="AZ22" i="6" s="1"/>
  <c r="J44" i="4"/>
  <c r="I7" i="5"/>
  <c r="I20" s="1"/>
  <c r="I36"/>
  <c r="I106"/>
  <c r="F151" i="10" l="1"/>
  <c r="E249"/>
  <c r="E151"/>
  <c r="L151" s="1"/>
  <c r="E248"/>
  <c r="G152"/>
  <c r="G84"/>
  <c r="G103" s="1"/>
  <c r="G131"/>
  <c r="G85"/>
  <c r="G83"/>
  <c r="G189"/>
  <c r="L83"/>
  <c r="L85"/>
  <c r="L152"/>
  <c r="G192"/>
  <c r="AJ22" i="6"/>
  <c r="G133" i="10"/>
  <c r="O133" s="1"/>
  <c r="G92"/>
  <c r="G90"/>
  <c r="G154" s="1"/>
  <c r="G91"/>
  <c r="G105" s="1"/>
  <c r="E250"/>
  <c r="E254"/>
  <c r="O131"/>
  <c r="E259"/>
  <c r="L92"/>
  <c r="L69"/>
  <c r="M69"/>
  <c r="E150"/>
  <c r="L150" s="1"/>
  <c r="L20" i="9"/>
  <c r="E243" i="10"/>
  <c r="M54"/>
  <c r="L54"/>
  <c r="P24" i="9"/>
  <c r="D35" i="11"/>
  <c r="L25" i="10"/>
  <c r="F26"/>
  <c r="F103"/>
  <c r="M103" s="1"/>
  <c r="L84"/>
  <c r="F81"/>
  <c r="L81" s="1"/>
  <c r="M65"/>
  <c r="F154"/>
  <c r="L154" s="1"/>
  <c r="L90"/>
  <c r="H23" i="9"/>
  <c r="E241" i="10"/>
  <c r="F186"/>
  <c r="F181"/>
  <c r="F182"/>
  <c r="F105"/>
  <c r="M105" s="1"/>
  <c r="L91"/>
  <c r="H29" i="9" s="1"/>
  <c r="E247" i="10"/>
  <c r="E158"/>
  <c r="L158" s="1"/>
  <c r="M116"/>
  <c r="E156"/>
  <c r="L156" s="1"/>
  <c r="M110"/>
  <c r="E99" i="6"/>
  <c r="D112" i="10"/>
  <c r="D109"/>
  <c r="D113"/>
  <c r="D111"/>
  <c r="D119"/>
  <c r="D118"/>
  <c r="D117"/>
  <c r="D115"/>
  <c r="C113"/>
  <c r="C111"/>
  <c r="C112"/>
  <c r="C109"/>
  <c r="C115"/>
  <c r="C119"/>
  <c r="C118"/>
  <c r="C117"/>
  <c r="O132"/>
  <c r="P30" i="9"/>
  <c r="I12" i="7"/>
  <c r="M142" i="10"/>
  <c r="G42"/>
  <c r="G43"/>
  <c r="N142"/>
  <c r="AJ21" i="6"/>
  <c r="K10" i="7"/>
  <c r="K12" s="1"/>
  <c r="C107" i="4"/>
  <c r="BW23" i="6"/>
  <c r="J7" i="5"/>
  <c r="J20" s="1"/>
  <c r="BP21" i="6"/>
  <c r="C54" i="4"/>
  <c r="BW22" i="6"/>
  <c r="H7" i="5"/>
  <c r="H20" s="1"/>
  <c r="AZ21" i="6"/>
  <c r="M10" i="7"/>
  <c r="M12" s="1"/>
  <c r="E100" i="6"/>
  <c r="BW32"/>
  <c r="B10"/>
  <c r="B85" s="1"/>
  <c r="I38" i="5"/>
  <c r="AR24" i="6"/>
  <c r="I108" i="5"/>
  <c r="AR25" i="6"/>
  <c r="G36" i="5"/>
  <c r="G106"/>
  <c r="L36"/>
  <c r="L106"/>
  <c r="F7"/>
  <c r="F20" s="1"/>
  <c r="J36"/>
  <c r="J106"/>
  <c r="K36"/>
  <c r="K106"/>
  <c r="E257" i="10" l="1"/>
  <c r="F195"/>
  <c r="E23" i="11"/>
  <c r="F136" i="10"/>
  <c r="F108"/>
  <c r="F138"/>
  <c r="F114"/>
  <c r="E256"/>
  <c r="F194"/>
  <c r="F185"/>
  <c r="E246"/>
  <c r="D13" i="11" s="1"/>
  <c r="D15" s="1"/>
  <c r="F143" i="10"/>
  <c r="O143" s="1"/>
  <c r="G35" i="11" s="1"/>
  <c r="L26" i="10"/>
  <c r="L57"/>
  <c r="L55"/>
  <c r="N140"/>
  <c r="L56"/>
  <c r="M140"/>
  <c r="O140" s="1"/>
  <c r="B20" i="9"/>
  <c r="N141" i="10"/>
  <c r="L71"/>
  <c r="M141"/>
  <c r="O141" s="1"/>
  <c r="L70"/>
  <c r="N22" i="9" s="1"/>
  <c r="L72" i="10"/>
  <c r="D27" i="11"/>
  <c r="F190" i="10"/>
  <c r="E251"/>
  <c r="K7" i="5"/>
  <c r="K20" s="1"/>
  <c r="E253" i="10"/>
  <c r="F32" i="7"/>
  <c r="E258" i="10"/>
  <c r="G32" i="7"/>
  <c r="F191" i="10"/>
  <c r="E35" i="11"/>
  <c r="E252" i="10"/>
  <c r="E13" i="11" s="1"/>
  <c r="O142" i="10"/>
  <c r="P18" i="9" s="1"/>
  <c r="K38" i="5"/>
  <c r="BH25" i="6"/>
  <c r="J38" i="5"/>
  <c r="AZ24" i="6"/>
  <c r="L108" i="5"/>
  <c r="BP25" i="6"/>
  <c r="G108" i="5"/>
  <c r="AB25" i="6"/>
  <c r="K108" i="5"/>
  <c r="BH26" i="6"/>
  <c r="J108" i="5"/>
  <c r="AZ25" i="6"/>
  <c r="L38" i="5"/>
  <c r="BP24" i="6"/>
  <c r="G38" i="5"/>
  <c r="AB24" i="6"/>
  <c r="E10" s="1"/>
  <c r="E85" s="1"/>
  <c r="G10"/>
  <c r="G85" s="1"/>
  <c r="H36" i="5"/>
  <c r="H106"/>
  <c r="G114" i="10" l="1"/>
  <c r="G138"/>
  <c r="G136"/>
  <c r="G108"/>
  <c r="E27" i="11"/>
  <c r="F113" i="10"/>
  <c r="F112"/>
  <c r="F111"/>
  <c r="F109"/>
  <c r="F119"/>
  <c r="F118"/>
  <c r="F117"/>
  <c r="F115"/>
  <c r="D16" i="11"/>
  <c r="D17"/>
  <c r="D94"/>
  <c r="D105"/>
  <c r="D96"/>
  <c r="D71"/>
  <c r="D29"/>
  <c r="D82"/>
  <c r="D57"/>
  <c r="D95"/>
  <c r="D70"/>
  <c r="D80"/>
  <c r="D89"/>
  <c r="D55"/>
  <c r="D69"/>
  <c r="D74"/>
  <c r="D54"/>
  <c r="D93"/>
  <c r="D60"/>
  <c r="D98"/>
  <c r="D73"/>
  <c r="D53"/>
  <c r="D92"/>
  <c r="D67"/>
  <c r="D37"/>
  <c r="D64"/>
  <c r="D81"/>
  <c r="D100"/>
  <c r="D62"/>
  <c r="D87"/>
  <c r="D106"/>
  <c r="D68"/>
  <c r="D101"/>
  <c r="D63"/>
  <c r="D88"/>
  <c r="D91"/>
  <c r="D72"/>
  <c r="D58"/>
  <c r="D83"/>
  <c r="D102"/>
  <c r="D97"/>
  <c r="D59"/>
  <c r="D84"/>
  <c r="D103"/>
  <c r="D65"/>
  <c r="D90"/>
  <c r="D51"/>
  <c r="D85"/>
  <c r="D104"/>
  <c r="D66"/>
  <c r="D52"/>
  <c r="D99"/>
  <c r="D61"/>
  <c r="D86"/>
  <c r="M106" i="5"/>
  <c r="M36"/>
  <c r="H32" i="7"/>
  <c r="E29" i="11"/>
  <c r="E86"/>
  <c r="E102"/>
  <c r="E91"/>
  <c r="E84"/>
  <c r="E100"/>
  <c r="E89"/>
  <c r="E105"/>
  <c r="E73"/>
  <c r="E63"/>
  <c r="E62"/>
  <c r="E65"/>
  <c r="E64"/>
  <c r="E52"/>
  <c r="E90"/>
  <c r="E106"/>
  <c r="E95"/>
  <c r="E80"/>
  <c r="E96"/>
  <c r="E85"/>
  <c r="E101"/>
  <c r="E72"/>
  <c r="E68"/>
  <c r="E66"/>
  <c r="E69"/>
  <c r="E67"/>
  <c r="E37"/>
  <c r="E43" s="1"/>
  <c r="E94"/>
  <c r="E83"/>
  <c r="E99"/>
  <c r="E92"/>
  <c r="E81"/>
  <c r="E97"/>
  <c r="E71"/>
  <c r="E54"/>
  <c r="E70"/>
  <c r="E57"/>
  <c r="E55"/>
  <c r="E53"/>
  <c r="E56" s="1"/>
  <c r="E82"/>
  <c r="E98"/>
  <c r="E87"/>
  <c r="E103"/>
  <c r="E88"/>
  <c r="E104"/>
  <c r="E93"/>
  <c r="E74"/>
  <c r="E59"/>
  <c r="E58"/>
  <c r="E61"/>
  <c r="E60"/>
  <c r="E51"/>
  <c r="E14"/>
  <c r="E15" s="1"/>
  <c r="J10" i="6"/>
  <c r="J85" s="1"/>
  <c r="H38" i="5"/>
  <c r="AJ24" i="6"/>
  <c r="H108" i="5"/>
  <c r="AJ25" i="6"/>
  <c r="H10"/>
  <c r="H85" s="1"/>
  <c r="I10"/>
  <c r="I85" s="1"/>
  <c r="G112" i="10" l="1"/>
  <c r="G109"/>
  <c r="G113"/>
  <c r="G111"/>
  <c r="G119"/>
  <c r="G117"/>
  <c r="G118"/>
  <c r="G115"/>
  <c r="D43" i="11"/>
  <c r="D42"/>
  <c r="D56"/>
  <c r="E17"/>
  <c r="E16"/>
  <c r="L138" i="10"/>
  <c r="O138" s="1"/>
  <c r="L114"/>
  <c r="M114" s="1"/>
  <c r="M108" i="5"/>
  <c r="BW25" i="6"/>
  <c r="E117" i="5"/>
  <c r="L108" i="10"/>
  <c r="M108" s="1"/>
  <c r="L136"/>
  <c r="O136" s="1"/>
  <c r="M38" i="5"/>
  <c r="G25" i="7" s="1"/>
  <c r="BW24" i="6"/>
  <c r="E47" i="5"/>
  <c r="E42" i="11"/>
  <c r="G26" i="7"/>
  <c r="E97" i="6"/>
  <c r="E98"/>
  <c r="BW30"/>
  <c r="F10"/>
  <c r="F85" s="1"/>
  <c r="K10" l="1"/>
  <c r="K85" s="1"/>
  <c r="E48" i="5"/>
  <c r="G197" i="10" s="1"/>
  <c r="E261"/>
  <c r="L109"/>
  <c r="M109" s="1"/>
  <c r="L113"/>
  <c r="M113" s="1"/>
  <c r="L112"/>
  <c r="M112" s="1"/>
  <c r="L111"/>
  <c r="M111" s="1"/>
  <c r="F198"/>
  <c r="M137"/>
  <c r="N137"/>
  <c r="H196"/>
  <c r="G196"/>
  <c r="BW29" i="6"/>
  <c r="L10" s="1"/>
  <c r="L85" s="1"/>
  <c r="G222" i="10" s="1"/>
  <c r="G24" i="11" s="1"/>
  <c r="E118" i="5"/>
  <c r="G201" i="10" s="1"/>
  <c r="E269" s="1"/>
  <c r="E266"/>
  <c r="L119"/>
  <c r="M119" s="1"/>
  <c r="L117"/>
  <c r="M117" s="1"/>
  <c r="K159" s="1"/>
  <c r="L159" s="1"/>
  <c r="E270" s="1"/>
  <c r="L118"/>
  <c r="M118" s="1"/>
  <c r="L115"/>
  <c r="M115" s="1"/>
  <c r="G200"/>
  <c r="M139"/>
  <c r="N139"/>
  <c r="F203" s="1"/>
  <c r="F202"/>
  <c r="H200"/>
  <c r="F35" i="11"/>
  <c r="E92" i="6"/>
  <c r="D189" s="1"/>
  <c r="N10" i="7"/>
  <c r="D164" i="6" l="1"/>
  <c r="E287" i="10"/>
  <c r="G14" i="11" s="1"/>
  <c r="D92" i="6"/>
  <c r="E283" i="10" s="1"/>
  <c r="D154" i="6"/>
  <c r="I35" i="11"/>
  <c r="F199" i="10"/>
  <c r="F27" i="11" s="1"/>
  <c r="E268" i="10"/>
  <c r="E263"/>
  <c r="F36" i="11"/>
  <c r="I36" s="1"/>
  <c r="E264" i="10"/>
  <c r="F24" i="11"/>
  <c r="I24" s="1"/>
  <c r="F23"/>
  <c r="N34" i="9"/>
  <c r="N41" s="1"/>
  <c r="N43" s="1"/>
  <c r="N12" i="7"/>
  <c r="H41" i="11" s="1"/>
  <c r="I41" s="1"/>
  <c r="E289" i="10"/>
  <c r="E288"/>
  <c r="E290"/>
  <c r="H14" i="11" s="1"/>
  <c r="F223" i="10"/>
  <c r="H27" i="11" s="1"/>
  <c r="H25"/>
  <c r="O139" i="10"/>
  <c r="E267"/>
  <c r="O137"/>
  <c r="P36" i="9" s="1"/>
  <c r="P41" s="1"/>
  <c r="P43" s="1"/>
  <c r="E262" i="10"/>
  <c r="K157"/>
  <c r="L157" s="1"/>
  <c r="E265" s="1"/>
  <c r="L32" i="9"/>
  <c r="L41" s="1"/>
  <c r="L43" s="1"/>
  <c r="G40" i="11"/>
  <c r="I40" s="1"/>
  <c r="F28"/>
  <c r="I28" s="1"/>
  <c r="E93" i="6"/>
  <c r="E285" i="10"/>
  <c r="F221"/>
  <c r="E286"/>
  <c r="G221"/>
  <c r="G136" i="6"/>
  <c r="C59" i="11"/>
  <c r="C52"/>
  <c r="C60"/>
  <c r="C53"/>
  <c r="C54"/>
  <c r="C57"/>
  <c r="C58"/>
  <c r="C51"/>
  <c r="C29"/>
  <c r="C55"/>
  <c r="C61"/>
  <c r="C62"/>
  <c r="C37"/>
  <c r="F13" l="1"/>
  <c r="F136" i="6"/>
  <c r="F218" i="10" s="1"/>
  <c r="G220"/>
  <c r="D93" i="6"/>
  <c r="F220" i="10"/>
  <c r="F92" i="6"/>
  <c r="F93" s="1"/>
  <c r="E284" i="10"/>
  <c r="H29" i="11"/>
  <c r="I25"/>
  <c r="H37"/>
  <c r="F58"/>
  <c r="F70"/>
  <c r="F73"/>
  <c r="F53"/>
  <c r="F56" s="1"/>
  <c r="F59"/>
  <c r="F37"/>
  <c r="F43" s="1"/>
  <c r="F68"/>
  <c r="F64"/>
  <c r="F66"/>
  <c r="F74"/>
  <c r="F55"/>
  <c r="F72"/>
  <c r="F29"/>
  <c r="F51"/>
  <c r="F69"/>
  <c r="F52"/>
  <c r="F67"/>
  <c r="F14"/>
  <c r="H82"/>
  <c r="H84"/>
  <c r="H85"/>
  <c r="H101"/>
  <c r="H73"/>
  <c r="H57"/>
  <c r="H74"/>
  <c r="H102"/>
  <c r="H104"/>
  <c r="H95"/>
  <c r="H61"/>
  <c r="H71"/>
  <c r="H68"/>
  <c r="H106"/>
  <c r="H81"/>
  <c r="H97"/>
  <c r="H65"/>
  <c r="H52"/>
  <c r="H70"/>
  <c r="H94"/>
  <c r="H96"/>
  <c r="H91"/>
  <c r="H51"/>
  <c r="H63"/>
  <c r="H64"/>
  <c r="H98"/>
  <c r="H100"/>
  <c r="H93"/>
  <c r="H55"/>
  <c r="H67"/>
  <c r="H66"/>
  <c r="H86"/>
  <c r="H88"/>
  <c r="H87"/>
  <c r="H103"/>
  <c r="H53"/>
  <c r="H59"/>
  <c r="H90"/>
  <c r="H92"/>
  <c r="H89"/>
  <c r="H58"/>
  <c r="H62"/>
  <c r="H72"/>
  <c r="H80"/>
  <c r="H83"/>
  <c r="H99"/>
  <c r="H69"/>
  <c r="H54"/>
  <c r="H60"/>
  <c r="H105"/>
  <c r="H13"/>
  <c r="H15" s="1"/>
  <c r="F42"/>
  <c r="F217" i="10"/>
  <c r="F219"/>
  <c r="G217"/>
  <c r="G13" i="11"/>
  <c r="C42"/>
  <c r="C56"/>
  <c r="C43"/>
  <c r="F216" i="10" l="1"/>
  <c r="G216"/>
  <c r="F15" i="11"/>
  <c r="I14"/>
  <c r="H43"/>
  <c r="H42"/>
  <c r="H56"/>
  <c r="H16"/>
  <c r="H17"/>
  <c r="I13"/>
  <c r="G15"/>
  <c r="G23"/>
  <c r="G27"/>
  <c r="F17" l="1"/>
  <c r="F16"/>
  <c r="G37"/>
  <c r="I27"/>
  <c r="G29"/>
  <c r="I29" s="1"/>
  <c r="G104"/>
  <c r="I104" s="1"/>
  <c r="G96"/>
  <c r="I96" s="1"/>
  <c r="G88"/>
  <c r="I88" s="1"/>
  <c r="G80"/>
  <c r="I80" s="1"/>
  <c r="G97"/>
  <c r="I97" s="1"/>
  <c r="G89"/>
  <c r="I89" s="1"/>
  <c r="G81"/>
  <c r="I81" s="1"/>
  <c r="G102"/>
  <c r="I102" s="1"/>
  <c r="G94"/>
  <c r="I94" s="1"/>
  <c r="G86"/>
  <c r="I86" s="1"/>
  <c r="G103"/>
  <c r="I103" s="1"/>
  <c r="G95"/>
  <c r="I95" s="1"/>
  <c r="G87"/>
  <c r="I87" s="1"/>
  <c r="G106"/>
  <c r="I106" s="1"/>
  <c r="G69"/>
  <c r="I69" s="1"/>
  <c r="G61"/>
  <c r="I61" s="1"/>
  <c r="G52"/>
  <c r="I52" s="1"/>
  <c r="G64"/>
  <c r="I64" s="1"/>
  <c r="G55"/>
  <c r="I55" s="1"/>
  <c r="G73"/>
  <c r="I73" s="1"/>
  <c r="G71"/>
  <c r="I71" s="1"/>
  <c r="G63"/>
  <c r="I63" s="1"/>
  <c r="G54"/>
  <c r="I54" s="1"/>
  <c r="G66"/>
  <c r="I66" s="1"/>
  <c r="G58"/>
  <c r="I58" s="1"/>
  <c r="G72"/>
  <c r="I72" s="1"/>
  <c r="G100"/>
  <c r="I100" s="1"/>
  <c r="G92"/>
  <c r="I92" s="1"/>
  <c r="G84"/>
  <c r="I84" s="1"/>
  <c r="G101"/>
  <c r="I101" s="1"/>
  <c r="G93"/>
  <c r="I93" s="1"/>
  <c r="G85"/>
  <c r="I85" s="1"/>
  <c r="G105"/>
  <c r="I105" s="1"/>
  <c r="G98"/>
  <c r="I98" s="1"/>
  <c r="G90"/>
  <c r="I90" s="1"/>
  <c r="G82"/>
  <c r="I82" s="1"/>
  <c r="G99"/>
  <c r="I99" s="1"/>
  <c r="G91"/>
  <c r="I91" s="1"/>
  <c r="G83"/>
  <c r="I83" s="1"/>
  <c r="G65"/>
  <c r="I65" s="1"/>
  <c r="G57"/>
  <c r="I57" s="1"/>
  <c r="G68"/>
  <c r="I68" s="1"/>
  <c r="G60"/>
  <c r="I60" s="1"/>
  <c r="G51"/>
  <c r="I51" s="1"/>
  <c r="G74"/>
  <c r="I74" s="1"/>
  <c r="G67"/>
  <c r="I67" s="1"/>
  <c r="G59"/>
  <c r="I59" s="1"/>
  <c r="G70"/>
  <c r="I70" s="1"/>
  <c r="G62"/>
  <c r="I62" s="1"/>
  <c r="G53"/>
  <c r="I23"/>
  <c r="G17"/>
  <c r="I17" s="1"/>
  <c r="G16"/>
  <c r="I16" s="1"/>
  <c r="I15"/>
  <c r="G56" l="1"/>
  <c r="I56" s="1"/>
  <c r="I53"/>
  <c r="G43"/>
  <c r="I43" s="1"/>
  <c r="G42"/>
  <c r="I42" s="1"/>
  <c r="I37"/>
</calcChain>
</file>

<file path=xl/sharedStrings.xml><?xml version="1.0" encoding="utf-8"?>
<sst xmlns="http://schemas.openxmlformats.org/spreadsheetml/2006/main" count="4037" uniqueCount="1495">
  <si>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</si>
  <si>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</si>
  <si>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</si>
  <si>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</si>
  <si>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</si>
  <si>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</si>
  <si>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</si>
  <si>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</si>
  <si>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</si>
  <si>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</si>
  <si>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</si>
  <si>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</si>
  <si>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</si>
  <si>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</si>
  <si>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</si>
  <si>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</si>
  <si>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</si>
  <si>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</si>
  <si>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</si>
  <si>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</si>
  <si>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</si>
  <si>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</si>
  <si>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</si>
  <si>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</si>
  <si>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</si>
  <si>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</si>
  <si>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</si>
  <si>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</si>
  <si>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</si>
  <si>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</si>
  <si>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</si>
  <si>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</si>
  <si>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</si>
  <si>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</si>
  <si>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</si>
  <si>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</si>
  <si>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</si>
  <si>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</si>
  <si>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</si>
  <si>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</si>
  <si>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</si>
  <si>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</si>
  <si>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</si>
  <si>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</si>
  <si>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</si>
  <si>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</si>
  <si>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</si>
  <si>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</si>
  <si>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</si>
  <si>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</si>
  <si>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</si>
  <si>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</si>
  <si>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</si>
  <si>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</si>
  <si>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</si>
  <si>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</si>
  <si>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</si>
  <si>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</si>
  <si>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</si>
  <si>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</si>
  <si>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</si>
  <si>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</si>
  <si>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</si>
  <si>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</si>
  <si>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</si>
  <si>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</si>
  <si>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</si>
  <si>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</si>
  <si>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</si>
  <si>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</si>
  <si>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</si>
  <si>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</si>
  <si>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</si>
  <si>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</si>
  <si>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</si>
  <si>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</si>
  <si>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</si>
  <si>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</si>
  <si>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</si>
  <si>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</si>
  <si>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</si>
  <si>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</si>
  <si>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</si>
  <si>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</si>
  <si>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</si>
  <si>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</si>
  <si>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</si>
  <si>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</si>
  <si>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</si>
  <si>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</si>
  <si>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</si>
  <si>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</si>
  <si>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</si>
  <si>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</si>
  <si>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</si>
  <si>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</si>
  <si>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</si>
  <si>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</si>
  <si>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</si>
  <si>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</si>
  <si>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</si>
  <si>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</si>
  <si>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</si>
  <si>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</si>
  <si>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</si>
  <si>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</si>
  <si>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</si>
  <si>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</si>
  <si>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</si>
  <si>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</si>
  <si>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</si>
  <si>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</si>
  <si>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</si>
  <si>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</si>
  <si>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</si>
  <si>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</si>
  <si>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</si>
  <si>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</si>
  <si>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</si>
  <si>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</si>
  <si>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</si>
  <si>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</si>
  <si>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</si>
  <si>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</si>
  <si>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</si>
  <si>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</si>
  <si>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</si>
  <si>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</si>
  <si>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</si>
  <si>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</si>
  <si>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</si>
  <si>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</si>
  <si>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</si>
  <si>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</si>
  <si>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</si>
  <si>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</si>
  <si>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</si>
  <si>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</si>
  <si>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</si>
  <si>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</si>
  <si>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</si>
  <si>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</si>
  <si>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</si>
  <si>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</si>
  <si>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</si>
  <si>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</si>
  <si>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</si>
  <si>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</si>
  <si>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</si>
  <si>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</si>
  <si>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</si>
  <si>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</si>
  <si>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</si>
  <si>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</si>
  <si>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</si>
  <si>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</si>
  <si>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</si>
  <si>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</si>
  <si>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</si>
  <si>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</si>
  <si>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</si>
  <si>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</si>
  <si>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</si>
  <si>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</si>
  <si>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</si>
  <si>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</si>
  <si>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</si>
  <si>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</si>
  <si>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</si>
  <si>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</si>
  <si>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</si>
  <si>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</si>
  <si>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</si>
  <si>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</si>
  <si>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</si>
  <si>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</si>
  <si>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</si>
  <si>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</si>
  <si>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</si>
  <si>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</si>
  <si>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</si>
  <si>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</si>
  <si>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</si>
  <si>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</si>
  <si>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</si>
  <si>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</si>
  <si>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</si>
  <si>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</si>
  <si>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</si>
  <si>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</si>
  <si>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</si>
  <si>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</si>
  <si>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</si>
  <si>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</si>
  <si>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</si>
  <si>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</si>
  <si>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</si>
  <si>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</si>
  <si>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</si>
  <si>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</si>
  <si>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</si>
  <si>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</si>
  <si>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</si>
  <si>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</si>
  <si>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</si>
  <si>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</si>
  <si>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</si>
  <si>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</si>
  <si>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</si>
  <si>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</si>
  <si>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</si>
  <si>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</si>
  <si>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</si>
  <si>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</si>
  <si>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</si>
  <si>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</si>
  <si>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</si>
  <si>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</si>
  <si>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</si>
  <si>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</si>
  <si>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</si>
  <si>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</si>
  <si>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</si>
  <si>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</si>
  <si>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</si>
  <si>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</si>
  <si>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</si>
  <si>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</si>
  <si>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</si>
  <si>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</si>
  <si>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</si>
  <si>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</si>
  <si>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</si>
  <si>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</si>
  <si>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</si>
  <si>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</si>
  <si>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</si>
  <si>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</si>
  <si>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</si>
  <si>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</si>
  <si>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</si>
  <si>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</si>
  <si>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</si>
  <si>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</si>
  <si>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</si>
  <si>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</si>
  <si>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</si>
  <si>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</si>
  <si>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</si>
  <si>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</si>
  <si>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</si>
  <si>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</si>
  <si>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</si>
  <si>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</si>
  <si>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</si>
  <si>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</si>
  <si>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</si>
  <si>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</si>
  <si>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</si>
  <si>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</si>
  <si>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</si>
  <si>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</si>
  <si>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</si>
  <si>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</si>
  <si>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</si>
  <si>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</si>
  <si>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</si>
  <si>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</si>
  <si>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</si>
  <si>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</si>
  <si>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</si>
  <si>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</si>
  <si>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</si>
  <si>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</si>
  <si>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</si>
  <si>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</si>
  <si>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</si>
  <si>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</si>
  <si>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</si>
  <si>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</si>
  <si>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</si>
  <si>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</si>
  <si>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</si>
  <si>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</si>
  <si>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</si>
  <si>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</si>
  <si>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</si>
  <si>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</si>
  <si>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</si>
  <si>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</si>
  <si>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</si>
  <si>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</si>
  <si>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</si>
  <si>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</si>
  <si>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</si>
  <si>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</si>
  <si>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</si>
  <si>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</si>
  <si>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</si>
  <si>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</si>
  <si>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</si>
  <si>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</si>
  <si>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</si>
  <si>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</si>
  <si>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</si>
  <si>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</si>
  <si>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</si>
  <si>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</si>
  <si>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</si>
  <si>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</si>
  <si>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</si>
  <si>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</si>
  <si>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</si>
  <si>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</si>
  <si>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</si>
  <si>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</si>
  <si>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</si>
  <si>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</si>
  <si>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</si>
  <si>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</si>
  <si>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</si>
  <si>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</si>
  <si>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</si>
  <si>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</si>
  <si>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</si>
  <si>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</si>
  <si>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</si>
  <si>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</si>
  <si>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</si>
  <si>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</si>
  <si>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</si>
  <si>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</si>
  <si>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</si>
  <si>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</si>
  <si>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</si>
  <si>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</si>
  <si>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</si>
  <si>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</si>
  <si>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</si>
  <si>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</si>
  <si>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</si>
  <si>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</si>
  <si>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</si>
  <si>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</si>
  <si>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</si>
  <si>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</si>
  <si>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</si>
  <si>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</si>
  <si>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</si>
  <si>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</si>
  <si>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</si>
  <si>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</si>
  <si>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</si>
  <si>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</si>
  <si>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</si>
  <si>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</si>
  <si>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</si>
  <si>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</si>
  <si>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</si>
  <si>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</si>
  <si>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</si>
  <si>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</si>
  <si>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</si>
  <si>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</si>
  <si>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</si>
  <si>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</si>
  <si>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</si>
  <si>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</si>
  <si>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</si>
  <si>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</si>
  <si>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</si>
  <si>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</si>
  <si>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</si>
  <si>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</si>
  <si>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</si>
  <si>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</si>
  <si>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</si>
  <si>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</si>
  <si>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</si>
  <si>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</si>
  <si>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</si>
  <si>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</si>
  <si>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</si>
  <si>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</si>
  <si>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</si>
  <si>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</si>
  <si>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</si>
  <si>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</si>
  <si>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</si>
  <si>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</si>
  <si>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</si>
  <si>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</si>
  <si>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</si>
  <si>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</si>
  <si>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</si>
  <si>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</si>
  <si>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</si>
  <si>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</si>
  <si>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</si>
  <si>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</si>
  <si>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</si>
  <si>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</si>
  <si>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</si>
  <si>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</si>
  <si>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</si>
  <si>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</si>
  <si>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</si>
  <si>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</si>
  <si>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</si>
  <si>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</si>
  <si>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</si>
  <si>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</si>
  <si>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</si>
  <si>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</si>
  <si>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</si>
  <si>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</si>
  <si>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</si>
  <si>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</si>
  <si>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</si>
  <si>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</si>
  <si>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</si>
  <si>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</si>
  <si>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</si>
  <si>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</si>
  <si>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</si>
  <si>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</si>
  <si>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</si>
  <si>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</si>
  <si>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</si>
  <si>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</si>
  <si>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</si>
  <si>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</si>
  <si>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</si>
  <si>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</si>
  <si>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</si>
  <si>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</si>
  <si>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</si>
  <si>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</si>
  <si>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</si>
  <si>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</si>
  <si>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</si>
  <si>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</si>
  <si>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</si>
  <si>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</si>
  <si>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</si>
  <si>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</si>
  <si>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</si>
  <si>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</si>
  <si>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</si>
  <si>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</si>
  <si>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</si>
  <si>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</si>
  <si>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</si>
  <si>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</si>
  <si>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</si>
  <si>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</si>
  <si>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</si>
  <si>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</si>
  <si>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</si>
  <si>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</si>
  <si>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</si>
  <si>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</si>
  <si>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</si>
  <si>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</si>
  <si>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</si>
  <si>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</si>
  <si>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</si>
  <si>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</si>
  <si>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</si>
  <si>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</si>
  <si>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</si>
  <si>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</si>
  <si>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</si>
  <si>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</si>
  <si>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</si>
  <si>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</si>
  <si>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</si>
  <si>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</si>
  <si>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</si>
  <si>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</si>
  <si>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</si>
  <si>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</si>
  <si>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</si>
  <si>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</si>
  <si>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</si>
  <si>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</si>
  <si>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</si>
  <si>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</si>
  <si>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</si>
  <si>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</si>
  <si>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</si>
  <si>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</si>
  <si>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</si>
  <si>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</si>
  <si>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</si>
  <si>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</si>
  <si>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</si>
  <si>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</si>
  <si>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</si>
  <si>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</si>
  <si>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</si>
  <si>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</si>
  <si>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</si>
  <si>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</si>
  <si>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</si>
  <si>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</si>
  <si>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</si>
  <si>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</si>
  <si>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</si>
  <si>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</si>
  <si>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</si>
  <si>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</si>
  <si>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</si>
  <si>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</si>
  <si>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</si>
  <si>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</si>
  <si>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</si>
  <si>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</si>
  <si>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</si>
  <si>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</si>
  <si>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</si>
  <si>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</si>
  <si>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</si>
  <si>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</si>
  <si>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</si>
  <si>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</si>
  <si>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</si>
  <si>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</si>
  <si>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</si>
  <si>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</si>
  <si>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</si>
  <si>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</si>
  <si>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</si>
  <si>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</si>
  <si>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</si>
  <si>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</si>
  <si>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</si>
  <si>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</si>
  <si>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</si>
  <si>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</si>
  <si>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</si>
  <si>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</si>
  <si>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</si>
  <si>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</si>
  <si>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</si>
  <si>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</si>
  <si>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</si>
  <si>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</si>
  <si>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</si>
  <si>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</si>
  <si>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</si>
  <si>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</si>
  <si>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</si>
  <si>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</si>
  <si>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</si>
  <si>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</si>
  <si>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</si>
  <si>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</si>
  <si>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</si>
  <si>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</si>
  <si>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</si>
  <si>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</si>
  <si>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</si>
  <si>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</si>
  <si>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</si>
  <si>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</si>
  <si>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</si>
  <si>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</si>
  <si>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</si>
  <si>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</si>
  <si>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</si>
  <si>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</si>
  <si>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</si>
  <si>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</si>
  <si>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</si>
  <si>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</si>
  <si>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</si>
  <si>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</si>
  <si>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</si>
  <si>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</si>
  <si>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</si>
  <si>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</si>
  <si>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</si>
  <si>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</si>
  <si>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</si>
  <si>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</si>
  <si>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</si>
  <si>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</si>
  <si>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</si>
  <si>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</si>
  <si>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</si>
  <si>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</si>
  <si>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</si>
  <si>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</si>
  <si>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</si>
  <si>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</si>
  <si>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</si>
  <si>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</si>
  <si>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</si>
  <si>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</si>
  <si>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</si>
  <si>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</si>
  <si>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</si>
  <si>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</si>
  <si>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</si>
  <si>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</si>
  <si>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</si>
  <si>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</si>
  <si>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</si>
  <si>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</si>
  <si>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</si>
  <si>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</si>
  <si>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</si>
  <si>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</si>
  <si>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</si>
  <si>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</si>
  <si>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</si>
  <si>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</si>
  <si>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</si>
  <si>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</si>
  <si>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</si>
  <si>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</si>
  <si>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</si>
  <si>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</si>
  <si>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</si>
  <si>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</si>
  <si>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</si>
  <si>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</si>
  <si>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</si>
  <si>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</si>
  <si>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</si>
  <si>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</si>
  <si>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</si>
  <si>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</si>
  <si>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</si>
  <si>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</si>
  <si>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</si>
  <si>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</si>
  <si>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</si>
  <si>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</si>
  <si>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</si>
  <si>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</si>
  <si>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</si>
  <si>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</si>
  <si>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</si>
  <si>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</si>
  <si>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</si>
  <si>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</si>
  <si>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</si>
  <si>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</si>
  <si>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</si>
  <si>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</si>
  <si>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</si>
  <si>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</si>
  <si>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</si>
  <si>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</si>
  <si>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</si>
  <si>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</si>
  <si>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</si>
  <si>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</si>
  <si>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</si>
  <si>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</si>
  <si>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</si>
  <si>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</si>
  <si>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</si>
  <si>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</si>
  <si>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</si>
  <si>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</si>
  <si>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</si>
  <si>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</si>
  <si>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</si>
  <si>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</si>
  <si>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</si>
  <si>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</si>
  <si>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</si>
  <si>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</si>
  <si>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</si>
  <si>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</si>
  <si>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</si>
  <si>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</si>
  <si>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</si>
  <si>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</si>
  <si>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</si>
  <si>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</si>
  <si>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</si>
  <si>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</si>
  <si>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</si>
  <si>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</si>
  <si>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</si>
  <si>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</si>
  <si>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</si>
  <si>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</si>
  <si>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</si>
  <si>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</si>
  <si>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</si>
  <si>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</si>
  <si>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</si>
  <si>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</si>
  <si>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</si>
  <si>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</si>
  <si>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</si>
  <si>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</si>
  <si>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</si>
  <si>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</si>
  <si>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</si>
  <si>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</si>
  <si>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</si>
  <si>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</si>
  <si>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</si>
  <si>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</si>
  <si>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</si>
  <si>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</si>
  <si>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</si>
  <si>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</si>
  <si>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</si>
  <si>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</si>
  <si>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</si>
  <si>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</si>
  <si>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</si>
  <si>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</si>
  <si>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</si>
  <si>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</si>
  <si>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</si>
  <si>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</si>
  <si>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</si>
  <si>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</si>
  <si>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</si>
  <si>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</si>
  <si>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</si>
  <si>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</si>
  <si>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</si>
  <si>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</si>
  <si>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</si>
  <si>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</si>
  <si>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</si>
  <si>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</si>
  <si>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</si>
  <si>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</si>
  <si>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</si>
  <si>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</si>
  <si>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</si>
  <si>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</si>
  <si>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</si>
  <si>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</si>
  <si>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</si>
  <si>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</si>
  <si>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</si>
  <si>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</si>
  <si>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</si>
  <si>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</si>
  <si>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</si>
  <si>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</si>
  <si>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</si>
  <si>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</si>
  <si>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</si>
  <si>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</si>
  <si>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</si>
  <si>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</si>
  <si>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</si>
  <si>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</si>
  <si>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</si>
  <si>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</si>
  <si>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</si>
  <si>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</si>
  <si>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</si>
  <si>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</si>
  <si>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</si>
  <si>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</si>
  <si>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</si>
  <si>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</si>
  <si>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</si>
  <si>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</si>
  <si>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</si>
  <si>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</si>
  <si>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</si>
  <si>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</si>
  <si>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</si>
  <si>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</si>
  <si>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</si>
  <si>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</si>
  <si>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</si>
  <si>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</si>
  <si>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</si>
  <si>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</si>
  <si>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</si>
  <si>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</si>
  <si>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</si>
  <si>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</si>
  <si>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</si>
  <si>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</si>
  <si>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</si>
  <si>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</si>
  <si>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</si>
  <si>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</si>
  <si>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</si>
  <si>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</si>
  <si>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</si>
  <si>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</si>
  <si>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</si>
  <si>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</si>
  <si>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</si>
  <si>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</si>
  <si>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</si>
  <si>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</si>
  <si>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</si>
  <si>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</si>
  <si>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</si>
  <si>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</si>
  <si>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</si>
  <si>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</si>
  <si>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</si>
  <si>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</si>
  <si>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</si>
  <si>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</si>
  <si>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</si>
  <si>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</si>
  <si>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</si>
  <si>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</si>
  <si>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</si>
  <si>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</si>
  <si>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</si>
  <si>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</si>
  <si>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</si>
  <si>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</si>
  <si>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</si>
  <si>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</si>
  <si>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</si>
  <si>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</si>
  <si>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</si>
  <si>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</si>
  <si>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</si>
  <si>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</si>
  <si>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</si>
  <si>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</si>
  <si>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</si>
  <si>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</si>
  <si>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</si>
  <si>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</si>
  <si>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</si>
  <si>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</si>
  <si>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</si>
  <si>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</si>
  <si>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</si>
  <si>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</si>
  <si>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</si>
  <si>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</si>
  <si>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</si>
  <si>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</si>
  <si>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</si>
  <si>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</si>
  <si>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</si>
  <si>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</si>
  <si>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</si>
  <si>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</si>
  <si>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</si>
  <si>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</si>
  <si>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</si>
  <si>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</si>
  <si>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</si>
  <si>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</si>
  <si>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</si>
  <si>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</si>
  <si>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</si>
  <si>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</si>
  <si>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</si>
  <si>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</si>
  <si>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</si>
  <si>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</si>
  <si>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</si>
  <si>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</si>
  <si>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</si>
  <si>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</si>
  <si>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</si>
  <si>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</si>
  <si>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</si>
  <si>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</si>
  <si>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</si>
  <si>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</si>
  <si>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</si>
  <si>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</si>
  <si>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</si>
  <si>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</si>
  <si>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</si>
  <si>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</si>
  <si>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</si>
  <si>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</si>
  <si>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</si>
  <si>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</si>
  <si>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</si>
  <si>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</si>
  <si>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</si>
  <si>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</si>
  <si>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</si>
  <si>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</si>
  <si>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</si>
  <si>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</si>
  <si>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</si>
  <si>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</si>
  <si>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</si>
  <si>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</si>
  <si>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</si>
  <si>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</si>
  <si>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</si>
  <si>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</si>
  <si>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</si>
  <si>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</si>
  <si>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</si>
  <si>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</si>
  <si>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</si>
  <si>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</si>
  <si>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</si>
  <si>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</si>
  <si>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</si>
  <si>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</si>
  <si>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</si>
  <si>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</si>
  <si>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</si>
  <si>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</si>
  <si>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</si>
  <si>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</si>
  <si>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</si>
  <si>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</si>
  <si>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</si>
  <si>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</si>
  <si>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</si>
  <si>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</si>
  <si>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</si>
  <si>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</si>
  <si>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</si>
  <si>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</si>
  <si>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</si>
  <si>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</si>
  <si>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</si>
  <si>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</si>
  <si>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</si>
  <si>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</si>
  <si>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</si>
  <si>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</si>
  <si>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</si>
  <si>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</si>
  <si>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</si>
  <si>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</si>
  <si>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</si>
  <si>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</si>
  <si>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</si>
  <si>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</si>
  <si>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</si>
  <si>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</si>
  <si>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</si>
  <si>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</si>
  <si>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</si>
  <si>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</si>
  <si>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</si>
  <si>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</si>
  <si>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</si>
  <si>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</si>
  <si>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</si>
  <si>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</si>
  <si>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</si>
  <si>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</si>
  <si>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</si>
  <si>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</si>
  <si>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</si>
  <si>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</si>
  <si>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</si>
  <si>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</si>
  <si>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</si>
  <si>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</si>
  <si>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</si>
  <si>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</si>
  <si>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</si>
  <si>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</si>
  <si>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</si>
  <si>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</si>
  <si>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</si>
  <si>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</si>
  <si>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</si>
  <si>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</si>
  <si>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</si>
  <si>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</si>
  <si>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</si>
  <si>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</si>
  <si>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</si>
  <si>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</si>
  <si>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</si>
  <si>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</si>
  <si>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</si>
  <si>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</si>
  <si>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</si>
  <si>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</si>
  <si>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</si>
  <si>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</si>
  <si>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</si>
  <si>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</si>
  <si>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</si>
  <si>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</si>
  <si>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</si>
  <si>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</si>
  <si>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</si>
  <si>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</si>
  <si>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</si>
  <si>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</si>
  <si>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</si>
  <si>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</si>
  <si>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</si>
  <si>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</si>
  <si>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</si>
  <si>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</si>
  <si>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</si>
  <si>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</si>
  <si>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</si>
  <si>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</si>
  <si>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</si>
  <si>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</si>
  <si>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</si>
  <si>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</si>
  <si>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</si>
  <si>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</si>
  <si>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</si>
  <si>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</si>
  <si>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</si>
  <si>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</si>
  <si>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</si>
  <si>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</si>
  <si>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</si>
  <si>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</si>
  <si>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</si>
  <si>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</si>
  <si>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</si>
  <si>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</si>
  <si>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</si>
  <si>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</si>
  <si>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</si>
  <si>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</si>
  <si>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</si>
  <si>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</si>
  <si>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</si>
  <si>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</si>
  <si>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</si>
  <si>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</si>
  <si>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</si>
  <si>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</si>
  <si>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</si>
  <si>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</si>
  <si>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</si>
  <si>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</si>
  <si>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</si>
  <si>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</si>
  <si>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</si>
  <si>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</si>
  <si>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</si>
  <si>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</si>
  <si>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</si>
  <si>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</si>
  <si>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</si>
  <si>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</si>
  <si>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</si>
  <si>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</si>
  <si>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</si>
  <si>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</si>
  <si>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</si>
  <si>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</si>
  <si>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</si>
  <si>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</si>
  <si>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</si>
  <si>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</si>
  <si>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</si>
  <si>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</si>
  <si>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</si>
  <si>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</si>
  <si>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</si>
  <si>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</si>
  <si>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</si>
  <si>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</si>
  <si>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</si>
  <si>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</si>
  <si>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</si>
  <si>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</si>
  <si>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</si>
  <si>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</si>
  <si>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</si>
  <si>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</si>
  <si>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</si>
  <si>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</si>
  <si>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</si>
  <si>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</si>
  <si>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</si>
  <si>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</si>
  <si>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</si>
  <si>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</si>
  <si>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</si>
  <si>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</si>
  <si>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</si>
  <si>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</si>
  <si>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</si>
  <si>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</si>
  <si>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</si>
  <si>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</si>
  <si>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</si>
  <si>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</si>
  <si>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</si>
  <si>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</si>
  <si>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</si>
  <si>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</si>
  <si>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</si>
  <si>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</si>
  <si>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</si>
  <si>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</si>
  <si>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</si>
  <si>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</si>
  <si>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</si>
  <si>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</si>
  <si>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</si>
  <si>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</si>
  <si>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</si>
  <si>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</si>
  <si>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</si>
  <si>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</si>
  <si>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</si>
  <si>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</si>
  <si>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</si>
  <si>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</si>
  <si>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</si>
  <si>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</si>
  <si>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</si>
  <si>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</si>
  <si>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</si>
  <si>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</si>
  <si>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</si>
  <si>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</si>
  <si>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</si>
  <si>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</si>
  <si>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</si>
  <si>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</si>
  <si>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</si>
  <si>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</si>
  <si>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</si>
  <si>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</si>
  <si>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</si>
  <si>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</si>
  <si>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</si>
  <si>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</si>
  <si>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</si>
  <si>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</si>
  <si>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</si>
  <si>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</si>
  <si>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</si>
  <si>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</si>
  <si>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</si>
  <si>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</si>
  <si>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</si>
  <si>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</si>
  <si>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</si>
  <si>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</si>
  <si>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</si>
  <si>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</si>
  <si>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</si>
  <si>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</si>
  <si>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</si>
  <si>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</si>
  <si>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</si>
  <si>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</si>
  <si>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</si>
  <si>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</si>
  <si>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</si>
  <si>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</si>
  <si>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</si>
  <si>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</si>
  <si>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</si>
  <si>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</si>
  <si>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</si>
  <si>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</si>
  <si>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</si>
  <si>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</si>
  <si>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</si>
  <si>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</si>
  <si>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</si>
  <si>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</si>
  <si>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</si>
  <si>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</si>
  <si>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</si>
  <si>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</si>
  <si>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</si>
  <si>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</si>
  <si>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</si>
  <si>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</si>
  <si>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</si>
  <si>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</si>
  <si>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</si>
  <si>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</si>
  <si>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</si>
  <si>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</si>
  <si>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</si>
  <si>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</si>
  <si>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</si>
  <si>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</si>
  <si>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</si>
  <si>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</si>
  <si>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</si>
  <si>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</si>
  <si>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</si>
  <si>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</si>
  <si>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</si>
  <si>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</si>
  <si>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</si>
  <si>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</si>
  <si>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</si>
  <si>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</si>
  <si>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</si>
  <si>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</si>
  <si>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</si>
  <si>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</si>
  <si>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</si>
  <si>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</si>
  <si>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</si>
  <si>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</si>
  <si>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</si>
  <si>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</si>
  <si>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</si>
  <si>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</si>
  <si>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</si>
  <si>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</si>
  <si>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</si>
  <si>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</si>
  <si>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</si>
  <si>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</si>
  <si>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</si>
  <si>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</si>
  <si>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</si>
  <si>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</si>
  <si>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</si>
  <si>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</si>
  <si>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</si>
  <si>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</si>
  <si>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</si>
  <si>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</si>
  <si>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</si>
  <si>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</si>
  <si>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</si>
  <si>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</si>
  <si>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</si>
  <si>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</si>
  <si>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</si>
  <si>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</si>
  <si>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</si>
  <si>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</si>
  <si>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</si>
  <si>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</si>
  <si>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</si>
  <si>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</si>
  <si>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</si>
  <si>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</si>
  <si>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</si>
  <si>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</si>
  <si>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</si>
  <si>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</si>
  <si>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</si>
  <si>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</si>
  <si>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</si>
  <si>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</si>
  <si>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</si>
  <si>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</si>
  <si>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</si>
  <si>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</si>
  <si>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</si>
  <si>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</si>
  <si>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</si>
  <si>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</si>
  <si>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</si>
  <si>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</si>
  <si>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</si>
  <si>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</si>
  <si>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</si>
  <si>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</si>
  <si>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</si>
  <si>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</si>
  <si>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</si>
  <si>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</si>
  <si>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</si>
  <si>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</si>
  <si>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</si>
  <si>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</si>
  <si>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</si>
  <si>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</si>
  <si>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</si>
  <si>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</si>
  <si>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</si>
  <si>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</si>
  <si>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</si>
  <si>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</si>
  <si>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</si>
  <si>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</si>
  <si>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</si>
  <si>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</si>
  <si>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</si>
  <si>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</si>
  <si>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</si>
  <si>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</si>
  <si>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</si>
  <si>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</si>
  <si>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</si>
  <si>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</si>
  <si>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</si>
  <si>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</si>
  <si>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</si>
  <si>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</si>
  <si>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</si>
  <si>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</si>
  <si>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</si>
  <si>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</si>
  <si>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</si>
  <si>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</si>
  <si>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</si>
  <si>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</si>
  <si>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</si>
  <si>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</si>
  <si>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</si>
  <si>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</si>
  <si>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</si>
  <si>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</si>
  <si>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</si>
  <si>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</si>
  <si>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</si>
  <si>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</si>
  <si>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</si>
  <si>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</si>
  <si>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</si>
  <si>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</si>
  <si>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</si>
  <si>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</si>
  <si>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</si>
  <si>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</si>
  <si>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</si>
  <si>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</si>
  <si>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</si>
  <si>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</si>
  <si>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</si>
  <si>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</si>
  <si>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</si>
  <si>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</si>
  <si>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</si>
  <si>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</si>
  <si>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</si>
  <si>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</si>
  <si>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</si>
  <si>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</si>
  <si>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</si>
  <si>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</si>
  <si>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</si>
  <si>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</si>
  <si>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</si>
  <si>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</si>
  <si>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</si>
  <si>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</si>
  <si>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</si>
  <si>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</si>
  <si>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</si>
  <si>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</si>
  <si>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</si>
  <si>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</si>
  <si>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</si>
  <si>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</si>
  <si>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</si>
  <si>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</si>
  <si>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</si>
  <si>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</si>
  <si>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</si>
  <si>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</si>
  <si>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</si>
  <si>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</si>
  <si>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</si>
  <si>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</si>
  <si>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</si>
  <si>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</si>
  <si>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</si>
  <si>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</si>
  <si>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</si>
  <si>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</si>
  <si>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</si>
  <si>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</si>
  <si>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</si>
  <si>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</si>
  <si>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</si>
  <si>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</si>
  <si>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</si>
  <si>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</si>
  <si>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</si>
  <si>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</si>
  <si>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</si>
  <si>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</si>
  <si>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</si>
  <si>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</si>
  <si>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</si>
  <si>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</si>
  <si>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</si>
  <si>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</si>
  <si>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</si>
  <si>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</si>
  <si>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</si>
  <si>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</si>
  <si>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</si>
  <si>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</si>
  <si>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</si>
  <si>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</si>
  <si>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</si>
  <si>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</si>
  <si>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</si>
  <si>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</si>
  <si>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</si>
  <si>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</si>
  <si>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</si>
  <si>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</si>
  <si>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</si>
  <si>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</si>
  <si>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</si>
  <si>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</si>
  <si>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</si>
  <si>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</si>
  <si>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</si>
  <si>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</si>
  <si>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</si>
  <si>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</si>
  <si>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</si>
  <si>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</si>
  <si>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</si>
  <si>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</si>
  <si>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</si>
  <si>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</si>
  <si>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</si>
  <si>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</si>
  <si>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</si>
  <si>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</si>
  <si>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</si>
  <si>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</si>
  <si>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</si>
  <si>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</si>
  <si>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</si>
  <si>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</si>
  <si>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</si>
  <si>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</si>
  <si>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</si>
  <si>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</si>
  <si>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</si>
  <si>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</si>
  <si>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</si>
  <si>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</si>
  <si>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</si>
  <si>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</si>
  <si>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</si>
  <si>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</si>
  <si>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</si>
  <si>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</si>
  <si>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</si>
  <si>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</si>
  <si>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</si>
  <si>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</si>
  <si>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</si>
  <si>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</si>
  <si>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</si>
  <si>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</si>
  <si>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</si>
  <si>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</si>
  <si>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</si>
  <si>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</si>
  <si>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</si>
  <si>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</si>
  <si>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</si>
  <si>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</si>
  <si>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</si>
  <si>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</si>
  <si>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</si>
  <si>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</si>
  <si>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</si>
  <si>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</si>
  <si>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</si>
  <si>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</si>
  <si>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</si>
  <si>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</si>
  <si>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</si>
  <si>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</si>
  <si>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</si>
  <si>
    <t>Coded?</t>
  </si>
  <si>
    <t>TotalResidentialWaste</t>
  </si>
  <si>
    <t>TotalCommercialWaste</t>
  </si>
  <si>
    <t>TotalDeliveredWaste</t>
  </si>
  <si>
    <t>WasteSorting.m</t>
  </si>
  <si>
    <t>Commercial Contamination Rates</t>
  </si>
  <si>
    <t>MRFSorting.m</t>
  </si>
  <si>
    <t>RDFSorting.m</t>
  </si>
  <si>
    <t>MRFSorting.residues_to_landfill</t>
  </si>
  <si>
    <t>WasteSorting.m (in restwaste to landfill)</t>
  </si>
  <si>
    <t>Not required for analysis</t>
  </si>
  <si>
    <t>BiologicalTreatment.m</t>
  </si>
  <si>
    <t>WasteSorting.m (included in restwaste to thermal/landfill)</t>
  </si>
  <si>
    <t>WasteSorting.m (included in restwaste to thermal)</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</si>
</sst>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xf numFmtId="0" fontId="0" fillId="6" borderId="0" xfId="0" applyFill="1"/>
  </cellXfs>
  <cellStyles count="3">
    <cellStyle name="Currency" xfId="1" builtinId="4"/>
    <cellStyle name="Normal" xfId="0" builtinId="0"/>
    <cellStyle name="Percent" xfId="2" builtinId="5"/>
  </cellStyles>
  <dxfs count="81">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A50" sqref="A50"/>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1081</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1050</v>
      </c>
    </row>
    <row r="2" spans="1:16" ht="15.75" thickBot="1"/>
    <row r="3" spans="1:16" ht="15.75" thickBot="1">
      <c r="A3" s="109">
        <f>Streams!L10</f>
        <v>170000</v>
      </c>
      <c r="B3" t="s">
        <v>1282</v>
      </c>
    </row>
    <row r="4" spans="1:16" ht="15.75" thickBot="1">
      <c r="A4" s="109">
        <f>Streams!L11</f>
        <v>5500</v>
      </c>
      <c r="B4" t="s">
        <v>1283</v>
      </c>
    </row>
    <row r="5" spans="1:16" ht="15.75" thickBot="1">
      <c r="A5" s="109">
        <f>Streams!L12</f>
        <v>10000</v>
      </c>
      <c r="B5" t="s">
        <v>1284</v>
      </c>
    </row>
    <row r="6" spans="1:16" ht="15.75" thickBot="1">
      <c r="A6" s="109">
        <f>SUM(A3:A5)</f>
        <v>185500</v>
      </c>
      <c r="B6" t="s">
        <v>1285</v>
      </c>
      <c r="L6" s="62" t="s">
        <v>1153</v>
      </c>
      <c r="N6" s="62" t="s">
        <v>1286</v>
      </c>
      <c r="O6" s="62"/>
      <c r="P6" s="62" t="s">
        <v>79</v>
      </c>
    </row>
    <row r="7" spans="1:16" ht="15.75" thickBot="1">
      <c r="A7" s="101"/>
    </row>
    <row r="8" spans="1:16" ht="15.75" thickBot="1">
      <c r="A8" s="101"/>
      <c r="B8" s="101"/>
      <c r="C8" s="101"/>
      <c r="D8" s="103" t="s">
        <v>1288</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1287</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341</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325</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1289</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1290</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1297</v>
      </c>
      <c r="H40" s="35"/>
      <c r="I40" s="7"/>
      <c r="J40" s="7"/>
      <c r="K40" s="7"/>
      <c r="L40" s="7"/>
      <c r="M40" s="7"/>
      <c r="N40" s="7"/>
      <c r="O40" s="7"/>
      <c r="P40" s="7"/>
      <c r="Q40" s="8"/>
    </row>
    <row r="41" spans="1:17" ht="15.75" thickBot="1">
      <c r="A41" s="117" t="s">
        <v>1294</v>
      </c>
      <c r="H41" s="9"/>
      <c r="I41" s="10"/>
      <c r="J41" s="65" t="s">
        <v>1292</v>
      </c>
      <c r="K41" s="10"/>
      <c r="L41" s="114">
        <f>SUM(L8,L12,L20,L26,L32)</f>
        <v>57365.775000000001</v>
      </c>
      <c r="M41" s="10"/>
      <c r="N41" s="116">
        <f>SUM(N16,N22,N28,N34)</f>
        <v>87698.568749999991</v>
      </c>
      <c r="O41" s="10"/>
      <c r="P41" s="116">
        <f>SUM(P14,P18,P24,P30,P36,P38)</f>
        <v>40435.65625</v>
      </c>
      <c r="Q41" s="11"/>
    </row>
    <row r="42" spans="1:17" ht="15.75" thickBot="1">
      <c r="A42" s="117" t="s">
        <v>1295</v>
      </c>
      <c r="H42" s="9"/>
      <c r="I42" s="10"/>
      <c r="J42" s="10"/>
      <c r="K42" s="10"/>
      <c r="L42" s="10"/>
      <c r="M42" s="10"/>
      <c r="N42" s="10"/>
      <c r="O42" s="10"/>
      <c r="P42" s="10"/>
      <c r="Q42" s="11"/>
    </row>
    <row r="43" spans="1:17" ht="15.75" thickBot="1">
      <c r="A43" s="117" t="s">
        <v>1296</v>
      </c>
      <c r="H43" s="9"/>
      <c r="I43" s="65" t="s">
        <v>1293</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topLeftCell="B4" zoomScale="80" zoomScaleNormal="80" workbookViewId="0">
      <selection activeCell="G42" sqref="G42"/>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1298</v>
      </c>
    </row>
    <row r="2" spans="1:9">
      <c r="A2" t="s">
        <v>1299</v>
      </c>
    </row>
    <row r="3" spans="1:9">
      <c r="A3" t="s">
        <v>1300</v>
      </c>
    </row>
    <row r="5" spans="1:9">
      <c r="A5" t="s">
        <v>1301</v>
      </c>
    </row>
    <row r="7" spans="1:9">
      <c r="A7" s="62" t="s">
        <v>174</v>
      </c>
    </row>
    <row r="8" spans="1:9">
      <c r="A8" t="s">
        <v>1310</v>
      </c>
    </row>
    <row r="9" spans="1:9">
      <c r="A9" t="s">
        <v>1312</v>
      </c>
    </row>
    <row r="10" spans="1:9">
      <c r="A10" t="s">
        <v>1311</v>
      </c>
    </row>
    <row r="11" spans="1:9" ht="15.75" thickBot="1"/>
    <row r="12" spans="1:9">
      <c r="A12" s="93"/>
      <c r="B12" s="78" t="s">
        <v>1302</v>
      </c>
      <c r="C12" s="78" t="s">
        <v>1308</v>
      </c>
      <c r="D12" s="78" t="s">
        <v>1084</v>
      </c>
      <c r="E12" s="78" t="s">
        <v>1289</v>
      </c>
      <c r="F12" s="78" t="s">
        <v>1309</v>
      </c>
      <c r="G12" s="78" t="s">
        <v>79</v>
      </c>
      <c r="H12" s="78" t="s">
        <v>1034</v>
      </c>
      <c r="I12" s="79" t="s">
        <v>11</v>
      </c>
    </row>
    <row r="13" spans="1:9">
      <c r="A13" s="64" t="s">
        <v>1304</v>
      </c>
      <c r="B13" s="10" t="s">
        <v>1303</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1305</v>
      </c>
      <c r="B14" s="10" t="s">
        <v>1303</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1303</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1306</v>
      </c>
      <c r="B16" s="10" t="s">
        <v>1303</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1307</v>
      </c>
      <c r="B17" s="13" t="s">
        <v>1303</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1158</v>
      </c>
    </row>
    <row r="21" spans="1:20" ht="15.75" thickBot="1"/>
    <row r="22" spans="1:20">
      <c r="A22" s="35"/>
      <c r="B22" s="78" t="s">
        <v>1302</v>
      </c>
      <c r="C22" s="78" t="s">
        <v>1308</v>
      </c>
      <c r="D22" s="78" t="s">
        <v>1084</v>
      </c>
      <c r="E22" s="78" t="s">
        <v>1289</v>
      </c>
      <c r="F22" s="78" t="s">
        <v>1309</v>
      </c>
      <c r="G22" s="78" t="s">
        <v>79</v>
      </c>
      <c r="H22" s="78" t="s">
        <v>1034</v>
      </c>
      <c r="I22" s="79" t="s">
        <v>11</v>
      </c>
    </row>
    <row r="23" spans="1:20">
      <c r="A23" s="64" t="s">
        <v>1317</v>
      </c>
      <c r="B23" s="10" t="s">
        <v>1313</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513</v>
      </c>
      <c r="I23" s="125">
        <f t="shared" ref="I23:I29" si="2">SUM(C23:H23)</f>
        <v>8668750</v>
      </c>
    </row>
    <row r="24" spans="1:20">
      <c r="A24" s="64" t="s">
        <v>1318</v>
      </c>
      <c r="B24" s="10" t="s">
        <v>1313</v>
      </c>
      <c r="C24" s="10" t="s">
        <v>513</v>
      </c>
      <c r="D24" s="10" t="s">
        <v>513</v>
      </c>
      <c r="E24" s="10">
        <f>Streams!G193</f>
        <v>0</v>
      </c>
      <c r="F24" s="10">
        <f>Streams!G197+Streams!G201+Streams!G205+Streams!G209+Streams!G213</f>
        <v>-72161983.54124999</v>
      </c>
      <c r="G24" s="54">
        <f>Streams!G222</f>
        <v>-1644517.6875000002</v>
      </c>
      <c r="H24" s="10" t="s">
        <v>513</v>
      </c>
      <c r="I24" s="125">
        <f t="shared" si="2"/>
        <v>-73806501.22874999</v>
      </c>
    </row>
    <row r="25" spans="1:20">
      <c r="A25" s="64" t="s">
        <v>1319</v>
      </c>
      <c r="B25" s="10" t="s">
        <v>1313</v>
      </c>
      <c r="C25" s="10" t="s">
        <v>513</v>
      </c>
      <c r="D25" s="10" t="s">
        <v>513</v>
      </c>
      <c r="E25" s="10" t="s">
        <v>513</v>
      </c>
      <c r="F25" s="10" t="s">
        <v>513</v>
      </c>
      <c r="G25" s="10" t="s">
        <v>513</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970</v>
      </c>
      <c r="B26" s="10" t="s">
        <v>1314</v>
      </c>
      <c r="C26" s="10">
        <f>Streams!E166+Streams!E169</f>
        <v>355500</v>
      </c>
      <c r="D26" s="10" t="s">
        <v>513</v>
      </c>
      <c r="E26" s="10" t="s">
        <v>513</v>
      </c>
      <c r="F26" s="10" t="s">
        <v>513</v>
      </c>
      <c r="G26" s="10" t="s">
        <v>513</v>
      </c>
      <c r="H26" s="10" t="s">
        <v>513</v>
      </c>
      <c r="I26" s="125">
        <f t="shared" si="2"/>
        <v>355500</v>
      </c>
    </row>
    <row r="27" spans="1:20">
      <c r="A27" s="64" t="s">
        <v>971</v>
      </c>
      <c r="B27" s="10" t="s">
        <v>1314</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1320</v>
      </c>
      <c r="B28" s="10" t="s">
        <v>1315</v>
      </c>
      <c r="C28" s="10" t="s">
        <v>513</v>
      </c>
      <c r="D28" s="10">
        <f>Streams!H178+Streams!H184+Streams!H188</f>
        <v>0</v>
      </c>
      <c r="E28" s="10" t="s">
        <v>513</v>
      </c>
      <c r="F28" s="10">
        <f>Streams!H196+Streams!H200+Streams!H204+Streams!H208+Streams!H212</f>
        <v>23575</v>
      </c>
      <c r="G28" s="10" t="s">
        <v>513</v>
      </c>
      <c r="H28" s="10" t="s">
        <v>513</v>
      </c>
      <c r="I28" s="125">
        <f t="shared" si="2"/>
        <v>23575</v>
      </c>
    </row>
    <row r="29" spans="1:20" ht="15.75" thickBot="1">
      <c r="A29" s="120" t="s">
        <v>11</v>
      </c>
      <c r="B29" s="13" t="s">
        <v>1316</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1360</v>
      </c>
      <c r="K33" s="10"/>
      <c r="L33" s="10"/>
      <c r="M33" s="10"/>
      <c r="N33" s="10"/>
      <c r="O33" s="10"/>
      <c r="P33" s="10"/>
      <c r="Q33" s="10"/>
      <c r="R33" s="10"/>
      <c r="S33" s="10"/>
      <c r="T33" s="10"/>
    </row>
    <row r="34" spans="1:20">
      <c r="A34" s="93"/>
      <c r="B34" s="78" t="s">
        <v>1302</v>
      </c>
      <c r="C34" s="78" t="s">
        <v>1308</v>
      </c>
      <c r="D34" s="78" t="s">
        <v>1084</v>
      </c>
      <c r="E34" s="78" t="s">
        <v>1289</v>
      </c>
      <c r="F34" s="78" t="s">
        <v>1309</v>
      </c>
      <c r="G34" s="78" t="s">
        <v>79</v>
      </c>
      <c r="H34" s="78" t="s">
        <v>1034</v>
      </c>
      <c r="I34" s="79" t="s">
        <v>11</v>
      </c>
      <c r="K34" s="10"/>
      <c r="L34" s="10"/>
      <c r="M34" s="10"/>
      <c r="N34" s="10"/>
      <c r="O34" s="10"/>
      <c r="P34" s="10"/>
      <c r="Q34" s="10"/>
      <c r="R34" s="10"/>
      <c r="S34" s="10"/>
      <c r="T34" s="10"/>
    </row>
    <row r="35" spans="1:20">
      <c r="A35" s="9" t="s">
        <v>802</v>
      </c>
      <c r="B35" s="10" t="s">
        <v>1366</v>
      </c>
      <c r="C35" s="10" t="s">
        <v>513</v>
      </c>
      <c r="D35" s="10">
        <f>SUM(Streams!O124:O130)</f>
        <v>7956.25</v>
      </c>
      <c r="E35" s="10">
        <f>SUM(Streams!O131:O135)</f>
        <v>2212.5</v>
      </c>
      <c r="F35" s="54">
        <f>SUM(Streams!O136,Streams!M137,Streams!O138,Streams!M139:M142)</f>
        <v>21486.90625</v>
      </c>
      <c r="G35" s="10">
        <f>Streams!O123+Streams!O143</f>
        <v>5500</v>
      </c>
      <c r="H35" s="10" t="s">
        <v>513</v>
      </c>
      <c r="I35" s="102">
        <f>SUM(C35:H35)</f>
        <v>37155.65625</v>
      </c>
      <c r="K35" s="10"/>
      <c r="L35" s="15"/>
      <c r="M35" s="15"/>
      <c r="N35" s="10"/>
      <c r="O35" s="10"/>
      <c r="P35" s="10"/>
      <c r="Q35" s="10"/>
      <c r="R35" s="10"/>
      <c r="S35" s="10"/>
      <c r="T35" s="10"/>
    </row>
    <row r="36" spans="1:20">
      <c r="A36" s="9" t="s">
        <v>803</v>
      </c>
      <c r="B36" s="10" t="s">
        <v>1366</v>
      </c>
      <c r="C36" s="10" t="s">
        <v>513</v>
      </c>
      <c r="D36" s="10" t="s">
        <v>513</v>
      </c>
      <c r="E36" s="10" t="s">
        <v>513</v>
      </c>
      <c r="F36" s="10">
        <f>SUM(Streams!N137,Streams!N139:N142)</f>
        <v>3279.9999999999995</v>
      </c>
      <c r="G36" s="10" t="s">
        <v>513</v>
      </c>
      <c r="H36" s="10" t="s">
        <v>513</v>
      </c>
      <c r="I36" s="102">
        <f t="shared" ref="I36:I43" si="3">SUM(C36:H36)</f>
        <v>3279.9999999999995</v>
      </c>
      <c r="K36" s="10"/>
      <c r="L36" s="10"/>
      <c r="M36" s="10"/>
      <c r="N36" s="10"/>
      <c r="O36" s="10"/>
      <c r="P36" s="10"/>
      <c r="Q36" s="10"/>
      <c r="R36" s="10"/>
      <c r="S36" s="10"/>
      <c r="T36" s="10"/>
    </row>
    <row r="37" spans="1:20">
      <c r="A37" s="9" t="s">
        <v>1361</v>
      </c>
      <c r="B37" s="10" t="s">
        <v>1366</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1362</v>
      </c>
      <c r="B38" s="10" t="s">
        <v>1366</v>
      </c>
      <c r="C38" s="10">
        <f>'Advanced Variables'!D88*'Advanced Variables'!I444/1000</f>
        <v>0</v>
      </c>
      <c r="D38" s="10" t="s">
        <v>513</v>
      </c>
      <c r="E38" s="10" t="s">
        <v>513</v>
      </c>
      <c r="F38" s="10" t="s">
        <v>513</v>
      </c>
      <c r="G38" s="10" t="s">
        <v>513</v>
      </c>
      <c r="H38" s="10" t="s">
        <v>513</v>
      </c>
      <c r="I38" s="102">
        <f t="shared" si="3"/>
        <v>0</v>
      </c>
      <c r="K38" s="10"/>
      <c r="L38" s="15"/>
      <c r="M38" s="15"/>
      <c r="N38" s="10"/>
      <c r="O38" s="10"/>
      <c r="P38" s="10"/>
      <c r="Q38" s="10"/>
      <c r="R38" s="10"/>
      <c r="S38" s="10"/>
      <c r="T38" s="10"/>
    </row>
    <row r="39" spans="1:20">
      <c r="A39" s="9" t="s">
        <v>1363</v>
      </c>
      <c r="B39" s="10" t="s">
        <v>1366</v>
      </c>
      <c r="C39" s="10">
        <f>'Advanced Variables'!D89*'Advanced Variables'!F444/1000+'Advanced Variables'!D90*'Advanced Variables'!J444/1000</f>
        <v>0</v>
      </c>
      <c r="D39" s="10" t="s">
        <v>513</v>
      </c>
      <c r="E39" s="10" t="s">
        <v>513</v>
      </c>
      <c r="F39" s="10" t="s">
        <v>513</v>
      </c>
      <c r="G39" s="10" t="s">
        <v>513</v>
      </c>
      <c r="H39" s="10" t="s">
        <v>513</v>
      </c>
      <c r="I39" s="102">
        <f t="shared" si="3"/>
        <v>0</v>
      </c>
    </row>
    <row r="40" spans="1:20">
      <c r="A40" s="9" t="s">
        <v>1364</v>
      </c>
      <c r="B40" s="10" t="s">
        <v>1366</v>
      </c>
      <c r="C40" s="10" t="s">
        <v>513</v>
      </c>
      <c r="D40" s="10" t="s">
        <v>513</v>
      </c>
      <c r="E40" s="10" t="s">
        <v>513</v>
      </c>
      <c r="F40" s="10" t="s">
        <v>513</v>
      </c>
      <c r="G40" s="54">
        <f>(Landfilling!D164*Landfilling!D165+Landfilling!D189*Landfilling!D190)*Landfilling!$F$117</f>
        <v>79.420215234374993</v>
      </c>
      <c r="H40" s="10" t="s">
        <v>513</v>
      </c>
      <c r="I40" s="102">
        <f t="shared" si="3"/>
        <v>79.420215234374993</v>
      </c>
    </row>
    <row r="41" spans="1:20">
      <c r="A41" s="9" t="s">
        <v>1365</v>
      </c>
      <c r="B41" s="10" t="s">
        <v>1366</v>
      </c>
      <c r="C41" s="10" t="s">
        <v>513</v>
      </c>
      <c r="D41" s="10" t="s">
        <v>513</v>
      </c>
      <c r="E41" s="10" t="s">
        <v>513</v>
      </c>
      <c r="F41" s="10" t="s">
        <v>513</v>
      </c>
      <c r="G41" s="10" t="s">
        <v>513</v>
      </c>
      <c r="H41" s="10">
        <f>-SUM('Materials Recycling'!G12:N12)</f>
        <v>-43729.005425000003</v>
      </c>
      <c r="I41" s="102">
        <f t="shared" si="3"/>
        <v>-43729.005425000003</v>
      </c>
    </row>
    <row r="42" spans="1:20">
      <c r="A42" s="9" t="s">
        <v>11</v>
      </c>
      <c r="B42" s="10" t="s">
        <v>1366</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1415</v>
      </c>
      <c r="B43" s="13" t="s">
        <v>1315</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1406</v>
      </c>
    </row>
    <row r="47" spans="1:20">
      <c r="A47" t="s">
        <v>1416</v>
      </c>
    </row>
    <row r="48" spans="1:20">
      <c r="A48" t="s">
        <v>1417</v>
      </c>
    </row>
    <row r="49" spans="1:21" ht="15.75" thickBot="1"/>
    <row r="50" spans="1:21">
      <c r="A50" s="93"/>
      <c r="B50" s="78" t="s">
        <v>1302</v>
      </c>
      <c r="C50" s="78" t="s">
        <v>1308</v>
      </c>
      <c r="D50" s="78" t="s">
        <v>1084</v>
      </c>
      <c r="E50" s="78" t="s">
        <v>1289</v>
      </c>
      <c r="F50" s="78" t="s">
        <v>1309</v>
      </c>
      <c r="G50" s="78" t="s">
        <v>79</v>
      </c>
      <c r="H50" s="78" t="s">
        <v>1034</v>
      </c>
      <c r="I50" s="79" t="s">
        <v>11</v>
      </c>
      <c r="K50" s="10"/>
      <c r="L50" s="10"/>
      <c r="M50" s="10"/>
      <c r="N50" s="10"/>
      <c r="O50" s="10"/>
      <c r="P50" s="10"/>
      <c r="Q50" s="10"/>
      <c r="R50" s="10"/>
      <c r="S50" s="10"/>
      <c r="T50" s="10"/>
    </row>
    <row r="51" spans="1:21">
      <c r="A51" s="9" t="s">
        <v>1016</v>
      </c>
      <c r="B51" s="10" t="s">
        <v>1378</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1015</v>
      </c>
      <c r="B52" s="10" t="s">
        <v>1378</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1329</v>
      </c>
      <c r="B53" s="10" t="s">
        <v>1378</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1330</v>
      </c>
      <c r="B54" s="10" t="s">
        <v>1378</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513</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1020</v>
      </c>
      <c r="B55" s="10" t="s">
        <v>1378</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1418</v>
      </c>
      <c r="B56" s="10" t="s">
        <v>1378</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1480</v>
      </c>
    </row>
    <row r="57" spans="1:21">
      <c r="A57" s="18" t="s">
        <v>1332</v>
      </c>
      <c r="B57" s="10" t="s">
        <v>1378</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513</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1407</v>
      </c>
      <c r="B58" s="10" t="s">
        <v>1378</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1013</v>
      </c>
      <c r="B59" s="10" t="s">
        <v>1378</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1334</v>
      </c>
      <c r="B60" s="10" t="s">
        <v>1378</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513</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1335</v>
      </c>
      <c r="B61" s="10" t="s">
        <v>1378</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513</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1408</v>
      </c>
      <c r="B62" s="10" t="s">
        <v>1378</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513</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1336</v>
      </c>
      <c r="B63" s="10" t="s">
        <v>1378</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513</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1014</v>
      </c>
      <c r="B64" s="10" t="s">
        <v>1378</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1337</v>
      </c>
      <c r="B65" s="10" t="s">
        <v>1378</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513</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1026</v>
      </c>
      <c r="B66" s="10" t="s">
        <v>1378</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1027</v>
      </c>
      <c r="B67" s="10" t="s">
        <v>1378</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1028</v>
      </c>
      <c r="B68" s="10" t="s">
        <v>1378</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1029</v>
      </c>
      <c r="B69" s="10" t="s">
        <v>1378</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1032</v>
      </c>
      <c r="B70" s="10" t="s">
        <v>1378</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1380</v>
      </c>
      <c r="B71" s="10" t="s">
        <v>1378</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513</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1030</v>
      </c>
      <c r="B72" s="10" t="s">
        <v>1378</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1031</v>
      </c>
      <c r="B73" s="10" t="s">
        <v>1378</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1033</v>
      </c>
      <c r="B74" s="13" t="s">
        <v>1378</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1457</v>
      </c>
    </row>
    <row r="78" spans="1:9" ht="15.75" thickBot="1"/>
    <row r="79" spans="1:9">
      <c r="A79" s="93"/>
      <c r="B79" s="78" t="s">
        <v>1302</v>
      </c>
      <c r="C79" s="78" t="s">
        <v>1308</v>
      </c>
      <c r="D79" s="78" t="s">
        <v>1084</v>
      </c>
      <c r="E79" s="78" t="s">
        <v>1289</v>
      </c>
      <c r="F79" s="78" t="s">
        <v>1309</v>
      </c>
      <c r="G79" s="78" t="s">
        <v>79</v>
      </c>
      <c r="H79" s="78" t="s">
        <v>1034</v>
      </c>
      <c r="I79" s="79" t="s">
        <v>11</v>
      </c>
    </row>
    <row r="80" spans="1:9">
      <c r="A80" s="9" t="s">
        <v>1339</v>
      </c>
      <c r="B80" s="10" t="s">
        <v>1378</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513</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1340</v>
      </c>
      <c r="B81" s="10" t="s">
        <v>1378</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513</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1341</v>
      </c>
      <c r="B82" s="10" t="s">
        <v>1378</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513</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1342</v>
      </c>
      <c r="B83" s="10" t="s">
        <v>1378</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513</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1343</v>
      </c>
      <c r="B84" s="10" t="s">
        <v>1378</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513</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1344</v>
      </c>
      <c r="B85" s="10" t="s">
        <v>1378</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513</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1345</v>
      </c>
      <c r="B86" s="10" t="s">
        <v>1378</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513</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1346</v>
      </c>
      <c r="B87" s="10" t="s">
        <v>1378</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513</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1347</v>
      </c>
      <c r="B88" s="10" t="s">
        <v>1378</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513</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1348</v>
      </c>
      <c r="B89" s="10" t="s">
        <v>1378</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513</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1026</v>
      </c>
      <c r="B90" s="10" t="s">
        <v>1378</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513</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1349</v>
      </c>
      <c r="B91" s="10" t="s">
        <v>1378</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513</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1027</v>
      </c>
      <c r="B92" s="10" t="s">
        <v>1378</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513</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1350</v>
      </c>
      <c r="B93" s="10" t="s">
        <v>1378</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513</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1028</v>
      </c>
      <c r="B94" s="10" t="s">
        <v>1378</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513</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1029</v>
      </c>
      <c r="B95" s="10" t="s">
        <v>1378</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513</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1351</v>
      </c>
      <c r="B96" s="10" t="s">
        <v>1378</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513</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1352</v>
      </c>
      <c r="B97" s="10" t="s">
        <v>1378</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513</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1353</v>
      </c>
      <c r="B98" s="10" t="s">
        <v>1378</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513</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1032</v>
      </c>
      <c r="B99" s="10" t="s">
        <v>1378</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513</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1030</v>
      </c>
      <c r="B100" s="10" t="s">
        <v>1378</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513</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1031</v>
      </c>
      <c r="B101" s="10" t="s">
        <v>1378</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513</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1354</v>
      </c>
      <c r="B102" s="10" t="s">
        <v>1378</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513</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1355</v>
      </c>
      <c r="B103" s="10" t="s">
        <v>1378</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513</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1356</v>
      </c>
      <c r="B104" s="10" t="s">
        <v>1378</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513</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1357</v>
      </c>
      <c r="B105" s="10" t="s">
        <v>1378</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513</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1033</v>
      </c>
      <c r="B106" s="13" t="s">
        <v>1378</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513</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45" priority="72" operator="equal">
      <formula>0</formula>
    </cfRule>
    <cfRule type="cellIs" dxfId="44" priority="74" operator="lessThan">
      <formula>0</formula>
    </cfRule>
  </conditionalFormatting>
  <conditionalFormatting sqref="I23:I29">
    <cfRule type="cellIs" dxfId="43" priority="73" operator="lessThan">
      <formula>0</formula>
    </cfRule>
  </conditionalFormatting>
  <conditionalFormatting sqref="C23:I29 C35 H35 C36:E36 G36:H36 D38:H39 H40 C40:F40 C41:G41">
    <cfRule type="cellIs" dxfId="42" priority="69" operator="lessThan">
      <formula>0</formula>
    </cfRule>
    <cfRule type="cellIs" dxfId="41" priority="70" operator="equal">
      <formula>0</formula>
    </cfRule>
    <cfRule type="cellIs" dxfId="40" priority="71" operator="equal">
      <formula>"N/A"</formula>
    </cfRule>
  </conditionalFormatting>
  <conditionalFormatting sqref="F54">
    <cfRule type="cellIs" dxfId="39" priority="38" operator="lessThan">
      <formula>0</formula>
    </cfRule>
    <cfRule type="cellIs" dxfId="38" priority="39" operator="equal">
      <formula>0</formula>
    </cfRule>
    <cfRule type="cellIs" dxfId="37" priority="40" operator="equal">
      <formula>"N/A"</formula>
    </cfRule>
  </conditionalFormatting>
  <conditionalFormatting sqref="F54">
    <cfRule type="cellIs" dxfId="36" priority="36" operator="equal">
      <formula>0</formula>
    </cfRule>
    <cfRule type="cellIs" dxfId="35" priority="37" operator="lessThan">
      <formula>0</formula>
    </cfRule>
  </conditionalFormatting>
  <conditionalFormatting sqref="F57">
    <cfRule type="cellIs" dxfId="34" priority="33" operator="lessThan">
      <formula>0</formula>
    </cfRule>
    <cfRule type="cellIs" dxfId="33" priority="34" operator="equal">
      <formula>0</formula>
    </cfRule>
    <cfRule type="cellIs" dxfId="32" priority="35" operator="equal">
      <formula>"N/A"</formula>
    </cfRule>
  </conditionalFormatting>
  <conditionalFormatting sqref="F57">
    <cfRule type="cellIs" dxfId="31" priority="31" operator="equal">
      <formula>0</formula>
    </cfRule>
    <cfRule type="cellIs" dxfId="30" priority="32" operator="lessThan">
      <formula>0</formula>
    </cfRule>
  </conditionalFormatting>
  <conditionalFormatting sqref="F60:F63">
    <cfRule type="cellIs" dxfId="29" priority="28" operator="lessThan">
      <formula>0</formula>
    </cfRule>
    <cfRule type="cellIs" dxfId="28" priority="29" operator="equal">
      <formula>0</formula>
    </cfRule>
    <cfRule type="cellIs" dxfId="27" priority="30" operator="equal">
      <formula>"N/A"</formula>
    </cfRule>
  </conditionalFormatting>
  <conditionalFormatting sqref="F60:F63">
    <cfRule type="cellIs" dxfId="26" priority="26" operator="equal">
      <formula>0</formula>
    </cfRule>
    <cfRule type="cellIs" dxfId="25" priority="27" operator="lessThan">
      <formula>0</formula>
    </cfRule>
  </conditionalFormatting>
  <conditionalFormatting sqref="F65">
    <cfRule type="cellIs" dxfId="24" priority="23" operator="lessThan">
      <formula>0</formula>
    </cfRule>
    <cfRule type="cellIs" dxfId="23" priority="24" operator="equal">
      <formula>0</formula>
    </cfRule>
    <cfRule type="cellIs" dxfId="22" priority="25" operator="equal">
      <formula>"N/A"</formula>
    </cfRule>
  </conditionalFormatting>
  <conditionalFormatting sqref="F65">
    <cfRule type="cellIs" dxfId="21" priority="21" operator="equal">
      <formula>0</formula>
    </cfRule>
    <cfRule type="cellIs" dxfId="20" priority="22" operator="lessThan">
      <formula>0</formula>
    </cfRule>
  </conditionalFormatting>
  <conditionalFormatting sqref="F71">
    <cfRule type="cellIs" dxfId="19" priority="18" operator="lessThan">
      <formula>0</formula>
    </cfRule>
    <cfRule type="cellIs" dxfId="18" priority="19" operator="equal">
      <formula>0</formula>
    </cfRule>
    <cfRule type="cellIs" dxfId="17" priority="20" operator="equal">
      <formula>"N/A"</formula>
    </cfRule>
  </conditionalFormatting>
  <conditionalFormatting sqref="F71">
    <cfRule type="cellIs" dxfId="16" priority="16" operator="equal">
      <formula>0</formula>
    </cfRule>
    <cfRule type="cellIs" dxfId="15" priority="17" operator="lessThan">
      <formula>0</formula>
    </cfRule>
  </conditionalFormatting>
  <conditionalFormatting sqref="C51:I74">
    <cfRule type="cellIs" dxfId="14" priority="15" operator="lessThan">
      <formula>0</formula>
    </cfRule>
    <cfRule type="cellIs" dxfId="13" priority="14" operator="equal">
      <formula>0</formula>
    </cfRule>
  </conditionalFormatting>
  <conditionalFormatting sqref="F80:F106">
    <cfRule type="cellIs" dxfId="12" priority="11" operator="lessThan">
      <formula>0</formula>
    </cfRule>
    <cfRule type="cellIs" dxfId="11" priority="12" operator="equal">
      <formula>0</formula>
    </cfRule>
    <cfRule type="cellIs" dxfId="10" priority="13" operator="equal">
      <formula>"N/A"</formula>
    </cfRule>
  </conditionalFormatting>
  <conditionalFormatting sqref="F80:F106">
    <cfRule type="cellIs" dxfId="9" priority="9" operator="equal">
      <formula>0</formula>
    </cfRule>
    <cfRule type="cellIs" dxfId="8" priority="10" operator="lessThan">
      <formula>0</formula>
    </cfRule>
  </conditionalFormatting>
  <conditionalFormatting sqref="F80:F106">
    <cfRule type="cellIs" dxfId="7" priority="7" operator="equal">
      <formula>0</formula>
    </cfRule>
    <cfRule type="cellIs" dxfId="6" priority="8" operator="lessThan">
      <formula>0</formula>
    </cfRule>
  </conditionalFormatting>
  <conditionalFormatting sqref="I80:I106">
    <cfRule type="cellIs" dxfId="5" priority="5" operator="equal">
      <formula>0</formula>
    </cfRule>
    <cfRule type="cellIs" dxfId="4" priority="6" operator="lessThan">
      <formula>0</formula>
    </cfRule>
  </conditionalFormatting>
  <conditionalFormatting sqref="I80:I106">
    <cfRule type="cellIs" dxfId="3" priority="3" operator="equal">
      <formula>0</formula>
    </cfRule>
    <cfRule type="cellIs" dxfId="2" priority="4" operator="lessThan">
      <formula>0</formula>
    </cfRule>
  </conditionalFormatting>
  <conditionalFormatting sqref="C80:H106">
    <cfRule type="cellIs" dxfId="1" priority="2" operator="lessThan">
      <formula>0</formula>
    </cfRule>
    <cfRule type="cellIs" dxfId="0"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opLeftCell="A55" zoomScale="80" zoomScaleNormal="80" workbookViewId="0">
      <selection activeCell="F128" sqref="F128"/>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632</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f>'Waste Input'!B47</f>
        <v>2000</v>
      </c>
      <c r="F102" s="40">
        <f>'Waste Input'!I47</f>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1218</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1486</v>
      </c>
      <c r="B112" s="10"/>
      <c r="C112" s="10"/>
      <c r="D112" s="10"/>
      <c r="E112" s="10"/>
      <c r="F112" s="10"/>
      <c r="G112" s="10"/>
      <c r="H112" s="10"/>
      <c r="I112" s="10"/>
      <c r="J112" s="10"/>
      <c r="K112" s="10"/>
      <c r="L112" s="11"/>
    </row>
    <row r="113" spans="1:12">
      <c r="A113" s="9" t="s">
        <v>265</v>
      </c>
      <c r="B113" s="10"/>
      <c r="C113" s="10"/>
      <c r="D113" s="10"/>
      <c r="E113" s="10"/>
      <c r="F113" s="15">
        <v>0</v>
      </c>
      <c r="G113" s="10"/>
      <c r="H113" s="10"/>
      <c r="I113" s="10"/>
      <c r="J113" s="10"/>
      <c r="K113" s="10"/>
      <c r="L113" s="11"/>
    </row>
    <row r="114" spans="1:12">
      <c r="A114" s="9" t="s">
        <v>266</v>
      </c>
      <c r="B114" s="10"/>
      <c r="C114" s="10"/>
      <c r="D114" s="10"/>
      <c r="E114" s="10"/>
      <c r="F114" s="15">
        <v>0</v>
      </c>
      <c r="G114" s="10"/>
      <c r="H114" s="10"/>
      <c r="I114" s="10"/>
      <c r="J114" s="10"/>
      <c r="K114" s="10"/>
      <c r="L114" s="11"/>
    </row>
    <row r="115" spans="1:12">
      <c r="A115" s="9" t="s">
        <v>267</v>
      </c>
      <c r="B115" s="10"/>
      <c r="C115" s="10"/>
      <c r="D115" s="10"/>
      <c r="E115" s="10"/>
      <c r="F115" s="15">
        <v>0</v>
      </c>
      <c r="G115" s="10"/>
      <c r="H115" s="10"/>
      <c r="I115" s="10"/>
      <c r="J115" s="10"/>
      <c r="K115" s="10"/>
      <c r="L115" s="11"/>
    </row>
    <row r="116" spans="1:12">
      <c r="A116" s="9" t="s">
        <v>268</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E24*C11/1000*(1-H27-H28)+E33*C11/1000*(1-E34)+G11*E48/1000+G11*E61*(1-$D$56-$D$57)/1000</f>
        <v>22400</v>
      </c>
      <c r="D123" s="27">
        <f>C11*F24/1000*(1-H27-H28)+G11*F48/1000+G11*F61/1000*(1-H27-H28)</f>
        <v>12187.5</v>
      </c>
      <c r="E123" s="27">
        <f>C11*G24/1000*(1-H27-H28)+G11*G48/1000+G11*G61/1000*(1-H27-H28)</f>
        <v>7375</v>
      </c>
      <c r="F123" s="27">
        <f>C11*H24/1000*(1-$H$27-$H$28)+G11*H48/1000+G11*H61/1000*(1-$H$27-$H$28)</f>
        <v>1000</v>
      </c>
      <c r="G123" s="27">
        <f>$C$11*I24/1000*(1-$H$27-$H$28)+$G$11*I48/1000+$G$11*I61/1000*(1-$H$27-$H$28)+$C$11*(E33+F33)/1000*E34*E36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topLeftCell="A83" zoomScale="70" zoomScaleNormal="70" workbookViewId="0">
      <selection activeCell="L139" sqref="L139"/>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Collection'!$D$57)+'Waste Collection'!E92*(1-'Waste Collection'!$F$114-'Waste Collection'!$F$115)</f>
        <v>11875</v>
      </c>
      <c r="C7" s="27">
        <f>'Waste Collection'!$C$11*'Waste Collection'!F24/1000*(1-'Waste Collection'!$H$27-'Waste Collection'!$H$28)+'Waste Collection'!$G$11*'Waste Collection'!F61/1000*(1-'Waste Collection'!$D$56-'Waste Collection'!$D$57)+'Waste Collection'!F92*(1-'Waste Collection'!$F$114-'Waste Collection'!$F$115)</f>
        <v>5937.5</v>
      </c>
      <c r="D7" s="27">
        <f>'Waste Collection'!$C$11*'Waste Collection'!G24/1000*(1-'Waste Collection'!$H$27-'Waste Collection'!$H$28)+'Waste Collection'!$G$11*'Waste Collection'!G61/1000*(1-'Waste Collection'!$D$56-'Waste Collection'!$D$57)+'Waste Collection'!G92*(1-'Waste Collection'!$F$114-'Waste Collection'!$F$115)</f>
        <v>2375</v>
      </c>
      <c r="E7" s="27">
        <f>'Waste Collection'!$C$11*'Waste Collection'!H24/1000*(1-'Waste Collection'!$H$27-'Waste Collection'!$H$28)+'Waste Collection'!$G$11*'Waste Collection'!H61/1000*(1-'Waste Collection'!$D$56-'Waste Collection'!$D$57)+'Waste Collection'!H92*(1-'Waste Collection'!$F$114-'Waste Collection'!$F$115)</f>
        <v>0</v>
      </c>
      <c r="F7" s="27">
        <f>'Waste Collection'!$C$11*'Waste Collection'!I24/1000*(1-'Waste Collection'!$H$27-'Waste Collection'!$H$28)+'Waste Collection'!$G$11*'Waste Collection'!I61/1000*(1-'Waste Collection'!$D$56-'Waste Collection'!$D$57)+'Waste Collection'!I92*(1-'Waste Collection'!$F$114-'Waste Collection'!$F$115)</f>
        <v>0</v>
      </c>
      <c r="G7" s="27">
        <f>'Waste Collection'!$C$11*'Waste Collection'!J24/1000*(1-'Waste Collection'!$H$27-'Waste Collection'!$H$28)+'Waste Collection'!$G$11*'Waste Collection'!J61/1000*(1-'Waste Collection'!$D$56-'Waste Collection'!$D$57)+'Waste Collection'!J92*(1-'Waste Collection'!$F$114-'Waste Collection'!$F$115)</f>
        <v>2375</v>
      </c>
      <c r="H7" s="27">
        <f>'Waste Collection'!$C$11*'Waste Collection'!K24/1000*(1-'Waste Collection'!$H$27-'Waste Collection'!$H$28)+'Waste Collection'!$G$11*'Waste Collection'!K61/1000*(1-'Waste Collection'!$D$56-'Waste Collection'!$D$57)+'Waste Collection'!K92*(1-'Waste Collection'!$F$114-'Waste Collection'!$F$115)</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topLeftCell="A14" zoomScale="70" zoomScaleNormal="70" workbookViewId="0">
      <selection activeCell="E91" sqref="E91"/>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tabSelected="1" topLeftCell="A17" zoomScale="75" zoomScaleNormal="80" workbookViewId="0">
      <selection activeCell="D37" sqref="D37"/>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269</v>
      </c>
      <c r="B9" s="10"/>
      <c r="C9" s="10"/>
      <c r="D9" s="10"/>
      <c r="E9" s="10"/>
      <c r="F9" s="10"/>
      <c r="G9" s="10"/>
      <c r="H9" s="10"/>
      <c r="I9" s="10"/>
      <c r="J9" s="10"/>
      <c r="K9" s="10"/>
      <c r="L9" s="10"/>
      <c r="M9" s="10"/>
      <c r="N9" s="10"/>
      <c r="O9" s="10"/>
      <c r="P9" s="10"/>
      <c r="Q9" s="10"/>
      <c r="R9" s="10"/>
      <c r="S9" s="10"/>
      <c r="T9" s="10"/>
      <c r="U9" s="10"/>
      <c r="V9" s="10"/>
      <c r="W9" s="10"/>
      <c r="X9" s="11"/>
    </row>
    <row r="10" spans="1:24">
      <c r="A10" s="9" t="s">
        <v>270</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271</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272</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273</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274</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275</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277</v>
      </c>
      <c r="C26" s="10"/>
      <c r="D26" s="10"/>
      <c r="E26" s="10" t="s">
        <v>278</v>
      </c>
      <c r="F26" s="10"/>
      <c r="G26" s="10"/>
      <c r="H26" s="10"/>
      <c r="I26" s="10"/>
      <c r="J26" s="10"/>
      <c r="K26" s="10"/>
      <c r="L26" s="10"/>
      <c r="M26" s="10"/>
      <c r="N26" s="10"/>
      <c r="O26" s="10"/>
      <c r="P26" s="10"/>
      <c r="Q26" s="10"/>
      <c r="R26" s="10"/>
      <c r="S26" s="10"/>
      <c r="T26" s="10"/>
      <c r="U26" s="10"/>
      <c r="V26" s="10"/>
      <c r="W26" s="10"/>
      <c r="X26" s="11"/>
    </row>
    <row r="27" spans="1:24">
      <c r="A27" s="9" t="s">
        <v>276</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277</v>
      </c>
    </row>
    <row r="31" spans="1:24" ht="15.75" thickBot="1">
      <c r="A31" t="s">
        <v>280</v>
      </c>
    </row>
    <row r="32" spans="1:24">
      <c r="A32" s="35"/>
      <c r="B32" s="7"/>
      <c r="C32" s="7"/>
      <c r="D32" s="7"/>
      <c r="E32" s="7"/>
      <c r="F32" s="7"/>
      <c r="G32" s="7"/>
      <c r="H32" s="7"/>
      <c r="I32" s="7"/>
      <c r="J32" s="7"/>
      <c r="K32" s="7"/>
      <c r="L32" s="7"/>
      <c r="M32" s="7"/>
      <c r="N32" s="7"/>
      <c r="O32" s="7"/>
      <c r="P32" s="7"/>
      <c r="Q32" s="7"/>
      <c r="R32" s="7"/>
      <c r="S32" s="8"/>
    </row>
    <row r="33" spans="1:19">
      <c r="A33" s="21" t="s">
        <v>279</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281</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282</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283</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284</v>
      </c>
      <c r="B42" s="10"/>
      <c r="C42" s="10"/>
      <c r="D42" s="10"/>
      <c r="E42" s="10"/>
      <c r="F42" s="10"/>
      <c r="G42" s="10"/>
      <c r="H42" s="10"/>
      <c r="I42" s="10"/>
      <c r="J42" s="10"/>
      <c r="K42" s="10"/>
      <c r="L42" s="10"/>
      <c r="M42" s="10"/>
      <c r="N42" s="10"/>
      <c r="O42" s="10"/>
      <c r="P42" s="10"/>
      <c r="Q42" s="10"/>
      <c r="R42" s="10"/>
      <c r="S42" s="11"/>
    </row>
    <row r="43" spans="1:19">
      <c r="A43" s="9" t="s">
        <v>285</v>
      </c>
      <c r="B43" s="10"/>
      <c r="C43" s="10"/>
      <c r="D43" s="10"/>
      <c r="E43" s="10"/>
      <c r="F43" s="10"/>
      <c r="G43" s="10"/>
      <c r="H43" s="10"/>
      <c r="I43" s="10"/>
      <c r="J43" s="10"/>
      <c r="K43" s="10"/>
      <c r="L43" s="10"/>
      <c r="M43" s="10"/>
      <c r="N43" s="10"/>
      <c r="O43" s="10"/>
      <c r="P43" s="10"/>
      <c r="Q43" s="10"/>
      <c r="R43" s="10"/>
      <c r="S43" s="11"/>
    </row>
    <row r="44" spans="1:19">
      <c r="A44" s="9" t="s">
        <v>286</v>
      </c>
      <c r="B44" s="10"/>
      <c r="C44" s="10"/>
      <c r="D44" s="10"/>
      <c r="E44" s="10"/>
      <c r="F44" s="10"/>
      <c r="G44" s="10"/>
      <c r="H44" s="10"/>
      <c r="I44" s="10"/>
      <c r="J44" s="10"/>
      <c r="K44" s="10"/>
      <c r="L44" s="10"/>
      <c r="M44" s="10"/>
      <c r="N44" s="10"/>
      <c r="O44" s="10"/>
      <c r="P44" s="10"/>
      <c r="Q44" s="10"/>
      <c r="R44" s="10"/>
      <c r="S44" s="11"/>
    </row>
    <row r="45" spans="1:19">
      <c r="A45" s="9" t="s">
        <v>287</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288</v>
      </c>
      <c r="B47" s="10"/>
      <c r="C47" s="10"/>
      <c r="D47" s="10"/>
      <c r="E47" s="27">
        <f>SUM(D38:M38)</f>
        <v>102500</v>
      </c>
      <c r="F47" s="10"/>
      <c r="G47" s="10"/>
      <c r="H47" s="10"/>
      <c r="I47" s="10"/>
      <c r="J47" s="10"/>
      <c r="K47" s="10"/>
      <c r="L47" s="10"/>
      <c r="M47" s="10"/>
      <c r="N47" s="10"/>
      <c r="O47" s="10"/>
      <c r="P47" s="10"/>
      <c r="Q47" s="10"/>
      <c r="R47" s="10"/>
      <c r="S47" s="11"/>
    </row>
    <row r="48" spans="1:19">
      <c r="A48" s="9" t="s">
        <v>289</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290</v>
      </c>
      <c r="B49" s="10"/>
      <c r="C49" s="10"/>
      <c r="D49" s="10"/>
      <c r="E49" s="15">
        <v>0.3</v>
      </c>
      <c r="F49" s="10"/>
      <c r="G49" s="10"/>
      <c r="H49" s="10"/>
      <c r="I49" s="10"/>
      <c r="J49" s="10"/>
      <c r="K49" s="10"/>
      <c r="L49" s="10"/>
      <c r="M49" s="10"/>
      <c r="N49" s="10"/>
      <c r="O49" s="10"/>
      <c r="P49" s="10"/>
      <c r="Q49" s="10"/>
      <c r="R49" s="10"/>
      <c r="S49" s="11"/>
    </row>
    <row r="50" spans="1:19">
      <c r="A50" s="9" t="s">
        <v>291</v>
      </c>
      <c r="B50" s="10"/>
      <c r="C50" s="10"/>
      <c r="D50" s="10"/>
      <c r="E50" s="10"/>
      <c r="F50" s="10"/>
      <c r="G50" s="10"/>
      <c r="H50" s="10"/>
      <c r="I50" s="10"/>
      <c r="J50" s="10"/>
      <c r="K50" s="10"/>
      <c r="L50" s="10"/>
      <c r="M50" s="10"/>
      <c r="N50" s="10"/>
      <c r="O50" s="10"/>
      <c r="P50" s="10"/>
      <c r="Q50" s="10"/>
      <c r="R50" s="10"/>
      <c r="S50" s="11"/>
    </row>
    <row r="51" spans="1:19">
      <c r="A51" s="9" t="s">
        <v>512</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293</v>
      </c>
      <c r="B53" s="10"/>
      <c r="C53" s="10"/>
      <c r="D53" s="10"/>
      <c r="E53" s="10"/>
      <c r="F53" s="10"/>
      <c r="G53" s="10"/>
      <c r="H53" s="10"/>
      <c r="I53" s="10"/>
      <c r="J53" s="10"/>
      <c r="K53" s="10"/>
      <c r="L53" s="10"/>
      <c r="M53" s="10"/>
      <c r="N53" s="10"/>
      <c r="O53" s="10"/>
      <c r="P53" s="10"/>
      <c r="Q53" s="10"/>
      <c r="R53" s="10"/>
      <c r="S53" s="11"/>
    </row>
    <row r="54" spans="1:19">
      <c r="A54" s="21" t="s">
        <v>277</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294</v>
      </c>
      <c r="B56" s="10"/>
      <c r="C56" s="10"/>
      <c r="D56" s="10"/>
      <c r="E56" s="10"/>
      <c r="F56" s="10"/>
      <c r="G56" s="10"/>
      <c r="H56" s="10"/>
      <c r="I56" s="10"/>
      <c r="J56" s="10"/>
      <c r="K56" s="10"/>
      <c r="L56" s="10"/>
      <c r="M56" s="10"/>
      <c r="N56" s="10"/>
      <c r="O56" s="10"/>
      <c r="P56" s="10"/>
      <c r="Q56" s="10"/>
      <c r="R56" s="10"/>
      <c r="S56" s="11"/>
    </row>
    <row r="57" spans="1:19">
      <c r="A57" s="9" t="s">
        <v>297</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295</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296</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298</v>
      </c>
      <c r="B63" s="10"/>
      <c r="C63" s="10"/>
      <c r="D63" s="10"/>
      <c r="E63" s="10"/>
      <c r="F63" s="10"/>
      <c r="G63" s="10"/>
      <c r="H63" s="10"/>
      <c r="I63" s="10"/>
      <c r="J63" s="10"/>
      <c r="K63" s="10"/>
      <c r="L63" s="10"/>
      <c r="M63" s="10"/>
      <c r="N63" s="10"/>
      <c r="O63" s="10"/>
      <c r="P63" s="10"/>
      <c r="Q63" s="10"/>
      <c r="R63" s="10"/>
      <c r="S63" s="11"/>
    </row>
    <row r="64" spans="1:19">
      <c r="A64" s="9" t="s">
        <v>300</v>
      </c>
      <c r="B64" s="10"/>
      <c r="C64" s="10" t="s">
        <v>301</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299</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302</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303</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304</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305</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306</v>
      </c>
      <c r="B73" s="10"/>
      <c r="C73" s="10"/>
      <c r="D73" s="10"/>
      <c r="E73" s="10"/>
      <c r="F73" s="10"/>
      <c r="G73" s="10"/>
      <c r="H73" s="10"/>
      <c r="I73" s="10"/>
      <c r="J73" s="10"/>
      <c r="K73" s="10"/>
      <c r="L73" s="10"/>
      <c r="M73" s="10"/>
      <c r="N73" s="10"/>
      <c r="O73" s="10"/>
      <c r="P73" s="10"/>
      <c r="Q73" s="10"/>
      <c r="R73" s="10"/>
      <c r="S73" s="11"/>
    </row>
    <row r="74" spans="1:19">
      <c r="A74" s="9" t="s">
        <v>307</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308</v>
      </c>
      <c r="B77" s="10"/>
      <c r="C77" s="10"/>
      <c r="D77" s="10"/>
      <c r="E77" s="10"/>
      <c r="F77" s="10"/>
      <c r="G77" s="10"/>
      <c r="H77" s="10"/>
      <c r="I77" s="10"/>
      <c r="J77" s="10"/>
      <c r="K77" s="10"/>
      <c r="L77" s="10"/>
      <c r="M77" s="10"/>
      <c r="N77" s="10"/>
      <c r="O77" s="10"/>
      <c r="P77" s="10"/>
      <c r="Q77" s="10"/>
      <c r="R77" s="10"/>
      <c r="S77" s="11"/>
    </row>
    <row r="78" spans="1:19">
      <c r="A78" s="9" t="s">
        <v>309</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310</v>
      </c>
      <c r="B80" s="10"/>
      <c r="C80" s="10"/>
      <c r="D80" s="10"/>
      <c r="E80" s="15">
        <v>0.9</v>
      </c>
      <c r="F80" s="10" t="s">
        <v>312</v>
      </c>
      <c r="G80" s="10"/>
      <c r="H80" s="10"/>
      <c r="I80" s="10"/>
      <c r="J80" s="10"/>
      <c r="K80" s="10"/>
      <c r="L80" s="10"/>
      <c r="M80" s="10"/>
      <c r="N80" s="10"/>
      <c r="O80" s="10"/>
      <c r="P80" s="10"/>
      <c r="Q80" s="10"/>
      <c r="R80" s="10"/>
      <c r="S80" s="11"/>
    </row>
    <row r="81" spans="1:19">
      <c r="A81" s="9" t="s">
        <v>311</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324</v>
      </c>
      <c r="B83" s="10"/>
      <c r="C83" s="10"/>
      <c r="D83" s="10"/>
      <c r="E83" s="10"/>
      <c r="F83" s="10">
        <v>5</v>
      </c>
      <c r="G83" s="10"/>
      <c r="H83" s="10"/>
      <c r="I83" s="10"/>
      <c r="J83" s="10"/>
      <c r="K83" s="10"/>
      <c r="L83" s="10"/>
      <c r="M83" s="10"/>
      <c r="N83" s="10"/>
      <c r="O83" s="10"/>
      <c r="P83" s="10"/>
      <c r="Q83" s="10"/>
      <c r="R83" s="10"/>
      <c r="S83" s="11"/>
    </row>
    <row r="84" spans="1:19">
      <c r="A84" s="9" t="s">
        <v>313</v>
      </c>
      <c r="B84" s="10"/>
      <c r="C84" s="10"/>
      <c r="D84" s="10"/>
      <c r="E84" s="10"/>
      <c r="F84" s="10">
        <v>5</v>
      </c>
      <c r="G84" s="10"/>
      <c r="H84" s="10"/>
      <c r="I84" s="10"/>
      <c r="J84" s="10"/>
      <c r="K84" s="10"/>
      <c r="L84" s="10"/>
      <c r="M84" s="10"/>
      <c r="N84" s="10"/>
      <c r="O84" s="10"/>
      <c r="P84" s="10"/>
      <c r="Q84" s="10"/>
      <c r="R84" s="10"/>
      <c r="S84" s="11"/>
    </row>
    <row r="85" spans="1:19">
      <c r="A85" s="9" t="s">
        <v>314</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315</v>
      </c>
      <c r="B88" s="10"/>
      <c r="C88" s="10"/>
      <c r="D88" s="10"/>
      <c r="E88" s="10"/>
      <c r="F88" s="10"/>
      <c r="G88" s="10"/>
      <c r="H88" s="10"/>
      <c r="I88" s="10"/>
      <c r="J88" s="10"/>
      <c r="K88" s="10"/>
      <c r="L88" s="10"/>
      <c r="M88" s="10"/>
      <c r="N88" s="10"/>
      <c r="O88" s="10"/>
      <c r="P88" s="10"/>
      <c r="Q88" s="10"/>
      <c r="R88" s="10"/>
      <c r="S88" s="11"/>
    </row>
    <row r="89" spans="1:19">
      <c r="A89" s="9" t="s">
        <v>316</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317</v>
      </c>
      <c r="B91" s="10"/>
      <c r="C91" s="10"/>
      <c r="D91" s="10"/>
      <c r="E91" s="10">
        <v>40</v>
      </c>
      <c r="F91" s="10"/>
      <c r="G91" s="10"/>
      <c r="H91" s="10"/>
      <c r="I91" s="10"/>
      <c r="J91" s="10"/>
      <c r="K91" s="10"/>
      <c r="L91" s="10"/>
      <c r="M91" s="10"/>
      <c r="N91" s="10"/>
      <c r="O91" s="10"/>
      <c r="P91" s="10"/>
      <c r="Q91" s="10"/>
      <c r="R91" s="10"/>
      <c r="S91" s="11"/>
    </row>
    <row r="92" spans="1:19">
      <c r="A92" s="9" t="s">
        <v>318</v>
      </c>
      <c r="B92" s="10"/>
      <c r="C92" s="10"/>
      <c r="D92" s="10"/>
      <c r="E92" s="10">
        <v>6.0000000000000001E-3</v>
      </c>
      <c r="F92" s="10"/>
      <c r="G92" s="10"/>
      <c r="H92" s="10"/>
      <c r="I92" s="10"/>
      <c r="J92" s="10"/>
      <c r="K92" s="10"/>
      <c r="L92" s="10"/>
      <c r="M92" s="10"/>
      <c r="N92" s="10"/>
      <c r="O92" s="10"/>
      <c r="P92" s="10"/>
      <c r="Q92" s="10"/>
      <c r="R92" s="10"/>
      <c r="S92" s="11"/>
    </row>
    <row r="93" spans="1:19">
      <c r="A93" s="9" t="s">
        <v>321</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319</v>
      </c>
      <c r="B95" s="10"/>
      <c r="C95" s="10"/>
      <c r="D95" s="10"/>
      <c r="E95" s="10"/>
      <c r="F95" s="10">
        <v>1</v>
      </c>
      <c r="G95" s="10"/>
      <c r="H95" s="10"/>
      <c r="I95" s="10"/>
      <c r="J95" s="10"/>
      <c r="K95" s="10"/>
      <c r="L95" s="10"/>
      <c r="M95" s="10"/>
      <c r="N95" s="10"/>
      <c r="O95" s="10"/>
      <c r="P95" s="10"/>
      <c r="Q95" s="10"/>
      <c r="R95" s="10"/>
      <c r="S95" s="11"/>
    </row>
    <row r="96" spans="1:19">
      <c r="A96" s="9" t="s">
        <v>320</v>
      </c>
      <c r="B96" s="10"/>
      <c r="C96" s="10"/>
      <c r="D96" s="10"/>
      <c r="E96" s="10"/>
      <c r="F96" s="10">
        <v>1</v>
      </c>
      <c r="G96" s="10"/>
      <c r="H96" s="10"/>
      <c r="I96" s="10"/>
      <c r="J96" s="10"/>
      <c r="K96" s="10"/>
      <c r="L96" s="10"/>
      <c r="M96" s="10"/>
      <c r="N96" s="10"/>
      <c r="O96" s="10"/>
      <c r="P96" s="10"/>
      <c r="Q96" s="10"/>
      <c r="R96" s="10"/>
      <c r="S96" s="11"/>
    </row>
    <row r="97" spans="1:19">
      <c r="A97" s="9" t="s">
        <v>322</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278</v>
      </c>
    </row>
    <row r="101" spans="1:19" ht="15.75" thickBot="1">
      <c r="A101" t="s">
        <v>323</v>
      </c>
    </row>
    <row r="102" spans="1:19">
      <c r="A102" s="35"/>
      <c r="B102" s="7"/>
      <c r="C102" s="7"/>
      <c r="D102" s="7"/>
      <c r="E102" s="7"/>
      <c r="F102" s="7"/>
      <c r="G102" s="7"/>
      <c r="H102" s="7"/>
      <c r="I102" s="7"/>
      <c r="J102" s="7"/>
      <c r="K102" s="7"/>
      <c r="L102" s="7"/>
      <c r="M102" s="7"/>
      <c r="N102" s="7"/>
      <c r="O102" s="7"/>
      <c r="P102" s="7"/>
      <c r="Q102" s="7"/>
      <c r="R102" s="7"/>
      <c r="S102" s="8"/>
    </row>
    <row r="103" spans="1:19">
      <c r="A103" s="21" t="s">
        <v>279</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281</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282</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283</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284</v>
      </c>
      <c r="B112" s="10"/>
      <c r="C112" s="10"/>
      <c r="D112" s="10"/>
      <c r="E112" s="10"/>
      <c r="F112" s="10"/>
      <c r="G112" s="10"/>
      <c r="H112" s="10"/>
      <c r="I112" s="10"/>
      <c r="J112" s="10"/>
      <c r="K112" s="10"/>
      <c r="L112" s="10"/>
      <c r="M112" s="10"/>
      <c r="N112" s="10"/>
      <c r="O112" s="10"/>
      <c r="P112" s="10"/>
      <c r="Q112" s="10"/>
      <c r="R112" s="10"/>
      <c r="S112" s="11"/>
    </row>
    <row r="113" spans="1:19">
      <c r="A113" s="9" t="s">
        <v>285</v>
      </c>
      <c r="B113" s="10"/>
      <c r="C113" s="10"/>
      <c r="D113" s="10"/>
      <c r="E113" s="10"/>
      <c r="F113" s="10"/>
      <c r="G113" s="10"/>
      <c r="H113" s="10"/>
      <c r="I113" s="10"/>
      <c r="J113" s="10"/>
      <c r="K113" s="10"/>
      <c r="L113" s="10"/>
      <c r="M113" s="10"/>
      <c r="N113" s="10"/>
      <c r="O113" s="10"/>
      <c r="P113" s="10"/>
      <c r="Q113" s="10"/>
      <c r="R113" s="10"/>
      <c r="S113" s="11"/>
    </row>
    <row r="114" spans="1:19">
      <c r="A114" s="9" t="s">
        <v>286</v>
      </c>
      <c r="B114" s="10"/>
      <c r="C114" s="10"/>
      <c r="D114" s="10"/>
      <c r="E114" s="10"/>
      <c r="F114" s="10"/>
      <c r="G114" s="10"/>
      <c r="H114" s="10"/>
      <c r="I114" s="10"/>
      <c r="J114" s="10"/>
      <c r="K114" s="10"/>
      <c r="L114" s="10"/>
      <c r="M114" s="10"/>
      <c r="N114" s="10"/>
      <c r="O114" s="10"/>
      <c r="P114" s="10"/>
      <c r="Q114" s="10"/>
      <c r="R114" s="10"/>
      <c r="S114" s="11"/>
    </row>
    <row r="115" spans="1:19">
      <c r="A115" s="9" t="s">
        <v>287</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288</v>
      </c>
      <c r="B117" s="10"/>
      <c r="C117" s="10"/>
      <c r="D117" s="10"/>
      <c r="E117" s="27">
        <f>SUM(D108:M108)</f>
        <v>0</v>
      </c>
      <c r="F117" s="10"/>
      <c r="G117" s="10"/>
      <c r="H117" s="10"/>
      <c r="I117" s="10"/>
      <c r="J117" s="10"/>
      <c r="K117" s="10"/>
      <c r="L117" s="10"/>
      <c r="M117" s="10"/>
      <c r="N117" s="10"/>
      <c r="O117" s="10"/>
      <c r="P117" s="10"/>
      <c r="Q117" s="10"/>
      <c r="R117" s="10"/>
      <c r="S117" s="11"/>
    </row>
    <row r="118" spans="1:19">
      <c r="A118" s="9" t="s">
        <v>289</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290</v>
      </c>
      <c r="B119" s="10"/>
      <c r="C119" s="10"/>
      <c r="D119" s="10"/>
      <c r="E119" s="15">
        <v>0</v>
      </c>
      <c r="F119" s="10"/>
      <c r="G119" s="10"/>
      <c r="H119" s="10"/>
      <c r="I119" s="10"/>
      <c r="J119" s="10"/>
      <c r="K119" s="10"/>
      <c r="L119" s="10"/>
      <c r="M119" s="10"/>
      <c r="N119" s="10"/>
      <c r="O119" s="10"/>
      <c r="P119" s="10"/>
      <c r="Q119" s="10"/>
      <c r="R119" s="10"/>
      <c r="S119" s="11"/>
    </row>
    <row r="120" spans="1:19">
      <c r="A120" s="9" t="s">
        <v>291</v>
      </c>
      <c r="B120" s="10"/>
      <c r="C120" s="10"/>
      <c r="D120" s="10"/>
      <c r="E120" s="10"/>
      <c r="F120" s="10"/>
      <c r="G120" s="10"/>
      <c r="H120" s="10"/>
      <c r="I120" s="10"/>
      <c r="J120" s="10"/>
      <c r="K120" s="10"/>
      <c r="L120" s="10"/>
      <c r="M120" s="10"/>
      <c r="N120" s="10"/>
      <c r="O120" s="10"/>
      <c r="P120" s="10"/>
      <c r="Q120" s="10"/>
      <c r="R120" s="10"/>
      <c r="S120" s="11"/>
    </row>
    <row r="121" spans="1:19">
      <c r="A121" s="9" t="s">
        <v>292</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293</v>
      </c>
      <c r="B123" s="10"/>
      <c r="C123" s="10"/>
      <c r="D123" s="10"/>
      <c r="E123" s="10"/>
      <c r="F123" s="10"/>
      <c r="G123" s="10"/>
      <c r="H123" s="10"/>
      <c r="I123" s="10"/>
      <c r="J123" s="10"/>
      <c r="K123" s="10"/>
      <c r="L123" s="10"/>
      <c r="M123" s="10"/>
      <c r="N123" s="10"/>
      <c r="O123" s="10"/>
      <c r="P123" s="10"/>
      <c r="Q123" s="10"/>
      <c r="R123" s="10"/>
      <c r="S123" s="11"/>
    </row>
    <row r="124" spans="1:19">
      <c r="A124" s="21" t="s">
        <v>278</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294</v>
      </c>
      <c r="B126" s="10"/>
      <c r="C126" s="10"/>
      <c r="D126" s="10"/>
      <c r="E126" s="10"/>
      <c r="F126" s="10"/>
      <c r="G126" s="10"/>
      <c r="H126" s="10"/>
      <c r="I126" s="10"/>
      <c r="J126" s="10"/>
      <c r="K126" s="10"/>
      <c r="L126" s="10"/>
      <c r="M126" s="10"/>
      <c r="N126" s="10"/>
      <c r="O126" s="10"/>
      <c r="P126" s="10"/>
      <c r="Q126" s="10"/>
      <c r="R126" s="10"/>
      <c r="S126" s="11"/>
    </row>
    <row r="127" spans="1:19">
      <c r="A127" s="9" t="s">
        <v>297</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295</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296</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298</v>
      </c>
      <c r="B133" s="10"/>
      <c r="C133" s="10"/>
      <c r="D133" s="10"/>
      <c r="E133" s="10"/>
      <c r="F133" s="10"/>
      <c r="G133" s="10"/>
      <c r="H133" s="10"/>
      <c r="I133" s="10"/>
      <c r="J133" s="10"/>
      <c r="K133" s="10"/>
      <c r="L133" s="10"/>
      <c r="M133" s="10"/>
      <c r="N133" s="10"/>
      <c r="O133" s="10"/>
      <c r="P133" s="10"/>
      <c r="Q133" s="10"/>
      <c r="R133" s="10"/>
      <c r="S133" s="11"/>
    </row>
    <row r="134" spans="1:19">
      <c r="A134" s="9" t="s">
        <v>300</v>
      </c>
      <c r="B134" s="10"/>
      <c r="C134" s="10" t="s">
        <v>301</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299</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302</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303</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304</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305</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306</v>
      </c>
      <c r="B143" s="10"/>
      <c r="C143" s="10"/>
      <c r="D143" s="10"/>
      <c r="E143" s="10"/>
      <c r="F143" s="10"/>
      <c r="G143" s="10"/>
      <c r="H143" s="10"/>
      <c r="I143" s="10"/>
      <c r="J143" s="10"/>
      <c r="K143" s="10"/>
      <c r="L143" s="10"/>
      <c r="M143" s="10"/>
      <c r="N143" s="10"/>
      <c r="O143" s="10"/>
      <c r="P143" s="10"/>
      <c r="Q143" s="10"/>
      <c r="R143" s="10"/>
      <c r="S143" s="11"/>
    </row>
    <row r="144" spans="1:19">
      <c r="A144" s="9" t="s">
        <v>307</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308</v>
      </c>
      <c r="B147" s="10"/>
      <c r="C147" s="10"/>
      <c r="D147" s="10"/>
      <c r="E147" s="10"/>
      <c r="F147" s="10"/>
      <c r="G147" s="10"/>
      <c r="H147" s="10"/>
      <c r="I147" s="10"/>
      <c r="J147" s="10"/>
      <c r="K147" s="10"/>
      <c r="L147" s="10"/>
      <c r="M147" s="10"/>
      <c r="N147" s="10"/>
      <c r="O147" s="10"/>
      <c r="P147" s="10"/>
      <c r="Q147" s="10"/>
      <c r="R147" s="10"/>
      <c r="S147" s="11"/>
    </row>
    <row r="148" spans="1:19">
      <c r="A148" s="9" t="s">
        <v>309</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310</v>
      </c>
      <c r="B150" s="10"/>
      <c r="C150" s="10"/>
      <c r="D150" s="10"/>
      <c r="E150" s="15">
        <v>0.9</v>
      </c>
      <c r="F150" s="10" t="s">
        <v>312</v>
      </c>
      <c r="G150" s="10"/>
      <c r="H150" s="10"/>
      <c r="I150" s="10"/>
      <c r="J150" s="10"/>
      <c r="K150" s="10"/>
      <c r="L150" s="10"/>
      <c r="M150" s="10"/>
      <c r="N150" s="10"/>
      <c r="O150" s="10"/>
      <c r="P150" s="10"/>
      <c r="Q150" s="10"/>
      <c r="R150" s="10"/>
      <c r="S150" s="11"/>
    </row>
    <row r="151" spans="1:19">
      <c r="A151" s="9" t="s">
        <v>311</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324</v>
      </c>
      <c r="B153" s="10"/>
      <c r="C153" s="10"/>
      <c r="D153" s="10"/>
      <c r="E153" s="10"/>
      <c r="F153" s="10">
        <v>0</v>
      </c>
      <c r="G153" s="10"/>
      <c r="H153" s="10"/>
      <c r="I153" s="10"/>
      <c r="J153" s="10"/>
      <c r="K153" s="10"/>
      <c r="L153" s="10"/>
      <c r="M153" s="10"/>
      <c r="N153" s="10"/>
      <c r="O153" s="10"/>
      <c r="P153" s="10"/>
      <c r="Q153" s="10"/>
      <c r="R153" s="10"/>
      <c r="S153" s="11"/>
    </row>
    <row r="154" spans="1:19">
      <c r="A154" s="9" t="s">
        <v>313</v>
      </c>
      <c r="B154" s="10"/>
      <c r="C154" s="10"/>
      <c r="D154" s="10"/>
      <c r="E154" s="10"/>
      <c r="F154" s="10">
        <v>0</v>
      </c>
      <c r="G154" s="10"/>
      <c r="H154" s="10"/>
      <c r="I154" s="10"/>
      <c r="J154" s="10"/>
      <c r="K154" s="10"/>
      <c r="L154" s="10"/>
      <c r="M154" s="10"/>
      <c r="N154" s="10"/>
      <c r="O154" s="10"/>
      <c r="P154" s="10"/>
      <c r="Q154" s="10"/>
      <c r="R154" s="10"/>
      <c r="S154" s="11"/>
    </row>
    <row r="155" spans="1:19">
      <c r="A155" s="9" t="s">
        <v>314</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315</v>
      </c>
      <c r="B158" s="10"/>
      <c r="C158" s="10"/>
      <c r="D158" s="10"/>
      <c r="E158" s="10"/>
      <c r="F158" s="10"/>
      <c r="G158" s="10"/>
      <c r="H158" s="10"/>
      <c r="I158" s="10"/>
      <c r="J158" s="10"/>
      <c r="K158" s="10"/>
      <c r="L158" s="10"/>
      <c r="M158" s="10"/>
      <c r="N158" s="10"/>
      <c r="O158" s="10"/>
      <c r="P158" s="10"/>
      <c r="Q158" s="10"/>
      <c r="R158" s="10"/>
      <c r="S158" s="11"/>
    </row>
    <row r="159" spans="1:19">
      <c r="A159" s="9" t="s">
        <v>316</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317</v>
      </c>
      <c r="B161" s="10"/>
      <c r="C161" s="10"/>
      <c r="D161" s="10"/>
      <c r="E161" s="10">
        <v>0</v>
      </c>
      <c r="F161" s="10"/>
      <c r="G161" s="10"/>
      <c r="H161" s="10"/>
      <c r="I161" s="10"/>
      <c r="J161" s="10"/>
      <c r="K161" s="10"/>
      <c r="L161" s="10"/>
      <c r="M161" s="10"/>
      <c r="N161" s="10"/>
      <c r="O161" s="10"/>
      <c r="P161" s="10"/>
      <c r="Q161" s="10"/>
      <c r="R161" s="10"/>
      <c r="S161" s="11"/>
    </row>
    <row r="162" spans="1:19">
      <c r="A162" s="9" t="s">
        <v>318</v>
      </c>
      <c r="B162" s="10"/>
      <c r="C162" s="10"/>
      <c r="D162" s="10"/>
      <c r="E162" s="10">
        <v>0</v>
      </c>
      <c r="F162" s="10"/>
      <c r="G162" s="10"/>
      <c r="H162" s="10"/>
      <c r="I162" s="10"/>
      <c r="J162" s="10"/>
      <c r="K162" s="10"/>
      <c r="L162" s="10"/>
      <c r="M162" s="10"/>
      <c r="N162" s="10"/>
      <c r="O162" s="10"/>
      <c r="P162" s="10"/>
      <c r="Q162" s="10"/>
      <c r="R162" s="10"/>
      <c r="S162" s="11"/>
    </row>
    <row r="163" spans="1:19">
      <c r="A163" s="9" t="s">
        <v>321</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319</v>
      </c>
      <c r="B165" s="10"/>
      <c r="C165" s="10"/>
      <c r="D165" s="10"/>
      <c r="E165" s="10"/>
      <c r="F165" s="10">
        <v>0</v>
      </c>
      <c r="G165" s="10"/>
      <c r="H165" s="10"/>
      <c r="I165" s="10"/>
      <c r="J165" s="10"/>
      <c r="K165" s="10"/>
      <c r="L165" s="10"/>
      <c r="M165" s="10"/>
      <c r="N165" s="10"/>
      <c r="O165" s="10"/>
      <c r="P165" s="10"/>
      <c r="Q165" s="10"/>
      <c r="R165" s="10"/>
      <c r="S165" s="11"/>
    </row>
    <row r="166" spans="1:19">
      <c r="A166" s="9" t="s">
        <v>320</v>
      </c>
      <c r="B166" s="10"/>
      <c r="C166" s="10"/>
      <c r="D166" s="10"/>
      <c r="E166" s="10"/>
      <c r="F166" s="10">
        <v>0</v>
      </c>
      <c r="G166" s="10"/>
      <c r="H166" s="10"/>
      <c r="I166" s="10"/>
      <c r="J166" s="10"/>
      <c r="K166" s="10"/>
      <c r="L166" s="10"/>
      <c r="M166" s="10"/>
      <c r="N166" s="10"/>
      <c r="O166" s="10"/>
      <c r="P166" s="10"/>
      <c r="Q166" s="10"/>
      <c r="R166" s="10"/>
      <c r="S166" s="11"/>
    </row>
    <row r="167" spans="1:19">
      <c r="A167" s="9" t="s">
        <v>322</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325</v>
      </c>
    </row>
    <row r="171" spans="1:19" ht="15.75" thickBot="1"/>
    <row r="172" spans="1:19">
      <c r="A172" s="6" t="s">
        <v>326</v>
      </c>
      <c r="B172" s="7"/>
      <c r="C172" s="7"/>
      <c r="D172" s="7"/>
      <c r="E172" s="7"/>
      <c r="F172" s="7"/>
      <c r="G172" s="7"/>
      <c r="H172" s="7"/>
      <c r="I172" s="7"/>
      <c r="J172" s="7"/>
      <c r="K172" s="7"/>
      <c r="L172" s="7"/>
      <c r="M172" s="7"/>
      <c r="N172" s="7"/>
      <c r="O172" s="7"/>
      <c r="P172" s="7"/>
      <c r="Q172" s="7"/>
      <c r="R172" s="7"/>
      <c r="S172" s="8"/>
    </row>
    <row r="173" spans="1:19">
      <c r="A173" s="9" t="s">
        <v>331</v>
      </c>
      <c r="B173" s="10"/>
      <c r="C173" s="10"/>
      <c r="D173" s="10"/>
      <c r="E173" s="10"/>
      <c r="F173" s="10"/>
      <c r="G173" s="10"/>
      <c r="H173" s="10"/>
      <c r="I173" s="10"/>
      <c r="J173" s="10"/>
      <c r="K173" s="10"/>
      <c r="L173" s="10"/>
      <c r="M173" s="10"/>
      <c r="N173" s="10"/>
      <c r="O173" s="10"/>
      <c r="P173" s="10"/>
      <c r="Q173" s="10"/>
      <c r="R173" s="10"/>
      <c r="S173" s="11"/>
    </row>
    <row r="174" spans="1:19">
      <c r="A174" s="18" t="s">
        <v>332</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329</v>
      </c>
      <c r="F176" s="10" t="s">
        <v>330</v>
      </c>
      <c r="G176" s="10"/>
      <c r="H176" s="10"/>
      <c r="I176" s="10"/>
      <c r="J176" s="10"/>
      <c r="K176" s="10"/>
      <c r="L176" s="10"/>
      <c r="M176" s="10"/>
      <c r="N176" s="10"/>
      <c r="O176" s="10"/>
      <c r="P176" s="10"/>
      <c r="Q176" s="10"/>
      <c r="R176" s="10"/>
      <c r="S176" s="11"/>
    </row>
    <row r="177" spans="1:19">
      <c r="A177" s="9" t="s">
        <v>327</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289</v>
      </c>
      <c r="B178" s="10"/>
      <c r="C178" s="10"/>
      <c r="D178" s="10"/>
      <c r="E178" s="10">
        <v>16</v>
      </c>
      <c r="F178" s="10">
        <v>18</v>
      </c>
      <c r="G178" s="10" t="s">
        <v>333</v>
      </c>
      <c r="H178" s="10"/>
      <c r="I178" s="10"/>
      <c r="J178" s="10"/>
      <c r="K178" s="10"/>
      <c r="L178" s="10"/>
      <c r="M178" s="10"/>
      <c r="N178" s="10"/>
      <c r="O178" s="10"/>
      <c r="P178" s="10"/>
      <c r="Q178" s="10"/>
      <c r="R178" s="10"/>
      <c r="S178" s="11"/>
    </row>
    <row r="179" spans="1:19">
      <c r="A179" s="9" t="s">
        <v>290</v>
      </c>
      <c r="B179" s="10"/>
      <c r="C179" s="10"/>
      <c r="D179" s="10"/>
      <c r="E179" s="15">
        <v>0</v>
      </c>
      <c r="F179" s="15">
        <v>0</v>
      </c>
      <c r="G179" s="10"/>
      <c r="H179" s="10"/>
      <c r="I179" s="10"/>
      <c r="J179" s="10"/>
      <c r="K179" s="10"/>
      <c r="L179" s="10"/>
      <c r="M179" s="10"/>
      <c r="N179" s="10"/>
      <c r="O179" s="10"/>
      <c r="P179" s="10"/>
      <c r="Q179" s="10"/>
      <c r="R179" s="10"/>
      <c r="S179" s="11"/>
    </row>
    <row r="180" spans="1:19">
      <c r="A180" s="9" t="s">
        <v>328</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566</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567</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329</v>
      </c>
      <c r="D185" s="10" t="s">
        <v>330</v>
      </c>
      <c r="E185" s="10"/>
      <c r="F185" s="10"/>
      <c r="G185" s="10"/>
      <c r="H185" s="10"/>
      <c r="I185" s="10"/>
      <c r="J185" s="10"/>
      <c r="K185" s="10"/>
      <c r="L185" s="10"/>
      <c r="M185" s="10"/>
      <c r="N185" s="10"/>
      <c r="O185" s="10"/>
      <c r="P185" s="10"/>
      <c r="Q185" s="10"/>
      <c r="R185" s="10"/>
      <c r="S185" s="11"/>
    </row>
    <row r="186" spans="1:19">
      <c r="A186" s="9" t="s">
        <v>347</v>
      </c>
      <c r="B186" s="10"/>
      <c r="C186" s="10">
        <v>0</v>
      </c>
      <c r="D186" s="10">
        <v>0</v>
      </c>
      <c r="E186" s="10"/>
      <c r="F186" s="10"/>
      <c r="G186" s="10"/>
      <c r="H186" s="10"/>
      <c r="I186" s="10"/>
      <c r="J186" s="10"/>
      <c r="K186" s="10"/>
      <c r="L186" s="10"/>
      <c r="M186" s="10"/>
      <c r="N186" s="10"/>
      <c r="O186" s="10"/>
      <c r="P186" s="10"/>
      <c r="Q186" s="10"/>
      <c r="R186" s="10"/>
      <c r="S186" s="11"/>
    </row>
    <row r="187" spans="1:19">
      <c r="A187" s="9" t="s">
        <v>296</v>
      </c>
      <c r="B187" s="10"/>
      <c r="C187" s="10">
        <v>20</v>
      </c>
      <c r="D187" s="10">
        <v>20</v>
      </c>
      <c r="E187" s="10" t="s">
        <v>348</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349</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329</v>
      </c>
      <c r="D190" s="10" t="s">
        <v>330</v>
      </c>
      <c r="E190" s="10"/>
      <c r="F190" s="10"/>
      <c r="G190" s="10"/>
      <c r="H190" s="10"/>
      <c r="I190" s="10"/>
      <c r="J190" s="10"/>
      <c r="K190" s="10"/>
      <c r="L190" s="10"/>
      <c r="M190" s="10"/>
      <c r="N190" s="10"/>
      <c r="O190" s="10"/>
      <c r="P190" s="10"/>
      <c r="Q190" s="10"/>
      <c r="R190" s="10"/>
      <c r="S190" s="11"/>
    </row>
    <row r="191" spans="1:19">
      <c r="A191" s="9" t="s">
        <v>350</v>
      </c>
      <c r="B191" s="10"/>
      <c r="C191" s="10">
        <v>16</v>
      </c>
      <c r="D191" s="10">
        <v>18</v>
      </c>
      <c r="E191" s="10" t="s">
        <v>348</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302</v>
      </c>
      <c r="B193" s="10"/>
      <c r="C193" s="10"/>
      <c r="D193" s="10"/>
      <c r="E193" s="10"/>
      <c r="F193" s="10"/>
      <c r="G193" s="10"/>
      <c r="H193" s="10"/>
      <c r="I193" s="10"/>
      <c r="J193" s="10"/>
      <c r="K193" s="10"/>
      <c r="L193" s="10"/>
      <c r="M193" s="10"/>
      <c r="N193" s="10"/>
      <c r="O193" s="10"/>
      <c r="P193" s="10"/>
      <c r="Q193" s="10"/>
      <c r="R193" s="10"/>
      <c r="S193" s="11"/>
    </row>
    <row r="194" spans="1:19">
      <c r="A194" s="9" t="s">
        <v>352</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329</v>
      </c>
      <c r="D195" s="10" t="s">
        <v>330</v>
      </c>
      <c r="E195" s="10"/>
      <c r="F195" s="10"/>
      <c r="G195" s="10"/>
      <c r="H195" s="10"/>
      <c r="I195" s="10"/>
      <c r="J195" s="10"/>
      <c r="K195" s="10"/>
      <c r="L195" s="10"/>
      <c r="M195" s="10"/>
      <c r="N195" s="10"/>
      <c r="O195" s="10"/>
      <c r="P195" s="10"/>
      <c r="Q195" s="10"/>
      <c r="R195" s="10"/>
      <c r="S195" s="11"/>
    </row>
    <row r="196" spans="1:19">
      <c r="A196" s="9" t="s">
        <v>304</v>
      </c>
      <c r="B196" s="10"/>
      <c r="C196" s="10">
        <v>1.38E-2</v>
      </c>
      <c r="D196" s="10">
        <v>1.38E-2</v>
      </c>
      <c r="E196" s="10" t="s">
        <v>348</v>
      </c>
      <c r="F196" s="10"/>
      <c r="G196" s="10"/>
      <c r="H196" s="10"/>
      <c r="I196" s="10"/>
      <c r="J196" s="10"/>
      <c r="K196" s="10"/>
      <c r="L196" s="10"/>
      <c r="M196" s="10"/>
      <c r="N196" s="10"/>
      <c r="O196" s="10"/>
      <c r="P196" s="10"/>
      <c r="Q196" s="10"/>
      <c r="R196" s="10"/>
      <c r="S196" s="11"/>
    </row>
    <row r="197" spans="1:19">
      <c r="A197" s="9" t="s">
        <v>305</v>
      </c>
      <c r="B197" s="10"/>
      <c r="C197" s="10">
        <v>8.5999999999999993E-2</v>
      </c>
      <c r="D197" s="10">
        <v>8.5999999999999993E-2</v>
      </c>
      <c r="E197" s="10" t="s">
        <v>348</v>
      </c>
      <c r="F197" s="10"/>
      <c r="G197" s="10"/>
      <c r="H197" s="10"/>
      <c r="I197" s="10"/>
      <c r="J197" s="10"/>
      <c r="K197" s="10"/>
      <c r="L197" s="10"/>
      <c r="M197" s="10"/>
      <c r="N197" s="10"/>
      <c r="O197" s="10"/>
      <c r="P197" s="10"/>
      <c r="Q197" s="10"/>
      <c r="R197" s="10"/>
      <c r="S197" s="11"/>
    </row>
    <row r="198" spans="1:19">
      <c r="A198" s="9" t="s">
        <v>353</v>
      </c>
      <c r="B198" s="10"/>
      <c r="C198" s="10"/>
      <c r="D198" s="10"/>
      <c r="E198" s="10"/>
      <c r="F198" s="10"/>
      <c r="G198" s="10"/>
      <c r="H198" s="10"/>
      <c r="I198" s="10"/>
      <c r="J198" s="10"/>
      <c r="K198" s="10"/>
      <c r="L198" s="10"/>
      <c r="M198" s="10"/>
      <c r="N198" s="10"/>
      <c r="O198" s="10"/>
      <c r="P198" s="10"/>
      <c r="Q198" s="10"/>
      <c r="R198" s="10"/>
      <c r="S198" s="11"/>
    </row>
    <row r="199" spans="1:19">
      <c r="A199" s="9" t="s">
        <v>354</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334</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329</v>
      </c>
      <c r="G203" s="10" t="s">
        <v>330</v>
      </c>
      <c r="H203" s="10"/>
      <c r="I203" s="10"/>
      <c r="J203" s="10"/>
      <c r="K203" s="10"/>
      <c r="L203" s="10"/>
      <c r="M203" s="10"/>
      <c r="N203" s="10"/>
      <c r="O203" s="10"/>
      <c r="P203" s="10"/>
      <c r="Q203" s="10"/>
      <c r="R203" s="10"/>
      <c r="S203" s="11"/>
    </row>
    <row r="204" spans="1:19">
      <c r="A204" s="9" t="s">
        <v>335</v>
      </c>
      <c r="B204" s="10"/>
      <c r="C204" s="10"/>
      <c r="D204" s="10"/>
      <c r="E204" s="10"/>
      <c r="F204" s="10">
        <v>0</v>
      </c>
      <c r="G204" s="10">
        <v>0</v>
      </c>
      <c r="H204" s="10"/>
      <c r="I204" s="10"/>
      <c r="J204" s="10"/>
      <c r="K204" s="10"/>
      <c r="L204" s="10"/>
      <c r="M204" s="10"/>
      <c r="N204" s="10"/>
      <c r="O204" s="10"/>
      <c r="P204" s="10"/>
      <c r="Q204" s="10"/>
      <c r="R204" s="10"/>
      <c r="S204" s="11"/>
    </row>
    <row r="205" spans="1:19">
      <c r="A205" s="9" t="s">
        <v>336</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339</v>
      </c>
      <c r="B208" s="10"/>
      <c r="C208" s="10"/>
      <c r="D208" s="10"/>
      <c r="E208" s="10"/>
      <c r="F208" s="10"/>
      <c r="G208" s="10"/>
      <c r="H208" s="10"/>
      <c r="I208" s="10"/>
      <c r="J208" s="10"/>
      <c r="K208" s="10"/>
      <c r="L208" s="10"/>
      <c r="M208" s="10"/>
      <c r="N208" s="10"/>
      <c r="O208" s="10"/>
      <c r="P208" s="10"/>
      <c r="Q208" s="10"/>
      <c r="R208" s="10"/>
      <c r="S208" s="11"/>
    </row>
    <row r="209" spans="1:19">
      <c r="A209" s="18" t="s">
        <v>340</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329</v>
      </c>
      <c r="G210" s="10" t="s">
        <v>330</v>
      </c>
      <c r="H210" s="10"/>
      <c r="I210" s="10"/>
      <c r="J210" s="10"/>
      <c r="K210" s="10"/>
      <c r="L210" s="10"/>
      <c r="M210" s="10"/>
      <c r="N210" s="10"/>
      <c r="O210" s="10"/>
      <c r="P210" s="10"/>
      <c r="Q210" s="10"/>
      <c r="R210" s="10"/>
      <c r="S210" s="11"/>
    </row>
    <row r="211" spans="1:19">
      <c r="A211" s="9" t="s">
        <v>337</v>
      </c>
      <c r="B211" s="10"/>
      <c r="C211" s="10"/>
      <c r="D211" s="10"/>
      <c r="E211" s="10"/>
      <c r="F211" s="10">
        <v>0</v>
      </c>
      <c r="G211" s="10">
        <v>0</v>
      </c>
      <c r="H211" s="10"/>
      <c r="I211" s="10"/>
      <c r="J211" s="10"/>
      <c r="K211" s="10"/>
      <c r="L211" s="10"/>
      <c r="M211" s="10"/>
      <c r="N211" s="10"/>
      <c r="O211" s="10"/>
      <c r="P211" s="10"/>
      <c r="Q211" s="10"/>
      <c r="R211" s="10"/>
      <c r="S211" s="11"/>
    </row>
    <row r="212" spans="1:19">
      <c r="A212" s="9" t="s">
        <v>338</v>
      </c>
      <c r="B212" s="10"/>
      <c r="C212" s="10"/>
      <c r="D212" s="10"/>
      <c r="E212" s="10"/>
      <c r="F212" s="10">
        <v>0</v>
      </c>
      <c r="G212" s="10">
        <v>0</v>
      </c>
      <c r="H212" s="10"/>
      <c r="I212" s="10"/>
      <c r="J212" s="10"/>
      <c r="K212" s="10"/>
      <c r="L212" s="10"/>
      <c r="M212" s="10"/>
      <c r="N212" s="10"/>
      <c r="O212" s="10"/>
      <c r="P212" s="10"/>
      <c r="Q212" s="10"/>
      <c r="R212" s="10"/>
      <c r="S212" s="11"/>
    </row>
    <row r="213" spans="1:19">
      <c r="A213" s="9" t="s">
        <v>319</v>
      </c>
      <c r="B213" s="10"/>
      <c r="C213" s="10"/>
      <c r="D213" s="10"/>
      <c r="E213" s="10"/>
      <c r="F213" s="10">
        <v>0</v>
      </c>
      <c r="G213" s="10">
        <v>0</v>
      </c>
      <c r="H213" s="10"/>
      <c r="I213" s="10"/>
      <c r="J213" s="10"/>
      <c r="K213" s="10"/>
      <c r="L213" s="10"/>
      <c r="M213" s="10"/>
      <c r="N213" s="10"/>
      <c r="O213" s="10"/>
      <c r="P213" s="10"/>
      <c r="Q213" s="10"/>
      <c r="R213" s="10"/>
      <c r="S213" s="11"/>
    </row>
    <row r="214" spans="1:19">
      <c r="A214" s="9" t="s">
        <v>320</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341</v>
      </c>
    </row>
    <row r="218" spans="1:19">
      <c r="A218" s="35" t="s">
        <v>355</v>
      </c>
      <c r="B218" s="7"/>
      <c r="C218" s="7"/>
      <c r="D218" s="7"/>
      <c r="E218" s="7"/>
      <c r="F218" s="7"/>
      <c r="G218" s="7"/>
      <c r="H218" s="7"/>
      <c r="I218" s="7"/>
      <c r="J218" s="7"/>
      <c r="K218" s="7"/>
      <c r="L218" s="7"/>
      <c r="M218" s="7"/>
      <c r="N218" s="7"/>
      <c r="O218" s="8"/>
    </row>
    <row r="219" spans="1:19">
      <c r="A219" s="9" t="s">
        <v>342</v>
      </c>
      <c r="B219" s="10"/>
      <c r="C219" s="10"/>
      <c r="D219" s="10"/>
      <c r="E219" s="10"/>
      <c r="F219" s="10"/>
      <c r="G219" s="10"/>
      <c r="H219" s="10"/>
      <c r="I219" s="10"/>
      <c r="J219" s="10"/>
      <c r="K219" s="10"/>
      <c r="L219" s="10"/>
      <c r="M219" s="10"/>
      <c r="N219" s="10"/>
      <c r="O219" s="11"/>
    </row>
    <row r="220" spans="1:19">
      <c r="A220" s="9" t="s">
        <v>343</v>
      </c>
      <c r="B220" s="10"/>
      <c r="C220" s="10"/>
      <c r="D220" s="10"/>
      <c r="E220" s="10"/>
      <c r="F220" s="10"/>
      <c r="G220" s="10"/>
      <c r="H220" s="10"/>
      <c r="I220" s="10"/>
      <c r="J220" s="10"/>
      <c r="K220" s="10"/>
      <c r="L220" s="10"/>
      <c r="M220" s="10"/>
      <c r="N220" s="10"/>
      <c r="O220" s="11"/>
    </row>
    <row r="221" spans="1:19">
      <c r="A221" s="9" t="s">
        <v>344</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327</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289</v>
      </c>
      <c r="B225" s="10"/>
      <c r="C225" s="10"/>
      <c r="D225" s="10"/>
      <c r="E225" s="27">
        <f>IF((C238*E224+D238*F224)=0,0,(C238*E224+D238*F224)/G224)</f>
        <v>0</v>
      </c>
      <c r="F225" s="10"/>
      <c r="G225" s="10"/>
      <c r="H225" s="10"/>
      <c r="I225" s="10"/>
      <c r="J225" s="10"/>
      <c r="K225" s="10"/>
      <c r="L225" s="10"/>
      <c r="M225" s="10"/>
      <c r="N225" s="10"/>
      <c r="O225" s="11"/>
    </row>
    <row r="226" spans="1:15">
      <c r="A226" s="9" t="s">
        <v>290</v>
      </c>
      <c r="B226" s="10"/>
      <c r="C226" s="10"/>
      <c r="D226" s="10"/>
      <c r="E226" s="15">
        <v>0</v>
      </c>
      <c r="F226" s="10"/>
      <c r="G226" s="10"/>
      <c r="H226" s="10"/>
      <c r="I226" s="10"/>
      <c r="J226" s="10"/>
      <c r="K226" s="10"/>
      <c r="L226" s="10"/>
      <c r="M226" s="10"/>
      <c r="N226" s="10"/>
      <c r="O226" s="11"/>
    </row>
    <row r="227" spans="1:15">
      <c r="A227" s="9" t="s">
        <v>328</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345</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346</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347</v>
      </c>
      <c r="B233" s="10"/>
      <c r="C233" s="10">
        <v>0</v>
      </c>
      <c r="D233" s="10">
        <v>0</v>
      </c>
      <c r="E233" s="10"/>
      <c r="F233" s="10"/>
      <c r="G233" s="10"/>
      <c r="H233" s="10"/>
      <c r="I233" s="10"/>
      <c r="J233" s="10"/>
      <c r="K233" s="10"/>
      <c r="L233" s="10"/>
      <c r="M233" s="10"/>
      <c r="N233" s="10"/>
      <c r="O233" s="11"/>
    </row>
    <row r="234" spans="1:15">
      <c r="A234" s="9" t="s">
        <v>296</v>
      </c>
      <c r="B234" s="10"/>
      <c r="C234" s="10">
        <v>20</v>
      </c>
      <c r="D234" s="10">
        <v>20</v>
      </c>
      <c r="E234" s="10" t="s">
        <v>348</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349</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350</v>
      </c>
      <c r="B238" s="10"/>
      <c r="C238" s="10">
        <v>10.5</v>
      </c>
      <c r="D238" s="10">
        <v>28.5</v>
      </c>
      <c r="E238" s="10" t="s">
        <v>351</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302</v>
      </c>
      <c r="B240" s="10"/>
      <c r="C240" s="10"/>
      <c r="D240" s="10"/>
      <c r="E240" s="10"/>
      <c r="F240" s="10"/>
      <c r="G240" s="10"/>
      <c r="H240" s="10"/>
      <c r="I240" s="10"/>
      <c r="J240" s="10"/>
      <c r="K240" s="10"/>
      <c r="L240" s="10"/>
      <c r="M240" s="10"/>
      <c r="N240" s="10"/>
      <c r="O240" s="11"/>
    </row>
    <row r="241" spans="1:15">
      <c r="A241" s="9" t="s">
        <v>352</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304</v>
      </c>
      <c r="B243" s="10"/>
      <c r="C243" s="10">
        <v>1.38E-2</v>
      </c>
      <c r="D243" s="10">
        <v>1.38E-2</v>
      </c>
      <c r="E243" s="10" t="s">
        <v>348</v>
      </c>
      <c r="F243" s="10"/>
      <c r="G243" s="10"/>
      <c r="H243" s="10"/>
      <c r="I243" s="10"/>
      <c r="J243" s="10"/>
      <c r="K243" s="10"/>
      <c r="L243" s="10"/>
      <c r="M243" s="10"/>
      <c r="N243" s="10"/>
      <c r="O243" s="11"/>
    </row>
    <row r="244" spans="1:15">
      <c r="A244" s="9" t="s">
        <v>305</v>
      </c>
      <c r="B244" s="10"/>
      <c r="C244" s="10">
        <v>8.4000000000000005E-2</v>
      </c>
      <c r="D244" s="10">
        <v>7.4999999999999997E-2</v>
      </c>
      <c r="E244" s="10" t="s">
        <v>348</v>
      </c>
      <c r="F244" s="10"/>
      <c r="G244" s="10"/>
      <c r="H244" s="10"/>
      <c r="I244" s="10"/>
      <c r="J244" s="10"/>
      <c r="K244" s="10"/>
      <c r="L244" s="10"/>
      <c r="M244" s="10"/>
      <c r="N244" s="10"/>
      <c r="O244" s="11"/>
    </row>
    <row r="245" spans="1:15">
      <c r="A245" s="9" t="s">
        <v>353</v>
      </c>
      <c r="B245" s="10"/>
      <c r="C245" s="10"/>
      <c r="D245" s="10"/>
      <c r="E245" s="10"/>
      <c r="F245" s="10"/>
      <c r="G245" s="10"/>
      <c r="H245" s="10"/>
      <c r="I245" s="10"/>
      <c r="J245" s="10"/>
      <c r="K245" s="10"/>
      <c r="L245" s="10"/>
      <c r="M245" s="10"/>
      <c r="N245" s="10"/>
      <c r="O245" s="11"/>
    </row>
    <row r="246" spans="1:15">
      <c r="A246" s="9" t="s">
        <v>354</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335</v>
      </c>
      <c r="B249" s="10"/>
      <c r="C249" s="10"/>
      <c r="D249" s="10"/>
      <c r="E249" s="10"/>
      <c r="F249" s="10">
        <v>0</v>
      </c>
      <c r="G249" s="10"/>
      <c r="H249" s="10"/>
      <c r="I249" s="10"/>
      <c r="J249" s="10"/>
      <c r="K249" s="10"/>
      <c r="L249" s="10"/>
      <c r="M249" s="10"/>
      <c r="N249" s="10"/>
      <c r="O249" s="11"/>
    </row>
    <row r="250" spans="1:15">
      <c r="A250" s="9" t="s">
        <v>336</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337</v>
      </c>
      <c r="B253" s="10"/>
      <c r="C253" s="10"/>
      <c r="D253" s="10"/>
      <c r="E253" s="10"/>
      <c r="F253" s="10">
        <v>0</v>
      </c>
      <c r="G253" s="10"/>
      <c r="H253" s="10"/>
      <c r="I253" s="10"/>
      <c r="J253" s="10"/>
      <c r="K253" s="10"/>
      <c r="L253" s="10"/>
      <c r="M253" s="10"/>
      <c r="N253" s="10"/>
      <c r="O253" s="11"/>
    </row>
    <row r="254" spans="1:15">
      <c r="A254" s="9" t="s">
        <v>338</v>
      </c>
      <c r="B254" s="10"/>
      <c r="C254" s="10"/>
      <c r="D254" s="10"/>
      <c r="E254" s="10"/>
      <c r="F254" s="10">
        <v>0</v>
      </c>
      <c r="G254" s="10"/>
      <c r="H254" s="10"/>
      <c r="I254" s="10"/>
      <c r="J254" s="10"/>
      <c r="K254" s="10"/>
      <c r="L254" s="10"/>
      <c r="M254" s="10"/>
      <c r="N254" s="10"/>
      <c r="O254" s="11"/>
    </row>
    <row r="255" spans="1:15">
      <c r="A255" s="9" t="s">
        <v>319</v>
      </c>
      <c r="B255" s="10"/>
      <c r="C255" s="10"/>
      <c r="D255" s="10"/>
      <c r="E255" s="10"/>
      <c r="F255" s="10">
        <v>0</v>
      </c>
      <c r="G255" s="10"/>
      <c r="H255" s="10"/>
      <c r="I255" s="10"/>
      <c r="J255" s="10"/>
      <c r="K255" s="10"/>
      <c r="L255" s="10"/>
      <c r="M255" s="10"/>
      <c r="N255" s="10"/>
      <c r="O255" s="11"/>
    </row>
    <row r="256" spans="1:15">
      <c r="A256" s="9" t="s">
        <v>320</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1008</v>
      </c>
    </row>
    <row r="260" spans="1:15" ht="15.75" thickBot="1"/>
    <row r="261" spans="1:15">
      <c r="A261" s="86" t="s">
        <v>1005</v>
      </c>
      <c r="B261" s="7"/>
      <c r="C261" s="7"/>
      <c r="D261" s="7"/>
      <c r="E261" s="7"/>
      <c r="F261" s="7"/>
      <c r="G261" s="7"/>
      <c r="H261" s="7"/>
      <c r="I261" s="7"/>
      <c r="J261" s="7"/>
      <c r="K261" s="7"/>
      <c r="L261" s="7"/>
      <c r="M261" s="7"/>
      <c r="N261" s="8"/>
    </row>
    <row r="262" spans="1:15">
      <c r="A262" s="9" t="s">
        <v>1006</v>
      </c>
      <c r="B262" s="10"/>
      <c r="C262" s="10"/>
      <c r="D262" s="10"/>
      <c r="E262" s="10"/>
      <c r="F262" s="10"/>
      <c r="G262" s="10"/>
      <c r="H262" s="10"/>
      <c r="I262" s="10"/>
      <c r="J262" s="10"/>
      <c r="K262" s="10"/>
      <c r="L262" s="10"/>
      <c r="M262" s="10"/>
      <c r="N262" s="11"/>
    </row>
    <row r="263" spans="1:15">
      <c r="A263" s="9" t="s">
        <v>1007</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1011</v>
      </c>
      <c r="B265" s="87"/>
      <c r="C265" s="10"/>
      <c r="D265" s="10"/>
      <c r="E265" s="10"/>
      <c r="F265" s="10"/>
      <c r="G265" s="10"/>
      <c r="H265" s="10"/>
      <c r="I265" s="10"/>
      <c r="J265" s="10"/>
      <c r="K265" s="10"/>
      <c r="L265" s="10"/>
      <c r="M265" s="10"/>
      <c r="N265" s="11"/>
    </row>
    <row r="266" spans="1:15">
      <c r="A266" s="9"/>
      <c r="B266" s="10"/>
      <c r="C266" s="10" t="s">
        <v>1012</v>
      </c>
      <c r="D266" s="10" t="s">
        <v>1013</v>
      </c>
      <c r="E266" s="10" t="s">
        <v>1020</v>
      </c>
      <c r="F266" s="10" t="s">
        <v>1014</v>
      </c>
      <c r="G266" s="10" t="s">
        <v>1015</v>
      </c>
      <c r="H266" s="10" t="s">
        <v>1016</v>
      </c>
      <c r="I266" s="10"/>
      <c r="J266" s="10"/>
      <c r="K266" s="10"/>
      <c r="L266" s="10"/>
      <c r="M266" s="10"/>
      <c r="N266" s="11"/>
    </row>
    <row r="267" spans="1:15">
      <c r="A267" s="9" t="s">
        <v>1009</v>
      </c>
      <c r="B267" s="10"/>
      <c r="C267" s="10">
        <v>88</v>
      </c>
      <c r="D267" s="10">
        <v>41</v>
      </c>
      <c r="E267" s="10">
        <v>308</v>
      </c>
      <c r="F267" s="10">
        <v>13</v>
      </c>
      <c r="G267" s="10">
        <v>125</v>
      </c>
      <c r="H267" s="10">
        <v>24</v>
      </c>
      <c r="I267" s="10"/>
      <c r="J267" s="10"/>
      <c r="K267" s="10"/>
      <c r="L267" s="10"/>
      <c r="M267" s="10"/>
      <c r="N267" s="11"/>
    </row>
    <row r="268" spans="1:15">
      <c r="A268" s="9" t="s">
        <v>1010</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1017</v>
      </c>
      <c r="B270" s="10"/>
      <c r="C270" s="10"/>
      <c r="D270" s="10"/>
      <c r="E270" s="10" t="s">
        <v>1012</v>
      </c>
      <c r="F270" s="10" t="s">
        <v>1013</v>
      </c>
      <c r="G270" s="10" t="s">
        <v>1020</v>
      </c>
      <c r="H270" s="10" t="s">
        <v>1014</v>
      </c>
      <c r="I270" s="10" t="s">
        <v>1015</v>
      </c>
      <c r="J270" s="10" t="s">
        <v>1016</v>
      </c>
      <c r="K270" s="10"/>
      <c r="L270" s="10"/>
      <c r="M270" s="10"/>
      <c r="N270" s="11"/>
    </row>
    <row r="271" spans="1:15">
      <c r="A271" s="9" t="s">
        <v>1018</v>
      </c>
      <c r="B271" s="10"/>
      <c r="C271" s="10" t="s">
        <v>1009</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1019</v>
      </c>
      <c r="B272" s="10"/>
      <c r="C272" s="10" t="s">
        <v>1009</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1021</v>
      </c>
      <c r="B274" s="10"/>
      <c r="C274" s="10"/>
      <c r="D274" s="10"/>
      <c r="E274" s="10"/>
      <c r="F274" s="10"/>
      <c r="G274" s="10"/>
      <c r="H274" s="10"/>
      <c r="I274" s="10"/>
      <c r="J274" s="10"/>
      <c r="K274" s="10"/>
      <c r="L274" s="10"/>
      <c r="M274" s="10"/>
      <c r="N274" s="11"/>
    </row>
    <row r="275" spans="1:14">
      <c r="A275" s="9" t="s">
        <v>1022</v>
      </c>
      <c r="B275" s="10"/>
      <c r="C275" s="10"/>
      <c r="D275" s="10"/>
      <c r="E275" s="10"/>
      <c r="F275" s="10"/>
      <c r="G275" s="10"/>
      <c r="H275" s="10"/>
      <c r="I275" s="10"/>
      <c r="J275" s="10"/>
      <c r="K275" s="10"/>
      <c r="L275" s="10"/>
      <c r="M275" s="10"/>
      <c r="N275" s="11"/>
    </row>
    <row r="276" spans="1:14">
      <c r="A276" s="9" t="s">
        <v>1023</v>
      </c>
      <c r="B276" s="10"/>
      <c r="C276" s="10"/>
      <c r="D276" s="10"/>
      <c r="E276" s="10"/>
      <c r="F276" s="10"/>
      <c r="G276" s="10"/>
      <c r="H276" s="10"/>
      <c r="I276" s="10"/>
      <c r="J276" s="10"/>
      <c r="K276" s="10"/>
      <c r="L276" s="10"/>
      <c r="M276" s="10"/>
      <c r="N276" s="11"/>
    </row>
    <row r="277" spans="1:14">
      <c r="A277" s="9"/>
      <c r="B277" s="10" t="s">
        <v>1026</v>
      </c>
      <c r="C277" s="10" t="s">
        <v>1027</v>
      </c>
      <c r="D277" s="10" t="s">
        <v>1028</v>
      </c>
      <c r="E277" s="10" t="s">
        <v>1029</v>
      </c>
      <c r="F277" s="10" t="s">
        <v>1030</v>
      </c>
      <c r="G277" s="10" t="s">
        <v>1031</v>
      </c>
      <c r="H277" s="10" t="s">
        <v>1032</v>
      </c>
      <c r="I277" s="10" t="s">
        <v>1033</v>
      </c>
      <c r="J277" s="10"/>
      <c r="K277" s="10"/>
      <c r="L277" s="10"/>
      <c r="M277" s="10"/>
      <c r="N277" s="11"/>
    </row>
    <row r="278" spans="1:14">
      <c r="A278" s="9" t="s">
        <v>1024</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1025</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O15" zoomScale="70" zoomScaleNormal="70" workbookViewId="0">
      <selection activeCell="BH61" sqref="BH61"/>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356</v>
      </c>
    </row>
    <row r="2" spans="1:81">
      <c r="A2" t="s">
        <v>583</v>
      </c>
    </row>
    <row r="3" spans="1:81">
      <c r="A3" s="61"/>
    </row>
    <row r="4" spans="1:81">
      <c r="A4" s="60" t="s">
        <v>194</v>
      </c>
    </row>
    <row r="5" spans="1:81" ht="15.75" thickBot="1"/>
    <row r="6" spans="1:81">
      <c r="A6" s="6" t="s">
        <v>358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357</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359</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582</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361</v>
      </c>
      <c r="B13" s="10"/>
      <c r="C13" s="10"/>
      <c r="D13" s="10"/>
      <c r="E13" s="69">
        <f>'MRF &amp; RDF Sorting'!B8*'MRF &amp; RDF Sorting'!$B$36</f>
        <v>3562.5</v>
      </c>
      <c r="F13" s="10"/>
      <c r="G13" s="41" t="s">
        <v>380</v>
      </c>
      <c r="H13" s="10"/>
      <c r="I13" s="10"/>
      <c r="J13" s="10"/>
      <c r="K13" s="10"/>
      <c r="L13" s="69">
        <f>'Waste Input'!$B$8*'Waste Input'!B27/1000*(1-'Waste Collection'!E73)*'Waste Collection'!$F$77</f>
        <v>1250</v>
      </c>
      <c r="M13" s="10"/>
      <c r="N13" s="41" t="s">
        <v>418</v>
      </c>
      <c r="O13" s="10"/>
      <c r="P13" s="10"/>
      <c r="Q13" s="10"/>
      <c r="R13" s="10"/>
      <c r="S13" s="10"/>
      <c r="T13" s="69">
        <f>'Waste Input'!$B$8*'Waste Input'!C27/1000*(1-'Waste Collection'!F73)*'Waste Collection'!$F$77</f>
        <v>2500</v>
      </c>
      <c r="U13" s="10"/>
      <c r="V13" s="10" t="s">
        <v>419</v>
      </c>
      <c r="W13" s="10"/>
      <c r="X13" s="10"/>
      <c r="Y13" s="10"/>
      <c r="Z13" s="10"/>
      <c r="AA13" s="10"/>
      <c r="AB13" s="69">
        <f>'Waste Input'!$B$8*'Waste Input'!D27/1000*(1-'Waste Collection'!G73)*'Waste Collection'!$F$77</f>
        <v>1250</v>
      </c>
      <c r="AC13" s="10"/>
      <c r="AD13" s="10" t="s">
        <v>432</v>
      </c>
      <c r="AE13" s="10"/>
      <c r="AF13" s="10"/>
      <c r="AG13" s="10"/>
      <c r="AH13" s="10"/>
      <c r="AI13" s="10"/>
      <c r="AJ13" s="69">
        <f>'Waste Input'!$B$8*'Waste Input'!E27/1000*(1-'Waste Collection'!H73)*'Waste Collection'!$F$77</f>
        <v>250</v>
      </c>
      <c r="AK13" s="10"/>
      <c r="AL13" s="10" t="s">
        <v>445</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483</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360</v>
      </c>
      <c r="B14" s="10"/>
      <c r="C14" s="10"/>
      <c r="D14" s="10"/>
      <c r="E14" s="69">
        <f>'MRF &amp; RDF Sorting'!B67*'MRF &amp; RDF Sorting'!D75*(1-'MRF &amp; RDF Sorting'!F54)</f>
        <v>0</v>
      </c>
      <c r="F14" s="10"/>
      <c r="G14" s="41" t="s">
        <v>381</v>
      </c>
      <c r="H14" s="10"/>
      <c r="I14" s="10"/>
      <c r="J14" s="10"/>
      <c r="K14" s="10"/>
      <c r="L14" s="69">
        <f>'MRF &amp; RDF Sorting'!C8*'MRF &amp; RDF Sorting'!$B$36</f>
        <v>1781.25</v>
      </c>
      <c r="M14" s="10"/>
      <c r="N14" s="10" t="s">
        <v>417</v>
      </c>
      <c r="O14" s="10"/>
      <c r="P14" s="10"/>
      <c r="Q14" s="10"/>
      <c r="R14" s="10"/>
      <c r="S14" s="10"/>
      <c r="T14" s="69">
        <f>'MRF &amp; RDF Sorting'!D8*'MRF &amp; RDF Sorting'!$B$36</f>
        <v>712.5</v>
      </c>
      <c r="U14" s="10"/>
      <c r="V14" s="10" t="s">
        <v>420</v>
      </c>
      <c r="W14" s="10"/>
      <c r="X14" s="10"/>
      <c r="Y14" s="10"/>
      <c r="Z14" s="10"/>
      <c r="AA14" s="10"/>
      <c r="AB14" s="69">
        <f>'MRF &amp; RDF Sorting'!E8*'MRF &amp; RDF Sorting'!$B$36</f>
        <v>0</v>
      </c>
      <c r="AC14" s="10"/>
      <c r="AD14" s="10" t="s">
        <v>433</v>
      </c>
      <c r="AE14" s="10"/>
      <c r="AF14" s="10"/>
      <c r="AG14" s="10"/>
      <c r="AH14" s="10"/>
      <c r="AI14" s="10"/>
      <c r="AJ14" s="69">
        <f>'MRF &amp; RDF Sorting'!F8*'MRF &amp; RDF Sorting'!$B$36</f>
        <v>0</v>
      </c>
      <c r="AK14" s="10"/>
      <c r="AL14" s="10" t="s">
        <v>446</v>
      </c>
      <c r="AM14" s="10"/>
      <c r="AN14" s="10"/>
      <c r="AO14" s="10"/>
      <c r="AP14" s="10"/>
      <c r="AQ14" s="10"/>
      <c r="AR14" s="69">
        <f>'MRF &amp; RDF Sorting'!G8*'MRF &amp; RDF Sorting'!$B$36</f>
        <v>712.5</v>
      </c>
      <c r="AS14" s="10"/>
      <c r="AT14" s="10" t="s">
        <v>458</v>
      </c>
      <c r="AU14" s="10"/>
      <c r="AV14" s="10"/>
      <c r="AW14" s="10"/>
      <c r="AX14" s="10"/>
      <c r="AY14" s="10"/>
      <c r="AZ14" s="69">
        <f>'MRF &amp; RDF Sorting'!H8*'MRF &amp; RDF Sorting'!$B$36</f>
        <v>0</v>
      </c>
      <c r="BA14" s="10"/>
      <c r="BB14" s="10" t="s">
        <v>470</v>
      </c>
      <c r="BC14" s="10"/>
      <c r="BD14" s="10"/>
      <c r="BE14" s="10"/>
      <c r="BF14" s="10"/>
      <c r="BG14" s="10"/>
      <c r="BH14" s="69">
        <f>'MRF &amp; RDF Sorting'!I8*'MRF &amp; RDF Sorting'!$B$36</f>
        <v>593.75</v>
      </c>
      <c r="BI14" s="10"/>
      <c r="BJ14" s="10" t="s">
        <v>484</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362</v>
      </c>
      <c r="B15" s="10"/>
      <c r="C15" s="10"/>
      <c r="D15" s="10"/>
      <c r="E15" s="69">
        <f>E34*(1-'MRF &amp; RDF Sorting'!D82)</f>
        <v>0</v>
      </c>
      <c r="F15" s="10"/>
      <c r="G15" s="41" t="s">
        <v>382</v>
      </c>
      <c r="H15" s="10"/>
      <c r="I15" s="10"/>
      <c r="J15" s="10"/>
      <c r="K15" s="10"/>
      <c r="L15" s="69">
        <f>'MRF &amp; RDF Sorting'!C67*'MRF &amp; RDF Sorting'!$D$75*(1-'MRF &amp; RDF Sorting'!$F$54)</f>
        <v>0</v>
      </c>
      <c r="M15" s="10"/>
      <c r="N15" s="10" t="s">
        <v>416</v>
      </c>
      <c r="O15" s="10"/>
      <c r="P15" s="10"/>
      <c r="Q15" s="10"/>
      <c r="R15" s="10"/>
      <c r="S15" s="10"/>
      <c r="T15" s="69">
        <f>'MRF &amp; RDF Sorting'!D67*'MRF &amp; RDF Sorting'!$D$75*(1-'MRF &amp; RDF Sorting'!$F$54)</f>
        <v>0</v>
      </c>
      <c r="U15" s="10"/>
      <c r="V15" s="10" t="s">
        <v>421</v>
      </c>
      <c r="W15" s="10"/>
      <c r="X15" s="10"/>
      <c r="Y15" s="10"/>
      <c r="Z15" s="10"/>
      <c r="AA15" s="10"/>
      <c r="AB15" s="69">
        <f>'MRF &amp; RDF Sorting'!E67*'MRF &amp; RDF Sorting'!$D$75*(1-'MRF &amp; RDF Sorting'!$F$54)</f>
        <v>0</v>
      </c>
      <c r="AC15" s="10"/>
      <c r="AD15" s="10" t="s">
        <v>434</v>
      </c>
      <c r="AE15" s="10"/>
      <c r="AF15" s="10"/>
      <c r="AG15" s="10"/>
      <c r="AH15" s="10"/>
      <c r="AI15" s="10"/>
      <c r="AJ15" s="74">
        <f>'MRF &amp; RDF Sorting'!F67*'MRF &amp; RDF Sorting'!$D$75*(1-'MRF &amp; RDF Sorting'!$F$54)</f>
        <v>0</v>
      </c>
      <c r="AK15" s="10"/>
      <c r="AL15" s="10" t="s">
        <v>447</v>
      </c>
      <c r="AM15" s="10"/>
      <c r="AN15" s="10"/>
      <c r="AO15" s="10"/>
      <c r="AP15" s="10"/>
      <c r="AQ15" s="10"/>
      <c r="AR15" s="74">
        <f>'MRF &amp; RDF Sorting'!G67*'MRF &amp; RDF Sorting'!$D$75*(1-'MRF &amp; RDF Sorting'!$F$54)</f>
        <v>0</v>
      </c>
      <c r="AS15" s="10"/>
      <c r="AT15" s="10" t="s">
        <v>459</v>
      </c>
      <c r="AU15" s="10"/>
      <c r="AV15" s="10"/>
      <c r="AW15" s="10"/>
      <c r="AX15" s="10"/>
      <c r="AY15" s="10"/>
      <c r="AZ15" s="74">
        <f>'MRF &amp; RDF Sorting'!H67*'MRF &amp; RDF Sorting'!$D$75*(1-'MRF &amp; RDF Sorting'!$F$54)</f>
        <v>0</v>
      </c>
      <c r="BA15" s="67"/>
      <c r="BB15" s="10" t="s">
        <v>471</v>
      </c>
      <c r="BC15" s="10"/>
      <c r="BD15" s="10"/>
      <c r="BE15" s="10"/>
      <c r="BF15" s="10"/>
      <c r="BG15" s="10"/>
      <c r="BH15" s="74">
        <f>'MRF &amp; RDF Sorting'!I67*'MRF &amp; RDF Sorting'!$D$75*(1-'MRF &amp; RDF Sorting'!$F$54)</f>
        <v>0</v>
      </c>
      <c r="BI15" s="10"/>
      <c r="BJ15" s="10" t="s">
        <v>485</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363</v>
      </c>
      <c r="B16" s="10"/>
      <c r="C16" s="10"/>
      <c r="D16" s="10"/>
      <c r="E16" s="69">
        <f>(E29+E30)*'MRF &amp; RDF Sorting'!B62</f>
        <v>0</v>
      </c>
      <c r="F16" s="10"/>
      <c r="G16" s="41" t="s">
        <v>383</v>
      </c>
      <c r="H16" s="10"/>
      <c r="I16" s="10"/>
      <c r="J16" s="10"/>
      <c r="K16" s="10"/>
      <c r="L16" s="69">
        <f>K34*(1-'MRF &amp; RDF Sorting'!$D$82)</f>
        <v>0</v>
      </c>
      <c r="M16" s="10"/>
      <c r="N16" s="10" t="s">
        <v>415</v>
      </c>
      <c r="O16" s="10"/>
      <c r="P16" s="10"/>
      <c r="Q16" s="10"/>
      <c r="R16" s="10"/>
      <c r="S16" s="10"/>
      <c r="T16" s="69">
        <f>S39*(1-'MRF &amp; RDF Sorting'!$D$82)</f>
        <v>0</v>
      </c>
      <c r="U16" s="10"/>
      <c r="V16" s="10" t="s">
        <v>422</v>
      </c>
      <c r="W16" s="10"/>
      <c r="X16" s="10"/>
      <c r="Y16" s="10"/>
      <c r="Z16" s="10"/>
      <c r="AA16" s="10"/>
      <c r="AB16" s="69">
        <f>AA32*(1-'MRF &amp; RDF Sorting'!$D$82)</f>
        <v>0</v>
      </c>
      <c r="AC16" s="10"/>
      <c r="AD16" s="10" t="s">
        <v>435</v>
      </c>
      <c r="AE16" s="10"/>
      <c r="AF16" s="10"/>
      <c r="AG16" s="10"/>
      <c r="AH16" s="10"/>
      <c r="AI16" s="10"/>
      <c r="AJ16" s="69">
        <f>AI32*(1-'MRF &amp; RDF Sorting'!$D$82)</f>
        <v>0</v>
      </c>
      <c r="AK16" s="10"/>
      <c r="AL16" s="10" t="s">
        <v>448</v>
      </c>
      <c r="AM16" s="10"/>
      <c r="AN16" s="10"/>
      <c r="AO16" s="10"/>
      <c r="AP16" s="10"/>
      <c r="AQ16" s="10"/>
      <c r="AR16" s="69">
        <f>AQ32*(1-'MRF &amp; RDF Sorting'!$D$82)</f>
        <v>0</v>
      </c>
      <c r="AS16" s="10"/>
      <c r="AT16" s="10" t="s">
        <v>460</v>
      </c>
      <c r="AU16" s="10"/>
      <c r="AV16" s="10"/>
      <c r="AW16" s="10"/>
      <c r="AX16" s="10"/>
      <c r="AY16" s="10"/>
      <c r="AZ16" s="69">
        <f>AY32*(1-'MRF &amp; RDF Sorting'!$D$82)</f>
        <v>0</v>
      </c>
      <c r="BA16" s="10"/>
      <c r="BB16" s="10" t="s">
        <v>472</v>
      </c>
      <c r="BC16" s="10"/>
      <c r="BD16" s="10"/>
      <c r="BE16" s="10"/>
      <c r="BF16" s="10"/>
      <c r="BG16" s="10"/>
      <c r="BH16" s="69">
        <f>BG33*(1-'MRF &amp; RDF Sorting'!$D$82)</f>
        <v>0</v>
      </c>
      <c r="BI16" s="10"/>
      <c r="BJ16" s="10" t="s">
        <v>486</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364</v>
      </c>
      <c r="B17" s="10"/>
      <c r="C17" s="10"/>
      <c r="D17" s="10"/>
      <c r="E17" s="69">
        <f>E36*(1-'MRF &amp; RDF Sorting'!F113)</f>
        <v>0</v>
      </c>
      <c r="F17" s="10"/>
      <c r="G17" s="41" t="s">
        <v>384</v>
      </c>
      <c r="H17" s="10"/>
      <c r="I17" s="10"/>
      <c r="J17" s="10"/>
      <c r="K17" s="10"/>
      <c r="L17" s="69">
        <f>(K29+K30)*'MRF &amp; RDF Sorting'!C62</f>
        <v>0</v>
      </c>
      <c r="M17" s="10"/>
      <c r="N17" s="10" t="s">
        <v>414</v>
      </c>
      <c r="O17" s="10"/>
      <c r="P17" s="10"/>
      <c r="Q17" s="10"/>
      <c r="R17" s="10"/>
      <c r="S17" s="10"/>
      <c r="T17" s="69">
        <f>(S34+S35)*'MRF &amp; RDF Sorting'!D62</f>
        <v>0</v>
      </c>
      <c r="U17" s="10"/>
      <c r="V17" s="10" t="s">
        <v>423</v>
      </c>
      <c r="W17" s="10"/>
      <c r="X17" s="10"/>
      <c r="Y17" s="10"/>
      <c r="Z17" s="10"/>
      <c r="AA17" s="10"/>
      <c r="AB17" s="69">
        <f>(AA27+AA28)*'MRF &amp; RDF Sorting'!E62</f>
        <v>0</v>
      </c>
      <c r="AC17" s="10"/>
      <c r="AD17" s="10" t="s">
        <v>436</v>
      </c>
      <c r="AE17" s="10"/>
      <c r="AF17" s="10"/>
      <c r="AG17" s="10"/>
      <c r="AH17" s="10"/>
      <c r="AI17" s="10"/>
      <c r="AJ17" s="69">
        <f>(AI27+AI28)*'MRF &amp; RDF Sorting'!F62</f>
        <v>0</v>
      </c>
      <c r="AK17" s="10"/>
      <c r="AL17" s="10" t="s">
        <v>449</v>
      </c>
      <c r="AM17" s="10"/>
      <c r="AN17" s="10"/>
      <c r="AO17" s="10"/>
      <c r="AP17" s="10"/>
      <c r="AQ17" s="10"/>
      <c r="AR17" s="69">
        <f>(AQ27+AQ28)*'MRF &amp; RDF Sorting'!G62</f>
        <v>0</v>
      </c>
      <c r="AS17" s="10"/>
      <c r="AT17" s="10" t="s">
        <v>461</v>
      </c>
      <c r="AU17" s="10"/>
      <c r="AV17" s="10"/>
      <c r="AW17" s="10"/>
      <c r="AX17" s="10"/>
      <c r="AY17" s="10"/>
      <c r="AZ17" s="69">
        <f>(AY27+AY28)*'MRF &amp; RDF Sorting'!H62</f>
        <v>0</v>
      </c>
      <c r="BA17" s="10"/>
      <c r="BB17" s="10" t="s">
        <v>473</v>
      </c>
      <c r="BC17" s="10"/>
      <c r="BD17" s="10"/>
      <c r="BE17" s="10"/>
      <c r="BF17" s="10"/>
      <c r="BG17" s="10"/>
      <c r="BH17" s="69">
        <f>(BG28+BG29)*'MRF &amp; RDF Sorting'!I62</f>
        <v>0</v>
      </c>
      <c r="BI17" s="10"/>
      <c r="BJ17" s="10" t="s">
        <v>487</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365</v>
      </c>
      <c r="B18" s="10"/>
      <c r="C18" s="10"/>
      <c r="D18" s="10"/>
      <c r="E18" s="69">
        <f>-E37*(1-'MRF &amp; RDF Sorting'!D143)</f>
        <v>0</v>
      </c>
      <c r="F18" s="10"/>
      <c r="G18" s="41" t="s">
        <v>385</v>
      </c>
      <c r="H18" s="10"/>
      <c r="I18" s="10"/>
      <c r="J18" s="10"/>
      <c r="K18" s="10"/>
      <c r="L18" s="69">
        <f>K36*(1-'MRF &amp; RDF Sorting'!$F$113)</f>
        <v>0</v>
      </c>
      <c r="M18" s="10"/>
      <c r="N18" s="10" t="s">
        <v>413</v>
      </c>
      <c r="O18" s="10"/>
      <c r="P18" s="10"/>
      <c r="Q18" s="10"/>
      <c r="R18" s="10"/>
      <c r="S18" s="10"/>
      <c r="T18" s="69">
        <f>S41*(1-'MRF &amp; RDF Sorting'!$F$113)</f>
        <v>0</v>
      </c>
      <c r="U18" s="10"/>
      <c r="V18" s="10" t="s">
        <v>424</v>
      </c>
      <c r="W18" s="10"/>
      <c r="X18" s="10"/>
      <c r="Y18" s="10"/>
      <c r="Z18" s="10"/>
      <c r="AA18" s="10"/>
      <c r="AB18" s="69">
        <f>AA34*(1-'MRF &amp; RDF Sorting'!$F$113)</f>
        <v>0</v>
      </c>
      <c r="AC18" s="10"/>
      <c r="AD18" s="10" t="s">
        <v>437</v>
      </c>
      <c r="AE18" s="10"/>
      <c r="AF18" s="10"/>
      <c r="AG18" s="10"/>
      <c r="AH18" s="10"/>
      <c r="AI18" s="10"/>
      <c r="AJ18" s="69">
        <f>AI34*(1-'MRF &amp; RDF Sorting'!$F$113)</f>
        <v>0</v>
      </c>
      <c r="AK18" s="10"/>
      <c r="AL18" s="10" t="s">
        <v>450</v>
      </c>
      <c r="AM18" s="10"/>
      <c r="AN18" s="10"/>
      <c r="AO18" s="10"/>
      <c r="AP18" s="10"/>
      <c r="AQ18" s="10"/>
      <c r="AR18" s="69">
        <f>AQ34*(1-'MRF &amp; RDF Sorting'!$F$113)</f>
        <v>0</v>
      </c>
      <c r="AS18" s="10"/>
      <c r="AT18" s="10" t="s">
        <v>462</v>
      </c>
      <c r="AU18" s="10"/>
      <c r="AV18" s="10"/>
      <c r="AW18" s="10"/>
      <c r="AX18" s="10"/>
      <c r="AY18" s="10"/>
      <c r="AZ18" s="69">
        <f>AY34*(1-'MRF &amp; RDF Sorting'!$F$113)</f>
        <v>0</v>
      </c>
      <c r="BA18" s="10"/>
      <c r="BB18" s="10" t="s">
        <v>474</v>
      </c>
      <c r="BC18" s="10"/>
      <c r="BD18" s="10"/>
      <c r="BE18" s="10"/>
      <c r="BF18" s="10"/>
      <c r="BG18" s="10"/>
      <c r="BH18" s="69">
        <f>BG35*(1-'MRF &amp; RDF Sorting'!$F$113)</f>
        <v>0</v>
      </c>
      <c r="BI18" s="10"/>
      <c r="BJ18" s="10" t="s">
        <v>488</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366</v>
      </c>
      <c r="B19" s="10"/>
      <c r="C19" s="10"/>
      <c r="D19" s="10"/>
      <c r="E19" s="69">
        <f>(E38+E39)*'MRF &amp; RDF Sorting'!B121</f>
        <v>0</v>
      </c>
      <c r="F19" s="10"/>
      <c r="G19" s="41" t="s">
        <v>386</v>
      </c>
      <c r="H19" s="10"/>
      <c r="I19" s="10"/>
      <c r="J19" s="10"/>
      <c r="K19" s="10"/>
      <c r="L19" s="69">
        <f>K39*(1-'MRF &amp; RDF Sorting'!$D$143)</f>
        <v>0</v>
      </c>
      <c r="M19" s="10"/>
      <c r="N19" s="10" t="s">
        <v>412</v>
      </c>
      <c r="O19" s="10"/>
      <c r="P19" s="10"/>
      <c r="Q19" s="10"/>
      <c r="R19" s="10"/>
      <c r="S19" s="10"/>
      <c r="T19" s="69">
        <f>S44*(1-'MRF &amp; RDF Sorting'!$D$143)</f>
        <v>0</v>
      </c>
      <c r="U19" s="10"/>
      <c r="V19" s="10" t="s">
        <v>425</v>
      </c>
      <c r="W19" s="10"/>
      <c r="X19" s="10"/>
      <c r="Y19" s="10"/>
      <c r="Z19" s="10"/>
      <c r="AA19" s="10"/>
      <c r="AB19" s="69">
        <f>AA37*(1-'MRF &amp; RDF Sorting'!$D$143)</f>
        <v>0</v>
      </c>
      <c r="AC19" s="10"/>
      <c r="AD19" s="10" t="s">
        <v>438</v>
      </c>
      <c r="AE19" s="10"/>
      <c r="AF19" s="10"/>
      <c r="AG19" s="10"/>
      <c r="AH19" s="10"/>
      <c r="AI19" s="10"/>
      <c r="AJ19" s="69">
        <f>AI37*(1-'MRF &amp; RDF Sorting'!$D$143)</f>
        <v>0</v>
      </c>
      <c r="AK19" s="10"/>
      <c r="AL19" s="10" t="s">
        <v>451</v>
      </c>
      <c r="AM19" s="10"/>
      <c r="AN19" s="10"/>
      <c r="AO19" s="10"/>
      <c r="AP19" s="10"/>
      <c r="AQ19" s="10"/>
      <c r="AR19" s="69">
        <f>AQ37*(1-'MRF &amp; RDF Sorting'!$D$143)</f>
        <v>0</v>
      </c>
      <c r="AS19" s="10"/>
      <c r="AT19" s="10" t="s">
        <v>463</v>
      </c>
      <c r="AU19" s="10"/>
      <c r="AV19" s="10"/>
      <c r="AW19" s="10"/>
      <c r="AX19" s="10"/>
      <c r="AY19" s="10"/>
      <c r="AZ19" s="69">
        <f>AY37*(1-'MRF &amp; RDF Sorting'!$D$143)</f>
        <v>0</v>
      </c>
      <c r="BA19" s="10"/>
      <c r="BB19" s="10" t="s">
        <v>475</v>
      </c>
      <c r="BC19" s="10"/>
      <c r="BD19" s="10"/>
      <c r="BE19" s="10"/>
      <c r="BF19" s="10"/>
      <c r="BG19" s="10"/>
      <c r="BH19" s="69">
        <f>BG38*(1-'MRF &amp; RDF Sorting'!$D$143)</f>
        <v>0</v>
      </c>
      <c r="BI19" s="10"/>
      <c r="BJ19" s="10" t="s">
        <v>489</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367</v>
      </c>
      <c r="B20" s="10"/>
      <c r="C20" s="10"/>
      <c r="D20" s="10"/>
      <c r="E20" s="69">
        <f>'Biological Treatment'!C41*'Biological Treatment'!C43*'Biological Treatment'!E66</f>
        <v>106.875</v>
      </c>
      <c r="F20" s="10"/>
      <c r="G20" s="41" t="s">
        <v>387</v>
      </c>
      <c r="H20" s="10"/>
      <c r="I20" s="10"/>
      <c r="J20" s="10"/>
      <c r="K20" s="10"/>
      <c r="L20" s="69">
        <f>(K36+K37)*'MRF &amp; RDF Sorting'!C121</f>
        <v>0</v>
      </c>
      <c r="M20" s="10"/>
      <c r="N20" s="10" t="s">
        <v>411</v>
      </c>
      <c r="O20" s="10"/>
      <c r="P20" s="10"/>
      <c r="Q20" s="10"/>
      <c r="R20" s="10"/>
      <c r="S20" s="10"/>
      <c r="T20" s="69">
        <f>(S41+S42)*'MRF &amp; RDF Sorting'!D121</f>
        <v>0</v>
      </c>
      <c r="U20" s="10"/>
      <c r="V20" s="10" t="s">
        <v>426</v>
      </c>
      <c r="W20" s="10"/>
      <c r="X20" s="10"/>
      <c r="Y20" s="10"/>
      <c r="Z20" s="10"/>
      <c r="AA20" s="10"/>
      <c r="AB20" s="69">
        <f>(AA34+AA35)*'MRF &amp; RDF Sorting'!E121</f>
        <v>0</v>
      </c>
      <c r="AC20" s="10"/>
      <c r="AD20" s="10" t="s">
        <v>439</v>
      </c>
      <c r="AE20" s="10"/>
      <c r="AF20" s="10"/>
      <c r="AG20" s="10"/>
      <c r="AH20" s="10"/>
      <c r="AI20" s="10"/>
      <c r="AJ20" s="69">
        <f>(AI34+AI35)*'MRF &amp; RDF Sorting'!F121</f>
        <v>0</v>
      </c>
      <c r="AK20" s="10"/>
      <c r="AL20" s="10" t="s">
        <v>452</v>
      </c>
      <c r="AM20" s="10"/>
      <c r="AN20" s="10"/>
      <c r="AO20" s="10"/>
      <c r="AP20" s="10"/>
      <c r="AQ20" s="10"/>
      <c r="AR20" s="69">
        <f>(AQ34+AQ35)*'MRF &amp; RDF Sorting'!G121</f>
        <v>0</v>
      </c>
      <c r="AS20" s="10"/>
      <c r="AT20" s="10" t="s">
        <v>464</v>
      </c>
      <c r="AU20" s="10"/>
      <c r="AV20" s="10"/>
      <c r="AW20" s="10"/>
      <c r="AX20" s="10"/>
      <c r="AY20" s="10"/>
      <c r="AZ20" s="69">
        <f>(AY34+AY35)*'MRF &amp; RDF Sorting'!H121</f>
        <v>0</v>
      </c>
      <c r="BA20" s="10"/>
      <c r="BB20" s="10" t="s">
        <v>476</v>
      </c>
      <c r="BC20" s="10"/>
      <c r="BD20" s="10"/>
      <c r="BE20" s="10"/>
      <c r="BF20" s="10"/>
      <c r="BG20" s="10"/>
      <c r="BH20" s="69">
        <f>(BG35+BG36)*'MRF &amp; RDF Sorting'!I121</f>
        <v>0</v>
      </c>
      <c r="BI20" s="10"/>
      <c r="BJ20" s="10" t="s">
        <v>490</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368</v>
      </c>
      <c r="B21" s="10"/>
      <c r="C21" s="10"/>
      <c r="D21" s="10"/>
      <c r="E21" s="69">
        <f>'Biological Treatment'!C94*'Biological Treatment'!C96*'Biological Treatment'!E120</f>
        <v>0</v>
      </c>
      <c r="F21" s="10"/>
      <c r="G21" s="10" t="s">
        <v>388</v>
      </c>
      <c r="H21" s="10"/>
      <c r="I21" s="10"/>
      <c r="J21" s="10"/>
      <c r="K21" s="10"/>
      <c r="L21" s="69">
        <f>'Biological Treatment'!D41*'Biological Treatment'!D43*'Biological Treatment'!$E$66</f>
        <v>0</v>
      </c>
      <c r="M21" s="10"/>
      <c r="N21" s="10" t="s">
        <v>410</v>
      </c>
      <c r="O21" s="10"/>
      <c r="P21" s="10"/>
      <c r="Q21" s="10"/>
      <c r="R21" s="10"/>
      <c r="S21" s="10"/>
      <c r="T21" s="69">
        <f>'Biological Treatment'!E41*'Biological Treatment'!E43*'Biological Treatment'!$E$66</f>
        <v>0</v>
      </c>
      <c r="U21" s="10"/>
      <c r="V21" s="10" t="s">
        <v>427</v>
      </c>
      <c r="W21" s="10"/>
      <c r="X21" s="10"/>
      <c r="Y21" s="10"/>
      <c r="Z21" s="10"/>
      <c r="AA21" s="10"/>
      <c r="AB21" s="69">
        <f>'Biological Treatment'!F41*'Biological Treatment'!F43*'Biological Treatment'!$E$66</f>
        <v>0</v>
      </c>
      <c r="AC21" s="10"/>
      <c r="AD21" s="10" t="s">
        <v>440</v>
      </c>
      <c r="AE21" s="10"/>
      <c r="AF21" s="10"/>
      <c r="AG21" s="10"/>
      <c r="AH21" s="10"/>
      <c r="AI21" s="10"/>
      <c r="AJ21" s="69">
        <f>'Biological Treatment'!G41*'Biological Treatment'!G43*'Biological Treatment'!$E$66</f>
        <v>750</v>
      </c>
      <c r="AK21" s="10"/>
      <c r="AL21" s="10" t="s">
        <v>453</v>
      </c>
      <c r="AM21" s="10"/>
      <c r="AN21" s="10"/>
      <c r="AO21" s="10"/>
      <c r="AP21" s="10"/>
      <c r="AQ21" s="10"/>
      <c r="AR21" s="69">
        <f>'Biological Treatment'!H41*'Biological Treatment'!H43*'Biological Treatment'!$E$66</f>
        <v>750</v>
      </c>
      <c r="AS21" s="10"/>
      <c r="AT21" s="10" t="s">
        <v>465</v>
      </c>
      <c r="AU21" s="10"/>
      <c r="AV21" s="10"/>
      <c r="AW21" s="10"/>
      <c r="AX21" s="10"/>
      <c r="AY21" s="10"/>
      <c r="AZ21" s="69">
        <f>'Biological Treatment'!I41*'Biological Treatment'!I43*'Biological Treatment'!$E$66</f>
        <v>0</v>
      </c>
      <c r="BA21" s="10"/>
      <c r="BB21" s="10" t="s">
        <v>477</v>
      </c>
      <c r="BC21" s="10"/>
      <c r="BD21" s="10"/>
      <c r="BE21" s="10"/>
      <c r="BF21" s="10"/>
      <c r="BG21" s="10"/>
      <c r="BH21" s="69">
        <f>'Biological Treatment'!J41*'Biological Treatment'!J43*'Biological Treatment'!$E$66</f>
        <v>605.625</v>
      </c>
      <c r="BI21" s="10"/>
      <c r="BJ21" s="10" t="s">
        <v>491</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369</v>
      </c>
      <c r="B22" s="10"/>
      <c r="C22" s="10"/>
      <c r="D22" s="10"/>
      <c r="E22" s="69">
        <f>'Biological Treatment'!B23*'Biological Treatment'!C30</f>
        <v>0</v>
      </c>
      <c r="F22" s="10"/>
      <c r="G22" s="10" t="s">
        <v>389</v>
      </c>
      <c r="H22" s="10"/>
      <c r="I22" s="10"/>
      <c r="J22" s="10"/>
      <c r="K22" s="10"/>
      <c r="L22" s="69">
        <f>'Biological Treatment'!D94*'Biological Treatment'!D96*'Biological Treatment'!$E$120</f>
        <v>0</v>
      </c>
      <c r="M22" s="10"/>
      <c r="N22" s="68" t="s">
        <v>409</v>
      </c>
      <c r="O22" s="10"/>
      <c r="P22" s="10"/>
      <c r="Q22" s="10"/>
      <c r="R22" s="10"/>
      <c r="S22" s="10"/>
      <c r="T22" s="49" t="s">
        <v>513</v>
      </c>
      <c r="U22" s="10"/>
      <c r="V22" s="10" t="s">
        <v>428</v>
      </c>
      <c r="W22" s="10"/>
      <c r="X22" s="10"/>
      <c r="Y22" s="10"/>
      <c r="Z22" s="10"/>
      <c r="AA22" s="10"/>
      <c r="AB22" s="69">
        <f>'Biological Treatment'!F94*'Biological Treatment'!F96*'Biological Treatment'!$E$120</f>
        <v>0</v>
      </c>
      <c r="AC22" s="10"/>
      <c r="AD22" s="10" t="s">
        <v>441</v>
      </c>
      <c r="AE22" s="10"/>
      <c r="AF22" s="10"/>
      <c r="AG22" s="10"/>
      <c r="AH22" s="10"/>
      <c r="AI22" s="10"/>
      <c r="AJ22" s="69">
        <f>'Biological Treatment'!G94*'Biological Treatment'!G96*'Biological Treatment'!$E$120</f>
        <v>0</v>
      </c>
      <c r="AK22" s="10"/>
      <c r="AL22" s="10" t="s">
        <v>454</v>
      </c>
      <c r="AM22" s="10"/>
      <c r="AN22" s="10"/>
      <c r="AO22" s="10"/>
      <c r="AP22" s="10"/>
      <c r="AQ22" s="10"/>
      <c r="AR22" s="69">
        <f>'Biological Treatment'!H94*'Biological Treatment'!H96*'Biological Treatment'!$E$120</f>
        <v>0</v>
      </c>
      <c r="AS22" s="10"/>
      <c r="AT22" s="10" t="s">
        <v>466</v>
      </c>
      <c r="AU22" s="10"/>
      <c r="AV22" s="10"/>
      <c r="AW22" s="10"/>
      <c r="AX22" s="10"/>
      <c r="AY22" s="10"/>
      <c r="AZ22" s="69">
        <f>'Biological Treatment'!I94*'Biological Treatment'!I96*'Biological Treatment'!$E$120</f>
        <v>0</v>
      </c>
      <c r="BA22" s="10"/>
      <c r="BB22" s="10" t="s">
        <v>478</v>
      </c>
      <c r="BC22" s="10"/>
      <c r="BD22" s="10"/>
      <c r="BE22" s="10"/>
      <c r="BF22" s="10"/>
      <c r="BG22" s="10"/>
      <c r="BH22" s="10" t="s">
        <v>513</v>
      </c>
      <c r="BI22" s="10"/>
      <c r="BJ22" s="10" t="s">
        <v>492</v>
      </c>
      <c r="BK22" s="10"/>
      <c r="BL22" s="10"/>
      <c r="BM22" s="10"/>
      <c r="BN22" s="10"/>
      <c r="BO22" s="10"/>
      <c r="BP22" s="69">
        <f>'Biological Treatment'!K94*'Biological Treatment'!K96*'Biological Treatment'!$E$120</f>
        <v>0</v>
      </c>
      <c r="BQ22" s="10"/>
      <c r="BR22" s="10" t="s">
        <v>496</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370</v>
      </c>
      <c r="B23" s="10"/>
      <c r="C23" s="10"/>
      <c r="D23" s="10"/>
      <c r="E23" s="69">
        <f>'Thermal Treatment'!D36*'Thermal Treatment'!D37</f>
        <v>0</v>
      </c>
      <c r="F23" s="10"/>
      <c r="G23" s="10" t="s">
        <v>390</v>
      </c>
      <c r="H23" s="10"/>
      <c r="I23" s="10"/>
      <c r="J23" s="10"/>
      <c r="K23" s="10"/>
      <c r="L23" s="69">
        <f>'Biological Treatment'!C23*'Biological Treatment'!$C$30</f>
        <v>0</v>
      </c>
      <c r="M23" s="10"/>
      <c r="N23" s="10" t="s">
        <v>408</v>
      </c>
      <c r="O23" s="10"/>
      <c r="P23" s="10"/>
      <c r="Q23" s="10"/>
      <c r="R23" s="10"/>
      <c r="S23" s="10"/>
      <c r="T23" s="69">
        <f>'Biological Treatment'!E94*'Biological Treatment'!E96*'Biological Treatment'!$E$120</f>
        <v>0</v>
      </c>
      <c r="U23" s="10"/>
      <c r="V23" s="10" t="s">
        <v>429</v>
      </c>
      <c r="W23" s="10"/>
      <c r="X23" s="10"/>
      <c r="Y23" s="10"/>
      <c r="Z23" s="10"/>
      <c r="AA23" s="10"/>
      <c r="AB23" s="69">
        <f>'Biological Treatment'!E23*'Biological Treatment'!$C$30</f>
        <v>0</v>
      </c>
      <c r="AC23" s="10"/>
      <c r="AD23" s="10" t="s">
        <v>442</v>
      </c>
      <c r="AE23" s="10"/>
      <c r="AF23" s="10"/>
      <c r="AG23" s="10"/>
      <c r="AH23" s="10"/>
      <c r="AI23" s="10"/>
      <c r="AJ23" s="69">
        <f>'Biological Treatment'!F23*'Biological Treatment'!$C$30</f>
        <v>0</v>
      </c>
      <c r="AK23" s="10"/>
      <c r="AL23" s="10" t="s">
        <v>455</v>
      </c>
      <c r="AM23" s="10"/>
      <c r="AN23" s="10"/>
      <c r="AO23" s="10"/>
      <c r="AP23" s="10"/>
      <c r="AQ23" s="10"/>
      <c r="AR23" s="69">
        <f>'Biological Treatment'!G23*'Biological Treatment'!$C$30</f>
        <v>0</v>
      </c>
      <c r="AS23" s="10"/>
      <c r="AT23" s="10" t="s">
        <v>467</v>
      </c>
      <c r="AU23" s="10"/>
      <c r="AV23" s="10"/>
      <c r="AW23" s="10"/>
      <c r="AX23" s="10"/>
      <c r="AY23" s="10"/>
      <c r="AZ23" s="69">
        <f>'Biological Treatment'!H23*'Biological Treatment'!$C$30</f>
        <v>0</v>
      </c>
      <c r="BA23" s="10"/>
      <c r="BB23" s="10" t="s">
        <v>479</v>
      </c>
      <c r="BC23" s="10"/>
      <c r="BD23" s="10"/>
      <c r="BE23" s="10"/>
      <c r="BF23" s="10"/>
      <c r="BG23" s="10"/>
      <c r="BH23" s="69">
        <f>'Biological Treatment'!J94*'Biological Treatment'!J96*'Biological Treatment'!$E$120</f>
        <v>0</v>
      </c>
      <c r="BI23" s="10"/>
      <c r="BJ23" s="10" t="s">
        <v>493</v>
      </c>
      <c r="BK23" s="10"/>
      <c r="BL23" s="10"/>
      <c r="BM23" s="10"/>
      <c r="BN23" s="10"/>
      <c r="BO23" s="10"/>
      <c r="BP23" s="69">
        <f>'Biological Treatment'!J23*'Biological Treatment'!$C$30</f>
        <v>0</v>
      </c>
      <c r="BQ23" s="10"/>
      <c r="BR23" s="10" t="s">
        <v>497</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371</v>
      </c>
      <c r="B24" s="10"/>
      <c r="C24" s="10"/>
      <c r="D24" s="10"/>
      <c r="E24" s="69">
        <f>'Thermal Treatment'!D106*'Thermal Treatment'!D107</f>
        <v>0</v>
      </c>
      <c r="F24" s="10"/>
      <c r="G24" s="10" t="s">
        <v>391</v>
      </c>
      <c r="H24" s="10"/>
      <c r="I24" s="10"/>
      <c r="J24" s="10"/>
      <c r="K24" s="10"/>
      <c r="L24" s="69">
        <f>'Thermal Treatment'!E36*'Thermal Treatment'!E37</f>
        <v>0</v>
      </c>
      <c r="M24" s="10"/>
      <c r="N24" s="68" t="s">
        <v>407</v>
      </c>
      <c r="O24" s="10"/>
      <c r="P24" s="10"/>
      <c r="Q24" s="10"/>
      <c r="R24" s="10"/>
      <c r="S24" s="10"/>
      <c r="T24" s="49" t="s">
        <v>513</v>
      </c>
      <c r="U24" s="10"/>
      <c r="V24" s="10" t="s">
        <v>430</v>
      </c>
      <c r="W24" s="10"/>
      <c r="X24" s="10"/>
      <c r="Y24" s="10"/>
      <c r="Z24" s="10"/>
      <c r="AA24" s="10"/>
      <c r="AB24" s="69">
        <f>'Thermal Treatment'!G36*'Thermal Treatment'!G37</f>
        <v>0</v>
      </c>
      <c r="AC24" s="10"/>
      <c r="AD24" s="10" t="s">
        <v>443</v>
      </c>
      <c r="AE24" s="10"/>
      <c r="AF24" s="10"/>
      <c r="AG24" s="10"/>
      <c r="AH24" s="10"/>
      <c r="AI24" s="10"/>
      <c r="AJ24" s="69">
        <f>'Thermal Treatment'!H36*'Thermal Treatment'!H37</f>
        <v>0</v>
      </c>
      <c r="AK24" s="10"/>
      <c r="AL24" s="10" t="s">
        <v>456</v>
      </c>
      <c r="AM24" s="10"/>
      <c r="AN24" s="10"/>
      <c r="AO24" s="10"/>
      <c r="AP24" s="10"/>
      <c r="AQ24" s="10"/>
      <c r="AR24" s="69">
        <f>'Thermal Treatment'!I36*'Thermal Treatment'!I37</f>
        <v>0</v>
      </c>
      <c r="AS24" s="10"/>
      <c r="AT24" s="10" t="s">
        <v>468</v>
      </c>
      <c r="AU24" s="10"/>
      <c r="AV24" s="10"/>
      <c r="AW24" s="10"/>
      <c r="AX24" s="10"/>
      <c r="AY24" s="10"/>
      <c r="AZ24" s="69">
        <f>'Thermal Treatment'!J36*'Thermal Treatment'!J37</f>
        <v>0</v>
      </c>
      <c r="BA24" s="10"/>
      <c r="BB24" s="10" t="s">
        <v>480</v>
      </c>
      <c r="BC24" s="10"/>
      <c r="BD24" s="10"/>
      <c r="BE24" s="10"/>
      <c r="BF24" s="10"/>
      <c r="BG24" s="10"/>
      <c r="BH24" s="69">
        <f>'Biological Treatment'!I23*'Biological Treatment'!$C$30</f>
        <v>0</v>
      </c>
      <c r="BI24" s="10"/>
      <c r="BJ24" s="10" t="s">
        <v>494</v>
      </c>
      <c r="BK24" s="10"/>
      <c r="BL24" s="10"/>
      <c r="BM24" s="10"/>
      <c r="BN24" s="10"/>
      <c r="BO24" s="10"/>
      <c r="BP24" s="69">
        <f>'Thermal Treatment'!L36*'Thermal Treatment'!L37</f>
        <v>0</v>
      </c>
      <c r="BQ24" s="10"/>
      <c r="BR24" s="10" t="s">
        <v>498</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392</v>
      </c>
      <c r="H25" s="10"/>
      <c r="I25" s="10"/>
      <c r="J25" s="10"/>
      <c r="K25" s="10"/>
      <c r="L25" s="69">
        <f>'Thermal Treatment'!E106*'Thermal Treatment'!E107</f>
        <v>0</v>
      </c>
      <c r="M25" s="10"/>
      <c r="N25" s="10" t="s">
        <v>406</v>
      </c>
      <c r="O25" s="10"/>
      <c r="P25" s="10"/>
      <c r="Q25" s="10"/>
      <c r="R25" s="10"/>
      <c r="S25" s="10"/>
      <c r="T25" s="69">
        <f>'Biological Treatment'!D23*'Biological Treatment'!$C$30</f>
        <v>0</v>
      </c>
      <c r="U25" s="10"/>
      <c r="V25" s="10" t="s">
        <v>431</v>
      </c>
      <c r="W25" s="10"/>
      <c r="X25" s="10"/>
      <c r="Y25" s="10"/>
      <c r="Z25" s="10"/>
      <c r="AA25" s="10"/>
      <c r="AB25" s="69">
        <f>'Thermal Treatment'!G106*'Thermal Treatment'!G107</f>
        <v>0</v>
      </c>
      <c r="AC25" s="10"/>
      <c r="AD25" s="10" t="s">
        <v>444</v>
      </c>
      <c r="AE25" s="10"/>
      <c r="AF25" s="10"/>
      <c r="AG25" s="10"/>
      <c r="AH25" s="10"/>
      <c r="AI25" s="10"/>
      <c r="AJ25" s="69">
        <f>'Thermal Treatment'!H106*'Thermal Treatment'!H107</f>
        <v>0</v>
      </c>
      <c r="AK25" s="10"/>
      <c r="AL25" s="10" t="s">
        <v>457</v>
      </c>
      <c r="AM25" s="10"/>
      <c r="AN25" s="10"/>
      <c r="AO25" s="10"/>
      <c r="AP25" s="10"/>
      <c r="AQ25" s="10"/>
      <c r="AR25" s="69">
        <f>'Thermal Treatment'!I106*'Thermal Treatment'!I107</f>
        <v>0</v>
      </c>
      <c r="AS25" s="10"/>
      <c r="AT25" s="10" t="s">
        <v>469</v>
      </c>
      <c r="AU25" s="10"/>
      <c r="AV25" s="10"/>
      <c r="AW25" s="10"/>
      <c r="AX25" s="10"/>
      <c r="AY25" s="10"/>
      <c r="AZ25" s="69">
        <f>'Thermal Treatment'!J106*'Thermal Treatment'!J107</f>
        <v>0</v>
      </c>
      <c r="BA25" s="10"/>
      <c r="BB25" s="10" t="s">
        <v>481</v>
      </c>
      <c r="BC25" s="10"/>
      <c r="BD25" s="10"/>
      <c r="BE25" s="10"/>
      <c r="BF25" s="10"/>
      <c r="BG25" s="10"/>
      <c r="BH25" s="69">
        <f>'Thermal Treatment'!K36*'Thermal Treatment'!K37</f>
        <v>0</v>
      </c>
      <c r="BI25" s="10"/>
      <c r="BJ25" s="10" t="s">
        <v>495</v>
      </c>
      <c r="BK25" s="10"/>
      <c r="BL25" s="10"/>
      <c r="BM25" s="10"/>
      <c r="BN25" s="10"/>
      <c r="BO25" s="10"/>
      <c r="BP25" s="69">
        <f>'Thermal Treatment'!L106*'Thermal Treatment'!L107</f>
        <v>0</v>
      </c>
      <c r="BQ25" s="10"/>
      <c r="BR25" s="10" t="s">
        <v>499</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405</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482</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404</v>
      </c>
      <c r="O27" s="10"/>
      <c r="P27" s="10"/>
      <c r="Q27" s="10"/>
      <c r="R27" s="10"/>
      <c r="S27" s="10"/>
      <c r="T27" s="10" t="s">
        <v>513</v>
      </c>
      <c r="U27" s="10"/>
      <c r="V27" s="10" t="s">
        <v>514</v>
      </c>
      <c r="W27" s="10"/>
      <c r="X27" s="10"/>
      <c r="Y27" s="10"/>
      <c r="Z27" s="10"/>
      <c r="AA27" s="69">
        <f>'MRF &amp; RDF Sorting'!E67*'MRF &amp; RDF Sorting'!$D$75</f>
        <v>0</v>
      </c>
      <c r="AB27" s="10"/>
      <c r="AC27" s="10"/>
      <c r="AD27" s="10" t="s">
        <v>525</v>
      </c>
      <c r="AE27" s="10"/>
      <c r="AF27" s="10"/>
      <c r="AG27" s="10"/>
      <c r="AH27" s="10"/>
      <c r="AI27" s="69">
        <f>'MRF &amp; RDF Sorting'!F67*'MRF &amp; RDF Sorting'!$D$75</f>
        <v>0</v>
      </c>
      <c r="AJ27" s="10"/>
      <c r="AK27" s="10"/>
      <c r="AL27" s="10" t="s">
        <v>533</v>
      </c>
      <c r="AM27" s="10"/>
      <c r="AN27" s="10"/>
      <c r="AO27" s="10"/>
      <c r="AP27" s="10"/>
      <c r="AQ27" s="69">
        <f>'MRF &amp; RDF Sorting'!G67*'MRF &amp; RDF Sorting'!$D$75</f>
        <v>0</v>
      </c>
      <c r="AR27" s="10"/>
      <c r="AS27" s="10"/>
      <c r="AT27" s="10" t="s">
        <v>882</v>
      </c>
      <c r="AU27" s="10"/>
      <c r="AV27" s="10"/>
      <c r="AW27" s="10"/>
      <c r="AX27" s="10"/>
      <c r="AY27" s="69">
        <f>'MRF &amp; RDF Sorting'!H67*'MRF &amp; RDF Sorting'!$D$75</f>
        <v>0</v>
      </c>
      <c r="AZ27" s="10"/>
      <c r="BA27" s="10"/>
      <c r="BB27" s="10"/>
      <c r="BC27" s="10"/>
      <c r="BD27" s="10"/>
      <c r="BE27" s="10"/>
      <c r="BF27" s="10"/>
      <c r="BG27" s="10"/>
      <c r="BH27" s="10"/>
      <c r="BI27" s="10"/>
      <c r="BJ27" s="10" t="s">
        <v>549</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403</v>
      </c>
      <c r="O28" s="10"/>
      <c r="P28" s="10"/>
      <c r="Q28" s="10"/>
      <c r="R28" s="10"/>
      <c r="S28" s="10"/>
      <c r="T28" s="69">
        <f>'Thermal Treatment'!F106*'Thermal Treatment'!F107</f>
        <v>0</v>
      </c>
      <c r="U28" s="10"/>
      <c r="V28" s="10" t="s">
        <v>515</v>
      </c>
      <c r="W28" s="10"/>
      <c r="X28" s="10"/>
      <c r="Y28" s="10"/>
      <c r="Z28" s="10"/>
      <c r="AA28" s="69">
        <f>-AA27*(1-'MRF &amp; RDF Sorting'!$F$54)</f>
        <v>0</v>
      </c>
      <c r="AB28" s="10"/>
      <c r="AC28" s="10"/>
      <c r="AD28" s="10" t="s">
        <v>526</v>
      </c>
      <c r="AE28" s="10"/>
      <c r="AF28" s="10"/>
      <c r="AG28" s="10"/>
      <c r="AH28" s="10"/>
      <c r="AI28" s="69">
        <f>-AI27*(1-'MRF &amp; RDF Sorting'!$F$54)</f>
        <v>0</v>
      </c>
      <c r="AJ28" s="10"/>
      <c r="AK28" s="10"/>
      <c r="AL28" s="10" t="s">
        <v>535</v>
      </c>
      <c r="AM28" s="10"/>
      <c r="AN28" s="10"/>
      <c r="AO28" s="10"/>
      <c r="AP28" s="10"/>
      <c r="AQ28" s="69">
        <f>-AQ27*(1-'MRF &amp; RDF Sorting'!$F$54)</f>
        <v>0</v>
      </c>
      <c r="AR28" s="10"/>
      <c r="AS28" s="10"/>
      <c r="AT28" s="10" t="s">
        <v>881</v>
      </c>
      <c r="AU28" s="10"/>
      <c r="AV28" s="10"/>
      <c r="AW28" s="10"/>
      <c r="AX28" s="10"/>
      <c r="AY28" s="69">
        <f>-AY27*(1-'MRF &amp; RDF Sorting'!$F$54)</f>
        <v>0</v>
      </c>
      <c r="AZ28" s="10"/>
      <c r="BA28" s="10"/>
      <c r="BB28" s="10" t="s">
        <v>541</v>
      </c>
      <c r="BC28" s="10"/>
      <c r="BD28" s="10"/>
      <c r="BE28" s="10"/>
      <c r="BF28" s="10"/>
      <c r="BG28" s="69">
        <f>'MRF &amp; RDF Sorting'!I67*'MRF &amp; RDF Sorting'!$D$75</f>
        <v>0</v>
      </c>
      <c r="BH28" s="10"/>
      <c r="BI28" s="10"/>
      <c r="BJ28" s="10" t="s">
        <v>550</v>
      </c>
      <c r="BK28" s="10"/>
      <c r="BL28" s="10"/>
      <c r="BM28" s="10"/>
      <c r="BN28" s="10"/>
      <c r="BO28" s="69">
        <f>-BO27*(1-'MRF &amp; RDF Sorting'!$F$54)</f>
        <v>0</v>
      </c>
      <c r="BP28" s="10"/>
      <c r="BQ28" s="10"/>
      <c r="BR28" s="65" t="s">
        <v>359</v>
      </c>
      <c r="BS28" s="10"/>
      <c r="BT28" s="10"/>
      <c r="BU28" s="10"/>
      <c r="BV28" s="10"/>
      <c r="BW28" s="10"/>
      <c r="BX28" s="10"/>
      <c r="BY28" s="10"/>
      <c r="BZ28" s="10"/>
      <c r="CA28" s="10"/>
      <c r="CB28" s="10"/>
      <c r="CC28" s="11"/>
    </row>
    <row r="29" spans="1:81">
      <c r="A29" s="9" t="s">
        <v>372</v>
      </c>
      <c r="B29" s="10"/>
      <c r="C29" s="10"/>
      <c r="D29" s="10"/>
      <c r="E29" s="69">
        <f>'MRF &amp; RDF Sorting'!B67*'MRF &amp; RDF Sorting'!$D$75</f>
        <v>0</v>
      </c>
      <c r="F29" s="10"/>
      <c r="G29" s="10" t="s">
        <v>393</v>
      </c>
      <c r="H29" s="10"/>
      <c r="I29" s="10"/>
      <c r="J29" s="10"/>
      <c r="K29" s="69">
        <f>'MRF &amp; RDF Sorting'!C67*'MRF &amp; RDF Sorting'!$D$75</f>
        <v>0</v>
      </c>
      <c r="L29" s="10"/>
      <c r="M29" s="10"/>
      <c r="N29" s="10" t="s">
        <v>402</v>
      </c>
      <c r="O29" s="10"/>
      <c r="P29" s="10"/>
      <c r="Q29" s="10"/>
      <c r="R29" s="10"/>
      <c r="S29" s="10"/>
      <c r="T29" s="10" t="s">
        <v>513</v>
      </c>
      <c r="U29" s="10"/>
      <c r="V29" s="10" t="s">
        <v>516</v>
      </c>
      <c r="W29" s="10"/>
      <c r="X29" s="10"/>
      <c r="Y29" s="10"/>
      <c r="Z29" s="10"/>
      <c r="AA29" s="71">
        <f>'MRF &amp; RDF Sorting'!E61</f>
        <v>0.17100000000000001</v>
      </c>
      <c r="AB29" s="10"/>
      <c r="AC29" s="10"/>
      <c r="AD29" s="10" t="s">
        <v>527</v>
      </c>
      <c r="AE29" s="10"/>
      <c r="AF29" s="10"/>
      <c r="AG29" s="10"/>
      <c r="AH29" s="10"/>
      <c r="AI29" s="71">
        <f>'MRF &amp; RDF Sorting'!F61</f>
        <v>4.4999999999999998E-2</v>
      </c>
      <c r="AJ29" s="10"/>
      <c r="AK29" s="10"/>
      <c r="AL29" s="10" t="s">
        <v>534</v>
      </c>
      <c r="AM29" s="10"/>
      <c r="AN29" s="10"/>
      <c r="AO29" s="10"/>
      <c r="AP29" s="10"/>
      <c r="AQ29" s="71">
        <f>'MRF &amp; RDF Sorting'!G61</f>
        <v>8.7999999999999995E-2</v>
      </c>
      <c r="AR29" s="10"/>
      <c r="AS29" s="10"/>
      <c r="AT29" s="10" t="s">
        <v>883</v>
      </c>
      <c r="AU29" s="10"/>
      <c r="AV29" s="10"/>
      <c r="AW29" s="10"/>
      <c r="AX29" s="10"/>
      <c r="AY29" s="71">
        <f>'MRF &amp; RDF Sorting'!H61</f>
        <v>4.1000000000000002E-2</v>
      </c>
      <c r="AZ29" s="10"/>
      <c r="BA29" s="10"/>
      <c r="BB29" s="10" t="s">
        <v>542</v>
      </c>
      <c r="BC29" s="10"/>
      <c r="BD29" s="10"/>
      <c r="BE29" s="10"/>
      <c r="BF29" s="10"/>
      <c r="BG29" s="69">
        <f>-BG28*(1-'MRF &amp; RDF Sorting'!$F$54)</f>
        <v>0</v>
      </c>
      <c r="BH29" s="10"/>
      <c r="BI29" s="10"/>
      <c r="BJ29" s="10" t="s">
        <v>551</v>
      </c>
      <c r="BK29" s="10"/>
      <c r="BL29" s="10"/>
      <c r="BM29" s="10"/>
      <c r="BN29" s="10"/>
      <c r="BO29" s="71">
        <f>'MRF &amp; RDF Sorting'!J61</f>
        <v>0.61499999999999999</v>
      </c>
      <c r="BP29" s="10"/>
      <c r="BQ29" s="10"/>
      <c r="BR29" s="10" t="s">
        <v>500</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373</v>
      </c>
      <c r="B30" s="10"/>
      <c r="C30" s="10"/>
      <c r="D30" s="10"/>
      <c r="E30" s="69">
        <f>-E29*(1-'MRF &amp; RDF Sorting'!$F$54)</f>
        <v>0</v>
      </c>
      <c r="F30" s="10"/>
      <c r="G30" s="10" t="s">
        <v>394</v>
      </c>
      <c r="H30" s="10"/>
      <c r="I30" s="10"/>
      <c r="J30" s="10"/>
      <c r="K30" s="69">
        <f>-K29*(1-'MRF &amp; RDF Sorting'!$F$54)</f>
        <v>0</v>
      </c>
      <c r="L30" s="10"/>
      <c r="M30" s="10"/>
      <c r="N30" s="10" t="s">
        <v>401</v>
      </c>
      <c r="O30" s="10"/>
      <c r="P30" s="10"/>
      <c r="Q30" s="10"/>
      <c r="R30" s="10"/>
      <c r="S30" s="10"/>
      <c r="T30" s="10" t="s">
        <v>513</v>
      </c>
      <c r="U30" s="10"/>
      <c r="V30" s="10" t="s">
        <v>375</v>
      </c>
      <c r="W30" s="10"/>
      <c r="X30" s="10"/>
      <c r="Y30" s="10"/>
      <c r="Z30" s="10"/>
      <c r="AA30" s="72">
        <f>'MRF &amp; RDF Sorting'!$D$82</f>
        <v>0</v>
      </c>
      <c r="AB30" s="10"/>
      <c r="AC30" s="10"/>
      <c r="AD30" s="10" t="s">
        <v>375</v>
      </c>
      <c r="AE30" s="10"/>
      <c r="AF30" s="10"/>
      <c r="AG30" s="10"/>
      <c r="AH30" s="10"/>
      <c r="AI30" s="72">
        <f>'MRF &amp; RDF Sorting'!$D$82</f>
        <v>0</v>
      </c>
      <c r="AJ30" s="10"/>
      <c r="AK30" s="10"/>
      <c r="AL30" s="10" t="s">
        <v>375</v>
      </c>
      <c r="AM30" s="10"/>
      <c r="AN30" s="10"/>
      <c r="AO30" s="10"/>
      <c r="AP30" s="10"/>
      <c r="AQ30" s="72">
        <f>'MRF &amp; RDF Sorting'!$D$82</f>
        <v>0</v>
      </c>
      <c r="AR30" s="10"/>
      <c r="AS30" s="10"/>
      <c r="AT30" s="10" t="s">
        <v>375</v>
      </c>
      <c r="AU30" s="10"/>
      <c r="AV30" s="10"/>
      <c r="AW30" s="10"/>
      <c r="AX30" s="10"/>
      <c r="AY30" s="72">
        <f>'MRF &amp; RDF Sorting'!$D$82</f>
        <v>0</v>
      </c>
      <c r="AZ30" s="10"/>
      <c r="BA30" s="10"/>
      <c r="BB30" s="10" t="s">
        <v>543</v>
      </c>
      <c r="BC30" s="10"/>
      <c r="BD30" s="10"/>
      <c r="BE30" s="10"/>
      <c r="BF30" s="10"/>
      <c r="BG30" s="71">
        <f>'MRF &amp; RDF Sorting'!I61</f>
        <v>0.56200000000000006</v>
      </c>
      <c r="BH30" s="10"/>
      <c r="BI30" s="10"/>
      <c r="BJ30" s="10" t="s">
        <v>375</v>
      </c>
      <c r="BK30" s="10"/>
      <c r="BL30" s="10"/>
      <c r="BM30" s="10"/>
      <c r="BN30" s="10"/>
      <c r="BO30" s="72">
        <f>'MRF &amp; RDF Sorting'!$D$82</f>
        <v>0</v>
      </c>
      <c r="BP30" s="10"/>
      <c r="BQ30" s="10"/>
      <c r="BR30" s="10" t="s">
        <v>501</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374</v>
      </c>
      <c r="B31" s="10"/>
      <c r="C31" s="10"/>
      <c r="D31" s="10"/>
      <c r="E31" s="71">
        <f>'MRF &amp; RDF Sorting'!B61</f>
        <v>8.7999999999999995E-2</v>
      </c>
      <c r="F31" s="10"/>
      <c r="G31" s="10" t="s">
        <v>395</v>
      </c>
      <c r="H31" s="10"/>
      <c r="I31" s="10"/>
      <c r="J31" s="10"/>
      <c r="K31" s="71">
        <f>'MRF &amp; RDF Sorting'!C61</f>
        <v>0.70499999999999996</v>
      </c>
      <c r="L31" s="10"/>
      <c r="M31" s="10"/>
      <c r="N31" s="10" t="s">
        <v>400</v>
      </c>
      <c r="O31" s="10"/>
      <c r="P31" s="10"/>
      <c r="Q31" s="10"/>
      <c r="R31" s="10"/>
      <c r="S31" s="10"/>
      <c r="T31" s="10" t="s">
        <v>513</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375</v>
      </c>
      <c r="BC31" s="10"/>
      <c r="BD31" s="10"/>
      <c r="BE31" s="10"/>
      <c r="BF31" s="10"/>
      <c r="BG31" s="72">
        <f>'MRF &amp; RDF Sorting'!$D$82</f>
        <v>0</v>
      </c>
      <c r="BH31" s="10"/>
      <c r="BI31" s="10"/>
      <c r="BJ31" s="10"/>
      <c r="BK31" s="10"/>
      <c r="BL31" s="10"/>
      <c r="BM31" s="10"/>
      <c r="BN31" s="10"/>
      <c r="BO31" s="10"/>
      <c r="BP31" s="10"/>
      <c r="BQ31" s="10"/>
      <c r="BR31" s="10" t="s">
        <v>502</v>
      </c>
      <c r="BS31" s="10"/>
      <c r="BT31" s="10"/>
      <c r="BU31" s="10"/>
      <c r="BV31" s="10"/>
      <c r="BW31" s="69">
        <f>CB31*'Thermal Treatment'!C197</f>
        <v>0</v>
      </c>
      <c r="BX31" s="10"/>
      <c r="BY31" s="10" t="s">
        <v>808</v>
      </c>
      <c r="BZ31" s="10"/>
      <c r="CA31" s="10"/>
      <c r="CB31" s="69">
        <f>-(E41+K42+S47+AA40+AI40+AQ40+AY40+BG41+BO40)</f>
        <v>0</v>
      </c>
      <c r="CC31" s="11"/>
    </row>
    <row r="32" spans="1:81">
      <c r="A32" s="9" t="s">
        <v>375</v>
      </c>
      <c r="B32" s="10"/>
      <c r="C32" s="10"/>
      <c r="D32" s="10"/>
      <c r="E32" s="72">
        <f>'MRF &amp; RDF Sorting'!D82</f>
        <v>0</v>
      </c>
      <c r="F32" s="10"/>
      <c r="G32" s="10" t="s">
        <v>375</v>
      </c>
      <c r="H32" s="10"/>
      <c r="I32" s="10"/>
      <c r="J32" s="10"/>
      <c r="K32" s="72">
        <f>'MRF &amp; RDF Sorting'!$D$82</f>
        <v>0</v>
      </c>
      <c r="L32" s="10"/>
      <c r="M32" s="10"/>
      <c r="N32" s="10" t="s">
        <v>399</v>
      </c>
      <c r="O32" s="10"/>
      <c r="P32" s="10"/>
      <c r="Q32" s="10"/>
      <c r="R32" s="10"/>
      <c r="S32" s="10"/>
      <c r="T32" s="10" t="s">
        <v>513</v>
      </c>
      <c r="U32" s="10"/>
      <c r="V32" s="10" t="s">
        <v>518</v>
      </c>
      <c r="W32" s="10"/>
      <c r="X32" s="10"/>
      <c r="Y32" s="10"/>
      <c r="Z32" s="10"/>
      <c r="AA32" s="69">
        <f>(AA27+AA28)*AA29*(1-AA30)</f>
        <v>0</v>
      </c>
      <c r="AB32" s="10"/>
      <c r="AC32" s="10"/>
      <c r="AD32" s="10" t="s">
        <v>528</v>
      </c>
      <c r="AE32" s="10"/>
      <c r="AF32" s="10"/>
      <c r="AG32" s="10"/>
      <c r="AH32" s="10"/>
      <c r="AI32" s="69">
        <f>(AI27+AI28)*AI29*(1-AI30)</f>
        <v>0</v>
      </c>
      <c r="AJ32" s="10"/>
      <c r="AK32" s="10"/>
      <c r="AL32" s="10" t="s">
        <v>536</v>
      </c>
      <c r="AM32" s="10"/>
      <c r="AN32" s="10"/>
      <c r="AO32" s="10"/>
      <c r="AP32" s="10"/>
      <c r="AQ32" s="69">
        <f>(AQ27+AQ28)*AQ29*(1-AQ30)</f>
        <v>0</v>
      </c>
      <c r="AR32" s="10"/>
      <c r="AS32" s="10"/>
      <c r="AT32" s="10" t="s">
        <v>884</v>
      </c>
      <c r="AU32" s="10"/>
      <c r="AV32" s="10"/>
      <c r="AW32" s="10"/>
      <c r="AX32" s="10"/>
      <c r="AY32" s="69">
        <f>(AY27+AY28)*AY29*(1-AY30)</f>
        <v>0</v>
      </c>
      <c r="AZ32" s="10"/>
      <c r="BA32" s="10"/>
      <c r="BB32" s="10"/>
      <c r="BC32" s="10"/>
      <c r="BD32" s="10"/>
      <c r="BE32" s="10"/>
      <c r="BF32" s="10"/>
      <c r="BG32" s="10"/>
      <c r="BH32" s="10"/>
      <c r="BI32" s="10"/>
      <c r="BJ32" s="10" t="s">
        <v>552</v>
      </c>
      <c r="BK32" s="10"/>
      <c r="BL32" s="10"/>
      <c r="BM32" s="10"/>
      <c r="BN32" s="10"/>
      <c r="BO32" s="69">
        <f>(BO27+BO28)*BO29*(1-BO30)</f>
        <v>0</v>
      </c>
      <c r="BP32" s="10"/>
      <c r="BQ32" s="10"/>
      <c r="BR32" s="10" t="s">
        <v>503</v>
      </c>
      <c r="BS32" s="10"/>
      <c r="BT32" s="10"/>
      <c r="BU32" s="10"/>
      <c r="BV32" s="10"/>
      <c r="BW32" s="69">
        <f>CB32*'Thermal Treatment'!D197</f>
        <v>0</v>
      </c>
      <c r="BX32" s="10"/>
      <c r="BY32" s="10" t="s">
        <v>809</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544</v>
      </c>
      <c r="BC33" s="10"/>
      <c r="BD33" s="10"/>
      <c r="BE33" s="10"/>
      <c r="BF33" s="10"/>
      <c r="BG33" s="69">
        <f>(BG28+BG29)*BG30*(1-BG31)</f>
        <v>0</v>
      </c>
      <c r="BH33" s="10"/>
      <c r="BI33" s="10"/>
      <c r="BJ33" s="10"/>
      <c r="BK33" s="10"/>
      <c r="BL33" s="10"/>
      <c r="BM33" s="10"/>
      <c r="BN33" s="10"/>
      <c r="BO33" s="10"/>
      <c r="BP33" s="10"/>
      <c r="BQ33" s="10"/>
      <c r="BR33" s="10" t="s">
        <v>504</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376</v>
      </c>
      <c r="B34" s="10"/>
      <c r="C34" s="10"/>
      <c r="D34" s="10"/>
      <c r="E34" s="69">
        <f>(E29+E30)*E31*(1-E32)</f>
        <v>0</v>
      </c>
      <c r="F34" s="10"/>
      <c r="G34" s="10" t="s">
        <v>396</v>
      </c>
      <c r="H34" s="10"/>
      <c r="I34" s="10"/>
      <c r="J34" s="10"/>
      <c r="K34" s="69">
        <f>(K29+K30)*K31*(1-K32)</f>
        <v>0</v>
      </c>
      <c r="L34" s="10"/>
      <c r="M34" s="10"/>
      <c r="N34" s="10" t="s">
        <v>505</v>
      </c>
      <c r="O34" s="10"/>
      <c r="P34" s="10"/>
      <c r="Q34" s="10"/>
      <c r="R34" s="10"/>
      <c r="S34" s="69">
        <f>'MRF &amp; RDF Sorting'!D67*'MRF &amp; RDF Sorting'!$D$75</f>
        <v>0</v>
      </c>
      <c r="T34" s="10"/>
      <c r="U34" s="10"/>
      <c r="V34" s="10" t="s">
        <v>520</v>
      </c>
      <c r="W34" s="10"/>
      <c r="X34" s="10"/>
      <c r="Y34" s="10"/>
      <c r="Z34" s="10"/>
      <c r="AA34" s="69">
        <f>'MRF &amp; RDF Sorting'!E128*'MRF &amp; RDF Sorting'!$D$136</f>
        <v>0</v>
      </c>
      <c r="AB34" s="10"/>
      <c r="AC34" s="10"/>
      <c r="AD34" s="10" t="s">
        <v>529</v>
      </c>
      <c r="AE34" s="10"/>
      <c r="AF34" s="10"/>
      <c r="AG34" s="10"/>
      <c r="AH34" s="10"/>
      <c r="AI34" s="69">
        <f>'MRF &amp; RDF Sorting'!F128*'MRF &amp; RDF Sorting'!$D$136</f>
        <v>0</v>
      </c>
      <c r="AJ34" s="10"/>
      <c r="AK34" s="10"/>
      <c r="AL34" s="10" t="s">
        <v>537</v>
      </c>
      <c r="AM34" s="10"/>
      <c r="AN34" s="10"/>
      <c r="AO34" s="10"/>
      <c r="AP34" s="10"/>
      <c r="AQ34" s="69">
        <f>'MRF &amp; RDF Sorting'!G128*'MRF &amp; RDF Sorting'!$D$136</f>
        <v>0</v>
      </c>
      <c r="AR34" s="10"/>
      <c r="AS34" s="10"/>
      <c r="AT34" s="10" t="s">
        <v>885</v>
      </c>
      <c r="AU34" s="10"/>
      <c r="AV34" s="10"/>
      <c r="AW34" s="10"/>
      <c r="AX34" s="10"/>
      <c r="AY34" s="69">
        <f>'MRF &amp; RDF Sorting'!H128*'MRF &amp; RDF Sorting'!$D$136</f>
        <v>0</v>
      </c>
      <c r="AZ34" s="10"/>
      <c r="BA34" s="10"/>
      <c r="BB34" s="10"/>
      <c r="BC34" s="10"/>
      <c r="BD34" s="10"/>
      <c r="BE34" s="10"/>
      <c r="BF34" s="10"/>
      <c r="BG34" s="10"/>
      <c r="BH34" s="10"/>
      <c r="BI34" s="10"/>
      <c r="BJ34" s="10" t="s">
        <v>553</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506</v>
      </c>
      <c r="O35" s="10"/>
      <c r="P35" s="10"/>
      <c r="Q35" s="10"/>
      <c r="R35" s="10"/>
      <c r="S35" s="69">
        <f>-S34*(1-'MRF &amp; RDF Sorting'!$F$54)</f>
        <v>0</v>
      </c>
      <c r="T35" s="10"/>
      <c r="U35" s="10"/>
      <c r="V35" s="10" t="s">
        <v>519</v>
      </c>
      <c r="W35" s="10"/>
      <c r="X35" s="10"/>
      <c r="Y35" s="10"/>
      <c r="Z35" s="10"/>
      <c r="AA35" s="69">
        <f>-AA34*(1-'MRF &amp; RDF Sorting'!$F$113)</f>
        <v>0</v>
      </c>
      <c r="AB35" s="10"/>
      <c r="AC35" s="10"/>
      <c r="AD35" s="10" t="s">
        <v>530</v>
      </c>
      <c r="AE35" s="10"/>
      <c r="AF35" s="10"/>
      <c r="AG35" s="10"/>
      <c r="AH35" s="10"/>
      <c r="AI35" s="69">
        <f>-AI34*(1-'MRF &amp; RDF Sorting'!$F$113)</f>
        <v>0</v>
      </c>
      <c r="AJ35" s="10"/>
      <c r="AK35" s="10"/>
      <c r="AL35" s="10" t="s">
        <v>538</v>
      </c>
      <c r="AM35" s="10"/>
      <c r="AN35" s="10"/>
      <c r="AO35" s="10"/>
      <c r="AP35" s="10"/>
      <c r="AQ35" s="69">
        <f>-AQ34*(1-'MRF &amp; RDF Sorting'!$F$113)</f>
        <v>0</v>
      </c>
      <c r="AR35" s="10"/>
      <c r="AS35" s="10"/>
      <c r="AT35" s="10" t="s">
        <v>886</v>
      </c>
      <c r="AU35" s="10"/>
      <c r="AV35" s="10"/>
      <c r="AW35" s="10"/>
      <c r="AX35" s="10"/>
      <c r="AY35" s="69">
        <f>-AY34*(1-'MRF &amp; RDF Sorting'!$F$113)</f>
        <v>0</v>
      </c>
      <c r="AZ35" s="10"/>
      <c r="BA35" s="10"/>
      <c r="BB35" s="10" t="s">
        <v>545</v>
      </c>
      <c r="BC35" s="10"/>
      <c r="BD35" s="10"/>
      <c r="BE35" s="10"/>
      <c r="BF35" s="10"/>
      <c r="BG35" s="69">
        <f>'MRF &amp; RDF Sorting'!I128*'MRF &amp; RDF Sorting'!$D$136</f>
        <v>0</v>
      </c>
      <c r="BH35" s="10"/>
      <c r="BI35" s="10"/>
      <c r="BJ35" s="10" t="s">
        <v>554</v>
      </c>
      <c r="BK35" s="10"/>
      <c r="BL35" s="10"/>
      <c r="BM35" s="10"/>
      <c r="BN35" s="10"/>
      <c r="BO35" s="69">
        <f>-BO34*(1-'MRF &amp; RDF Sorting'!$F$113)</f>
        <v>0</v>
      </c>
      <c r="BP35" s="10"/>
      <c r="BQ35" s="10"/>
      <c r="BR35" s="10"/>
      <c r="BS35" s="10" t="s">
        <v>578</v>
      </c>
      <c r="BT35" s="10"/>
      <c r="BU35" s="10"/>
      <c r="BV35" s="10"/>
      <c r="BW35" s="10"/>
      <c r="BX35" s="10"/>
      <c r="BY35" s="10"/>
      <c r="BZ35" s="10"/>
      <c r="CA35" s="10"/>
      <c r="CB35" s="10"/>
      <c r="CC35" s="11"/>
    </row>
    <row r="36" spans="1:81">
      <c r="A36" s="9" t="s">
        <v>377</v>
      </c>
      <c r="B36" s="10"/>
      <c r="C36" s="10"/>
      <c r="D36" s="10"/>
      <c r="E36" s="69">
        <f>'MRF &amp; RDF Sorting'!B128*'MRF &amp; RDF Sorting'!$D$136</f>
        <v>0</v>
      </c>
      <c r="F36" s="10"/>
      <c r="G36" s="10" t="s">
        <v>397</v>
      </c>
      <c r="H36" s="10"/>
      <c r="I36" s="10"/>
      <c r="J36" s="10"/>
      <c r="K36" s="69">
        <f>'MRF &amp; RDF Sorting'!C128*'MRF &amp; RDF Sorting'!$D$136</f>
        <v>0</v>
      </c>
      <c r="L36" s="10"/>
      <c r="M36" s="10"/>
      <c r="N36" s="10" t="s">
        <v>507</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546</v>
      </c>
      <c r="BC36" s="10"/>
      <c r="BD36" s="10"/>
      <c r="BE36" s="10"/>
      <c r="BF36" s="10"/>
      <c r="BG36" s="69">
        <f>-BG35*(1-'MRF &amp; RDF Sorting'!$F$113)</f>
        <v>0</v>
      </c>
      <c r="BH36" s="10"/>
      <c r="BI36" s="10"/>
      <c r="BJ36" s="10"/>
      <c r="BK36" s="10"/>
      <c r="BL36" s="10"/>
      <c r="BM36" s="10"/>
      <c r="BN36" s="10"/>
      <c r="BO36" s="10"/>
      <c r="BP36" s="10"/>
      <c r="BQ36" s="10"/>
      <c r="BR36" s="10"/>
      <c r="BS36" s="10" t="s">
        <v>577</v>
      </c>
      <c r="BT36" s="10"/>
      <c r="BU36" s="10"/>
      <c r="BV36" s="10"/>
      <c r="BW36" s="69">
        <f>SUM(BW37:BW39)</f>
        <v>0</v>
      </c>
      <c r="BX36" s="10"/>
      <c r="BY36" s="10"/>
      <c r="BZ36" s="10"/>
      <c r="CA36" s="10"/>
      <c r="CB36" s="10"/>
      <c r="CC36" s="11"/>
    </row>
    <row r="37" spans="1:81">
      <c r="A37" s="9" t="s">
        <v>378</v>
      </c>
      <c r="B37" s="10"/>
      <c r="C37" s="10"/>
      <c r="D37" s="10"/>
      <c r="E37" s="69">
        <f>-(E38+E39)*'MRF &amp; RDF Sorting'!B120*(1-'MRF &amp; RDF Sorting'!$D$143)</f>
        <v>0</v>
      </c>
      <c r="F37" s="10"/>
      <c r="G37" s="10" t="s">
        <v>398</v>
      </c>
      <c r="H37" s="10"/>
      <c r="I37" s="10"/>
      <c r="J37" s="10"/>
      <c r="K37" s="69">
        <f>-K36*(1-'MRF &amp; RDF Sorting'!$F$113)</f>
        <v>0</v>
      </c>
      <c r="L37" s="10"/>
      <c r="M37" s="10"/>
      <c r="N37" s="10" t="s">
        <v>375</v>
      </c>
      <c r="O37" s="10"/>
      <c r="P37" s="10"/>
      <c r="Q37" s="10"/>
      <c r="R37" s="10"/>
      <c r="S37" s="72">
        <f>'MRF &amp; RDF Sorting'!$D$82</f>
        <v>0</v>
      </c>
      <c r="T37" s="10"/>
      <c r="U37" s="10"/>
      <c r="V37" s="10" t="s">
        <v>521</v>
      </c>
      <c r="W37" s="10"/>
      <c r="X37" s="10"/>
      <c r="Y37" s="10"/>
      <c r="Z37" s="10"/>
      <c r="AA37" s="69">
        <f>-(AA34+AA38)*'MRF &amp; RDF Sorting'!E120*(1-'MRF &amp; RDF Sorting'!$D$143)</f>
        <v>0</v>
      </c>
      <c r="AB37" s="10"/>
      <c r="AC37" s="10"/>
      <c r="AD37" s="10" t="s">
        <v>531</v>
      </c>
      <c r="AE37" s="10"/>
      <c r="AF37" s="10"/>
      <c r="AG37" s="10"/>
      <c r="AH37" s="10"/>
      <c r="AI37" s="69">
        <f>-(AI34+AI38)*'MRF &amp; RDF Sorting'!F120*(1-'MRF &amp; RDF Sorting'!$D$143)</f>
        <v>0</v>
      </c>
      <c r="AJ37" s="10"/>
      <c r="AK37" s="10"/>
      <c r="AL37" s="10" t="s">
        <v>539</v>
      </c>
      <c r="AM37" s="10"/>
      <c r="AN37" s="10"/>
      <c r="AO37" s="10"/>
      <c r="AP37" s="10"/>
      <c r="AQ37" s="69">
        <f>-(AQ34+AQ38)*'MRF &amp; RDF Sorting'!G120*(1-'MRF &amp; RDF Sorting'!$D$143)</f>
        <v>0</v>
      </c>
      <c r="AR37" s="10"/>
      <c r="AS37" s="10"/>
      <c r="AT37" s="10" t="s">
        <v>887</v>
      </c>
      <c r="AU37" s="10"/>
      <c r="AV37" s="10"/>
      <c r="AW37" s="10"/>
      <c r="AX37" s="10"/>
      <c r="AY37" s="69">
        <f>-(AY34+AY38)*'MRF &amp; RDF Sorting'!H120*(1-'MRF &amp; RDF Sorting'!$D$143)</f>
        <v>0</v>
      </c>
      <c r="AZ37" s="10"/>
      <c r="BA37" s="10"/>
      <c r="BB37" s="10"/>
      <c r="BC37" s="10"/>
      <c r="BD37" s="10"/>
      <c r="BE37" s="10"/>
      <c r="BF37" s="10"/>
      <c r="BG37" s="10"/>
      <c r="BH37" s="10"/>
      <c r="BI37" s="10"/>
      <c r="BJ37" s="10" t="s">
        <v>555</v>
      </c>
      <c r="BK37" s="10"/>
      <c r="BL37" s="10"/>
      <c r="BM37" s="10"/>
      <c r="BN37" s="10"/>
      <c r="BO37" s="69">
        <f>-(BO34+BO38)*'MRF &amp; RDF Sorting'!J120*(1-'MRF &amp; RDF Sorting'!$D$143)</f>
        <v>0</v>
      </c>
      <c r="BP37" s="10"/>
      <c r="BQ37" s="10"/>
      <c r="BR37" s="10"/>
      <c r="BS37" s="10"/>
      <c r="BT37" s="10" t="s">
        <v>579</v>
      </c>
      <c r="BU37" s="10"/>
      <c r="BV37" s="10"/>
      <c r="BW37" s="69">
        <f>'MRF &amp; RDF Sorting'!B9*'MRF &amp; RDF Sorting'!B18</f>
        <v>0</v>
      </c>
      <c r="BX37" s="10"/>
      <c r="BY37" s="10"/>
      <c r="BZ37" s="10"/>
      <c r="CA37" s="10"/>
      <c r="CB37" s="10"/>
      <c r="CC37" s="11"/>
    </row>
    <row r="38" spans="1:81">
      <c r="A38" s="9"/>
      <c r="B38" s="10" t="s">
        <v>377</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522</v>
      </c>
      <c r="X38" s="10"/>
      <c r="Y38" s="10"/>
      <c r="Z38" s="10"/>
      <c r="AA38" s="69">
        <f>-AA34*(1-'MRF &amp; RDF Sorting'!$F$113)</f>
        <v>0</v>
      </c>
      <c r="AB38" s="10"/>
      <c r="AC38" s="10"/>
      <c r="AD38" s="10"/>
      <c r="AE38" s="10" t="s">
        <v>532</v>
      </c>
      <c r="AF38" s="10"/>
      <c r="AG38" s="10"/>
      <c r="AH38" s="10"/>
      <c r="AI38" s="69">
        <f>-AI34*(1-'MRF &amp; RDF Sorting'!$F$113)</f>
        <v>0</v>
      </c>
      <c r="AJ38" s="10"/>
      <c r="AK38" s="10"/>
      <c r="AL38" s="10"/>
      <c r="AM38" s="10" t="s">
        <v>540</v>
      </c>
      <c r="AN38" s="10"/>
      <c r="AO38" s="10"/>
      <c r="AP38" s="10"/>
      <c r="AQ38" s="69">
        <f>-AQ34*(1-'MRF &amp; RDF Sorting'!$F$113)</f>
        <v>0</v>
      </c>
      <c r="AR38" s="10"/>
      <c r="AS38" s="10"/>
      <c r="AT38" s="10"/>
      <c r="AU38" s="10" t="s">
        <v>888</v>
      </c>
      <c r="AV38" s="10"/>
      <c r="AW38" s="10"/>
      <c r="AX38" s="10"/>
      <c r="AY38" s="69">
        <f>-AY34*(1-'MRF &amp; RDF Sorting'!$F$113)</f>
        <v>0</v>
      </c>
      <c r="AZ38" s="10"/>
      <c r="BA38" s="10"/>
      <c r="BB38" s="10" t="s">
        <v>547</v>
      </c>
      <c r="BC38" s="10"/>
      <c r="BD38" s="10"/>
      <c r="BE38" s="10"/>
      <c r="BF38" s="10"/>
      <c r="BG38" s="69">
        <f>-(BG35+BG39)*'MRF &amp; RDF Sorting'!I120*(1-'MRF &amp; RDF Sorting'!$D$143)</f>
        <v>0</v>
      </c>
      <c r="BH38" s="10"/>
      <c r="BI38" s="10"/>
      <c r="BJ38" s="10"/>
      <c r="BK38" s="10" t="s">
        <v>556</v>
      </c>
      <c r="BL38" s="10"/>
      <c r="BM38" s="10"/>
      <c r="BN38" s="10"/>
      <c r="BO38" s="69">
        <f>-BO34*(1-'MRF &amp; RDF Sorting'!$F$113)</f>
        <v>0</v>
      </c>
      <c r="BP38" s="10"/>
      <c r="BQ38" s="10"/>
      <c r="BR38" s="10"/>
      <c r="BS38" s="10"/>
      <c r="BT38" s="10" t="s">
        <v>580</v>
      </c>
      <c r="BU38" s="10"/>
      <c r="BV38" s="10"/>
      <c r="BW38" s="69">
        <f>'MRF &amp; RDF Sorting'!F9*'MRF &amp; RDF Sorting'!E18</f>
        <v>0</v>
      </c>
      <c r="BX38" s="10"/>
      <c r="BY38" s="10"/>
      <c r="BZ38" s="10"/>
      <c r="CA38" s="10"/>
      <c r="CB38" s="10"/>
      <c r="CC38" s="11"/>
    </row>
    <row r="39" spans="1:81">
      <c r="A39" s="9"/>
      <c r="B39" s="10" t="s">
        <v>379</v>
      </c>
      <c r="C39" s="10"/>
      <c r="D39" s="10"/>
      <c r="E39" s="69">
        <f>-E38*(1-'MRF &amp; RDF Sorting'!$F$113)</f>
        <v>0</v>
      </c>
      <c r="F39" s="10"/>
      <c r="G39" s="10" t="s">
        <v>510</v>
      </c>
      <c r="H39" s="10"/>
      <c r="I39" s="10"/>
      <c r="J39" s="10"/>
      <c r="K39" s="69">
        <f>-(K36+K40)*'MRF &amp; RDF Sorting'!C120*(1-'MRF &amp; RDF Sorting'!$D$143)</f>
        <v>0</v>
      </c>
      <c r="L39" s="10"/>
      <c r="M39" s="10"/>
      <c r="N39" s="10" t="s">
        <v>517</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548</v>
      </c>
      <c r="BD39" s="10"/>
      <c r="BE39" s="10"/>
      <c r="BF39" s="10"/>
      <c r="BG39" s="69">
        <f>-BG35*(1-'MRF &amp; RDF Sorting'!$F$113)</f>
        <v>0</v>
      </c>
      <c r="BH39" s="10"/>
      <c r="BI39" s="10"/>
      <c r="BJ39" s="10"/>
      <c r="BK39" s="10"/>
      <c r="BL39" s="10"/>
      <c r="BM39" s="10"/>
      <c r="BN39" s="10"/>
      <c r="BO39" s="10"/>
      <c r="BP39" s="10"/>
      <c r="BQ39" s="10"/>
      <c r="BR39" s="10"/>
      <c r="BS39" s="10"/>
      <c r="BT39" s="10" t="s">
        <v>581</v>
      </c>
      <c r="BU39" s="10"/>
      <c r="BV39" s="10"/>
      <c r="BW39" s="69">
        <f>'MRF &amp; RDF Sorting'!G9*'MRF &amp; RDF Sorting'!E18</f>
        <v>0</v>
      </c>
      <c r="BX39" s="10"/>
      <c r="BY39" s="10"/>
      <c r="BZ39" s="10"/>
      <c r="CA39" s="10"/>
      <c r="CB39" s="10"/>
      <c r="CC39" s="11"/>
    </row>
    <row r="40" spans="1:81">
      <c r="A40" s="9"/>
      <c r="B40" s="10"/>
      <c r="C40" s="10"/>
      <c r="D40" s="10"/>
      <c r="E40" s="10"/>
      <c r="F40" s="10"/>
      <c r="G40" s="10"/>
      <c r="H40" s="10" t="s">
        <v>511</v>
      </c>
      <c r="I40" s="10"/>
      <c r="J40" s="10"/>
      <c r="K40" s="69">
        <f>-K36*(1-'MRF &amp; RDF Sorting'!$F$113)</f>
        <v>0</v>
      </c>
      <c r="L40" s="10"/>
      <c r="M40" s="10"/>
      <c r="N40" s="10"/>
      <c r="O40" s="10"/>
      <c r="P40" s="10"/>
      <c r="Q40" s="10"/>
      <c r="R40" s="10"/>
      <c r="S40" s="10"/>
      <c r="T40" s="10"/>
      <c r="U40" s="10"/>
      <c r="V40" s="10" t="s">
        <v>560</v>
      </c>
      <c r="W40" s="10"/>
      <c r="X40" s="10"/>
      <c r="Y40" s="10"/>
      <c r="Z40" s="10"/>
      <c r="AA40" s="69">
        <f>(AA27+AA28)*'MRF &amp; RDF Sorting'!E58</f>
        <v>0</v>
      </c>
      <c r="AB40" s="10"/>
      <c r="AC40" s="10"/>
      <c r="AD40" s="10" t="s">
        <v>561</v>
      </c>
      <c r="AE40" s="10"/>
      <c r="AF40" s="10"/>
      <c r="AG40" s="10"/>
      <c r="AH40" s="10"/>
      <c r="AI40" s="69">
        <f>(AI27+AI28)*'MRF &amp; RDF Sorting'!F58</f>
        <v>0</v>
      </c>
      <c r="AJ40" s="10"/>
      <c r="AK40" s="10"/>
      <c r="AL40" s="10" t="s">
        <v>562</v>
      </c>
      <c r="AM40" s="10"/>
      <c r="AN40" s="10"/>
      <c r="AO40" s="10"/>
      <c r="AP40" s="10"/>
      <c r="AQ40" s="69">
        <f>(AQ27+AQ28)*'MRF &amp; RDF Sorting'!G58</f>
        <v>0</v>
      </c>
      <c r="AR40" s="10"/>
      <c r="AS40" s="10"/>
      <c r="AT40" s="10" t="s">
        <v>563</v>
      </c>
      <c r="AU40" s="10"/>
      <c r="AV40" s="10"/>
      <c r="AW40" s="10"/>
      <c r="AX40" s="10"/>
      <c r="AY40" s="69">
        <f>(AY27+AY28)*'MRF &amp; RDF Sorting'!H58</f>
        <v>0</v>
      </c>
      <c r="AZ40" s="10"/>
      <c r="BA40" s="10"/>
      <c r="BB40" s="10"/>
      <c r="BC40" s="10"/>
      <c r="BD40" s="10"/>
      <c r="BE40" s="10"/>
      <c r="BF40" s="10"/>
      <c r="BG40" s="10"/>
      <c r="BH40" s="10"/>
      <c r="BI40" s="10"/>
      <c r="BJ40" s="10" t="s">
        <v>565</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557</v>
      </c>
      <c r="B41" s="10"/>
      <c r="C41" s="10"/>
      <c r="D41" s="10"/>
      <c r="E41" s="69">
        <f>(E29+E30)*'MRF &amp; RDF Sorting'!B58</f>
        <v>0</v>
      </c>
      <c r="F41" s="10"/>
      <c r="G41" s="10"/>
      <c r="H41" s="10"/>
      <c r="I41" s="10"/>
      <c r="J41" s="10"/>
      <c r="K41" s="10"/>
      <c r="L41" s="10"/>
      <c r="M41" s="10"/>
      <c r="N41" s="10" t="s">
        <v>508</v>
      </c>
      <c r="O41" s="10"/>
      <c r="P41" s="10"/>
      <c r="Q41" s="10"/>
      <c r="R41" s="10"/>
      <c r="S41" s="69">
        <f>'MRF &amp; RDF Sorting'!D128*'MRF &amp; RDF Sorting'!$D$136</f>
        <v>0</v>
      </c>
      <c r="T41" s="10"/>
      <c r="U41" s="10"/>
      <c r="V41" s="10" t="s">
        <v>571</v>
      </c>
      <c r="W41" s="10"/>
      <c r="X41" s="10"/>
      <c r="Y41" s="10"/>
      <c r="Z41" s="10"/>
      <c r="AA41" s="69">
        <f>(AA34+AA38)*'MRF &amp; RDF Sorting'!E117*(1-'MRF &amp; RDF Sorting'!$F$124)</f>
        <v>0</v>
      </c>
      <c r="AB41" s="10"/>
      <c r="AC41" s="10"/>
      <c r="AD41" s="10" t="s">
        <v>572</v>
      </c>
      <c r="AE41" s="10"/>
      <c r="AF41" s="10"/>
      <c r="AG41" s="10"/>
      <c r="AH41" s="10"/>
      <c r="AI41" s="69">
        <f>(AI34+AI38)*'MRF &amp; RDF Sorting'!F117*(1-'MRF &amp; RDF Sorting'!$F$124)</f>
        <v>0</v>
      </c>
      <c r="AJ41" s="10"/>
      <c r="AK41" s="10"/>
      <c r="AL41" s="10" t="s">
        <v>573</v>
      </c>
      <c r="AM41" s="10"/>
      <c r="AN41" s="10"/>
      <c r="AO41" s="10"/>
      <c r="AP41" s="10"/>
      <c r="AQ41" s="69">
        <f>(AQ34+AQ38)*'MRF &amp; RDF Sorting'!G117*(1-'MRF &amp; RDF Sorting'!$F$124)</f>
        <v>0</v>
      </c>
      <c r="AR41" s="10"/>
      <c r="AS41" s="10"/>
      <c r="AT41" s="10" t="s">
        <v>574</v>
      </c>
      <c r="AU41" s="10"/>
      <c r="AV41" s="10"/>
      <c r="AW41" s="10"/>
      <c r="AX41" s="10"/>
      <c r="AY41" s="69">
        <f>(AY34+AY38)*'MRF &amp; RDF Sorting'!H117*(1-'MRF &amp; RDF Sorting'!$F$124)</f>
        <v>0</v>
      </c>
      <c r="AZ41" s="10"/>
      <c r="BA41" s="10"/>
      <c r="BB41" s="10" t="s">
        <v>564</v>
      </c>
      <c r="BC41" s="10"/>
      <c r="BD41" s="10"/>
      <c r="BE41" s="10"/>
      <c r="BF41" s="10"/>
      <c r="BG41" s="69">
        <f>(BG28+BG29)*'MRF &amp; RDF Sorting'!I58</f>
        <v>0</v>
      </c>
      <c r="BH41" s="10"/>
      <c r="BI41" s="10"/>
      <c r="BJ41" s="10" t="s">
        <v>576</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568</v>
      </c>
      <c r="B42" s="10"/>
      <c r="C42" s="10"/>
      <c r="D42" s="10"/>
      <c r="E42" s="69">
        <f>(E36+E39)*'MRF &amp; RDF Sorting'!B117*(1-'MRF &amp; RDF Sorting'!$F$124)</f>
        <v>0</v>
      </c>
      <c r="F42" s="10"/>
      <c r="G42" s="10" t="s">
        <v>558</v>
      </c>
      <c r="H42" s="10"/>
      <c r="I42" s="10"/>
      <c r="J42" s="10"/>
      <c r="K42" s="69">
        <f>(K29+K30)*'MRF &amp; RDF Sorting'!C58</f>
        <v>0</v>
      </c>
      <c r="L42" s="10"/>
      <c r="M42" s="10"/>
      <c r="N42" s="10" t="s">
        <v>509</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575</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569</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523</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524</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559</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570</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584</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795</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582</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585</v>
      </c>
      <c r="B57" s="10"/>
      <c r="C57" s="10"/>
      <c r="D57" s="10"/>
      <c r="E57" s="69">
        <f>'Waste Input'!$B$6*'Waste Input'!$B$15/1000*'Waste Input'!B17</f>
        <v>62900</v>
      </c>
      <c r="F57" s="10"/>
      <c r="G57" s="41" t="s">
        <v>610</v>
      </c>
      <c r="H57" s="10"/>
      <c r="I57" s="10"/>
      <c r="J57" s="10"/>
      <c r="K57" s="10"/>
      <c r="L57" s="69">
        <f>'Waste Input'!$B$6*'Waste Input'!$B$15/1000*'Waste Input'!C17</f>
        <v>15300</v>
      </c>
      <c r="M57" s="10"/>
      <c r="N57" s="41" t="s">
        <v>633</v>
      </c>
      <c r="O57" s="10"/>
      <c r="P57" s="10"/>
      <c r="Q57" s="10"/>
      <c r="R57" s="10"/>
      <c r="S57" s="10"/>
      <c r="T57" s="69">
        <f>'Waste Input'!$B$6*'Waste Input'!$B$15/1000*'Waste Input'!$D$17*'Waste Input'!B20</f>
        <v>10710.000000000002</v>
      </c>
      <c r="U57" s="10"/>
      <c r="V57" s="41" t="s">
        <v>655</v>
      </c>
      <c r="W57" s="10"/>
      <c r="X57" s="10"/>
      <c r="Y57" s="10"/>
      <c r="Z57" s="10"/>
      <c r="AA57" s="10"/>
      <c r="AB57" s="69">
        <f>'Waste Input'!$B$6*'Waste Input'!$B$15/1000*'Waste Input'!$D$17*'Waste Input'!C20</f>
        <v>1190.0000000000002</v>
      </c>
      <c r="AC57" s="10"/>
      <c r="AD57" s="41" t="s">
        <v>677</v>
      </c>
      <c r="AE57" s="10"/>
      <c r="AF57" s="10"/>
      <c r="AG57" s="10"/>
      <c r="AH57" s="10"/>
      <c r="AI57" s="10"/>
      <c r="AJ57" s="69">
        <f>'Waste Input'!$B$6*'Waste Input'!$B$15/1000*'Waste Input'!$E$17*'Waste Input'!B23</f>
        <v>8500</v>
      </c>
      <c r="AK57" s="10"/>
      <c r="AL57" s="41" t="s">
        <v>704</v>
      </c>
      <c r="AM57" s="10"/>
      <c r="AN57" s="10"/>
      <c r="AO57" s="10"/>
      <c r="AP57" s="10"/>
      <c r="AQ57" s="10"/>
      <c r="AR57" s="69">
        <f>'Waste Input'!$B$6*'Waste Input'!$B$15/1000*'Waste Input'!$E$17*'Waste Input'!C23</f>
        <v>8500</v>
      </c>
      <c r="AS57" s="10"/>
      <c r="AT57" s="41" t="s">
        <v>731</v>
      </c>
      <c r="AU57" s="10"/>
      <c r="AV57" s="10"/>
      <c r="AW57" s="10"/>
      <c r="AX57" s="10"/>
      <c r="AY57" s="10"/>
      <c r="AZ57" s="69">
        <f>'Waste Input'!$B$6*'Waste Input'!$B$15/1000*'Waste Input'!F17</f>
        <v>3400</v>
      </c>
      <c r="BA57" s="10"/>
      <c r="BB57" s="41" t="s">
        <v>750</v>
      </c>
      <c r="BC57" s="10"/>
      <c r="BD57" s="10"/>
      <c r="BE57" s="10"/>
      <c r="BF57" s="10"/>
      <c r="BG57" s="10"/>
      <c r="BH57" s="69">
        <f>'Waste Input'!$B$6*'Waste Input'!$B$15/1000*'Waste Input'!G17</f>
        <v>32300</v>
      </c>
      <c r="BI57" s="10"/>
      <c r="BJ57" s="41" t="s">
        <v>776</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586</v>
      </c>
      <c r="B58" s="10"/>
      <c r="C58" s="10"/>
      <c r="D58" s="10"/>
      <c r="E58" s="69">
        <f>'Waste Input'!$B$33*'Waste Input'!B35</f>
        <v>2000</v>
      </c>
      <c r="F58" s="10"/>
      <c r="G58" s="10" t="s">
        <v>611</v>
      </c>
      <c r="H58" s="10"/>
      <c r="I58" s="10"/>
      <c r="J58" s="10"/>
      <c r="K58" s="10"/>
      <c r="L58" s="69">
        <f>'Waste Input'!B27/1000*'Waste Input'!$B$8</f>
        <v>1250</v>
      </c>
      <c r="M58" s="10"/>
      <c r="N58" s="10" t="s">
        <v>634</v>
      </c>
      <c r="O58" s="10"/>
      <c r="P58" s="10"/>
      <c r="Q58" s="10"/>
      <c r="R58" s="10"/>
      <c r="S58" s="10"/>
      <c r="T58" s="69">
        <f>'Waste Input'!C27/1000*'Waste Input'!$B$8</f>
        <v>2500</v>
      </c>
      <c r="U58" s="10"/>
      <c r="V58" s="10" t="s">
        <v>656</v>
      </c>
      <c r="W58" s="10"/>
      <c r="X58" s="10"/>
      <c r="Y58" s="10"/>
      <c r="Z58" s="10"/>
      <c r="AA58" s="10"/>
      <c r="AB58" s="69">
        <f>'Waste Input'!D27/1000*'Waste Input'!$B$8</f>
        <v>1250</v>
      </c>
      <c r="AC58" s="10"/>
      <c r="AD58" s="10" t="s">
        <v>678</v>
      </c>
      <c r="AE58" s="10"/>
      <c r="AF58" s="10"/>
      <c r="AG58" s="10"/>
      <c r="AH58" s="10"/>
      <c r="AI58" s="10"/>
      <c r="AJ58" s="69">
        <f>'Waste Input'!E27/1000*'Waste Input'!$B$8</f>
        <v>250</v>
      </c>
      <c r="AK58" s="10"/>
      <c r="AL58" s="10" t="s">
        <v>705</v>
      </c>
      <c r="AM58" s="10"/>
      <c r="AN58" s="10"/>
      <c r="AO58" s="10"/>
      <c r="AP58" s="10"/>
      <c r="AQ58" s="10"/>
      <c r="AR58" s="69">
        <f>'Waste Input'!F27/1000*'Waste Input'!$B$8</f>
        <v>250</v>
      </c>
      <c r="AS58" s="10"/>
      <c r="AT58" s="10" t="s">
        <v>732</v>
      </c>
      <c r="AU58" s="10"/>
      <c r="AV58" s="10"/>
      <c r="AW58" s="10"/>
      <c r="AX58" s="10"/>
      <c r="AY58" s="10"/>
      <c r="AZ58" s="69">
        <f>'Waste Input'!$B$33*'Waste Input'!F35</f>
        <v>500</v>
      </c>
      <c r="BA58" s="10"/>
      <c r="BB58" s="10" t="s">
        <v>751</v>
      </c>
      <c r="BC58" s="10"/>
      <c r="BD58" s="10"/>
      <c r="BE58" s="10"/>
      <c r="BF58" s="10"/>
      <c r="BG58" s="10"/>
      <c r="BH58" s="69">
        <f>'Waste Input'!B30/1000*'Waste Input'!$B$8</f>
        <v>0</v>
      </c>
      <c r="BI58" s="10"/>
      <c r="BJ58" s="10" t="s">
        <v>777</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587</v>
      </c>
      <c r="B59" s="10"/>
      <c r="C59" s="10"/>
      <c r="D59" s="10"/>
      <c r="E59" s="10">
        <f>-'Waste Collection'!$C$11*'Waste Collection'!E33/1000*(1-'Waste Collection'!E34)</f>
        <v>-4275</v>
      </c>
      <c r="F59" s="10"/>
      <c r="G59" s="10" t="s">
        <v>612</v>
      </c>
      <c r="H59" s="10"/>
      <c r="I59" s="10"/>
      <c r="J59" s="10"/>
      <c r="K59" s="10"/>
      <c r="L59" s="69">
        <f>'Waste Input'!$B$33*'Waste Input'!C35</f>
        <v>1000</v>
      </c>
      <c r="M59" s="10"/>
      <c r="N59" s="10" t="s">
        <v>635</v>
      </c>
      <c r="O59" s="10"/>
      <c r="P59" s="10"/>
      <c r="Q59" s="10"/>
      <c r="R59" s="10"/>
      <c r="S59" s="10"/>
      <c r="T59" s="69">
        <f>'Waste Input'!$B$33*'Waste Input'!$D$35*'Waste Input'!B38</f>
        <v>1800</v>
      </c>
      <c r="U59" s="10"/>
      <c r="V59" s="10" t="s">
        <v>657</v>
      </c>
      <c r="W59" s="10"/>
      <c r="X59" s="10"/>
      <c r="Y59" s="10"/>
      <c r="Z59" s="10"/>
      <c r="AA59" s="10"/>
      <c r="AB59" s="69">
        <f>'Waste Input'!$B$33*'Waste Input'!$D$35*'Waste Input'!C38</f>
        <v>200</v>
      </c>
      <c r="AC59" s="10"/>
      <c r="AD59" s="10" t="s">
        <v>679</v>
      </c>
      <c r="AE59" s="10"/>
      <c r="AF59" s="10"/>
      <c r="AG59" s="10"/>
      <c r="AH59" s="10"/>
      <c r="AI59" s="10"/>
      <c r="AJ59" s="69">
        <f>'Waste Input'!$B$33*'Waste Input'!$E$35*'Waste Input'!B41</f>
        <v>500</v>
      </c>
      <c r="AK59" s="10"/>
      <c r="AL59" s="10" t="s">
        <v>706</v>
      </c>
      <c r="AM59" s="10"/>
      <c r="AN59" s="10"/>
      <c r="AO59" s="10"/>
      <c r="AP59" s="10"/>
      <c r="AQ59" s="10"/>
      <c r="AR59" s="69">
        <f>'Waste Input'!$B$33*'Waste Input'!$E$35*'Waste Input'!C41</f>
        <v>500</v>
      </c>
      <c r="AS59" s="10"/>
      <c r="AT59" s="10" t="s">
        <v>733</v>
      </c>
      <c r="AU59" s="10"/>
      <c r="AV59" s="10"/>
      <c r="AW59" s="10"/>
      <c r="AX59" s="10"/>
      <c r="AY59" s="10"/>
      <c r="AZ59" s="69">
        <f>-'Waste Collection'!$C$11*'Waste Collection'!K24/1000*(1-'Waste Collection'!$H$27-'Waste Collection'!$H$28)</f>
        <v>0</v>
      </c>
      <c r="BA59" s="10"/>
      <c r="BB59" s="10" t="s">
        <v>752</v>
      </c>
      <c r="BC59" s="10"/>
      <c r="BD59" s="10"/>
      <c r="BE59" s="10"/>
      <c r="BF59" s="10"/>
      <c r="BG59" s="10"/>
      <c r="BH59" s="69">
        <f>'Waste Input'!$B$33*'Waste Input'!G35</f>
        <v>2500</v>
      </c>
      <c r="BI59" s="10"/>
      <c r="BJ59" s="10" t="s">
        <v>778</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588</v>
      </c>
      <c r="B60" s="10"/>
      <c r="C60" s="10"/>
      <c r="D60" s="10"/>
      <c r="E60" s="10">
        <f>-'Waste Collection'!$C$11*'Waste Collection'!E24/1000*(1-'Waste Collection'!$H$27-'Waste Collection'!$H$28)</f>
        <v>-11875</v>
      </c>
      <c r="F60" s="10"/>
      <c r="G60" s="10" t="s">
        <v>613</v>
      </c>
      <c r="H60" s="10"/>
      <c r="I60" s="10"/>
      <c r="J60" s="10"/>
      <c r="K60" s="10"/>
      <c r="L60" s="10">
        <f>-'Waste Collection'!$C$11*'Waste Collection'!F24/1000*(1-'Waste Collection'!$H$27-'Waste Collection'!$H$28)</f>
        <v>-5937.5</v>
      </c>
      <c r="M60" s="10"/>
      <c r="N60" s="10" t="s">
        <v>636</v>
      </c>
      <c r="O60" s="10"/>
      <c r="P60" s="10"/>
      <c r="Q60" s="10"/>
      <c r="R60" s="10"/>
      <c r="S60" s="10"/>
      <c r="T60" s="10">
        <f>-'Waste Collection'!$C$11*'Waste Collection'!G24/1000*(1-'Waste Collection'!$H$27-'Waste Collection'!$H$28)</f>
        <v>-2375</v>
      </c>
      <c r="U60" s="10"/>
      <c r="V60" s="10" t="s">
        <v>658</v>
      </c>
      <c r="W60" s="10"/>
      <c r="X60" s="10"/>
      <c r="Y60" s="10"/>
      <c r="Z60" s="10"/>
      <c r="AA60" s="10"/>
      <c r="AB60" s="69">
        <f>-'Waste Collection'!$C$11*'Waste Collection'!H24/1000*(1-'Waste Collection'!$H$27-'Waste Collection'!$H$28)</f>
        <v>0</v>
      </c>
      <c r="AC60" s="10"/>
      <c r="AD60" s="10" t="s">
        <v>680</v>
      </c>
      <c r="AE60" s="10"/>
      <c r="AF60" s="10"/>
      <c r="AG60" s="10"/>
      <c r="AH60" s="10"/>
      <c r="AI60" s="10"/>
      <c r="AJ60" s="10">
        <f>-'Waste Input'!$B$8*('Waste Collection'!$E$33+'Waste Collection'!$F$33)/1000*'Waste Collection'!$E$34*'Waste Collection'!E36</f>
        <v>-750</v>
      </c>
      <c r="AK60" s="10"/>
      <c r="AL60" s="10" t="s">
        <v>707</v>
      </c>
      <c r="AM60" s="10"/>
      <c r="AN60" s="10"/>
      <c r="AO60" s="10"/>
      <c r="AP60" s="10"/>
      <c r="AQ60" s="10"/>
      <c r="AR60" s="10">
        <f>-'Waste Input'!$B$8*('Waste Collection'!$E$33+'Waste Collection'!$F$33)/1000*'Waste Collection'!$E$34*'Waste Collection'!E37</f>
        <v>-750</v>
      </c>
      <c r="AS60" s="10"/>
      <c r="AT60" s="10" t="s">
        <v>734</v>
      </c>
      <c r="AU60" s="10"/>
      <c r="AV60" s="10"/>
      <c r="AW60" s="10"/>
      <c r="AX60" s="10"/>
      <c r="AY60" s="10"/>
      <c r="AZ60" s="10" t="s">
        <v>609</v>
      </c>
      <c r="BA60" s="10"/>
      <c r="BB60" s="10" t="s">
        <v>753</v>
      </c>
      <c r="BC60" s="10"/>
      <c r="BD60" s="10"/>
      <c r="BE60" s="10"/>
      <c r="BF60" s="10"/>
      <c r="BG60" s="10"/>
      <c r="BH60" s="69">
        <f>-'Waste Input'!B30/1000*'Waste Input'!$B$8</f>
        <v>0</v>
      </c>
      <c r="BI60" s="10"/>
      <c r="BJ60" s="10" t="s">
        <v>779</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589</v>
      </c>
      <c r="B61" s="10"/>
      <c r="C61" s="10"/>
      <c r="D61" s="10"/>
      <c r="E61" s="10" t="s">
        <v>609</v>
      </c>
      <c r="F61" s="10"/>
      <c r="G61" s="10" t="s">
        <v>614</v>
      </c>
      <c r="H61" s="10"/>
      <c r="I61" s="10"/>
      <c r="J61" s="10"/>
      <c r="K61" s="10"/>
      <c r="L61" s="10" t="s">
        <v>609</v>
      </c>
      <c r="M61" s="10"/>
      <c r="N61" s="10" t="s">
        <v>637</v>
      </c>
      <c r="O61" s="10"/>
      <c r="P61" s="10"/>
      <c r="Q61" s="10"/>
      <c r="R61" s="10"/>
      <c r="S61" s="10"/>
      <c r="T61" s="10" t="s">
        <v>609</v>
      </c>
      <c r="U61" s="10"/>
      <c r="V61" s="10" t="s">
        <v>659</v>
      </c>
      <c r="W61" s="10"/>
      <c r="X61" s="10"/>
      <c r="Y61" s="10"/>
      <c r="Z61" s="10"/>
      <c r="AA61" s="10"/>
      <c r="AB61" s="10" t="s">
        <v>609</v>
      </c>
      <c r="AC61" s="10"/>
      <c r="AD61" s="10" t="s">
        <v>681</v>
      </c>
      <c r="AE61" s="10"/>
      <c r="AF61" s="10"/>
      <c r="AG61" s="10"/>
      <c r="AH61" s="10"/>
      <c r="AI61" s="10"/>
      <c r="AJ61" s="69">
        <f>-'Waste Collection'!$C$11*'Waste Collection'!I24/1000*(1-'Waste Collection'!$H$27-'Waste Collection'!$H$28)</f>
        <v>0</v>
      </c>
      <c r="AK61" s="10"/>
      <c r="AL61" s="10" t="s">
        <v>708</v>
      </c>
      <c r="AM61" s="10"/>
      <c r="AN61" s="10"/>
      <c r="AO61" s="10"/>
      <c r="AP61" s="10"/>
      <c r="AQ61" s="10"/>
      <c r="AR61" s="10">
        <f>-'Waste Collection'!$C$11*'Waste Collection'!J24/1000*(1-'Waste Collection'!$H$27-'Waste Collection'!$H$28)</f>
        <v>-2375</v>
      </c>
      <c r="AS61" s="10"/>
      <c r="AT61" s="10" t="s">
        <v>735</v>
      </c>
      <c r="AU61" s="10"/>
      <c r="AV61" s="10"/>
      <c r="AW61" s="10"/>
      <c r="AX61" s="10"/>
      <c r="AY61" s="10"/>
      <c r="AZ61" s="10" t="s">
        <v>609</v>
      </c>
      <c r="BA61" s="10"/>
      <c r="BB61" s="10" t="s">
        <v>754</v>
      </c>
      <c r="BC61" s="10"/>
      <c r="BD61" s="10"/>
      <c r="BE61" s="10"/>
      <c r="BF61" s="10"/>
      <c r="BG61" s="10"/>
      <c r="BH61" s="10">
        <f>-'Waste Collection'!$C$11*'Waste Collection'!F33/1000*(1-'Waste Collection'!E34)</f>
        <v>-24225</v>
      </c>
      <c r="BI61" s="10"/>
      <c r="BJ61" s="10" t="s">
        <v>780</v>
      </c>
      <c r="BK61" s="10"/>
      <c r="BL61" s="10"/>
      <c r="BM61" s="10"/>
      <c r="BN61" s="10"/>
      <c r="BO61" s="10" t="s">
        <v>609</v>
      </c>
      <c r="BP61" s="10"/>
      <c r="BQ61" s="10"/>
      <c r="BR61" s="10"/>
      <c r="BS61" s="10"/>
      <c r="BT61" s="10"/>
      <c r="BU61" s="10"/>
      <c r="BV61" s="10"/>
      <c r="BW61" s="10"/>
      <c r="BX61" s="10"/>
      <c r="BY61" s="10"/>
      <c r="BZ61" s="10"/>
      <c r="CA61" s="10"/>
      <c r="CB61" s="10"/>
      <c r="CC61" s="11"/>
    </row>
    <row r="62" spans="1:81">
      <c r="A62" s="9" t="s">
        <v>590</v>
      </c>
      <c r="B62" s="10"/>
      <c r="C62" s="10"/>
      <c r="D62" s="10"/>
      <c r="E62" s="10" t="s">
        <v>609</v>
      </c>
      <c r="F62" s="10"/>
      <c r="G62" s="10" t="s">
        <v>615</v>
      </c>
      <c r="H62" s="10"/>
      <c r="I62" s="10"/>
      <c r="J62" s="10"/>
      <c r="K62" s="10"/>
      <c r="L62" s="10" t="s">
        <v>609</v>
      </c>
      <c r="M62" s="10"/>
      <c r="N62" s="10" t="s">
        <v>638</v>
      </c>
      <c r="O62" s="10"/>
      <c r="P62" s="10"/>
      <c r="Q62" s="10"/>
      <c r="R62" s="10"/>
      <c r="S62" s="10"/>
      <c r="T62" s="10" t="s">
        <v>609</v>
      </c>
      <c r="U62" s="10"/>
      <c r="V62" s="10" t="s">
        <v>660</v>
      </c>
      <c r="W62" s="10"/>
      <c r="X62" s="10"/>
      <c r="Y62" s="10"/>
      <c r="Z62" s="10"/>
      <c r="AA62" s="10"/>
      <c r="AB62" s="10" t="s">
        <v>609</v>
      </c>
      <c r="AC62" s="10"/>
      <c r="AD62" s="10" t="s">
        <v>682</v>
      </c>
      <c r="AE62" s="10"/>
      <c r="AF62" s="10"/>
      <c r="AG62" s="10"/>
      <c r="AH62" s="10"/>
      <c r="AI62" s="10"/>
      <c r="AJ62" s="10" t="s">
        <v>609</v>
      </c>
      <c r="AK62" s="10"/>
      <c r="AL62" s="10" t="s">
        <v>709</v>
      </c>
      <c r="AM62" s="10"/>
      <c r="AN62" s="10"/>
      <c r="AO62" s="10"/>
      <c r="AP62" s="10"/>
      <c r="AQ62" s="10"/>
      <c r="AR62" s="10" t="s">
        <v>609</v>
      </c>
      <c r="AS62" s="10"/>
      <c r="AT62" s="10" t="s">
        <v>736</v>
      </c>
      <c r="AU62" s="10"/>
      <c r="AV62" s="10"/>
      <c r="AW62" s="10"/>
      <c r="AX62" s="10"/>
      <c r="AY62" s="10"/>
      <c r="AZ62" s="10" t="s">
        <v>609</v>
      </c>
      <c r="BA62" s="10"/>
      <c r="BB62" s="10" t="s">
        <v>755</v>
      </c>
      <c r="BC62" s="10"/>
      <c r="BD62" s="10"/>
      <c r="BE62" s="10"/>
      <c r="BF62" s="10"/>
      <c r="BG62" s="10"/>
      <c r="BH62" s="10">
        <f>-'Waste Collection'!$C$11*'Waste Collection'!L24/1000*'Waste Collection'!$H$27</f>
        <v>-593.75</v>
      </c>
      <c r="BI62" s="10"/>
      <c r="BJ62" s="10" t="s">
        <v>781</v>
      </c>
      <c r="BK62" s="10"/>
      <c r="BL62" s="10"/>
      <c r="BM62" s="10"/>
      <c r="BN62" s="10"/>
      <c r="BO62" s="10" t="s">
        <v>609</v>
      </c>
      <c r="BP62" s="10"/>
      <c r="BQ62" s="10"/>
      <c r="BR62" s="10"/>
      <c r="BS62" s="10"/>
      <c r="BT62" s="10"/>
      <c r="BU62" s="10"/>
      <c r="BV62" s="10"/>
      <c r="BW62" s="10"/>
      <c r="BX62" s="10"/>
      <c r="BY62" s="10"/>
      <c r="BZ62" s="10"/>
      <c r="CA62" s="10"/>
      <c r="CB62" s="10"/>
      <c r="CC62" s="11"/>
    </row>
    <row r="63" spans="1:81">
      <c r="A63" s="9" t="s">
        <v>591</v>
      </c>
      <c r="B63" s="10"/>
      <c r="C63" s="10"/>
      <c r="D63" s="10"/>
      <c r="E63" s="10" t="s">
        <v>609</v>
      </c>
      <c r="F63" s="10"/>
      <c r="G63" s="10" t="s">
        <v>616</v>
      </c>
      <c r="H63" s="10"/>
      <c r="I63" s="10"/>
      <c r="J63" s="10"/>
      <c r="K63" s="10"/>
      <c r="L63" s="10" t="s">
        <v>609</v>
      </c>
      <c r="M63" s="10"/>
      <c r="N63" s="10" t="s">
        <v>639</v>
      </c>
      <c r="O63" s="10"/>
      <c r="P63" s="10"/>
      <c r="Q63" s="10"/>
      <c r="R63" s="10"/>
      <c r="S63" s="10"/>
      <c r="T63" s="10" t="s">
        <v>609</v>
      </c>
      <c r="U63" s="10"/>
      <c r="V63" s="10" t="s">
        <v>661</v>
      </c>
      <c r="W63" s="10"/>
      <c r="X63" s="10"/>
      <c r="Y63" s="10"/>
      <c r="Z63" s="10"/>
      <c r="AA63" s="10"/>
      <c r="AB63" s="10" t="s">
        <v>609</v>
      </c>
      <c r="AC63" s="10"/>
      <c r="AD63" s="10" t="s">
        <v>683</v>
      </c>
      <c r="AE63" s="10"/>
      <c r="AF63" s="10"/>
      <c r="AG63" s="10"/>
      <c r="AH63" s="10"/>
      <c r="AI63" s="10"/>
      <c r="AJ63" s="10" t="s">
        <v>609</v>
      </c>
      <c r="AK63" s="10"/>
      <c r="AL63" s="10" t="s">
        <v>710</v>
      </c>
      <c r="AM63" s="10"/>
      <c r="AN63" s="10"/>
      <c r="AO63" s="10"/>
      <c r="AP63" s="10"/>
      <c r="AQ63" s="10"/>
      <c r="AR63" s="10" t="s">
        <v>609</v>
      </c>
      <c r="AS63" s="10"/>
      <c r="AT63" s="10" t="s">
        <v>737</v>
      </c>
      <c r="AU63" s="10"/>
      <c r="AV63" s="10"/>
      <c r="AW63" s="10"/>
      <c r="AX63" s="10"/>
      <c r="AY63" s="10"/>
      <c r="AZ63" s="69">
        <f>-'Waste Collection'!$G$11*'Waste Collection'!K48/1000</f>
        <v>0</v>
      </c>
      <c r="BA63" s="10"/>
      <c r="BB63" s="10" t="s">
        <v>756</v>
      </c>
      <c r="BC63" s="10"/>
      <c r="BD63" s="10"/>
      <c r="BE63" s="10"/>
      <c r="BF63" s="10"/>
      <c r="BG63" s="10"/>
      <c r="BH63" s="10" t="s">
        <v>609</v>
      </c>
      <c r="BI63" s="10"/>
      <c r="BJ63" s="10" t="s">
        <v>782</v>
      </c>
      <c r="BK63" s="10"/>
      <c r="BL63" s="10"/>
      <c r="BM63" s="10"/>
      <c r="BN63" s="10"/>
      <c r="BO63" s="10" t="s">
        <v>609</v>
      </c>
      <c r="BP63" s="10"/>
      <c r="BQ63" s="10"/>
      <c r="BR63" s="10"/>
      <c r="BS63" s="10"/>
      <c r="BT63" s="10"/>
      <c r="BU63" s="10"/>
      <c r="BV63" s="10"/>
      <c r="BW63" s="10"/>
      <c r="BX63" s="10"/>
      <c r="BY63" s="10"/>
      <c r="BZ63" s="10"/>
      <c r="CA63" s="10"/>
      <c r="CB63" s="10"/>
      <c r="CC63" s="11"/>
    </row>
    <row r="64" spans="1:81">
      <c r="A64" s="9" t="s">
        <v>592</v>
      </c>
      <c r="B64" s="10"/>
      <c r="C64" s="10"/>
      <c r="D64" s="10"/>
      <c r="E64" s="10" t="s">
        <v>609</v>
      </c>
      <c r="F64" s="10"/>
      <c r="G64" s="10" t="s">
        <v>617</v>
      </c>
      <c r="H64" s="10"/>
      <c r="I64" s="10"/>
      <c r="J64" s="10"/>
      <c r="K64" s="10"/>
      <c r="L64" s="10">
        <f>-'Waste Collection'!$G$11*'Waste Collection'!F48/1000</f>
        <v>-6250</v>
      </c>
      <c r="M64" s="10"/>
      <c r="N64" s="10" t="s">
        <v>640</v>
      </c>
      <c r="O64" s="10"/>
      <c r="P64" s="10"/>
      <c r="Q64" s="10"/>
      <c r="R64" s="10"/>
      <c r="S64" s="10"/>
      <c r="T64" s="10">
        <f>-'Waste Collection'!$G$11*'Waste Collection'!G48/1000</f>
        <v>-5000</v>
      </c>
      <c r="U64" s="10"/>
      <c r="V64" s="10" t="s">
        <v>662</v>
      </c>
      <c r="W64" s="10"/>
      <c r="X64" s="10"/>
      <c r="Y64" s="10"/>
      <c r="Z64" s="10"/>
      <c r="AA64" s="10"/>
      <c r="AB64" s="10">
        <f>-'Waste Collection'!$G$11*'Waste Collection'!H48/1000</f>
        <v>-1000</v>
      </c>
      <c r="AC64" s="10"/>
      <c r="AD64" s="10" t="s">
        <v>684</v>
      </c>
      <c r="AE64" s="10"/>
      <c r="AF64" s="10"/>
      <c r="AG64" s="10"/>
      <c r="AH64" s="10"/>
      <c r="AI64" s="10"/>
      <c r="AJ64" s="10" t="s">
        <v>609</v>
      </c>
      <c r="AK64" s="10"/>
      <c r="AL64" s="10" t="s">
        <v>711</v>
      </c>
      <c r="AM64" s="10"/>
      <c r="AN64" s="10"/>
      <c r="AO64" s="10"/>
      <c r="AP64" s="10"/>
      <c r="AQ64" s="10"/>
      <c r="AR64" s="10" t="s">
        <v>609</v>
      </c>
      <c r="AS64" s="10"/>
      <c r="AT64" s="10" t="s">
        <v>738</v>
      </c>
      <c r="AU64" s="10"/>
      <c r="AV64" s="10"/>
      <c r="AW64" s="10"/>
      <c r="AX64" s="10"/>
      <c r="AY64" s="10"/>
      <c r="AZ64" s="69">
        <f>-'Waste Collection'!$G$11*'Waste Collection'!K61/1000*(1-'Waste Collection'!$D$56-'Waste Collection'!$D$57)</f>
        <v>0</v>
      </c>
      <c r="BA64" s="10"/>
      <c r="BB64" s="10" t="s">
        <v>757</v>
      </c>
      <c r="BC64" s="10"/>
      <c r="BD64" s="10"/>
      <c r="BE64" s="10"/>
      <c r="BF64" s="10"/>
      <c r="BG64" s="10"/>
      <c r="BH64" s="10" t="s">
        <v>609</v>
      </c>
      <c r="BI64" s="10"/>
      <c r="BJ64" s="10" t="s">
        <v>783</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593</v>
      </c>
      <c r="B65" s="10"/>
      <c r="C65" s="10"/>
      <c r="D65" s="10"/>
      <c r="E65" s="10" t="s">
        <v>609</v>
      </c>
      <c r="F65" s="10"/>
      <c r="G65" s="10" t="s">
        <v>618</v>
      </c>
      <c r="H65" s="10"/>
      <c r="I65" s="10"/>
      <c r="J65" s="10"/>
      <c r="K65" s="10"/>
      <c r="L65" s="69">
        <f>-'Waste Collection'!$G$11*'Waste Collection'!F61/1000*(1-'Waste Collection'!$D$56-'Waste Collection'!$D$57)</f>
        <v>0</v>
      </c>
      <c r="M65" s="10"/>
      <c r="N65" s="10" t="s">
        <v>641</v>
      </c>
      <c r="O65" s="10"/>
      <c r="P65" s="10"/>
      <c r="Q65" s="10"/>
      <c r="R65" s="10"/>
      <c r="S65" s="10"/>
      <c r="T65" s="69">
        <f>-'Waste Collection'!$G$11*'Waste Collection'!G61/1000*(1-'Waste Collection'!$D$56-'Waste Collection'!$D$57)</f>
        <v>0</v>
      </c>
      <c r="U65" s="10"/>
      <c r="V65" s="10" t="s">
        <v>663</v>
      </c>
      <c r="W65" s="10"/>
      <c r="X65" s="10"/>
      <c r="Y65" s="10"/>
      <c r="Z65" s="10"/>
      <c r="AA65" s="10"/>
      <c r="AB65" s="69">
        <f>-'Waste Collection'!$G$11*'Waste Collection'!H61/1000*(1-'Waste Collection'!$D$56-'Waste Collection'!$D$57)</f>
        <v>0</v>
      </c>
      <c r="AC65" s="10"/>
      <c r="AD65" s="10" t="s">
        <v>685</v>
      </c>
      <c r="AE65" s="10"/>
      <c r="AF65" s="10"/>
      <c r="AG65" s="10"/>
      <c r="AH65" s="10"/>
      <c r="AI65" s="10"/>
      <c r="AJ65" s="10" t="s">
        <v>609</v>
      </c>
      <c r="AK65" s="10"/>
      <c r="AL65" s="10" t="s">
        <v>712</v>
      </c>
      <c r="AM65" s="10"/>
      <c r="AN65" s="10"/>
      <c r="AO65" s="10"/>
      <c r="AP65" s="10"/>
      <c r="AQ65" s="10"/>
      <c r="AR65" s="10" t="s">
        <v>609</v>
      </c>
      <c r="AS65" s="10"/>
      <c r="AT65" s="10" t="s">
        <v>739</v>
      </c>
      <c r="AU65" s="10"/>
      <c r="AV65" s="10"/>
      <c r="AW65" s="10"/>
      <c r="AX65" s="10"/>
      <c r="AY65" s="10"/>
      <c r="AZ65" s="10" t="s">
        <v>609</v>
      </c>
      <c r="BA65" s="10"/>
      <c r="BB65" s="10" t="s">
        <v>758</v>
      </c>
      <c r="BC65" s="10"/>
      <c r="BD65" s="10"/>
      <c r="BE65" s="10"/>
      <c r="BF65" s="10"/>
      <c r="BG65" s="10"/>
      <c r="BH65" s="10" t="s">
        <v>609</v>
      </c>
      <c r="BI65" s="10"/>
      <c r="BJ65" s="10" t="s">
        <v>784</v>
      </c>
      <c r="BK65" s="10"/>
      <c r="BL65" s="10"/>
      <c r="BM65" s="10"/>
      <c r="BN65" s="10"/>
      <c r="BO65" s="10" t="s">
        <v>609</v>
      </c>
      <c r="BP65" s="10"/>
      <c r="BQ65" s="10"/>
      <c r="BR65" s="10"/>
      <c r="BS65" s="10"/>
      <c r="BT65" s="10"/>
      <c r="BU65" s="10"/>
      <c r="BV65" s="10"/>
      <c r="BW65" s="10"/>
      <c r="BX65" s="10"/>
      <c r="BY65" s="10"/>
      <c r="BZ65" s="10"/>
      <c r="CA65" s="10"/>
      <c r="CB65" s="10"/>
      <c r="CC65" s="11"/>
    </row>
    <row r="66" spans="1:81">
      <c r="A66" s="9" t="s">
        <v>594</v>
      </c>
      <c r="B66" s="10"/>
      <c r="C66" s="10"/>
      <c r="D66" s="10"/>
      <c r="E66" s="10" t="s">
        <v>609</v>
      </c>
      <c r="F66" s="10"/>
      <c r="G66" s="10" t="s">
        <v>619</v>
      </c>
      <c r="H66" s="10"/>
      <c r="I66" s="10"/>
      <c r="J66" s="10"/>
      <c r="K66" s="10"/>
      <c r="L66" s="10" t="s">
        <v>609</v>
      </c>
      <c r="M66" s="10"/>
      <c r="N66" s="10" t="s">
        <v>642</v>
      </c>
      <c r="O66" s="10"/>
      <c r="P66" s="10"/>
      <c r="Q66" s="10"/>
      <c r="R66" s="10"/>
      <c r="S66" s="10"/>
      <c r="T66" s="10" t="s">
        <v>609</v>
      </c>
      <c r="U66" s="10"/>
      <c r="V66" s="10" t="s">
        <v>664</v>
      </c>
      <c r="W66" s="10"/>
      <c r="X66" s="10"/>
      <c r="Y66" s="10"/>
      <c r="Z66" s="10"/>
      <c r="AA66" s="10"/>
      <c r="AB66" s="10" t="s">
        <v>609</v>
      </c>
      <c r="AC66" s="10"/>
      <c r="AD66" s="10" t="s">
        <v>686</v>
      </c>
      <c r="AE66" s="10"/>
      <c r="AF66" s="10"/>
      <c r="AG66" s="10"/>
      <c r="AH66" s="10"/>
      <c r="AI66" s="10"/>
      <c r="AJ66" s="10" t="s">
        <v>609</v>
      </c>
      <c r="AK66" s="10"/>
      <c r="AL66" s="10" t="s">
        <v>713</v>
      </c>
      <c r="AM66" s="10"/>
      <c r="AN66" s="10"/>
      <c r="AO66" s="10"/>
      <c r="AP66" s="10"/>
      <c r="AQ66" s="10"/>
      <c r="AR66" s="10" t="s">
        <v>609</v>
      </c>
      <c r="AS66" s="10"/>
      <c r="AT66" s="10" t="s">
        <v>740</v>
      </c>
      <c r="AU66" s="10"/>
      <c r="AV66" s="10"/>
      <c r="AW66" s="10"/>
      <c r="AX66" s="10"/>
      <c r="AY66" s="10"/>
      <c r="AZ66" s="10" t="s">
        <v>609</v>
      </c>
      <c r="BA66" s="10"/>
      <c r="BB66" s="10" t="s">
        <v>759</v>
      </c>
      <c r="BC66" s="10"/>
      <c r="BD66" s="10"/>
      <c r="BE66" s="10"/>
      <c r="BF66" s="10"/>
      <c r="BG66" s="10"/>
      <c r="BH66" s="10" t="s">
        <v>609</v>
      </c>
      <c r="BI66" s="10"/>
      <c r="BJ66" s="10" t="s">
        <v>785</v>
      </c>
      <c r="BK66" s="10"/>
      <c r="BL66" s="10"/>
      <c r="BM66" s="10"/>
      <c r="BN66" s="10"/>
      <c r="BO66" s="10" t="s">
        <v>609</v>
      </c>
      <c r="BP66" s="10"/>
      <c r="BQ66" s="10"/>
      <c r="BR66" s="10"/>
      <c r="BS66" s="10"/>
      <c r="BT66" s="10"/>
      <c r="BU66" s="10"/>
      <c r="BV66" s="10"/>
      <c r="BW66" s="10"/>
      <c r="BX66" s="10"/>
      <c r="BY66" s="10"/>
      <c r="BZ66" s="10"/>
      <c r="CA66" s="10"/>
      <c r="CB66" s="10"/>
      <c r="CC66" s="11"/>
    </row>
    <row r="67" spans="1:81">
      <c r="A67" s="9" t="s">
        <v>595</v>
      </c>
      <c r="B67" s="10"/>
      <c r="C67" s="10"/>
      <c r="D67" s="10"/>
      <c r="E67" s="10">
        <f>-'Waste Collection'!$G$11*'Waste Collection'!E48/1000</f>
        <v>-6250</v>
      </c>
      <c r="F67" s="10"/>
      <c r="G67" s="10" t="s">
        <v>620</v>
      </c>
      <c r="H67" s="10"/>
      <c r="I67" s="10"/>
      <c r="J67" s="10"/>
      <c r="K67" s="10"/>
      <c r="L67" s="10" t="s">
        <v>609</v>
      </c>
      <c r="M67" s="10"/>
      <c r="N67" s="10" t="s">
        <v>643</v>
      </c>
      <c r="O67" s="10"/>
      <c r="P67" s="10"/>
      <c r="Q67" s="10"/>
      <c r="R67" s="10"/>
      <c r="S67" s="10"/>
      <c r="T67" s="10" t="s">
        <v>609</v>
      </c>
      <c r="U67" s="10"/>
      <c r="V67" s="10" t="s">
        <v>665</v>
      </c>
      <c r="W67" s="10"/>
      <c r="X67" s="10"/>
      <c r="Y67" s="10"/>
      <c r="Z67" s="10"/>
      <c r="AA67" s="10"/>
      <c r="AB67" s="10" t="s">
        <v>609</v>
      </c>
      <c r="AC67" s="10"/>
      <c r="AD67" s="10" t="s">
        <v>687</v>
      </c>
      <c r="AE67" s="10"/>
      <c r="AF67" s="10"/>
      <c r="AG67" s="10"/>
      <c r="AH67" s="10"/>
      <c r="AI67" s="10"/>
      <c r="AJ67" s="10" t="s">
        <v>609</v>
      </c>
      <c r="AK67" s="10"/>
      <c r="AL67" s="10" t="s">
        <v>714</v>
      </c>
      <c r="AM67" s="10"/>
      <c r="AN67" s="10"/>
      <c r="AO67" s="10"/>
      <c r="AP67" s="10"/>
      <c r="AQ67" s="10"/>
      <c r="AR67" s="10" t="s">
        <v>609</v>
      </c>
      <c r="AS67" s="10"/>
      <c r="AT67" s="10" t="s">
        <v>741</v>
      </c>
      <c r="AU67" s="10"/>
      <c r="AV67" s="10"/>
      <c r="AW67" s="10"/>
      <c r="AX67" s="10"/>
      <c r="AY67" s="10"/>
      <c r="AZ67" s="10" t="s">
        <v>609</v>
      </c>
      <c r="BA67" s="10"/>
      <c r="BB67" s="10" t="s">
        <v>760</v>
      </c>
      <c r="BC67" s="10"/>
      <c r="BD67" s="10"/>
      <c r="BE67" s="10"/>
      <c r="BF67" s="10"/>
      <c r="BG67" s="10"/>
      <c r="BH67" s="10" t="s">
        <v>609</v>
      </c>
      <c r="BI67" s="10"/>
      <c r="BJ67" s="10" t="s">
        <v>786</v>
      </c>
      <c r="BK67" s="10"/>
      <c r="BL67" s="10"/>
      <c r="BM67" s="10"/>
      <c r="BN67" s="10"/>
      <c r="BO67" s="10" t="s">
        <v>609</v>
      </c>
      <c r="BP67" s="10"/>
      <c r="BQ67" s="10"/>
      <c r="BR67" s="10"/>
      <c r="BS67" s="10"/>
      <c r="BT67" s="10"/>
      <c r="BU67" s="10"/>
      <c r="BV67" s="10"/>
      <c r="BW67" s="10"/>
      <c r="BX67" s="10"/>
      <c r="BY67" s="10"/>
      <c r="BZ67" s="10"/>
      <c r="CA67" s="10"/>
      <c r="CB67" s="10"/>
      <c r="CC67" s="11"/>
    </row>
    <row r="68" spans="1:81">
      <c r="A68" s="9" t="s">
        <v>596</v>
      </c>
      <c r="B68" s="10"/>
      <c r="C68" s="10"/>
      <c r="D68" s="10"/>
      <c r="E68" s="69">
        <f>-'Waste Collection'!$G$11*'Waste Collection'!E61/1000*(1-'Waste Collection'!$D$56-'Waste Collection'!$D$57)</f>
        <v>0</v>
      </c>
      <c r="F68" s="10"/>
      <c r="G68" s="10" t="s">
        <v>621</v>
      </c>
      <c r="H68" s="10"/>
      <c r="I68" s="10"/>
      <c r="J68" s="10"/>
      <c r="K68" s="10"/>
      <c r="L68" s="10" t="s">
        <v>609</v>
      </c>
      <c r="M68" s="10"/>
      <c r="N68" s="10" t="s">
        <v>644</v>
      </c>
      <c r="O68" s="10"/>
      <c r="P68" s="10"/>
      <c r="Q68" s="10"/>
      <c r="R68" s="10"/>
      <c r="S68" s="10"/>
      <c r="T68" s="10" t="s">
        <v>609</v>
      </c>
      <c r="U68" s="10"/>
      <c r="V68" s="10" t="s">
        <v>666</v>
      </c>
      <c r="W68" s="10"/>
      <c r="X68" s="10"/>
      <c r="Y68" s="10"/>
      <c r="Z68" s="10"/>
      <c r="AA68" s="10"/>
      <c r="AB68" s="10" t="s">
        <v>609</v>
      </c>
      <c r="AC68" s="10"/>
      <c r="AD68" s="10" t="s">
        <v>688</v>
      </c>
      <c r="AE68" s="10"/>
      <c r="AF68" s="10"/>
      <c r="AG68" s="10"/>
      <c r="AH68" s="10"/>
      <c r="AI68" s="10"/>
      <c r="AJ68" s="10">
        <f>-'Waste Collection'!$G$11*'Waste Collection'!I48/1000</f>
        <v>-250</v>
      </c>
      <c r="AK68" s="10"/>
      <c r="AL68" s="10" t="s">
        <v>715</v>
      </c>
      <c r="AM68" s="10"/>
      <c r="AN68" s="10"/>
      <c r="AO68" s="10"/>
      <c r="AP68" s="10"/>
      <c r="AQ68" s="10"/>
      <c r="AR68" s="10">
        <f>-'Waste Collection'!$G$11*'Waste Collection'!J48/1000</f>
        <v>-5000</v>
      </c>
      <c r="AS68" s="10"/>
      <c r="AT68" s="10" t="s">
        <v>742</v>
      </c>
      <c r="AU68" s="10"/>
      <c r="AV68" s="10"/>
      <c r="AW68" s="10"/>
      <c r="AX68" s="10"/>
      <c r="AY68" s="10"/>
      <c r="AZ68" s="10" t="s">
        <v>609</v>
      </c>
      <c r="BA68" s="10"/>
      <c r="BB68" s="10" t="s">
        <v>761</v>
      </c>
      <c r="BC68" s="10"/>
      <c r="BD68" s="10"/>
      <c r="BE68" s="10"/>
      <c r="BF68" s="10"/>
      <c r="BG68" s="10"/>
      <c r="BH68" s="10" t="s">
        <v>609</v>
      </c>
      <c r="BI68" s="10"/>
      <c r="BJ68" s="10" t="s">
        <v>787</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597</v>
      </c>
      <c r="B69" s="10"/>
      <c r="C69" s="10"/>
      <c r="D69" s="10"/>
      <c r="E69" s="10" t="s">
        <v>609</v>
      </c>
      <c r="F69" s="10"/>
      <c r="G69" s="10" t="s">
        <v>622</v>
      </c>
      <c r="H69" s="10"/>
      <c r="I69" s="10"/>
      <c r="J69" s="10"/>
      <c r="K69" s="10"/>
      <c r="L69" s="10" t="s">
        <v>609</v>
      </c>
      <c r="M69" s="10"/>
      <c r="N69" s="10" t="s">
        <v>645</v>
      </c>
      <c r="O69" s="10"/>
      <c r="P69" s="10"/>
      <c r="Q69" s="10"/>
      <c r="R69" s="10"/>
      <c r="S69" s="10"/>
      <c r="T69" s="10" t="s">
        <v>609</v>
      </c>
      <c r="U69" s="10"/>
      <c r="V69" s="10" t="s">
        <v>667</v>
      </c>
      <c r="W69" s="10"/>
      <c r="X69" s="10"/>
      <c r="Y69" s="10"/>
      <c r="Z69" s="10"/>
      <c r="AA69" s="10"/>
      <c r="AB69" s="10" t="s">
        <v>609</v>
      </c>
      <c r="AC69" s="10"/>
      <c r="AD69" s="10" t="s">
        <v>689</v>
      </c>
      <c r="AE69" s="10"/>
      <c r="AF69" s="10"/>
      <c r="AG69" s="10"/>
      <c r="AH69" s="10"/>
      <c r="AI69" s="10"/>
      <c r="AJ69" s="69">
        <f>-'Waste Collection'!$G$11*'Waste Collection'!I61/1000*(1-'Waste Collection'!$D$56-'Waste Collection'!$D$57)</f>
        <v>0</v>
      </c>
      <c r="AK69" s="10"/>
      <c r="AL69" s="10" t="s">
        <v>716</v>
      </c>
      <c r="AM69" s="10"/>
      <c r="AN69" s="10"/>
      <c r="AO69" s="10"/>
      <c r="AP69" s="10"/>
      <c r="AQ69" s="10"/>
      <c r="AR69" s="69">
        <f>-'Waste Collection'!$G$11*'Waste Collection'!J61/1000*(1-'Waste Collection'!$D$56-'Waste Collection'!$D$57)</f>
        <v>0</v>
      </c>
      <c r="AS69" s="10"/>
      <c r="AT69" s="10" t="s">
        <v>743</v>
      </c>
      <c r="AU69" s="10"/>
      <c r="AV69" s="10"/>
      <c r="AW69" s="10"/>
      <c r="AX69" s="10"/>
      <c r="AY69" s="10"/>
      <c r="AZ69" s="10" t="s">
        <v>609</v>
      </c>
      <c r="BA69" s="10"/>
      <c r="BB69" s="10" t="s">
        <v>762</v>
      </c>
      <c r="BC69" s="10"/>
      <c r="BD69" s="10"/>
      <c r="BE69" s="10"/>
      <c r="BF69" s="10"/>
      <c r="BG69" s="10"/>
      <c r="BH69" s="69">
        <f>-'Waste Collection'!$G$11*'Waste Collection'!L48/1000</f>
        <v>0</v>
      </c>
      <c r="BI69" s="10"/>
      <c r="BJ69" s="10" t="s">
        <v>788</v>
      </c>
      <c r="BK69" s="10"/>
      <c r="BL69" s="10"/>
      <c r="BM69" s="10"/>
      <c r="BN69" s="10"/>
      <c r="BO69" s="10" t="s">
        <v>513</v>
      </c>
      <c r="BP69" s="10"/>
      <c r="BQ69" s="10"/>
      <c r="BR69" s="10"/>
      <c r="BS69" s="10"/>
      <c r="BT69" s="10"/>
      <c r="BU69" s="10"/>
      <c r="BV69" s="10"/>
      <c r="BW69" s="10"/>
      <c r="BX69" s="10"/>
      <c r="BY69" s="10"/>
      <c r="BZ69" s="10"/>
      <c r="CA69" s="10"/>
      <c r="CB69" s="10"/>
      <c r="CC69" s="11"/>
    </row>
    <row r="70" spans="1:81">
      <c r="A70" s="9" t="s">
        <v>598</v>
      </c>
      <c r="B70" s="10"/>
      <c r="C70" s="10"/>
      <c r="D70" s="10"/>
      <c r="E70" s="10" t="s">
        <v>609</v>
      </c>
      <c r="F70" s="10"/>
      <c r="G70" s="10" t="s">
        <v>623</v>
      </c>
      <c r="H70" s="10"/>
      <c r="I70" s="10"/>
      <c r="J70" s="10"/>
      <c r="K70" s="10"/>
      <c r="L70" s="10" t="s">
        <v>609</v>
      </c>
      <c r="M70" s="10"/>
      <c r="N70" s="10" t="s">
        <v>646</v>
      </c>
      <c r="O70" s="10"/>
      <c r="P70" s="10"/>
      <c r="Q70" s="10"/>
      <c r="R70" s="10"/>
      <c r="S70" s="10"/>
      <c r="T70" s="10" t="s">
        <v>609</v>
      </c>
      <c r="U70" s="10"/>
      <c r="V70" s="10" t="s">
        <v>668</v>
      </c>
      <c r="W70" s="10"/>
      <c r="X70" s="10"/>
      <c r="Y70" s="10"/>
      <c r="Z70" s="10"/>
      <c r="AA70" s="10"/>
      <c r="AB70" s="10" t="s">
        <v>609</v>
      </c>
      <c r="AC70" s="10"/>
      <c r="AD70" s="10" t="s">
        <v>690</v>
      </c>
      <c r="AE70" s="10"/>
      <c r="AF70" s="10"/>
      <c r="AG70" s="10"/>
      <c r="AH70" s="10"/>
      <c r="AI70" s="10"/>
      <c r="AJ70" s="10" t="s">
        <v>609</v>
      </c>
      <c r="AK70" s="10"/>
      <c r="AL70" s="10" t="s">
        <v>717</v>
      </c>
      <c r="AM70" s="10"/>
      <c r="AN70" s="10"/>
      <c r="AO70" s="10"/>
      <c r="AP70" s="10"/>
      <c r="AQ70" s="10"/>
      <c r="AR70" s="10" t="s">
        <v>609</v>
      </c>
      <c r="AS70" s="10"/>
      <c r="AT70" s="10" t="s">
        <v>744</v>
      </c>
      <c r="AU70" s="10"/>
      <c r="AV70" s="10"/>
      <c r="AW70" s="10"/>
      <c r="AX70" s="10"/>
      <c r="AY70" s="10"/>
      <c r="AZ70" s="10" t="s">
        <v>609</v>
      </c>
      <c r="BA70" s="10"/>
      <c r="BB70" s="10" t="s">
        <v>763</v>
      </c>
      <c r="BC70" s="10"/>
      <c r="BD70" s="10"/>
      <c r="BE70" s="10"/>
      <c r="BF70" s="10"/>
      <c r="BG70" s="10"/>
      <c r="BH70" s="69">
        <f>-'Waste Collection'!$G$11*'Waste Collection'!L61/1000*'Waste Collection'!$D$56</f>
        <v>0</v>
      </c>
      <c r="BI70" s="10"/>
      <c r="BJ70" s="10" t="s">
        <v>789</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599</v>
      </c>
      <c r="B71" s="10"/>
      <c r="C71" s="10"/>
      <c r="D71" s="10"/>
      <c r="E71" s="10" t="s">
        <v>609</v>
      </c>
      <c r="F71" s="10"/>
      <c r="G71" s="10" t="s">
        <v>624</v>
      </c>
      <c r="H71" s="10"/>
      <c r="I71" s="10"/>
      <c r="J71" s="10"/>
      <c r="K71" s="10"/>
      <c r="L71" s="10" t="s">
        <v>609</v>
      </c>
      <c r="M71" s="10"/>
      <c r="N71" s="10" t="s">
        <v>647</v>
      </c>
      <c r="O71" s="10"/>
      <c r="P71" s="10"/>
      <c r="Q71" s="10"/>
      <c r="R71" s="10"/>
      <c r="S71" s="10"/>
      <c r="T71" s="10" t="s">
        <v>609</v>
      </c>
      <c r="U71" s="10"/>
      <c r="V71" s="10" t="s">
        <v>669</v>
      </c>
      <c r="W71" s="10"/>
      <c r="X71" s="10"/>
      <c r="Y71" s="10"/>
      <c r="Z71" s="10"/>
      <c r="AA71" s="10"/>
      <c r="AB71" s="10" t="s">
        <v>609</v>
      </c>
      <c r="AC71" s="10"/>
      <c r="AD71" s="10" t="s">
        <v>691</v>
      </c>
      <c r="AE71" s="10"/>
      <c r="AF71" s="10"/>
      <c r="AG71" s="10"/>
      <c r="AH71" s="10"/>
      <c r="AI71" s="10"/>
      <c r="AJ71" s="10" t="s">
        <v>609</v>
      </c>
      <c r="AK71" s="10"/>
      <c r="AL71" s="10" t="s">
        <v>718</v>
      </c>
      <c r="AM71" s="10"/>
      <c r="AN71" s="10"/>
      <c r="AO71" s="10"/>
      <c r="AP71" s="10"/>
      <c r="AQ71" s="10"/>
      <c r="AR71" s="10" t="s">
        <v>609</v>
      </c>
      <c r="AS71" s="10"/>
      <c r="AT71" s="10" t="s">
        <v>745</v>
      </c>
      <c r="AU71" s="10"/>
      <c r="AV71" s="10"/>
      <c r="AW71" s="10"/>
      <c r="AX71" s="10"/>
      <c r="AY71" s="10"/>
      <c r="AZ71" s="69">
        <f>-'Waste Collection'!K92*(1-'Waste Collection'!$F$114-'Waste Collection'!$F$115)</f>
        <v>0</v>
      </c>
      <c r="BA71" s="10"/>
      <c r="BB71" s="10" t="s">
        <v>764</v>
      </c>
      <c r="BC71" s="10"/>
      <c r="BD71" s="10"/>
      <c r="BE71" s="10"/>
      <c r="BF71" s="10"/>
      <c r="BG71" s="10"/>
      <c r="BH71" s="10" t="s">
        <v>609</v>
      </c>
      <c r="BI71" s="10"/>
      <c r="BJ71" s="10" t="s">
        <v>790</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600</v>
      </c>
      <c r="B72" s="10"/>
      <c r="C72" s="10"/>
      <c r="D72" s="10"/>
      <c r="E72" s="10" t="s">
        <v>609</v>
      </c>
      <c r="F72" s="10"/>
      <c r="G72" s="10" t="s">
        <v>625</v>
      </c>
      <c r="H72" s="10"/>
      <c r="I72" s="10"/>
      <c r="J72" s="10"/>
      <c r="K72" s="10"/>
      <c r="L72" s="69">
        <f>-'Waste Input'!$B$8*'Waste Input'!B27/1000*'Waste Collection'!E73</f>
        <v>0</v>
      </c>
      <c r="M72" s="10"/>
      <c r="N72" s="10" t="s">
        <v>648</v>
      </c>
      <c r="O72" s="10"/>
      <c r="P72" s="10"/>
      <c r="Q72" s="10"/>
      <c r="R72" s="10"/>
      <c r="S72" s="10"/>
      <c r="T72" s="69">
        <f>-'Waste Input'!$B$8*'Waste Input'!C27/1000*'Waste Collection'!F73</f>
        <v>0</v>
      </c>
      <c r="U72" s="10"/>
      <c r="V72" s="10" t="s">
        <v>670</v>
      </c>
      <c r="W72" s="10"/>
      <c r="X72" s="10"/>
      <c r="Y72" s="10"/>
      <c r="Z72" s="10"/>
      <c r="AA72" s="10"/>
      <c r="AB72" s="69">
        <f>-'Waste Input'!$B$8*'Waste Input'!D27/1000*'Waste Collection'!G73</f>
        <v>0</v>
      </c>
      <c r="AC72" s="10"/>
      <c r="AD72" s="10" t="s">
        <v>692</v>
      </c>
      <c r="AE72" s="10"/>
      <c r="AF72" s="10"/>
      <c r="AG72" s="10"/>
      <c r="AH72" s="10"/>
      <c r="AI72" s="10"/>
      <c r="AJ72" s="10" t="s">
        <v>609</v>
      </c>
      <c r="AK72" s="10"/>
      <c r="AL72" s="10" t="s">
        <v>719</v>
      </c>
      <c r="AM72" s="10"/>
      <c r="AN72" s="10"/>
      <c r="AO72" s="10"/>
      <c r="AP72" s="10"/>
      <c r="AQ72" s="10"/>
      <c r="AR72" s="10" t="s">
        <v>609</v>
      </c>
      <c r="AS72" s="10"/>
      <c r="AT72" s="10" t="s">
        <v>746</v>
      </c>
      <c r="AU72" s="10"/>
      <c r="AV72" s="10"/>
      <c r="AW72" s="10"/>
      <c r="AX72" s="10"/>
      <c r="AY72" s="10"/>
      <c r="AZ72" s="69">
        <f>-'MRF &amp; RDF Sorting'!H67*'MRF &amp; RDF Sorting'!$D$75</f>
        <v>0</v>
      </c>
      <c r="BA72" s="10"/>
      <c r="BB72" s="10" t="s">
        <v>765</v>
      </c>
      <c r="BC72" s="10"/>
      <c r="BD72" s="10"/>
      <c r="BE72" s="10"/>
      <c r="BF72" s="10"/>
      <c r="BG72" s="10"/>
      <c r="BH72" s="10" t="s">
        <v>609</v>
      </c>
      <c r="BI72" s="10"/>
      <c r="BJ72" s="10" t="s">
        <v>791</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601</v>
      </c>
      <c r="B73" s="10"/>
      <c r="C73" s="10"/>
      <c r="D73" s="10"/>
      <c r="E73" s="10" t="s">
        <v>609</v>
      </c>
      <c r="F73" s="10"/>
      <c r="G73" s="10" t="s">
        <v>626</v>
      </c>
      <c r="H73" s="10"/>
      <c r="I73" s="10"/>
      <c r="J73" s="10"/>
      <c r="K73" s="10"/>
      <c r="L73" s="10">
        <f>-'Waste Input'!$B$8*'Waste Input'!B27/1000*(1-'Waste Collection'!E73)</f>
        <v>-1250</v>
      </c>
      <c r="M73" s="10"/>
      <c r="N73" s="10" t="s">
        <v>649</v>
      </c>
      <c r="O73" s="10"/>
      <c r="P73" s="10"/>
      <c r="Q73" s="10"/>
      <c r="R73" s="10"/>
      <c r="S73" s="10"/>
      <c r="T73" s="10">
        <f>-'Waste Input'!$B$8*'Waste Input'!C27/1000*(1-'Waste Collection'!F73)</f>
        <v>-2500</v>
      </c>
      <c r="U73" s="10"/>
      <c r="V73" s="10" t="s">
        <v>671</v>
      </c>
      <c r="W73" s="10"/>
      <c r="X73" s="10"/>
      <c r="Y73" s="10"/>
      <c r="Z73" s="10"/>
      <c r="AA73" s="10"/>
      <c r="AB73" s="10">
        <f>-'Waste Input'!$B$8*'Waste Input'!D27/1000*(1-'Waste Collection'!G73)</f>
        <v>-1250</v>
      </c>
      <c r="AC73" s="10"/>
      <c r="AD73" s="10" t="s">
        <v>693</v>
      </c>
      <c r="AE73" s="10"/>
      <c r="AF73" s="10"/>
      <c r="AG73" s="10"/>
      <c r="AH73" s="10"/>
      <c r="AI73" s="10"/>
      <c r="AJ73" s="10" t="s">
        <v>609</v>
      </c>
      <c r="AK73" s="10"/>
      <c r="AL73" s="10" t="s">
        <v>720</v>
      </c>
      <c r="AM73" s="10"/>
      <c r="AN73" s="10"/>
      <c r="AO73" s="10"/>
      <c r="AP73" s="10"/>
      <c r="AQ73" s="10"/>
      <c r="AR73" s="10" t="s">
        <v>609</v>
      </c>
      <c r="AS73" s="10"/>
      <c r="AT73" s="10" t="s">
        <v>747</v>
      </c>
      <c r="AU73" s="10"/>
      <c r="AV73" s="10"/>
      <c r="AW73" s="10"/>
      <c r="AX73" s="10"/>
      <c r="AY73" s="10"/>
      <c r="AZ73" s="69">
        <f>-'MRF &amp; RDF Sorting'!H128*'MRF &amp; RDF Sorting'!$D$136</f>
        <v>0</v>
      </c>
      <c r="BA73" s="10"/>
      <c r="BB73" s="10" t="s">
        <v>766</v>
      </c>
      <c r="BC73" s="10"/>
      <c r="BD73" s="10"/>
      <c r="BE73" s="10"/>
      <c r="BF73" s="10"/>
      <c r="BG73" s="10"/>
      <c r="BH73" s="10" t="s">
        <v>609</v>
      </c>
      <c r="BI73" s="10"/>
      <c r="BJ73" s="10" t="s">
        <v>792</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602</v>
      </c>
      <c r="B74" s="10"/>
      <c r="C74" s="10"/>
      <c r="D74" s="10"/>
      <c r="E74" s="10" t="s">
        <v>609</v>
      </c>
      <c r="F74" s="10"/>
      <c r="G74" s="10" t="s">
        <v>627</v>
      </c>
      <c r="H74" s="10"/>
      <c r="I74" s="10"/>
      <c r="J74" s="10"/>
      <c r="K74" s="10"/>
      <c r="L74" s="69">
        <f>-'Waste Collection'!F92*(1-'Waste Collection'!$F$114-'Waste Collection'!$F$115)</f>
        <v>0</v>
      </c>
      <c r="M74" s="10"/>
      <c r="N74" s="10" t="s">
        <v>650</v>
      </c>
      <c r="O74" s="10"/>
      <c r="P74" s="10"/>
      <c r="Q74" s="10"/>
      <c r="R74" s="10"/>
      <c r="S74" s="10"/>
      <c r="T74" s="69">
        <f>-'Waste Collection'!G92*(1-'Waste Collection'!$F$114-'Waste Collection'!$F$115)</f>
        <v>0</v>
      </c>
      <c r="U74" s="10"/>
      <c r="V74" s="10" t="s">
        <v>672</v>
      </c>
      <c r="W74" s="10"/>
      <c r="X74" s="10"/>
      <c r="Y74" s="10"/>
      <c r="Z74" s="10"/>
      <c r="AA74" s="10"/>
      <c r="AB74" s="69">
        <f>-'Waste Collection'!H92*(1-'Waste Collection'!$F$114-'Waste Collection'!$F$115)</f>
        <v>0</v>
      </c>
      <c r="AC74" s="10"/>
      <c r="AD74" s="10" t="s">
        <v>694</v>
      </c>
      <c r="AE74" s="10"/>
      <c r="AF74" s="10"/>
      <c r="AG74" s="10"/>
      <c r="AH74" s="10"/>
      <c r="AI74" s="10"/>
      <c r="AJ74" s="10" t="s">
        <v>609</v>
      </c>
      <c r="AK74" s="10"/>
      <c r="AL74" s="10" t="s">
        <v>721</v>
      </c>
      <c r="AM74" s="10"/>
      <c r="AN74" s="10"/>
      <c r="AO74" s="10"/>
      <c r="AP74" s="10"/>
      <c r="AQ74" s="10"/>
      <c r="AR74" s="10" t="s">
        <v>609</v>
      </c>
      <c r="AS74" s="10"/>
      <c r="AT74" s="10" t="s">
        <v>748</v>
      </c>
      <c r="AU74" s="10"/>
      <c r="AV74" s="10"/>
      <c r="AW74" s="10"/>
      <c r="AX74" s="10"/>
      <c r="AY74" s="10"/>
      <c r="AZ74" s="69">
        <f>-'Biological Treatment'!H17</f>
        <v>0</v>
      </c>
      <c r="BA74" s="10"/>
      <c r="BB74" s="10" t="s">
        <v>767</v>
      </c>
      <c r="BC74" s="10"/>
      <c r="BD74" s="10"/>
      <c r="BE74" s="10"/>
      <c r="BF74" s="10"/>
      <c r="BG74" s="10"/>
      <c r="BH74" s="10" t="s">
        <v>609</v>
      </c>
      <c r="BI74" s="10"/>
      <c r="BJ74" s="10" t="s">
        <v>793</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603</v>
      </c>
      <c r="B75" s="10"/>
      <c r="C75" s="10"/>
      <c r="D75" s="10"/>
      <c r="E75" s="69">
        <f>-'Waste Collection'!E103*(1-'Waste Collection'!$F$113)</f>
        <v>0</v>
      </c>
      <c r="F75" s="10"/>
      <c r="G75" s="10" t="s">
        <v>628</v>
      </c>
      <c r="H75" s="10"/>
      <c r="I75" s="10"/>
      <c r="J75" s="10"/>
      <c r="K75" s="10"/>
      <c r="L75" s="69">
        <f>-'MRF &amp; RDF Sorting'!C67*'MRF &amp; RDF Sorting'!$D$75</f>
        <v>0</v>
      </c>
      <c r="M75" s="10"/>
      <c r="N75" s="10" t="s">
        <v>651</v>
      </c>
      <c r="O75" s="10"/>
      <c r="P75" s="10"/>
      <c r="Q75" s="10"/>
      <c r="R75" s="10"/>
      <c r="S75" s="10"/>
      <c r="T75" s="69">
        <f>-'MRF &amp; RDF Sorting'!D67*'MRF &amp; RDF Sorting'!$D$75</f>
        <v>0</v>
      </c>
      <c r="U75" s="10"/>
      <c r="V75" s="10" t="s">
        <v>673</v>
      </c>
      <c r="W75" s="10"/>
      <c r="X75" s="10"/>
      <c r="Y75" s="10"/>
      <c r="Z75" s="10"/>
      <c r="AA75" s="10"/>
      <c r="AB75" s="69">
        <f>-'MRF &amp; RDF Sorting'!E67*'MRF &amp; RDF Sorting'!$D$75</f>
        <v>0</v>
      </c>
      <c r="AC75" s="10"/>
      <c r="AD75" s="10" t="s">
        <v>695</v>
      </c>
      <c r="AE75" s="10"/>
      <c r="AF75" s="10"/>
      <c r="AG75" s="10"/>
      <c r="AH75" s="10"/>
      <c r="AI75" s="10"/>
      <c r="AJ75" s="10" t="s">
        <v>609</v>
      </c>
      <c r="AK75" s="10"/>
      <c r="AL75" s="10" t="s">
        <v>722</v>
      </c>
      <c r="AM75" s="10"/>
      <c r="AN75" s="10"/>
      <c r="AO75" s="10"/>
      <c r="AP75" s="10"/>
      <c r="AQ75" s="10"/>
      <c r="AR75" s="10" t="s">
        <v>609</v>
      </c>
      <c r="AS75" s="10"/>
      <c r="AT75" s="10" t="s">
        <v>749</v>
      </c>
      <c r="AU75" s="10"/>
      <c r="AV75" s="10"/>
      <c r="AW75" s="10"/>
      <c r="AX75" s="10"/>
      <c r="AY75" s="10"/>
      <c r="AZ75" s="10">
        <f>-'Thermal Treatment'!H14</f>
        <v>-3900</v>
      </c>
      <c r="BA75" s="10"/>
      <c r="BB75" s="10" t="s">
        <v>768</v>
      </c>
      <c r="BC75" s="10"/>
      <c r="BD75" s="10"/>
      <c r="BE75" s="10"/>
      <c r="BF75" s="10"/>
      <c r="BG75" s="10"/>
      <c r="BH75" s="10" t="s">
        <v>609</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604</v>
      </c>
      <c r="B76" s="10"/>
      <c r="C76" s="10"/>
      <c r="D76" s="10"/>
      <c r="E76" s="69">
        <f>-'Waste Collection'!E92*(1-'Waste Collection'!$F$114-'Waste Collection'!$F$115)</f>
        <v>0</v>
      </c>
      <c r="F76" s="10"/>
      <c r="G76" s="10" t="s">
        <v>629</v>
      </c>
      <c r="H76" s="10"/>
      <c r="I76" s="10"/>
      <c r="J76" s="10"/>
      <c r="K76" s="10"/>
      <c r="L76" s="69">
        <f>-'MRF &amp; RDF Sorting'!C128*'MRF &amp; RDF Sorting'!$D$136</f>
        <v>0</v>
      </c>
      <c r="M76" s="10"/>
      <c r="N76" s="10" t="s">
        <v>652</v>
      </c>
      <c r="O76" s="10"/>
      <c r="P76" s="10"/>
      <c r="Q76" s="10"/>
      <c r="R76" s="10"/>
      <c r="S76" s="10"/>
      <c r="T76" s="69">
        <f>-'MRF &amp; RDF Sorting'!D128*'MRF &amp; RDF Sorting'!$D$136</f>
        <v>0</v>
      </c>
      <c r="U76" s="10"/>
      <c r="V76" s="10" t="s">
        <v>674</v>
      </c>
      <c r="W76" s="10"/>
      <c r="X76" s="10"/>
      <c r="Y76" s="10"/>
      <c r="Z76" s="10"/>
      <c r="AA76" s="10"/>
      <c r="AB76" s="69">
        <f>-'MRF &amp; RDF Sorting'!E128*'MRF &amp; RDF Sorting'!$D$136</f>
        <v>0</v>
      </c>
      <c r="AC76" s="10"/>
      <c r="AD76" s="10" t="s">
        <v>696</v>
      </c>
      <c r="AE76" s="10"/>
      <c r="AF76" s="10"/>
      <c r="AG76" s="10"/>
      <c r="AH76" s="10"/>
      <c r="AI76" s="10"/>
      <c r="AJ76" s="69">
        <f>-'Waste Input'!$B$8*'Waste Input'!E27/1000*'Waste Collection'!H73</f>
        <v>0</v>
      </c>
      <c r="AK76" s="10"/>
      <c r="AL76" s="10" t="s">
        <v>723</v>
      </c>
      <c r="AM76" s="10"/>
      <c r="AN76" s="10"/>
      <c r="AO76" s="10"/>
      <c r="AP76" s="10"/>
      <c r="AQ76" s="10"/>
      <c r="AR76" s="69">
        <f>-'Waste Input'!$B$8*'Waste Input'!F27/1000*'Waste Collection'!I73</f>
        <v>0</v>
      </c>
      <c r="AS76" s="10"/>
      <c r="AT76" s="10"/>
      <c r="AU76" s="10"/>
      <c r="AV76" s="10"/>
      <c r="AW76" s="10"/>
      <c r="AX76" s="10"/>
      <c r="AY76" s="10"/>
      <c r="AZ76" s="10"/>
      <c r="BA76" s="10"/>
      <c r="BB76" s="10" t="s">
        <v>769</v>
      </c>
      <c r="BC76" s="10"/>
      <c r="BD76" s="10"/>
      <c r="BE76" s="10"/>
      <c r="BF76" s="10"/>
      <c r="BG76" s="10"/>
      <c r="BH76" s="10" t="s">
        <v>609</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605</v>
      </c>
      <c r="B77" s="10"/>
      <c r="C77" s="10"/>
      <c r="D77" s="10"/>
      <c r="E77" s="69">
        <f>-'MRF &amp; RDF Sorting'!B67*'MRF &amp; RDF Sorting'!$D$75</f>
        <v>0</v>
      </c>
      <c r="F77" s="10"/>
      <c r="G77" s="10" t="s">
        <v>630</v>
      </c>
      <c r="H77" s="10"/>
      <c r="I77" s="10"/>
      <c r="J77" s="10"/>
      <c r="K77" s="10"/>
      <c r="L77" s="69">
        <f>-'Biological Treatment'!C17</f>
        <v>0</v>
      </c>
      <c r="M77" s="10"/>
      <c r="N77" s="10" t="s">
        <v>653</v>
      </c>
      <c r="O77" s="10"/>
      <c r="P77" s="10"/>
      <c r="Q77" s="10"/>
      <c r="R77" s="10"/>
      <c r="S77" s="10"/>
      <c r="T77" s="69">
        <f>-'Biological Treatment'!D17</f>
        <v>0</v>
      </c>
      <c r="U77" s="10"/>
      <c r="V77" s="10" t="s">
        <v>675</v>
      </c>
      <c r="W77" s="10"/>
      <c r="X77" s="10"/>
      <c r="Y77" s="10"/>
      <c r="Z77" s="10"/>
      <c r="AA77" s="10"/>
      <c r="AB77" s="69">
        <f>-'Biological Treatment'!E17</f>
        <v>0</v>
      </c>
      <c r="AC77" s="10"/>
      <c r="AD77" s="10" t="s">
        <v>697</v>
      </c>
      <c r="AE77" s="10"/>
      <c r="AF77" s="10"/>
      <c r="AG77" s="10"/>
      <c r="AH77" s="10"/>
      <c r="AI77" s="10"/>
      <c r="AJ77" s="10">
        <f>-'Waste Input'!$B$8*'Waste Input'!E27/1000*(1-'Waste Collection'!H73)</f>
        <v>-250</v>
      </c>
      <c r="AK77" s="10"/>
      <c r="AL77" s="10" t="s">
        <v>724</v>
      </c>
      <c r="AM77" s="10"/>
      <c r="AN77" s="10"/>
      <c r="AO77" s="10"/>
      <c r="AP77" s="10"/>
      <c r="AQ77" s="10"/>
      <c r="AR77" s="10">
        <f>-'Waste Input'!$B$8*'Waste Input'!F27/1000*(1-'Waste Collection'!I73)</f>
        <v>-250</v>
      </c>
      <c r="AS77" s="10"/>
      <c r="AT77" s="10"/>
      <c r="AU77" s="10"/>
      <c r="AV77" s="10"/>
      <c r="AW77" s="10"/>
      <c r="AX77" s="10"/>
      <c r="AY77" s="10"/>
      <c r="AZ77" s="10"/>
      <c r="BA77" s="10"/>
      <c r="BB77" s="10" t="s">
        <v>770</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606</v>
      </c>
      <c r="B78" s="10"/>
      <c r="C78" s="10"/>
      <c r="D78" s="10"/>
      <c r="E78" s="69">
        <f>-'MRF &amp; RDF Sorting'!B128*'MRF &amp; RDF Sorting'!$D$136</f>
        <v>0</v>
      </c>
      <c r="F78" s="65"/>
      <c r="G78" s="10" t="s">
        <v>631</v>
      </c>
      <c r="H78" s="10"/>
      <c r="I78" s="10"/>
      <c r="J78" s="10"/>
      <c r="K78" s="10"/>
      <c r="L78" s="10">
        <f>-'Thermal Treatment'!C14</f>
        <v>-4112.4999999999982</v>
      </c>
      <c r="M78" s="10"/>
      <c r="N78" s="10" t="s">
        <v>654</v>
      </c>
      <c r="O78" s="10"/>
      <c r="P78" s="10"/>
      <c r="Q78" s="10"/>
      <c r="R78" s="10"/>
      <c r="S78" s="10"/>
      <c r="T78" s="10">
        <f>-'Thermal Treatment'!D14</f>
        <v>-5135</v>
      </c>
      <c r="U78" s="10"/>
      <c r="V78" s="10" t="s">
        <v>676</v>
      </c>
      <c r="W78" s="10"/>
      <c r="X78" s="10"/>
      <c r="Y78" s="10"/>
      <c r="Z78" s="10"/>
      <c r="AA78" s="10"/>
      <c r="AB78" s="10">
        <f>-'Thermal Treatment'!E14</f>
        <v>-390.00000000000023</v>
      </c>
      <c r="AC78" s="10"/>
      <c r="AD78" s="10" t="s">
        <v>698</v>
      </c>
      <c r="AE78" s="10"/>
      <c r="AF78" s="10"/>
      <c r="AG78" s="10"/>
      <c r="AH78" s="10"/>
      <c r="AI78" s="10"/>
      <c r="AJ78" s="69">
        <f>-('Waste Collection'!E103+'Waste Collection'!F103)*'Waste Collection'!$E$104/2</f>
        <v>0</v>
      </c>
      <c r="AK78" s="10"/>
      <c r="AL78" s="10" t="s">
        <v>725</v>
      </c>
      <c r="AM78" s="10"/>
      <c r="AN78" s="10"/>
      <c r="AO78" s="10"/>
      <c r="AP78" s="10"/>
      <c r="AQ78" s="10"/>
      <c r="AR78" s="69">
        <f>-('Waste Collection'!E103+'Waste Collection'!F103)*'Waste Collection'!$E$104/2</f>
        <v>0</v>
      </c>
      <c r="AS78" s="10"/>
      <c r="AT78" s="10"/>
      <c r="AU78" s="10"/>
      <c r="AV78" s="10"/>
      <c r="AW78" s="10"/>
      <c r="AX78" s="10"/>
      <c r="AY78" s="10"/>
      <c r="AZ78" s="10"/>
      <c r="BA78" s="10"/>
      <c r="BB78" s="10" t="s">
        <v>771</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607</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699</v>
      </c>
      <c r="AE79" s="10"/>
      <c r="AF79" s="10"/>
      <c r="AG79" s="10"/>
      <c r="AH79" s="10"/>
      <c r="AI79" s="10"/>
      <c r="AJ79" s="69">
        <f>-'Waste Collection'!I92*(1-'Waste Collection'!$F$114-'Waste Collection'!$F$115)</f>
        <v>0</v>
      </c>
      <c r="AK79" s="10"/>
      <c r="AL79" s="10" t="s">
        <v>726</v>
      </c>
      <c r="AM79" s="10"/>
      <c r="AN79" s="10"/>
      <c r="AO79" s="10"/>
      <c r="AP79" s="10"/>
      <c r="AQ79" s="10"/>
      <c r="AR79" s="69">
        <f>-'Waste Collection'!J92*(1-'Waste Collection'!$F$114-'Waste Collection'!$F$115)</f>
        <v>0</v>
      </c>
      <c r="AS79" s="10"/>
      <c r="AT79" s="10"/>
      <c r="AU79" s="10"/>
      <c r="AV79" s="10"/>
      <c r="AW79" s="10"/>
      <c r="AX79" s="10"/>
      <c r="AY79" s="10"/>
      <c r="AZ79" s="10"/>
      <c r="BA79" s="10"/>
      <c r="BB79" s="10" t="s">
        <v>772</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608</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700</v>
      </c>
      <c r="AE80" s="10"/>
      <c r="AF80" s="10"/>
      <c r="AG80" s="10"/>
      <c r="AH80" s="10"/>
      <c r="AI80" s="10"/>
      <c r="AJ80" s="69">
        <f>-'MRF &amp; RDF Sorting'!F67*'MRF &amp; RDF Sorting'!$D$75</f>
        <v>0</v>
      </c>
      <c r="AK80" s="10"/>
      <c r="AL80" s="10" t="s">
        <v>727</v>
      </c>
      <c r="AM80" s="10"/>
      <c r="AN80" s="10"/>
      <c r="AO80" s="10"/>
      <c r="AP80" s="10"/>
      <c r="AQ80" s="10"/>
      <c r="AR80" s="69">
        <f>-'MRF &amp; RDF Sorting'!G67*'MRF &amp; RDF Sorting'!$D$75</f>
        <v>0</v>
      </c>
      <c r="AS80" s="10"/>
      <c r="AT80" s="10"/>
      <c r="AU80" s="10"/>
      <c r="AV80" s="10"/>
      <c r="AW80" s="10"/>
      <c r="AX80" s="10"/>
      <c r="AY80" s="10"/>
      <c r="AZ80" s="10"/>
      <c r="BA80" s="10"/>
      <c r="BB80" s="10" t="s">
        <v>773</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701</v>
      </c>
      <c r="AE81" s="10"/>
      <c r="AF81" s="10"/>
      <c r="AG81" s="10"/>
      <c r="AH81" s="10"/>
      <c r="AI81" s="10"/>
      <c r="AJ81" s="69">
        <f>-'MRF &amp; RDF Sorting'!F128*'MRF &amp; RDF Sorting'!$D$136</f>
        <v>0</v>
      </c>
      <c r="AK81" s="10"/>
      <c r="AL81" s="10" t="s">
        <v>728</v>
      </c>
      <c r="AM81" s="10"/>
      <c r="AN81" s="10"/>
      <c r="AO81" s="10"/>
      <c r="AP81" s="10"/>
      <c r="AQ81" s="10"/>
      <c r="AR81" s="69">
        <f>-'MRF &amp; RDF Sorting'!G128*'MRF &amp; RDF Sorting'!$D$136</f>
        <v>0</v>
      </c>
      <c r="AS81" s="10"/>
      <c r="AT81" s="10"/>
      <c r="AU81" s="10"/>
      <c r="AV81" s="10"/>
      <c r="AW81" s="10"/>
      <c r="AX81" s="10"/>
      <c r="AY81" s="10"/>
      <c r="AZ81" s="10"/>
      <c r="BA81" s="10"/>
      <c r="BB81" s="10" t="s">
        <v>774</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794</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702</v>
      </c>
      <c r="AE82" s="10"/>
      <c r="AF82" s="10"/>
      <c r="AG82" s="10"/>
      <c r="AH82" s="10"/>
      <c r="AI82" s="10"/>
      <c r="AJ82" s="69">
        <f>-'Biological Treatment'!F17</f>
        <v>0</v>
      </c>
      <c r="AK82" s="10"/>
      <c r="AL82" s="10" t="s">
        <v>729</v>
      </c>
      <c r="AM82" s="10"/>
      <c r="AN82" s="10"/>
      <c r="AO82" s="10"/>
      <c r="AP82" s="10"/>
      <c r="AQ82" s="10"/>
      <c r="AR82" s="69">
        <f>-'Biological Treatment'!G17</f>
        <v>0</v>
      </c>
      <c r="AS82" s="10"/>
      <c r="AT82" s="10"/>
      <c r="AU82" s="10"/>
      <c r="AV82" s="10"/>
      <c r="AW82" s="10"/>
      <c r="AX82" s="10"/>
      <c r="AY82" s="10"/>
      <c r="AZ82" s="10"/>
      <c r="BA82" s="10"/>
      <c r="BB82" s="10" t="s">
        <v>775</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796</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703</v>
      </c>
      <c r="AE83" s="10"/>
      <c r="AF83" s="10"/>
      <c r="AG83" s="10"/>
      <c r="AH83" s="10"/>
      <c r="AI83" s="10"/>
      <c r="AJ83" s="10">
        <f>-'Thermal Treatment'!F14</f>
        <v>-8000</v>
      </c>
      <c r="AK83" s="10"/>
      <c r="AL83" s="10" t="s">
        <v>730</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359</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797</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798</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799</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802</v>
      </c>
      <c r="E91" s="10" t="s">
        <v>803</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800</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801</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804</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806</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805</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807</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810</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811</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837</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823</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838</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359</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839</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840</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841</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359</v>
      </c>
      <c r="L114" s="49" t="s">
        <v>803</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842</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843</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844</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359</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842</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803</v>
      </c>
      <c r="D123" s="10" t="s">
        <v>845</v>
      </c>
      <c r="E123" s="10" t="s">
        <v>846</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842</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812</v>
      </c>
    </row>
    <row r="127" spans="1:81">
      <c r="A127" s="35" t="s">
        <v>813</v>
      </c>
      <c r="B127" s="7"/>
      <c r="C127" s="7"/>
      <c r="D127" s="7"/>
      <c r="E127" s="7"/>
      <c r="F127" s="7"/>
      <c r="G127" s="7"/>
      <c r="H127" s="8"/>
    </row>
    <row r="128" spans="1:81">
      <c r="A128" s="9"/>
      <c r="B128" s="10"/>
      <c r="C128" s="10"/>
      <c r="D128" s="10"/>
      <c r="E128" s="10"/>
      <c r="F128" s="10"/>
      <c r="G128" s="10"/>
      <c r="H128" s="11"/>
    </row>
    <row r="129" spans="1:20">
      <c r="A129" s="64" t="s">
        <v>814</v>
      </c>
      <c r="B129" s="10"/>
      <c r="C129" s="10"/>
      <c r="D129" s="10"/>
      <c r="E129" s="10"/>
      <c r="F129" s="10"/>
      <c r="G129" s="10"/>
      <c r="H129" s="11"/>
    </row>
    <row r="130" spans="1:20">
      <c r="A130" s="9" t="s">
        <v>830</v>
      </c>
      <c r="B130" s="10"/>
      <c r="C130" s="10"/>
      <c r="D130" s="10"/>
      <c r="E130" s="10"/>
      <c r="H130" s="11"/>
    </row>
    <row r="131" spans="1:20">
      <c r="A131" s="66" t="s">
        <v>831</v>
      </c>
      <c r="B131" s="10"/>
      <c r="C131" s="10"/>
      <c r="D131" s="10"/>
      <c r="E131" s="10"/>
      <c r="H131" s="11"/>
    </row>
    <row r="132" spans="1:20">
      <c r="A132" s="9" t="s">
        <v>832</v>
      </c>
      <c r="B132" s="10"/>
      <c r="C132" s="10"/>
      <c r="D132" s="10"/>
      <c r="E132" s="10"/>
      <c r="H132" s="11"/>
    </row>
    <row r="133" spans="1:20">
      <c r="A133" s="9"/>
      <c r="B133" s="10"/>
      <c r="C133" s="10"/>
      <c r="D133" s="10"/>
      <c r="E133" s="10"/>
      <c r="H133" s="11"/>
    </row>
    <row r="134" spans="1:20">
      <c r="A134" s="9"/>
      <c r="B134" s="10"/>
      <c r="C134" s="10"/>
      <c r="D134" s="10"/>
      <c r="E134" s="10"/>
      <c r="F134" s="10" t="s">
        <v>802</v>
      </c>
      <c r="G134" s="10" t="s">
        <v>803</v>
      </c>
      <c r="H134" s="11"/>
    </row>
    <row r="135" spans="1:20">
      <c r="A135" s="9" t="s">
        <v>815</v>
      </c>
      <c r="B135" s="10"/>
      <c r="C135" s="10"/>
      <c r="D135" s="10"/>
      <c r="E135" s="10"/>
      <c r="F135" s="15">
        <v>0</v>
      </c>
      <c r="G135" s="15">
        <v>0</v>
      </c>
      <c r="H135" s="11"/>
    </row>
    <row r="136" spans="1:20">
      <c r="A136" s="9" t="s">
        <v>816</v>
      </c>
      <c r="B136" s="10"/>
      <c r="C136" s="10"/>
      <c r="D136" s="10"/>
      <c r="E136" s="10"/>
      <c r="F136" s="69">
        <f>F135*D92</f>
        <v>0</v>
      </c>
      <c r="G136" s="69">
        <f>G135*E92</f>
        <v>0</v>
      </c>
      <c r="H136" s="11"/>
    </row>
    <row r="137" spans="1:20">
      <c r="A137" s="9" t="s">
        <v>817</v>
      </c>
      <c r="B137" s="10"/>
      <c r="C137" s="10"/>
      <c r="D137" s="10"/>
      <c r="E137" s="10"/>
      <c r="F137" s="10">
        <v>0</v>
      </c>
      <c r="G137" s="10">
        <v>0</v>
      </c>
      <c r="H137" s="11"/>
    </row>
    <row r="138" spans="1:20">
      <c r="A138" s="9" t="s">
        <v>818</v>
      </c>
      <c r="B138" s="10"/>
      <c r="C138" s="10"/>
      <c r="D138" s="10"/>
      <c r="E138" s="10"/>
      <c r="F138" s="10">
        <v>0</v>
      </c>
      <c r="G138" s="10">
        <v>0</v>
      </c>
      <c r="H138" s="11"/>
    </row>
    <row r="139" spans="1:20">
      <c r="A139" s="9" t="s">
        <v>819</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820</v>
      </c>
    </row>
    <row r="143" spans="1:20" s="62" customFormat="1">
      <c r="A143" s="31" t="s">
        <v>833</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821</v>
      </c>
      <c r="B146" s="10"/>
      <c r="C146" s="10"/>
      <c r="D146" s="10"/>
      <c r="E146" s="10"/>
      <c r="F146" s="10">
        <v>0</v>
      </c>
      <c r="G146" s="10"/>
      <c r="H146" s="10"/>
      <c r="I146" s="10"/>
      <c r="J146" s="10"/>
      <c r="K146" s="10"/>
      <c r="L146" s="10"/>
      <c r="M146" s="10"/>
      <c r="N146" s="10"/>
      <c r="O146" s="10"/>
      <c r="P146" s="10"/>
      <c r="Q146" s="10"/>
      <c r="R146" s="10"/>
      <c r="S146" s="10"/>
      <c r="T146" s="11"/>
    </row>
    <row r="147" spans="1:20">
      <c r="A147" s="18" t="s">
        <v>822</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823</v>
      </c>
      <c r="B149" s="10"/>
      <c r="C149" s="10"/>
      <c r="D149" s="10"/>
      <c r="E149" s="10"/>
      <c r="F149" s="10"/>
      <c r="G149" s="10"/>
      <c r="H149" s="10"/>
      <c r="I149" s="10"/>
      <c r="J149" s="10"/>
      <c r="K149" s="10"/>
      <c r="L149" s="10"/>
      <c r="M149" s="10"/>
      <c r="N149" s="10"/>
      <c r="O149" s="10"/>
      <c r="P149" s="10"/>
      <c r="Q149" s="10"/>
      <c r="R149" s="10"/>
      <c r="S149" s="10"/>
      <c r="T149" s="11"/>
    </row>
    <row r="150" spans="1:20">
      <c r="A150" s="18" t="s">
        <v>834</v>
      </c>
      <c r="B150" s="10"/>
      <c r="C150" s="10"/>
      <c r="D150" s="10"/>
      <c r="E150" s="10"/>
      <c r="F150" s="10"/>
      <c r="G150" s="10"/>
      <c r="H150" s="10"/>
      <c r="I150" s="10"/>
      <c r="J150" s="10"/>
      <c r="K150" s="10"/>
      <c r="L150" s="10"/>
      <c r="M150" s="10"/>
      <c r="N150" s="10"/>
      <c r="O150" s="10"/>
      <c r="P150" s="10"/>
      <c r="Q150" s="10"/>
      <c r="R150" s="10"/>
      <c r="S150" s="10"/>
      <c r="T150" s="11"/>
    </row>
    <row r="151" spans="1:20">
      <c r="A151" s="18" t="s">
        <v>835</v>
      </c>
      <c r="B151" s="10"/>
      <c r="C151" s="10"/>
      <c r="D151" s="10"/>
      <c r="E151" s="10"/>
      <c r="F151" s="10"/>
      <c r="G151" s="10"/>
      <c r="H151" s="10"/>
      <c r="I151" s="10"/>
      <c r="J151" s="10"/>
      <c r="K151" s="10"/>
      <c r="L151" s="10"/>
      <c r="M151" s="10"/>
      <c r="N151" s="10"/>
      <c r="O151" s="10"/>
      <c r="P151" s="10"/>
      <c r="Q151" s="10"/>
      <c r="R151" s="10"/>
      <c r="S151" s="10"/>
      <c r="T151" s="11"/>
    </row>
    <row r="152" spans="1:20">
      <c r="A152" s="18" t="s">
        <v>836</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824</v>
      </c>
      <c r="B154" s="10"/>
      <c r="C154" s="10"/>
      <c r="D154" s="69">
        <f>B85*D110+C85*E110+D85*F110+E85*F110+F85*G110+G85*G110+H85*H110+I85*I110+J85*J110+K85*K110+L85*L110</f>
        <v>1217187.5</v>
      </c>
      <c r="E154" s="10"/>
      <c r="F154" s="10" t="s">
        <v>827</v>
      </c>
      <c r="G154" s="10"/>
      <c r="H154" s="10"/>
      <c r="I154" s="15">
        <v>1</v>
      </c>
      <c r="J154" s="10"/>
      <c r="K154" s="10"/>
      <c r="L154" s="10"/>
      <c r="M154" s="10"/>
      <c r="N154" s="10"/>
      <c r="O154" s="10"/>
      <c r="P154" s="10"/>
      <c r="Q154" s="10"/>
      <c r="R154" s="10"/>
      <c r="S154" s="10"/>
      <c r="T154" s="11"/>
    </row>
    <row r="155" spans="1:20">
      <c r="A155" s="9" t="s">
        <v>825</v>
      </c>
      <c r="B155" s="10"/>
      <c r="C155" s="10"/>
      <c r="D155" s="15">
        <v>0.9</v>
      </c>
      <c r="E155" s="10"/>
      <c r="F155" s="10" t="s">
        <v>828</v>
      </c>
      <c r="G155" s="10"/>
      <c r="H155" s="10"/>
      <c r="I155" s="15">
        <v>0.3</v>
      </c>
      <c r="J155" s="10" t="s">
        <v>829</v>
      </c>
      <c r="K155" s="10"/>
      <c r="L155" s="10"/>
      <c r="M155" s="10"/>
      <c r="N155" s="10"/>
      <c r="O155" s="10"/>
      <c r="P155" s="10"/>
      <c r="Q155" s="10"/>
      <c r="R155" s="10"/>
      <c r="S155" s="10"/>
      <c r="T155" s="11"/>
    </row>
    <row r="156" spans="1:20">
      <c r="A156" s="9" t="s">
        <v>826</v>
      </c>
      <c r="B156" s="10"/>
      <c r="C156" s="10"/>
      <c r="D156" s="73">
        <f>1-D155</f>
        <v>9.9999999999999978E-2</v>
      </c>
      <c r="E156" s="10"/>
      <c r="F156" s="10" t="s">
        <v>338</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847</v>
      </c>
      <c r="B158" s="10"/>
      <c r="C158" s="10"/>
      <c r="D158" s="10"/>
      <c r="E158" s="10"/>
      <c r="F158" s="10"/>
      <c r="G158" s="10"/>
      <c r="H158" s="10"/>
      <c r="I158" s="10"/>
      <c r="J158" s="10"/>
      <c r="K158" s="10"/>
      <c r="L158" s="10"/>
      <c r="M158" s="10"/>
      <c r="N158" s="10"/>
      <c r="O158" s="10"/>
      <c r="P158" s="10"/>
      <c r="Q158" s="10"/>
      <c r="R158" s="10"/>
      <c r="S158" s="10"/>
      <c r="T158" s="11"/>
    </row>
    <row r="159" spans="1:20">
      <c r="A159" s="9" t="s">
        <v>848</v>
      </c>
      <c r="B159" s="10"/>
      <c r="C159" s="10"/>
      <c r="D159" s="10"/>
      <c r="E159" s="10"/>
      <c r="F159" s="10"/>
      <c r="G159" s="10"/>
      <c r="H159" s="10"/>
      <c r="I159" s="10"/>
      <c r="J159" s="10"/>
      <c r="K159" s="10"/>
      <c r="L159" s="10"/>
      <c r="M159" s="10"/>
      <c r="N159" s="10"/>
      <c r="O159" s="10"/>
      <c r="P159" s="10"/>
      <c r="Q159" s="10"/>
      <c r="R159" s="10"/>
      <c r="S159" s="10"/>
      <c r="T159" s="11"/>
    </row>
    <row r="160" spans="1:20">
      <c r="A160" s="9" t="s">
        <v>849</v>
      </c>
      <c r="B160" s="10"/>
      <c r="C160" s="10"/>
      <c r="D160" s="10"/>
      <c r="E160" s="10"/>
      <c r="F160" s="10"/>
      <c r="G160" s="10"/>
      <c r="H160" s="10"/>
      <c r="I160" s="10"/>
      <c r="J160" s="10"/>
      <c r="K160" s="10"/>
      <c r="L160" s="10"/>
      <c r="M160" s="10"/>
      <c r="N160" s="10"/>
      <c r="O160" s="10"/>
      <c r="P160" s="10"/>
      <c r="Q160" s="10"/>
      <c r="R160" s="10"/>
      <c r="S160" s="10"/>
      <c r="T160" s="11"/>
    </row>
    <row r="161" spans="1:20">
      <c r="A161" s="9" t="s">
        <v>851</v>
      </c>
      <c r="B161" s="10"/>
      <c r="C161" s="10"/>
      <c r="D161" s="10"/>
      <c r="E161" s="10"/>
      <c r="F161" s="10"/>
      <c r="G161" s="10"/>
      <c r="H161" s="10"/>
      <c r="I161" s="10"/>
      <c r="J161" s="10"/>
      <c r="K161" s="10"/>
      <c r="L161" s="10"/>
      <c r="M161" s="10"/>
      <c r="N161" s="10"/>
      <c r="O161" s="10"/>
      <c r="P161" s="10"/>
      <c r="Q161" s="10"/>
      <c r="R161" s="10"/>
      <c r="S161" s="10"/>
      <c r="T161" s="11"/>
    </row>
    <row r="162" spans="1:20">
      <c r="A162" s="18" t="s">
        <v>850</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852</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853</v>
      </c>
      <c r="B165" s="10"/>
      <c r="C165" s="10"/>
      <c r="D165" s="15">
        <v>0.95</v>
      </c>
      <c r="E165" s="10"/>
      <c r="F165" s="10" t="s">
        <v>855</v>
      </c>
      <c r="G165" s="10"/>
      <c r="H165" s="10"/>
      <c r="I165" s="10"/>
      <c r="J165" s="15">
        <v>0.95</v>
      </c>
      <c r="K165" s="10"/>
      <c r="L165" s="10"/>
      <c r="M165" s="10"/>
      <c r="N165" s="10"/>
      <c r="O165" s="10"/>
      <c r="P165" s="10"/>
      <c r="Q165" s="10"/>
      <c r="R165" s="10"/>
      <c r="S165" s="10"/>
      <c r="T165" s="11"/>
    </row>
    <row r="166" spans="1:20">
      <c r="A166" s="9" t="s">
        <v>854</v>
      </c>
      <c r="B166" s="10"/>
      <c r="C166" s="10"/>
      <c r="D166" s="73">
        <f>1-D165</f>
        <v>5.0000000000000044E-2</v>
      </c>
      <c r="E166" s="10"/>
      <c r="F166" s="10" t="s">
        <v>856</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860</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858</v>
      </c>
      <c r="B171" s="10"/>
      <c r="C171" s="10"/>
      <c r="D171" s="63"/>
      <c r="E171" s="10">
        <v>1</v>
      </c>
      <c r="F171" s="10"/>
      <c r="G171" s="10"/>
      <c r="H171" s="10"/>
      <c r="I171" s="10"/>
      <c r="J171" s="81"/>
      <c r="K171" s="10"/>
      <c r="L171" s="10"/>
      <c r="M171" s="10"/>
      <c r="N171" s="10"/>
      <c r="O171" s="10"/>
      <c r="P171" s="10"/>
      <c r="Q171" s="10"/>
      <c r="R171" s="10"/>
      <c r="S171" s="10"/>
      <c r="T171" s="11"/>
    </row>
    <row r="172" spans="1:20">
      <c r="A172" s="9" t="s">
        <v>859</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857</v>
      </c>
    </row>
    <row r="176" spans="1:20" ht="15.75" thickBot="1"/>
    <row r="177" spans="1:20">
      <c r="A177" s="35" t="s">
        <v>861</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821</v>
      </c>
      <c r="B180" s="10"/>
      <c r="C180" s="10"/>
      <c r="D180" s="10"/>
      <c r="E180" s="10"/>
      <c r="F180" s="10">
        <v>0</v>
      </c>
      <c r="G180" s="10"/>
      <c r="H180" s="10"/>
      <c r="I180" s="10"/>
      <c r="J180" s="10"/>
      <c r="K180" s="10"/>
      <c r="L180" s="10"/>
      <c r="M180" s="10"/>
      <c r="N180" s="10"/>
      <c r="O180" s="10"/>
      <c r="P180" s="10"/>
      <c r="Q180" s="10"/>
      <c r="R180" s="10"/>
      <c r="S180" s="10"/>
      <c r="T180" s="11"/>
    </row>
    <row r="181" spans="1:20">
      <c r="A181" s="18" t="s">
        <v>822</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847</v>
      </c>
      <c r="B183" s="10"/>
      <c r="C183" s="10"/>
      <c r="D183" s="10"/>
      <c r="E183" s="10"/>
      <c r="F183" s="10"/>
      <c r="G183" s="10"/>
      <c r="H183" s="10"/>
      <c r="I183" s="10"/>
      <c r="J183" s="10"/>
      <c r="K183" s="10"/>
      <c r="L183" s="10"/>
      <c r="M183" s="10"/>
      <c r="N183" s="10"/>
      <c r="O183" s="10"/>
      <c r="P183" s="10"/>
      <c r="Q183" s="10"/>
      <c r="R183" s="10"/>
      <c r="S183" s="10"/>
      <c r="T183" s="11"/>
    </row>
    <row r="184" spans="1:20">
      <c r="A184" s="9" t="s">
        <v>848</v>
      </c>
      <c r="B184" s="10"/>
      <c r="C184" s="10"/>
      <c r="D184" s="10"/>
      <c r="E184" s="10"/>
      <c r="F184" s="10"/>
      <c r="G184" s="10"/>
      <c r="H184" s="10"/>
      <c r="I184" s="10"/>
      <c r="J184" s="10"/>
      <c r="K184" s="10"/>
      <c r="L184" s="10"/>
      <c r="M184" s="10"/>
      <c r="N184" s="10"/>
      <c r="O184" s="10"/>
      <c r="P184" s="10"/>
      <c r="Q184" s="10"/>
      <c r="R184" s="10"/>
      <c r="S184" s="10"/>
      <c r="T184" s="11"/>
    </row>
    <row r="185" spans="1:20">
      <c r="A185" s="9" t="s">
        <v>849</v>
      </c>
      <c r="B185" s="10"/>
      <c r="C185" s="10"/>
      <c r="D185" s="10"/>
      <c r="E185" s="10"/>
      <c r="F185" s="10"/>
      <c r="G185" s="10"/>
      <c r="H185" s="10"/>
      <c r="I185" s="10"/>
      <c r="J185" s="10"/>
      <c r="K185" s="10"/>
      <c r="L185" s="10"/>
      <c r="M185" s="10"/>
      <c r="N185" s="10"/>
      <c r="O185" s="10"/>
      <c r="P185" s="10"/>
      <c r="Q185" s="10"/>
      <c r="R185" s="10"/>
      <c r="S185" s="10"/>
      <c r="T185" s="11"/>
    </row>
    <row r="186" spans="1:20">
      <c r="A186" s="9" t="s">
        <v>851</v>
      </c>
      <c r="B186" s="10"/>
      <c r="C186" s="10"/>
      <c r="D186" s="10"/>
      <c r="E186" s="10"/>
      <c r="F186" s="10"/>
      <c r="G186" s="10"/>
      <c r="H186" s="10"/>
      <c r="I186" s="10"/>
      <c r="J186" s="10"/>
      <c r="K186" s="10"/>
      <c r="L186" s="10"/>
      <c r="M186" s="10"/>
      <c r="N186" s="10"/>
      <c r="O186" s="10"/>
      <c r="P186" s="10"/>
      <c r="Q186" s="10"/>
      <c r="R186" s="10"/>
      <c r="S186" s="10"/>
      <c r="T186" s="11"/>
    </row>
    <row r="187" spans="1:20">
      <c r="A187" s="18" t="s">
        <v>850</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852</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853</v>
      </c>
      <c r="B190" s="10"/>
      <c r="C190" s="10"/>
      <c r="D190" s="15">
        <v>0</v>
      </c>
      <c r="E190" s="10"/>
      <c r="F190" s="10" t="s">
        <v>855</v>
      </c>
      <c r="G190" s="10"/>
      <c r="H190" s="10"/>
      <c r="I190" s="10"/>
      <c r="J190" s="15">
        <v>0</v>
      </c>
      <c r="K190" s="10"/>
      <c r="L190" s="10"/>
      <c r="M190" s="10"/>
      <c r="N190" s="10"/>
      <c r="O190" s="10"/>
      <c r="P190" s="10"/>
      <c r="Q190" s="10"/>
      <c r="R190" s="10"/>
      <c r="S190" s="10"/>
      <c r="T190" s="11"/>
    </row>
    <row r="191" spans="1:20">
      <c r="A191" s="9" t="s">
        <v>854</v>
      </c>
      <c r="B191" s="10"/>
      <c r="C191" s="10"/>
      <c r="D191" s="73">
        <f>1-D190</f>
        <v>1</v>
      </c>
      <c r="E191" s="10"/>
      <c r="F191" s="10" t="s">
        <v>856</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860</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858</v>
      </c>
      <c r="B196" s="10"/>
      <c r="C196" s="10"/>
      <c r="D196" s="63"/>
      <c r="E196" s="10">
        <v>2</v>
      </c>
      <c r="F196" s="10"/>
      <c r="G196" s="10"/>
      <c r="H196" s="10"/>
      <c r="I196" s="10"/>
      <c r="J196" s="81"/>
      <c r="K196" s="10"/>
      <c r="L196" s="10"/>
      <c r="M196" s="10"/>
      <c r="N196" s="10"/>
      <c r="O196" s="10"/>
      <c r="P196" s="10"/>
      <c r="Q196" s="10"/>
      <c r="R196" s="10"/>
      <c r="S196" s="10"/>
      <c r="T196" s="11"/>
    </row>
    <row r="197" spans="1:20">
      <c r="A197" s="9" t="s">
        <v>859</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80" priority="145" operator="lessThan">
      <formula>0</formula>
    </cfRule>
    <cfRule type="cellIs" dxfId="79" priority="146" operator="lessThan">
      <formula>0</formula>
    </cfRule>
  </conditionalFormatting>
  <conditionalFormatting sqref="L57:L78 T57:T78 AB57:AB78 AJ57:AJ83 AR57:AR77 AR79:AR83 AZ57:AZ75 BH57:BH82 BO57:BO74">
    <cfRule type="cellIs" dxfId="78"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zoomScale="80" zoomScaleNormal="80" workbookViewId="0">
      <selection activeCell="G10" sqref="G10"/>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862</v>
      </c>
    </row>
    <row r="3" spans="1:27" ht="15.75" thickBot="1">
      <c r="A3" s="62" t="s">
        <v>867</v>
      </c>
    </row>
    <row r="4" spans="1:27">
      <c r="A4" s="35" t="s">
        <v>868</v>
      </c>
      <c r="B4" s="7"/>
      <c r="C4" s="7"/>
      <c r="D4" s="7"/>
      <c r="E4" s="7"/>
      <c r="F4" s="7"/>
      <c r="G4" s="7"/>
      <c r="H4" s="7"/>
      <c r="I4" s="7"/>
      <c r="J4" s="7"/>
      <c r="K4" s="7"/>
      <c r="L4" s="7"/>
      <c r="M4" s="7"/>
      <c r="N4" s="7"/>
      <c r="O4" s="7"/>
      <c r="P4" s="7"/>
      <c r="Q4" s="7"/>
      <c r="R4" s="7"/>
      <c r="S4" s="7"/>
      <c r="T4" s="7"/>
      <c r="U4" s="7"/>
      <c r="V4" s="7"/>
      <c r="W4" s="7"/>
      <c r="X4" s="7"/>
      <c r="Y4" s="7"/>
      <c r="Z4" s="7"/>
      <c r="AA4" s="8"/>
    </row>
    <row r="5" spans="1:27">
      <c r="A5" s="9" t="s">
        <v>869</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870</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871</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359</v>
      </c>
      <c r="O9" s="10"/>
      <c r="P9" s="10"/>
      <c r="Q9" s="10"/>
      <c r="R9" s="10"/>
      <c r="S9" s="10"/>
      <c r="T9" s="10"/>
      <c r="U9" s="10"/>
      <c r="V9" s="10"/>
      <c r="W9" s="10"/>
      <c r="X9" s="10"/>
      <c r="Y9" s="10"/>
      <c r="Z9" s="10"/>
      <c r="AA9" s="11"/>
    </row>
    <row r="10" spans="1:27">
      <c r="A10" s="9" t="s">
        <v>863</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864</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866</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872</v>
      </c>
      <c r="B15" s="10"/>
      <c r="C15" s="10"/>
      <c r="D15" s="10"/>
      <c r="E15" s="10"/>
      <c r="F15" s="69">
        <f>(Landfilling!E29+Landfilling!E30)*'MRF &amp; RDF Sorting'!B59</f>
        <v>0</v>
      </c>
      <c r="G15" s="10"/>
      <c r="H15" s="10" t="s">
        <v>889</v>
      </c>
      <c r="I15" s="10"/>
      <c r="J15" s="10"/>
      <c r="K15" s="10"/>
      <c r="L15" s="69">
        <f>(Landfilling!E29+Landfilling!E30)*'MRF &amp; RDF Sorting'!B118</f>
        <v>0</v>
      </c>
      <c r="M15" s="10"/>
      <c r="N15" s="10" t="s">
        <v>898</v>
      </c>
      <c r="O15" s="10"/>
      <c r="P15" s="10"/>
      <c r="Q15" s="10"/>
      <c r="R15" s="10"/>
      <c r="S15" s="69">
        <f>(Landfilling!E29+Landfilling!E30)*'MRF &amp; RDF Sorting'!B60</f>
        <v>0</v>
      </c>
      <c r="T15" s="10"/>
      <c r="U15" s="10" t="s">
        <v>907</v>
      </c>
      <c r="V15" s="10"/>
      <c r="W15" s="10"/>
      <c r="X15" s="10"/>
      <c r="Y15" s="10"/>
      <c r="Z15" s="10">
        <f>(Landfilling!E29+Landfilling!E30)*'MRF &amp; RDF Sorting'!B119</f>
        <v>0</v>
      </c>
      <c r="AA15" s="11"/>
    </row>
    <row r="16" spans="1:27">
      <c r="A16" s="9" t="s">
        <v>873</v>
      </c>
      <c r="B16" s="10"/>
      <c r="C16" s="10"/>
      <c r="D16" s="10"/>
      <c r="E16" s="10"/>
      <c r="F16" s="69">
        <f>(Landfilling!K29+Landfilling!K30)*'MRF &amp; RDF Sorting'!C59</f>
        <v>0</v>
      </c>
      <c r="G16" s="10"/>
      <c r="H16" s="10" t="s">
        <v>890</v>
      </c>
      <c r="I16" s="10"/>
      <c r="J16" s="10"/>
      <c r="K16" s="10"/>
      <c r="L16" s="69">
        <f>(Landfilling!K29+Landfilling!K30)*'MRF &amp; RDF Sorting'!C118</f>
        <v>0</v>
      </c>
      <c r="M16" s="10"/>
      <c r="N16" s="10" t="s">
        <v>899</v>
      </c>
      <c r="O16" s="10"/>
      <c r="P16" s="10"/>
      <c r="Q16" s="10"/>
      <c r="R16" s="10"/>
      <c r="S16" s="69">
        <f>(Landfilling!K29+Landfilling!K30)*'MRF &amp; RDF Sorting'!C60</f>
        <v>0</v>
      </c>
      <c r="T16" s="10"/>
      <c r="U16" s="10" t="s">
        <v>908</v>
      </c>
      <c r="V16" s="10"/>
      <c r="W16" s="10"/>
      <c r="X16" s="10"/>
      <c r="Y16" s="10"/>
      <c r="Z16" s="10">
        <f>(Landfilling!K29+Landfilling!K30)*'MRF &amp; RDF Sorting'!C119</f>
        <v>0</v>
      </c>
      <c r="AA16" s="11"/>
    </row>
    <row r="17" spans="1:27">
      <c r="A17" s="9" t="s">
        <v>874</v>
      </c>
      <c r="B17" s="10"/>
      <c r="C17" s="10"/>
      <c r="D17" s="10"/>
      <c r="E17" s="10"/>
      <c r="F17" s="69">
        <f>(Landfilling!S34+Landfilling!S35)*'MRF &amp; RDF Sorting'!D59</f>
        <v>0</v>
      </c>
      <c r="G17" s="10"/>
      <c r="H17" s="10" t="s">
        <v>891</v>
      </c>
      <c r="I17" s="10"/>
      <c r="J17" s="10"/>
      <c r="K17" s="10"/>
      <c r="L17" s="69">
        <f>(Landfilling!S34+Landfilling!S35)*'MRF &amp; RDF Sorting'!D118</f>
        <v>0</v>
      </c>
      <c r="M17" s="10"/>
      <c r="N17" s="10" t="s">
        <v>900</v>
      </c>
      <c r="O17" s="10"/>
      <c r="P17" s="10"/>
      <c r="Q17" s="10"/>
      <c r="R17" s="10"/>
      <c r="S17" s="69">
        <f>(Landfilling!S34+Landfilling!S35)*'MRF &amp; RDF Sorting'!D60</f>
        <v>0</v>
      </c>
      <c r="T17" s="10"/>
      <c r="U17" s="10" t="s">
        <v>909</v>
      </c>
      <c r="V17" s="10"/>
      <c r="W17" s="10"/>
      <c r="X17" s="10"/>
      <c r="Y17" s="10"/>
      <c r="Z17" s="10">
        <f>(Landfilling!S34+Landfilling!S35)*'MRF &amp; RDF Sorting'!D119</f>
        <v>0</v>
      </c>
      <c r="AA17" s="11"/>
    </row>
    <row r="18" spans="1:27">
      <c r="A18" s="9" t="s">
        <v>875</v>
      </c>
      <c r="B18" s="10"/>
      <c r="C18" s="10"/>
      <c r="D18" s="10"/>
      <c r="E18" s="10"/>
      <c r="F18" s="69">
        <f>(Landfilling!AA27+Landfilling!AA28)*'MRF &amp; RDF Sorting'!E59</f>
        <v>0</v>
      </c>
      <c r="G18" s="10"/>
      <c r="H18" s="10" t="s">
        <v>892</v>
      </c>
      <c r="I18" s="10"/>
      <c r="J18" s="10"/>
      <c r="K18" s="10"/>
      <c r="L18" s="69">
        <f>(Landfilling!AA27+Landfilling!AA28)*'MRF &amp; RDF Sorting'!E118</f>
        <v>0</v>
      </c>
      <c r="M18" s="10"/>
      <c r="N18" s="10" t="s">
        <v>901</v>
      </c>
      <c r="O18" s="10"/>
      <c r="P18" s="10"/>
      <c r="Q18" s="10"/>
      <c r="R18" s="10"/>
      <c r="S18" s="69">
        <f>(Landfilling!AA27+Landfilling!AA28)*'MRF &amp; RDF Sorting'!E60</f>
        <v>0</v>
      </c>
      <c r="T18" s="10"/>
      <c r="U18" s="10" t="s">
        <v>910</v>
      </c>
      <c r="V18" s="10"/>
      <c r="W18" s="10"/>
      <c r="X18" s="10"/>
      <c r="Y18" s="10"/>
      <c r="Z18" s="10">
        <f>(Landfilling!AA27+Landfilling!AA28)*'MRF &amp; RDF Sorting'!E119</f>
        <v>0</v>
      </c>
      <c r="AA18" s="11"/>
    </row>
    <row r="19" spans="1:27">
      <c r="A19" s="9" t="s">
        <v>876</v>
      </c>
      <c r="B19" s="10"/>
      <c r="C19" s="10"/>
      <c r="D19" s="10"/>
      <c r="E19" s="10"/>
      <c r="F19" s="69">
        <f>(Landfilling!AI27+Landfilling!AI28)*'MRF &amp; RDF Sorting'!F59</f>
        <v>0</v>
      </c>
      <c r="G19" s="10"/>
      <c r="H19" s="10" t="s">
        <v>893</v>
      </c>
      <c r="I19" s="10"/>
      <c r="J19" s="10"/>
      <c r="K19" s="10"/>
      <c r="L19" s="69">
        <f>(Landfilling!AI27+Landfilling!AI28)*'MRF &amp; RDF Sorting'!F118</f>
        <v>0</v>
      </c>
      <c r="M19" s="10"/>
      <c r="N19" s="10" t="s">
        <v>902</v>
      </c>
      <c r="O19" s="10"/>
      <c r="P19" s="10"/>
      <c r="Q19" s="10"/>
      <c r="R19" s="10"/>
      <c r="S19" s="69">
        <f>(Landfilling!AI27+Landfilling!AI28)*'MRF &amp; RDF Sorting'!F60</f>
        <v>0</v>
      </c>
      <c r="T19" s="10"/>
      <c r="U19" s="10" t="s">
        <v>911</v>
      </c>
      <c r="V19" s="10"/>
      <c r="W19" s="10"/>
      <c r="X19" s="10"/>
      <c r="Y19" s="10"/>
      <c r="Z19" s="10">
        <f>(Landfilling!AI27+Landfilling!AI28)*'MRF &amp; RDF Sorting'!F119</f>
        <v>0</v>
      </c>
      <c r="AA19" s="11"/>
    </row>
    <row r="20" spans="1:27">
      <c r="A20" s="9" t="s">
        <v>877</v>
      </c>
      <c r="B20" s="10"/>
      <c r="C20" s="10"/>
      <c r="D20" s="10"/>
      <c r="E20" s="10"/>
      <c r="F20" s="69">
        <f>(Landfilling!AQ27+Landfilling!AQ28)*'MRF &amp; RDF Sorting'!G59</f>
        <v>0</v>
      </c>
      <c r="G20" s="10"/>
      <c r="H20" s="10" t="s">
        <v>894</v>
      </c>
      <c r="I20" s="10"/>
      <c r="J20" s="10"/>
      <c r="K20" s="10"/>
      <c r="L20" s="69">
        <f>(Landfilling!AQ27+Landfilling!AQ28)*'MRF &amp; RDF Sorting'!G118</f>
        <v>0</v>
      </c>
      <c r="M20" s="10"/>
      <c r="N20" s="10" t="s">
        <v>903</v>
      </c>
      <c r="O20" s="10"/>
      <c r="P20" s="10"/>
      <c r="Q20" s="10"/>
      <c r="R20" s="10"/>
      <c r="S20" s="69">
        <f>(Landfilling!AQ27+Landfilling!AQ28)*'MRF &amp; RDF Sorting'!G60</f>
        <v>0</v>
      </c>
      <c r="T20" s="10"/>
      <c r="U20" s="10" t="s">
        <v>912</v>
      </c>
      <c r="V20" s="10"/>
      <c r="W20" s="10"/>
      <c r="X20" s="10"/>
      <c r="Y20" s="10"/>
      <c r="Z20" s="10">
        <f>(Landfilling!AQ27+Landfilling!AQ28)*'MRF &amp; RDF Sorting'!G119</f>
        <v>0</v>
      </c>
      <c r="AA20" s="11"/>
    </row>
    <row r="21" spans="1:27">
      <c r="A21" s="9" t="s">
        <v>878</v>
      </c>
      <c r="B21" s="10"/>
      <c r="C21" s="10"/>
      <c r="D21" s="10"/>
      <c r="E21" s="10"/>
      <c r="F21" s="69">
        <f>(Landfilling!AY27+Landfilling!AY28)*'MRF &amp; RDF Sorting'!H59</f>
        <v>0</v>
      </c>
      <c r="G21" s="10"/>
      <c r="H21" s="10" t="s">
        <v>895</v>
      </c>
      <c r="I21" s="10"/>
      <c r="J21" s="10"/>
      <c r="K21" s="10"/>
      <c r="L21" s="69">
        <f>(Landfilling!AY27+Landfilling!AY28)*'MRF &amp; RDF Sorting'!H118</f>
        <v>0</v>
      </c>
      <c r="M21" s="10"/>
      <c r="N21" s="10" t="s">
        <v>904</v>
      </c>
      <c r="O21" s="10"/>
      <c r="P21" s="10"/>
      <c r="Q21" s="10"/>
      <c r="R21" s="10"/>
      <c r="S21" s="69">
        <f>(Landfilling!AY27+Landfilling!AY28)*'MRF &amp; RDF Sorting'!H60</f>
        <v>0</v>
      </c>
      <c r="T21" s="10"/>
      <c r="U21" s="10" t="s">
        <v>913</v>
      </c>
      <c r="V21" s="10"/>
      <c r="W21" s="10"/>
      <c r="X21" s="10"/>
      <c r="Y21" s="10"/>
      <c r="Z21" s="10">
        <f>(Landfilling!AY27+Landfilling!AY28)*'MRF &amp; RDF Sorting'!H119</f>
        <v>0</v>
      </c>
      <c r="AA21" s="11"/>
    </row>
    <row r="22" spans="1:27">
      <c r="A22" s="9" t="s">
        <v>879</v>
      </c>
      <c r="B22" s="10"/>
      <c r="C22" s="10"/>
      <c r="D22" s="10"/>
      <c r="E22" s="10"/>
      <c r="F22" s="69">
        <f>(Landfilling!BG28+Landfilling!BG29)*'MRF &amp; RDF Sorting'!I59</f>
        <v>0</v>
      </c>
      <c r="G22" s="10"/>
      <c r="H22" s="10" t="s">
        <v>896</v>
      </c>
      <c r="I22" s="10"/>
      <c r="J22" s="10"/>
      <c r="K22" s="10"/>
      <c r="L22" s="69">
        <f>(Landfilling!BG28+Landfilling!BG29)*'MRF &amp; RDF Sorting'!I118</f>
        <v>0</v>
      </c>
      <c r="M22" s="10"/>
      <c r="N22" s="10" t="s">
        <v>905</v>
      </c>
      <c r="O22" s="10"/>
      <c r="P22" s="10"/>
      <c r="Q22" s="10"/>
      <c r="R22" s="10"/>
      <c r="S22" s="69">
        <f>(Landfilling!BG28+Landfilling!BG29)*'MRF &amp; RDF Sorting'!I60</f>
        <v>0</v>
      </c>
      <c r="T22" s="10"/>
      <c r="U22" s="10" t="s">
        <v>914</v>
      </c>
      <c r="V22" s="10"/>
      <c r="W22" s="10"/>
      <c r="X22" s="10"/>
      <c r="Y22" s="10"/>
      <c r="Z22" s="10">
        <f>(Landfilling!BG28+Landfilling!BG29)*'MRF &amp; RDF Sorting'!I119</f>
        <v>0</v>
      </c>
      <c r="AA22" s="11"/>
    </row>
    <row r="23" spans="1:27">
      <c r="A23" s="9" t="s">
        <v>880</v>
      </c>
      <c r="B23" s="10"/>
      <c r="C23" s="10"/>
      <c r="D23" s="10"/>
      <c r="E23" s="10"/>
      <c r="F23" s="69">
        <f>(Landfilling!BO27+Landfilling!BO28)*'MRF &amp; RDF Sorting'!J59</f>
        <v>0</v>
      </c>
      <c r="G23" s="10"/>
      <c r="H23" s="10" t="s">
        <v>897</v>
      </c>
      <c r="I23" s="10"/>
      <c r="J23" s="10"/>
      <c r="K23" s="10"/>
      <c r="L23" s="69">
        <f>(Landfilling!BO27+Landfilling!BO28)*'MRF &amp; RDF Sorting'!J118</f>
        <v>0</v>
      </c>
      <c r="M23" s="10"/>
      <c r="N23" s="10" t="s">
        <v>906</v>
      </c>
      <c r="O23" s="10"/>
      <c r="P23" s="10"/>
      <c r="Q23" s="10"/>
      <c r="R23" s="10"/>
      <c r="S23" s="69">
        <f>(Landfilling!BO27+Landfilling!BO28)*'MRF &amp; RDF Sorting'!J60</f>
        <v>0</v>
      </c>
      <c r="T23" s="10"/>
      <c r="U23" s="10" t="s">
        <v>915</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916</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917</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918</v>
      </c>
    </row>
    <row r="29" spans="1:27">
      <c r="A29" s="35" t="s">
        <v>919</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922</v>
      </c>
      <c r="G31" s="10" t="s">
        <v>921</v>
      </c>
      <c r="H31" s="10" t="s">
        <v>11</v>
      </c>
      <c r="I31" s="10"/>
      <c r="J31" s="10"/>
      <c r="K31" s="10"/>
      <c r="L31" s="10"/>
      <c r="M31" s="10"/>
      <c r="N31" s="10"/>
      <c r="O31" s="11"/>
    </row>
    <row r="32" spans="1:27" ht="15.75" thickBot="1">
      <c r="A32" s="12" t="s">
        <v>920</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923</v>
      </c>
    </row>
    <row r="35" spans="1:19">
      <c r="A35" s="35" t="s">
        <v>924</v>
      </c>
      <c r="B35" s="7"/>
      <c r="C35" s="7"/>
      <c r="D35" s="7"/>
      <c r="E35" s="7"/>
      <c r="F35" s="7"/>
      <c r="G35" s="7"/>
      <c r="H35" s="7"/>
      <c r="I35" s="7"/>
      <c r="J35" s="7"/>
      <c r="K35" s="7"/>
      <c r="L35" s="7"/>
      <c r="M35" s="7"/>
      <c r="N35" s="7"/>
      <c r="O35" s="7"/>
      <c r="P35" s="7"/>
      <c r="Q35" s="7"/>
      <c r="R35" s="7"/>
      <c r="S35" s="8"/>
    </row>
    <row r="36" spans="1:19">
      <c r="A36" s="9" t="s">
        <v>925</v>
      </c>
      <c r="B36" s="10"/>
      <c r="C36" s="10"/>
      <c r="D36" s="10"/>
      <c r="E36" s="10"/>
      <c r="F36" s="10"/>
      <c r="G36" s="10"/>
      <c r="H36" s="10"/>
      <c r="I36" s="10"/>
      <c r="J36" s="10"/>
      <c r="K36" s="10"/>
      <c r="L36" s="10"/>
      <c r="M36" s="10"/>
      <c r="N36" s="10"/>
      <c r="O36" s="10"/>
      <c r="P36" s="10"/>
      <c r="Q36" s="10"/>
      <c r="R36" s="10"/>
      <c r="S36" s="11"/>
    </row>
    <row r="37" spans="1:19">
      <c r="A37" s="9" t="s">
        <v>926</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359</v>
      </c>
      <c r="L39" s="10"/>
      <c r="M39" s="10"/>
      <c r="N39" s="10"/>
      <c r="O39" s="10"/>
      <c r="P39" s="10"/>
      <c r="Q39" s="10"/>
      <c r="R39" s="10"/>
      <c r="S39" s="11"/>
    </row>
    <row r="40" spans="1:19" ht="15.75" thickBot="1">
      <c r="A40" s="12" t="s">
        <v>927</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928</v>
      </c>
    </row>
    <row r="43" spans="1:19">
      <c r="A43" s="35" t="s">
        <v>929</v>
      </c>
      <c r="B43" s="7"/>
      <c r="C43" s="7"/>
      <c r="D43" s="7"/>
      <c r="E43" s="7"/>
      <c r="F43" s="7"/>
      <c r="G43" s="7"/>
      <c r="H43" s="7"/>
      <c r="I43" s="7"/>
      <c r="J43" s="7"/>
      <c r="K43" s="7"/>
      <c r="L43" s="7"/>
      <c r="M43" s="8"/>
    </row>
    <row r="44" spans="1:19">
      <c r="A44" s="9" t="s">
        <v>930</v>
      </c>
      <c r="B44" s="10"/>
      <c r="C44" s="10"/>
      <c r="D44" s="10"/>
      <c r="E44" s="10"/>
      <c r="F44" s="10"/>
      <c r="G44" s="10"/>
      <c r="H44" s="10"/>
      <c r="I44" s="10"/>
      <c r="J44" s="10"/>
      <c r="K44" s="10"/>
      <c r="L44" s="10"/>
      <c r="M44" s="11"/>
    </row>
    <row r="45" spans="1:19">
      <c r="A45" s="9" t="s">
        <v>931</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359</v>
      </c>
      <c r="M47" s="11"/>
    </row>
    <row r="48" spans="1:19">
      <c r="A48" s="9" t="s">
        <v>932</v>
      </c>
      <c r="B48" s="10"/>
      <c r="C48" s="10"/>
      <c r="D48" s="10"/>
      <c r="E48" s="10">
        <v>1</v>
      </c>
      <c r="F48" s="10">
        <v>1</v>
      </c>
      <c r="G48" s="10">
        <v>1</v>
      </c>
      <c r="H48" s="10">
        <v>1</v>
      </c>
      <c r="I48" s="10">
        <v>1</v>
      </c>
      <c r="J48" s="10">
        <v>1</v>
      </c>
      <c r="K48" s="10">
        <v>1</v>
      </c>
      <c r="L48" s="10">
        <v>1</v>
      </c>
      <c r="M48" s="11"/>
    </row>
    <row r="49" spans="1:13">
      <c r="A49" s="9" t="s">
        <v>933</v>
      </c>
      <c r="B49" s="10"/>
      <c r="C49" s="10"/>
      <c r="D49" s="10"/>
      <c r="E49" s="10">
        <v>2</v>
      </c>
      <c r="F49" s="10">
        <v>2</v>
      </c>
      <c r="G49" s="10">
        <v>2</v>
      </c>
      <c r="H49" s="10">
        <v>2</v>
      </c>
      <c r="I49" s="10">
        <v>2</v>
      </c>
      <c r="J49" s="10">
        <v>2</v>
      </c>
      <c r="K49" s="10">
        <v>2</v>
      </c>
      <c r="L49" s="10">
        <v>2</v>
      </c>
      <c r="M49" s="11"/>
    </row>
    <row r="50" spans="1:13">
      <c r="A50" s="9" t="s">
        <v>934</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468" zoomScale="60" zoomScaleNormal="60" workbookViewId="0">
      <pane xSplit="1" topLeftCell="B1" activePane="topRight" state="frozen"/>
      <selection activeCell="A125" sqref="A125"/>
      <selection pane="topRight" activeCell="H485" sqref="H485"/>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935</v>
      </c>
    </row>
    <row r="2" spans="1:23">
      <c r="A2" t="s">
        <v>936</v>
      </c>
    </row>
    <row r="3" spans="1:23">
      <c r="A3" t="s">
        <v>937</v>
      </c>
    </row>
    <row r="5" spans="1:23">
      <c r="A5" s="62" t="s">
        <v>940</v>
      </c>
    </row>
    <row r="6" spans="1:23" ht="15.75" thickBot="1"/>
    <row r="7" spans="1:23">
      <c r="A7" s="75" t="s">
        <v>938</v>
      </c>
      <c r="B7" s="7"/>
      <c r="C7" s="7"/>
      <c r="D7" s="7"/>
      <c r="E7" s="7"/>
      <c r="F7" s="7"/>
      <c r="G7" s="7"/>
      <c r="H7" s="7"/>
      <c r="I7" s="7"/>
      <c r="J7" s="7"/>
      <c r="K7" s="7"/>
      <c r="L7" s="7"/>
      <c r="M7" s="7"/>
      <c r="N7" s="7"/>
      <c r="O7" s="7"/>
      <c r="P7" s="7"/>
      <c r="Q7" s="7"/>
      <c r="R7" s="7"/>
      <c r="S7" s="7"/>
      <c r="T7" s="7"/>
      <c r="U7" s="7"/>
      <c r="V7" s="7"/>
      <c r="W7" s="8"/>
    </row>
    <row r="8" spans="1:23">
      <c r="A8" s="9" t="s">
        <v>939</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942</v>
      </c>
      <c r="F10" s="10" t="s">
        <v>943</v>
      </c>
      <c r="G10" s="10" t="s">
        <v>944</v>
      </c>
      <c r="H10" s="10" t="s">
        <v>945</v>
      </c>
      <c r="I10" s="10" t="s">
        <v>946</v>
      </c>
      <c r="J10" s="10" t="s">
        <v>947</v>
      </c>
      <c r="K10" s="10"/>
      <c r="L10" s="10"/>
      <c r="M10" s="10"/>
      <c r="N10" s="10"/>
      <c r="O10" s="10"/>
      <c r="P10" s="10"/>
      <c r="Q10" s="10"/>
      <c r="R10" s="10"/>
      <c r="S10" s="10"/>
      <c r="T10" s="10"/>
      <c r="U10" s="10"/>
      <c r="V10" s="10"/>
      <c r="W10" s="11"/>
    </row>
    <row r="11" spans="1:23">
      <c r="A11" s="9" t="s">
        <v>941</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948</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949</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950</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951</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942</v>
      </c>
      <c r="F19" s="10" t="s">
        <v>943</v>
      </c>
      <c r="G19" s="10" t="s">
        <v>944</v>
      </c>
      <c r="H19" s="10" t="s">
        <v>945</v>
      </c>
      <c r="I19" s="10" t="s">
        <v>946</v>
      </c>
      <c r="J19" s="10" t="s">
        <v>947</v>
      </c>
      <c r="K19" s="10" t="s">
        <v>952</v>
      </c>
      <c r="L19" s="10"/>
      <c r="M19" s="10"/>
      <c r="N19" s="10"/>
      <c r="O19" s="10"/>
      <c r="P19" s="10"/>
      <c r="Q19" s="10"/>
      <c r="R19" s="10"/>
      <c r="S19" s="10"/>
      <c r="T19" s="10"/>
      <c r="U19" s="10"/>
      <c r="V19" s="10"/>
      <c r="W19" s="11"/>
    </row>
    <row r="20" spans="1:23">
      <c r="A20" s="9"/>
      <c r="B20" s="10"/>
      <c r="C20" s="10"/>
      <c r="D20" s="10" t="s">
        <v>276</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953</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954</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955</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956</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957</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958</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959</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960</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961</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962</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963</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964</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965</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966</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967</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968</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969</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973</v>
      </c>
      <c r="C47" s="10"/>
      <c r="D47" s="10"/>
      <c r="E47" s="10"/>
      <c r="F47" s="10"/>
      <c r="G47" s="10"/>
      <c r="H47" s="10"/>
      <c r="I47" s="10"/>
      <c r="J47" s="10"/>
      <c r="K47" s="10"/>
      <c r="L47" s="10"/>
      <c r="M47" s="10"/>
      <c r="N47" s="10"/>
      <c r="O47" s="10"/>
      <c r="P47" s="10"/>
      <c r="Q47" s="10"/>
      <c r="R47" s="10"/>
      <c r="S47" s="10"/>
      <c r="T47" s="10"/>
      <c r="U47" s="10"/>
      <c r="V47" s="10"/>
      <c r="W47" s="11"/>
    </row>
    <row r="48" spans="1:23">
      <c r="A48" s="9" t="s">
        <v>970</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971</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972</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974</v>
      </c>
    </row>
    <row r="54" spans="1:24" ht="15.75" thickBot="1"/>
    <row r="55" spans="1:24">
      <c r="A55" s="75" t="s">
        <v>975</v>
      </c>
      <c r="B55" s="7"/>
      <c r="C55" s="7"/>
      <c r="D55" s="7"/>
      <c r="E55" s="7"/>
      <c r="F55" s="7"/>
      <c r="G55" s="7"/>
      <c r="H55" s="7"/>
      <c r="I55" s="7"/>
      <c r="J55" s="7"/>
      <c r="K55" s="7"/>
      <c r="L55" s="7"/>
      <c r="M55" s="7"/>
      <c r="N55" s="7"/>
      <c r="O55" s="7"/>
      <c r="P55" s="7"/>
      <c r="Q55" s="7"/>
      <c r="R55" s="7"/>
      <c r="S55" s="7"/>
      <c r="T55" s="7"/>
      <c r="U55" s="7"/>
      <c r="V55" s="7"/>
      <c r="W55" s="7"/>
      <c r="X55" s="8"/>
    </row>
    <row r="56" spans="1:24">
      <c r="A56" s="9" t="s">
        <v>976</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977</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978</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1321</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979</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980</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981</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982</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983</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984</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985</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986</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998</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987</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988</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989</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990</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991</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992</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993</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995</v>
      </c>
      <c r="E80" s="10" t="s">
        <v>996</v>
      </c>
      <c r="F80" s="10" t="s">
        <v>91</v>
      </c>
      <c r="G80" s="10"/>
      <c r="H80" s="10"/>
      <c r="I80" s="10"/>
      <c r="J80" s="10"/>
      <c r="K80" s="10"/>
      <c r="L80" s="10"/>
      <c r="M80" s="10"/>
      <c r="N80" s="10"/>
      <c r="O80" s="10"/>
      <c r="P80" s="10"/>
      <c r="Q80" s="10"/>
      <c r="R80" s="10"/>
      <c r="S80" s="10"/>
      <c r="T80" s="10"/>
      <c r="U80" s="10"/>
      <c r="V80" s="10"/>
      <c r="W80" s="10"/>
      <c r="X80" s="11"/>
    </row>
    <row r="81" spans="1:24">
      <c r="A81" s="9" t="s">
        <v>994</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997</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998</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999</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1000</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1001</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1002</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1003</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1004</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1034</v>
      </c>
    </row>
    <row r="94" spans="1:24" ht="15.75" thickBot="1"/>
    <row r="95" spans="1:24">
      <c r="A95" s="75" t="s">
        <v>1035</v>
      </c>
      <c r="B95" s="7"/>
      <c r="C95" s="7"/>
      <c r="D95" s="7"/>
      <c r="E95" s="7"/>
      <c r="F95" s="7"/>
      <c r="G95" s="7"/>
      <c r="H95" s="7"/>
      <c r="I95" s="7"/>
      <c r="J95" s="7"/>
      <c r="K95" s="7"/>
      <c r="L95" s="7"/>
      <c r="M95" s="7"/>
      <c r="N95" s="7"/>
      <c r="O95" s="7"/>
      <c r="P95" s="7"/>
      <c r="Q95" s="7"/>
      <c r="R95" s="7"/>
      <c r="S95" s="7"/>
      <c r="T95" s="8"/>
    </row>
    <row r="96" spans="1:24">
      <c r="A96" s="9" t="s">
        <v>1036</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359</v>
      </c>
      <c r="K98" s="10"/>
      <c r="L98" s="10"/>
      <c r="M98" s="10"/>
      <c r="N98" s="10"/>
      <c r="O98" s="10"/>
      <c r="P98" s="10"/>
      <c r="Q98" s="10"/>
      <c r="R98" s="10"/>
      <c r="S98" s="10"/>
      <c r="T98" s="11"/>
    </row>
    <row r="99" spans="1:20">
      <c r="A99" s="9" t="s">
        <v>1037</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1038</v>
      </c>
      <c r="B104" s="7"/>
      <c r="C104" s="7"/>
      <c r="D104" s="7"/>
      <c r="E104" s="7"/>
      <c r="F104" s="7"/>
      <c r="G104" s="7"/>
      <c r="H104" s="7"/>
      <c r="I104" s="8"/>
    </row>
    <row r="105" spans="1:20">
      <c r="A105" s="9" t="s">
        <v>1039</v>
      </c>
      <c r="B105" s="10">
        <v>277.77999999999997</v>
      </c>
      <c r="C105" s="10"/>
      <c r="D105" s="10"/>
      <c r="E105" s="10"/>
      <c r="F105" s="10"/>
      <c r="G105" s="10"/>
      <c r="H105" s="10"/>
      <c r="I105" s="11"/>
    </row>
    <row r="106" spans="1:20">
      <c r="A106" s="9" t="s">
        <v>1040</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1041</v>
      </c>
      <c r="B108" s="10"/>
      <c r="C108" s="10"/>
      <c r="D108" s="10"/>
      <c r="E108" s="10"/>
      <c r="F108" s="10"/>
      <c r="G108" s="10"/>
      <c r="H108" s="10"/>
      <c r="I108" s="11"/>
    </row>
    <row r="109" spans="1:20">
      <c r="A109" s="18" t="s">
        <v>1042</v>
      </c>
      <c r="B109" s="10"/>
      <c r="C109" s="10"/>
      <c r="D109" s="10"/>
      <c r="E109" s="10"/>
      <c r="F109" s="10"/>
      <c r="G109" s="10"/>
      <c r="H109" s="10"/>
      <c r="I109" s="11"/>
    </row>
    <row r="110" spans="1:20">
      <c r="A110" s="9"/>
      <c r="B110" s="10"/>
      <c r="C110" s="10"/>
      <c r="D110" s="10"/>
      <c r="E110" s="10"/>
      <c r="F110" s="10"/>
      <c r="G110" s="10"/>
      <c r="H110" s="10"/>
      <c r="I110" s="11"/>
    </row>
    <row r="111" spans="1:20">
      <c r="A111" s="18" t="s">
        <v>1043</v>
      </c>
      <c r="B111" s="10"/>
      <c r="C111" s="10"/>
      <c r="D111" s="10"/>
      <c r="E111" s="10"/>
      <c r="F111" s="10"/>
      <c r="G111" s="10"/>
      <c r="H111" s="10"/>
      <c r="I111" s="11"/>
    </row>
    <row r="112" spans="1:20">
      <c r="A112" s="18" t="s">
        <v>1044</v>
      </c>
      <c r="B112" s="10"/>
      <c r="C112" s="10">
        <v>1</v>
      </c>
      <c r="D112" s="10"/>
      <c r="E112" s="10"/>
      <c r="F112" s="10"/>
      <c r="G112" s="10"/>
      <c r="H112" s="10"/>
      <c r="I112" s="11"/>
    </row>
    <row r="113" spans="1:9">
      <c r="A113" s="18" t="s">
        <v>1045</v>
      </c>
      <c r="B113" s="10"/>
      <c r="C113" s="10">
        <v>21</v>
      </c>
      <c r="D113" s="10"/>
      <c r="E113" s="10"/>
      <c r="F113" s="10"/>
      <c r="G113" s="10"/>
      <c r="H113" s="10"/>
      <c r="I113" s="11"/>
    </row>
    <row r="114" spans="1:9">
      <c r="A114" s="18" t="s">
        <v>1046</v>
      </c>
      <c r="B114" s="10"/>
      <c r="C114" s="10">
        <v>310</v>
      </c>
      <c r="D114" s="10"/>
      <c r="E114" s="10"/>
      <c r="F114" s="10"/>
      <c r="G114" s="10"/>
      <c r="H114" s="10"/>
      <c r="I114" s="11"/>
    </row>
    <row r="115" spans="1:9">
      <c r="A115" s="9"/>
      <c r="B115" s="10"/>
      <c r="C115" s="10"/>
      <c r="D115" s="10"/>
      <c r="E115" s="10"/>
      <c r="F115" s="10"/>
      <c r="G115" s="10"/>
      <c r="H115" s="10"/>
      <c r="I115" s="11"/>
    </row>
    <row r="116" spans="1:9">
      <c r="A116" s="9" t="s">
        <v>1047</v>
      </c>
      <c r="B116" s="10"/>
      <c r="C116" s="10"/>
      <c r="D116" s="10"/>
      <c r="E116" s="10"/>
      <c r="F116" s="10"/>
      <c r="G116" s="10"/>
      <c r="H116" s="10"/>
      <c r="I116" s="11"/>
    </row>
    <row r="117" spans="1:9">
      <c r="A117" s="9"/>
      <c r="B117" s="10"/>
      <c r="C117" s="10"/>
      <c r="D117" s="10"/>
      <c r="E117" s="10"/>
      <c r="F117" s="10"/>
      <c r="G117" s="10"/>
      <c r="H117" s="10"/>
      <c r="I117" s="11"/>
    </row>
    <row r="118" spans="1:9">
      <c r="A118" s="9" t="s">
        <v>1049</v>
      </c>
      <c r="B118" s="10"/>
      <c r="C118" s="10"/>
      <c r="D118" s="10"/>
      <c r="E118" s="10"/>
      <c r="F118" s="10"/>
      <c r="G118" s="10"/>
      <c r="H118" s="10"/>
      <c r="I118" s="11"/>
    </row>
    <row r="119" spans="1:9">
      <c r="A119" s="18" t="s">
        <v>1044</v>
      </c>
      <c r="B119" s="10"/>
      <c r="C119" s="10">
        <v>1</v>
      </c>
      <c r="D119" s="10"/>
      <c r="E119" s="10"/>
      <c r="F119" s="10"/>
      <c r="G119" s="10"/>
      <c r="H119" s="10"/>
      <c r="I119" s="11"/>
    </row>
    <row r="120" spans="1:9">
      <c r="A120" s="18" t="s">
        <v>1045</v>
      </c>
      <c r="B120" s="10"/>
      <c r="C120" s="10">
        <v>62</v>
      </c>
      <c r="D120" s="10"/>
      <c r="E120" s="10"/>
      <c r="F120" s="10"/>
      <c r="G120" s="10"/>
      <c r="H120" s="10"/>
      <c r="I120" s="11"/>
    </row>
    <row r="121" spans="1:9">
      <c r="A121" s="18" t="s">
        <v>1046</v>
      </c>
      <c r="B121" s="10"/>
      <c r="C121" s="10">
        <v>290</v>
      </c>
      <c r="D121" s="10"/>
      <c r="E121" s="10"/>
      <c r="F121" s="10"/>
      <c r="G121" s="10"/>
      <c r="H121" s="10"/>
      <c r="I121" s="11"/>
    </row>
    <row r="122" spans="1:9">
      <c r="A122" s="9"/>
      <c r="B122" s="10"/>
      <c r="C122" s="10"/>
      <c r="D122" s="10"/>
      <c r="E122" s="10"/>
      <c r="F122" s="10"/>
      <c r="G122" s="10"/>
      <c r="H122" s="10"/>
      <c r="I122" s="11"/>
    </row>
    <row r="123" spans="1:9">
      <c r="A123" s="9" t="s">
        <v>1048</v>
      </c>
      <c r="B123" s="10"/>
      <c r="C123" s="10"/>
      <c r="D123" s="10"/>
      <c r="E123" s="10"/>
      <c r="F123" s="10"/>
      <c r="G123" s="10"/>
      <c r="H123" s="10"/>
      <c r="I123" s="11"/>
    </row>
    <row r="124" spans="1:9">
      <c r="A124" s="18" t="s">
        <v>1044</v>
      </c>
      <c r="B124" s="10"/>
      <c r="C124" s="10">
        <v>1</v>
      </c>
      <c r="D124" s="10"/>
      <c r="E124" s="10"/>
      <c r="F124" s="10"/>
      <c r="G124" s="10"/>
      <c r="H124" s="10"/>
      <c r="I124" s="11"/>
    </row>
    <row r="125" spans="1:9">
      <c r="A125" s="18" t="s">
        <v>1045</v>
      </c>
      <c r="B125" s="10"/>
      <c r="C125" s="10">
        <v>7.5</v>
      </c>
      <c r="D125" s="10"/>
      <c r="E125" s="10"/>
      <c r="F125" s="10"/>
      <c r="G125" s="10"/>
      <c r="H125" s="10"/>
      <c r="I125" s="11"/>
    </row>
    <row r="126" spans="1:9">
      <c r="A126" s="18" t="s">
        <v>1046</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1322</v>
      </c>
    </row>
    <row r="130" spans="1:37">
      <c r="A130" s="2" t="s">
        <v>1421</v>
      </c>
    </row>
    <row r="131" spans="1:37">
      <c r="A131" t="s">
        <v>1367</v>
      </c>
    </row>
    <row r="132" spans="1:37">
      <c r="A132" t="s">
        <v>1368</v>
      </c>
    </row>
    <row r="133" spans="1:37" ht="15.75" thickBot="1"/>
    <row r="134" spans="1:37">
      <c r="A134" s="93"/>
      <c r="B134" s="7"/>
      <c r="C134" s="78" t="s">
        <v>4</v>
      </c>
      <c r="D134" s="78" t="s">
        <v>5</v>
      </c>
      <c r="E134" s="78" t="s">
        <v>1323</v>
      </c>
      <c r="F134" s="78" t="s">
        <v>1324</v>
      </c>
      <c r="G134" s="78" t="s">
        <v>1325</v>
      </c>
      <c r="H134" s="78" t="s">
        <v>1326</v>
      </c>
      <c r="I134" s="79" t="s">
        <v>8</v>
      </c>
      <c r="J134" s="126" t="s">
        <v>1453</v>
      </c>
      <c r="K134" s="126" t="s">
        <v>1455</v>
      </c>
      <c r="L134" s="126" t="s">
        <v>1429</v>
      </c>
      <c r="M134" s="126" t="s">
        <v>1428</v>
      </c>
      <c r="N134" s="126" t="s">
        <v>1430</v>
      </c>
      <c r="O134" s="126" t="s">
        <v>330</v>
      </c>
      <c r="P134" s="126" t="s">
        <v>207</v>
      </c>
      <c r="R134" s="126" t="s">
        <v>1447</v>
      </c>
      <c r="T134" s="126" t="s">
        <v>1448</v>
      </c>
      <c r="U134" s="62" t="s">
        <v>1454</v>
      </c>
    </row>
    <row r="135" spans="1:37">
      <c r="A135" s="64" t="s">
        <v>1327</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1328</v>
      </c>
      <c r="B137" s="10"/>
      <c r="C137" s="10"/>
      <c r="D137" s="10"/>
      <c r="E137" s="10"/>
      <c r="F137" s="10"/>
      <c r="G137" s="10"/>
      <c r="H137" s="10"/>
      <c r="I137" s="11"/>
    </row>
    <row r="138" spans="1:37">
      <c r="A138" s="9" t="s">
        <v>1016</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1449</v>
      </c>
      <c r="T138">
        <v>0</v>
      </c>
      <c r="U138">
        <v>0.31929999999999997</v>
      </c>
      <c r="V138" t="s">
        <v>1456</v>
      </c>
    </row>
    <row r="139" spans="1:37">
      <c r="A139" s="9" t="s">
        <v>1015</v>
      </c>
      <c r="B139" s="10"/>
      <c r="C139" s="10">
        <v>-89</v>
      </c>
      <c r="D139" s="10">
        <v>975</v>
      </c>
      <c r="E139" s="10">
        <v>14170</v>
      </c>
      <c r="F139" s="10">
        <v>61377</v>
      </c>
      <c r="G139" s="10"/>
      <c r="H139" s="10">
        <v>320</v>
      </c>
      <c r="I139" s="11"/>
      <c r="J139" s="49">
        <v>0</v>
      </c>
      <c r="K139" s="49">
        <v>0</v>
      </c>
      <c r="L139">
        <v>0</v>
      </c>
      <c r="M139">
        <v>0</v>
      </c>
      <c r="N139">
        <v>0</v>
      </c>
      <c r="O139">
        <v>0</v>
      </c>
      <c r="R139">
        <v>0.8</v>
      </c>
      <c r="S139" t="s">
        <v>1450</v>
      </c>
      <c r="T139">
        <v>1.2500000000000001E-2</v>
      </c>
      <c r="U139">
        <v>18.067</v>
      </c>
      <c r="V139" t="s">
        <v>1456</v>
      </c>
    </row>
    <row r="140" spans="1:37">
      <c r="A140" s="9" t="s">
        <v>1329</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1422</v>
      </c>
      <c r="R140">
        <v>1964.29</v>
      </c>
      <c r="S140" t="s">
        <v>1451</v>
      </c>
      <c r="T140">
        <v>883.93</v>
      </c>
      <c r="U140">
        <v>21297.4</v>
      </c>
      <c r="V140" t="s">
        <v>1456</v>
      </c>
      <c r="AK140" t="s">
        <v>1423</v>
      </c>
    </row>
    <row r="141" spans="1:37" ht="16.5" customHeight="1">
      <c r="A141" s="9" t="s">
        <v>1330</v>
      </c>
      <c r="B141" s="10"/>
      <c r="C141" s="10">
        <v>-475</v>
      </c>
      <c r="D141" s="10">
        <v>60</v>
      </c>
      <c r="E141" s="10">
        <v>8880</v>
      </c>
      <c r="F141" s="10">
        <v>15853</v>
      </c>
      <c r="G141" s="10"/>
      <c r="H141" s="10"/>
      <c r="I141" s="11"/>
      <c r="J141" s="49">
        <v>0</v>
      </c>
      <c r="K141" s="49">
        <v>0</v>
      </c>
      <c r="P141">
        <v>0</v>
      </c>
      <c r="Q141" t="s">
        <v>1425</v>
      </c>
      <c r="R141">
        <v>0</v>
      </c>
      <c r="S141" t="s">
        <v>1452</v>
      </c>
      <c r="T141">
        <v>392.86</v>
      </c>
      <c r="U141">
        <v>3.3786</v>
      </c>
      <c r="V141" t="s">
        <v>1456</v>
      </c>
      <c r="AK141" t="s">
        <v>1424</v>
      </c>
    </row>
    <row r="142" spans="1:37">
      <c r="A142" s="9" t="s">
        <v>1020</v>
      </c>
      <c r="B142" s="10"/>
      <c r="C142" s="10">
        <v>-330</v>
      </c>
      <c r="D142" s="10">
        <v>-1380</v>
      </c>
      <c r="E142" s="10">
        <v>2830</v>
      </c>
      <c r="F142" s="10">
        <v>15107</v>
      </c>
      <c r="G142" s="10">
        <v>5610</v>
      </c>
      <c r="H142" s="10">
        <v>9011</v>
      </c>
      <c r="I142" s="11"/>
      <c r="J142" s="49">
        <v>0</v>
      </c>
      <c r="K142" s="49">
        <v>0</v>
      </c>
      <c r="L142">
        <v>0</v>
      </c>
      <c r="M142">
        <v>0</v>
      </c>
      <c r="N142">
        <v>0</v>
      </c>
      <c r="O142">
        <v>0</v>
      </c>
      <c r="P142">
        <v>1</v>
      </c>
      <c r="Q142" t="s">
        <v>1426</v>
      </c>
      <c r="R142">
        <v>0.1</v>
      </c>
      <c r="S142" t="s">
        <v>1451</v>
      </c>
      <c r="T142">
        <v>0</v>
      </c>
      <c r="U142">
        <v>85.382000000000005</v>
      </c>
      <c r="V142" t="s">
        <v>1456</v>
      </c>
    </row>
    <row r="143" spans="1:37">
      <c r="A143" s="9" t="s">
        <v>1332</v>
      </c>
      <c r="B143" s="10"/>
      <c r="C143" s="10">
        <v>-11.07</v>
      </c>
      <c r="D143" s="10">
        <v>0.46</v>
      </c>
      <c r="E143" s="10">
        <v>5.05</v>
      </c>
      <c r="F143" s="10">
        <v>39.69</v>
      </c>
      <c r="G143" s="10"/>
      <c r="H143" s="10">
        <v>-51.1</v>
      </c>
      <c r="I143" s="11"/>
      <c r="J143" s="49">
        <v>0</v>
      </c>
      <c r="K143" s="49">
        <v>0</v>
      </c>
      <c r="P143">
        <v>0</v>
      </c>
      <c r="R143">
        <v>0</v>
      </c>
      <c r="S143" t="s">
        <v>1451</v>
      </c>
      <c r="T143">
        <v>0</v>
      </c>
      <c r="U143">
        <v>68.548159999999996</v>
      </c>
      <c r="V143" t="s">
        <v>1456</v>
      </c>
    </row>
    <row r="144" spans="1:37">
      <c r="A144" s="9" t="s">
        <v>1407</v>
      </c>
      <c r="B144" s="10"/>
      <c r="C144" s="10">
        <v>2320</v>
      </c>
      <c r="D144" s="10">
        <v>2242</v>
      </c>
      <c r="E144" s="10">
        <v>3500</v>
      </c>
      <c r="F144" s="10">
        <v>53080</v>
      </c>
      <c r="G144" s="10">
        <v>-4870</v>
      </c>
      <c r="H144" s="10">
        <v>3998</v>
      </c>
      <c r="I144" s="11"/>
      <c r="J144" s="49">
        <v>0</v>
      </c>
      <c r="K144" s="49">
        <v>0</v>
      </c>
      <c r="L144">
        <v>0</v>
      </c>
      <c r="M144">
        <v>0</v>
      </c>
      <c r="N144">
        <v>0</v>
      </c>
      <c r="O144">
        <v>0</v>
      </c>
      <c r="P144">
        <v>2.5</v>
      </c>
      <c r="Q144" t="s">
        <v>1427</v>
      </c>
      <c r="R144">
        <v>2.5000000000000001E-2</v>
      </c>
      <c r="S144" t="s">
        <v>1451</v>
      </c>
      <c r="T144">
        <v>0</v>
      </c>
      <c r="U144">
        <v>57.319800000000001</v>
      </c>
      <c r="V144" t="s">
        <v>1456</v>
      </c>
    </row>
    <row r="145" spans="1:22">
      <c r="A145" s="9" t="s">
        <v>1013</v>
      </c>
      <c r="B145" s="10"/>
      <c r="C145" s="10">
        <v>-15.57</v>
      </c>
      <c r="D145" s="10">
        <v>58.5</v>
      </c>
      <c r="E145" s="10">
        <v>-43.6</v>
      </c>
      <c r="F145" s="10">
        <v>678.3</v>
      </c>
      <c r="G145" s="10"/>
      <c r="H145" s="10"/>
      <c r="I145" s="11"/>
      <c r="J145" s="49">
        <v>0</v>
      </c>
      <c r="K145" s="49">
        <v>0</v>
      </c>
      <c r="L145">
        <v>0</v>
      </c>
      <c r="M145">
        <v>0</v>
      </c>
      <c r="N145">
        <v>0</v>
      </c>
      <c r="O145">
        <v>0</v>
      </c>
      <c r="P145">
        <v>1.1000000000000001</v>
      </c>
      <c r="Q145" t="s">
        <v>1427</v>
      </c>
      <c r="R145">
        <v>1.2E-2</v>
      </c>
      <c r="S145" t="s">
        <v>1451</v>
      </c>
      <c r="T145">
        <v>6.5000000000000002E-2</v>
      </c>
      <c r="U145">
        <v>1.1057999999999999</v>
      </c>
      <c r="V145" t="s">
        <v>1456</v>
      </c>
    </row>
    <row r="146" spans="1:22">
      <c r="A146" s="9" t="s">
        <v>1334</v>
      </c>
      <c r="B146" s="10"/>
      <c r="C146" s="10">
        <f>-1.78</f>
        <v>-1.78</v>
      </c>
      <c r="D146" s="10">
        <v>-15.2</v>
      </c>
      <c r="E146" s="10">
        <v>-3.8</v>
      </c>
      <c r="F146" s="10">
        <v>60.5</v>
      </c>
      <c r="G146" s="10"/>
      <c r="H146" s="10">
        <v>0.99</v>
      </c>
      <c r="I146" s="11"/>
      <c r="J146" s="49">
        <v>0</v>
      </c>
      <c r="K146" s="49">
        <v>0</v>
      </c>
      <c r="P146">
        <v>2.0999999999999999E-3</v>
      </c>
      <c r="Q146" t="s">
        <v>1427</v>
      </c>
      <c r="R146">
        <v>2.0999999999999999E-5</v>
      </c>
      <c r="S146" t="s">
        <v>1451</v>
      </c>
      <c r="T146">
        <v>1.2999999999999999E-2</v>
      </c>
      <c r="U146">
        <v>0</v>
      </c>
      <c r="V146" t="s">
        <v>1456</v>
      </c>
    </row>
    <row r="147" spans="1:22">
      <c r="A147" s="9" t="s">
        <v>1335</v>
      </c>
      <c r="B147" s="10"/>
      <c r="C147" s="10">
        <v>-3.71</v>
      </c>
      <c r="D147" s="10"/>
      <c r="E147" s="10">
        <v>9.9</v>
      </c>
      <c r="F147" s="10"/>
      <c r="G147" s="10"/>
      <c r="H147" s="10"/>
      <c r="I147" s="11"/>
      <c r="J147" s="49">
        <v>0</v>
      </c>
      <c r="K147" s="49">
        <v>0</v>
      </c>
      <c r="P147">
        <v>3.3000000000000002E-2</v>
      </c>
      <c r="Q147" t="s">
        <v>1427</v>
      </c>
      <c r="R147">
        <v>3.3E-4</v>
      </c>
      <c r="S147" t="s">
        <v>1451</v>
      </c>
      <c r="T147">
        <v>0.2</v>
      </c>
      <c r="U147">
        <v>0</v>
      </c>
      <c r="V147" t="s">
        <v>1456</v>
      </c>
    </row>
    <row r="148" spans="1:22">
      <c r="A148" s="9" t="s">
        <v>1359</v>
      </c>
      <c r="B148" s="10"/>
      <c r="C148" s="10"/>
      <c r="D148" s="10"/>
      <c r="E148" s="10"/>
      <c r="F148" s="10"/>
      <c r="G148" s="10"/>
      <c r="H148" s="10"/>
      <c r="I148" s="11"/>
      <c r="J148" s="49">
        <v>0</v>
      </c>
      <c r="K148" s="49">
        <v>0</v>
      </c>
      <c r="P148">
        <v>2.3E-3</v>
      </c>
      <c r="Q148" t="s">
        <v>1427</v>
      </c>
      <c r="R148">
        <v>0.06</v>
      </c>
      <c r="S148" t="s">
        <v>1451</v>
      </c>
      <c r="T148">
        <v>2</v>
      </c>
      <c r="U148">
        <v>0</v>
      </c>
      <c r="V148" t="s">
        <v>1456</v>
      </c>
    </row>
    <row r="149" spans="1:22">
      <c r="A149" s="9" t="s">
        <v>1336</v>
      </c>
      <c r="B149" s="10"/>
      <c r="C149" s="10"/>
      <c r="D149" s="10"/>
      <c r="E149" s="10"/>
      <c r="F149" s="10"/>
      <c r="G149" s="10"/>
      <c r="H149" s="10"/>
      <c r="I149" s="11"/>
      <c r="J149" s="49">
        <v>0</v>
      </c>
      <c r="K149" s="49">
        <v>0</v>
      </c>
      <c r="P149">
        <v>7.2999999999999996E-4</v>
      </c>
      <c r="Q149" t="s">
        <v>1427</v>
      </c>
      <c r="R149">
        <v>0.01</v>
      </c>
      <c r="S149" t="s">
        <v>1451</v>
      </c>
      <c r="T149">
        <v>3.5000000000000003E-2</v>
      </c>
      <c r="U149">
        <v>0</v>
      </c>
      <c r="V149" t="s">
        <v>1456</v>
      </c>
    </row>
    <row r="150" spans="1:22">
      <c r="A150" s="9" t="s">
        <v>1014</v>
      </c>
      <c r="B150" s="10"/>
      <c r="C150" s="10"/>
      <c r="D150" s="10"/>
      <c r="E150" s="10"/>
      <c r="F150" s="10"/>
      <c r="G150" s="10"/>
      <c r="H150" s="10"/>
      <c r="I150" s="11"/>
      <c r="J150" s="49">
        <v>0</v>
      </c>
      <c r="K150" s="49">
        <v>0</v>
      </c>
      <c r="P150" s="142">
        <v>1E-8</v>
      </c>
      <c r="Q150" t="s">
        <v>1427</v>
      </c>
      <c r="R150">
        <v>8.0000000000000003E-10</v>
      </c>
      <c r="S150" t="s">
        <v>1451</v>
      </c>
      <c r="T150">
        <v>0</v>
      </c>
      <c r="U150">
        <v>1.028E-8</v>
      </c>
      <c r="V150" t="s">
        <v>1456</v>
      </c>
    </row>
    <row r="151" spans="1:22">
      <c r="A151" s="9" t="s">
        <v>1337</v>
      </c>
      <c r="B151" s="10"/>
      <c r="C151" s="10">
        <v>-93.878</v>
      </c>
      <c r="D151" s="10">
        <v>8.9499999999999993</v>
      </c>
      <c r="E151" s="10">
        <v>0.16</v>
      </c>
      <c r="F151" s="10">
        <v>13.234999999999999</v>
      </c>
      <c r="G151" s="10"/>
      <c r="H151" s="10"/>
      <c r="I151" s="11"/>
      <c r="J151" s="49">
        <v>0</v>
      </c>
      <c r="K151" s="49">
        <v>0</v>
      </c>
      <c r="P151">
        <v>0</v>
      </c>
      <c r="R151">
        <v>0</v>
      </c>
      <c r="S151" t="s">
        <v>1451</v>
      </c>
      <c r="T151">
        <v>0</v>
      </c>
      <c r="U151">
        <v>35.015500000000003</v>
      </c>
      <c r="V151" t="s">
        <v>1456</v>
      </c>
    </row>
    <row r="152" spans="1:22">
      <c r="A152" s="9" t="s">
        <v>1026</v>
      </c>
      <c r="B152" s="10"/>
      <c r="C152" s="10"/>
      <c r="D152" s="10">
        <v>61.69</v>
      </c>
      <c r="E152" s="10">
        <v>0</v>
      </c>
      <c r="F152" s="10"/>
      <c r="G152" s="10"/>
      <c r="H152" s="10"/>
      <c r="I152" s="11"/>
      <c r="J152" s="49">
        <v>0</v>
      </c>
      <c r="K152" s="49">
        <v>0</v>
      </c>
      <c r="L152">
        <v>0</v>
      </c>
      <c r="M152">
        <v>0</v>
      </c>
      <c r="N152">
        <v>0</v>
      </c>
      <c r="O152">
        <v>0</v>
      </c>
      <c r="P152">
        <v>0</v>
      </c>
      <c r="R152">
        <v>0</v>
      </c>
      <c r="S152" t="s">
        <v>1451</v>
      </c>
      <c r="T152">
        <v>0</v>
      </c>
      <c r="U152">
        <v>0</v>
      </c>
      <c r="V152" t="s">
        <v>1456</v>
      </c>
    </row>
    <row r="153" spans="1:22">
      <c r="A153" s="9" t="s">
        <v>1027</v>
      </c>
      <c r="B153" s="10"/>
      <c r="C153" s="10">
        <v>-8.1999999999999998E-4</v>
      </c>
      <c r="D153" s="10"/>
      <c r="E153" s="10">
        <v>0.10100000000000001</v>
      </c>
      <c r="F153" s="10"/>
      <c r="G153" s="10"/>
      <c r="H153" s="10"/>
      <c r="I153" s="11"/>
      <c r="J153" s="49">
        <v>0</v>
      </c>
      <c r="K153" s="49">
        <v>0</v>
      </c>
      <c r="L153">
        <v>0</v>
      </c>
      <c r="M153">
        <v>0</v>
      </c>
      <c r="N153">
        <v>0</v>
      </c>
      <c r="O153">
        <v>0</v>
      </c>
      <c r="P153">
        <f>9.4*10^-7</f>
        <v>9.4E-7</v>
      </c>
      <c r="Q153" t="s">
        <v>1427</v>
      </c>
      <c r="R153">
        <v>9.3999999999999998E-9</v>
      </c>
      <c r="S153" t="s">
        <v>1451</v>
      </c>
      <c r="T153">
        <v>5.5999999999999997E-6</v>
      </c>
      <c r="U153">
        <v>0</v>
      </c>
      <c r="V153" t="s">
        <v>1456</v>
      </c>
    </row>
    <row r="154" spans="1:22">
      <c r="A154" s="9" t="s">
        <v>1028</v>
      </c>
      <c r="B154" s="10"/>
      <c r="C154" s="10"/>
      <c r="D154" s="10">
        <v>2.8E-3</v>
      </c>
      <c r="E154" s="10">
        <v>-0.05</v>
      </c>
      <c r="F154" s="10"/>
      <c r="G154" s="10"/>
      <c r="H154" s="10"/>
      <c r="I154" s="11"/>
      <c r="J154" s="49">
        <v>0</v>
      </c>
      <c r="K154" s="49">
        <v>0</v>
      </c>
      <c r="L154">
        <v>0</v>
      </c>
      <c r="M154">
        <v>0</v>
      </c>
      <c r="N154">
        <v>0</v>
      </c>
      <c r="O154">
        <v>0</v>
      </c>
      <c r="P154">
        <f>1.1*10^-7</f>
        <v>1.1000000000000001E-7</v>
      </c>
      <c r="Q154" t="s">
        <v>1427</v>
      </c>
      <c r="R154">
        <v>1.0999999999999999E-9</v>
      </c>
      <c r="S154" t="s">
        <v>1451</v>
      </c>
      <c r="T154">
        <v>6.6000000000000003E-7</v>
      </c>
      <c r="U154">
        <v>0</v>
      </c>
      <c r="V154" t="s">
        <v>1456</v>
      </c>
    </row>
    <row r="155" spans="1:22">
      <c r="A155" s="9" t="s">
        <v>1029</v>
      </c>
      <c r="B155" s="10"/>
      <c r="C155" s="10"/>
      <c r="D155" s="10"/>
      <c r="E155" s="10">
        <v>-0.27</v>
      </c>
      <c r="F155" s="10"/>
      <c r="G155" s="10"/>
      <c r="H155" s="10"/>
      <c r="I155" s="11"/>
      <c r="J155" s="49">
        <v>0</v>
      </c>
      <c r="K155" s="49">
        <v>0</v>
      </c>
      <c r="L155">
        <v>0</v>
      </c>
      <c r="M155">
        <v>0</v>
      </c>
      <c r="N155">
        <v>0</v>
      </c>
      <c r="O155">
        <v>0</v>
      </c>
      <c r="P155">
        <v>0</v>
      </c>
      <c r="R155">
        <v>0</v>
      </c>
      <c r="S155" t="s">
        <v>1451</v>
      </c>
      <c r="T155">
        <v>0</v>
      </c>
      <c r="U155">
        <v>0</v>
      </c>
      <c r="V155" t="s">
        <v>1456</v>
      </c>
    </row>
    <row r="156" spans="1:22">
      <c r="A156" s="9" t="s">
        <v>1032</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1427</v>
      </c>
      <c r="R156">
        <v>8.5E-9</v>
      </c>
      <c r="S156" t="s">
        <v>1451</v>
      </c>
      <c r="T156">
        <v>5.1000000000000003E-6</v>
      </c>
      <c r="U156">
        <v>0</v>
      </c>
      <c r="V156" t="s">
        <v>1456</v>
      </c>
    </row>
    <row r="157" spans="1:22">
      <c r="A157" s="9" t="s">
        <v>1380</v>
      </c>
      <c r="B157" s="10"/>
      <c r="C157" s="10"/>
      <c r="D157" s="10"/>
      <c r="E157" s="10"/>
      <c r="F157" s="10"/>
      <c r="G157" s="10"/>
      <c r="H157" s="10"/>
      <c r="I157" s="11"/>
      <c r="J157" s="49">
        <v>0</v>
      </c>
      <c r="K157" s="49">
        <v>0</v>
      </c>
      <c r="P157">
        <v>0</v>
      </c>
      <c r="R157">
        <v>0</v>
      </c>
      <c r="S157" t="s">
        <v>1451</v>
      </c>
      <c r="T157">
        <v>0</v>
      </c>
      <c r="U157">
        <v>0</v>
      </c>
      <c r="V157" t="s">
        <v>1456</v>
      </c>
    </row>
    <row r="158" spans="1:22">
      <c r="A158" s="9" t="s">
        <v>1030</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1427</v>
      </c>
      <c r="R158">
        <v>6.8999999999999994E-11</v>
      </c>
      <c r="S158" t="s">
        <v>1451</v>
      </c>
      <c r="T158">
        <v>4.1000000000000003E-8</v>
      </c>
      <c r="U158">
        <v>0</v>
      </c>
      <c r="V158" t="s">
        <v>1456</v>
      </c>
    </row>
    <row r="159" spans="1:22">
      <c r="A159" s="9" t="s">
        <v>1031</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1451</v>
      </c>
      <c r="T159">
        <v>0</v>
      </c>
      <c r="U159">
        <v>0</v>
      </c>
      <c r="V159" t="s">
        <v>1456</v>
      </c>
    </row>
    <row r="160" spans="1:22">
      <c r="A160" s="9" t="s">
        <v>1033</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1427</v>
      </c>
      <c r="R160">
        <v>1.3E-7</v>
      </c>
      <c r="S160" t="s">
        <v>1451</v>
      </c>
      <c r="T160">
        <v>7.4999999999999993E-5</v>
      </c>
      <c r="U160">
        <v>0</v>
      </c>
      <c r="V160" t="s">
        <v>1456</v>
      </c>
    </row>
    <row r="161" spans="1:21">
      <c r="A161" s="149"/>
      <c r="B161" s="10" t="s">
        <v>1479</v>
      </c>
      <c r="C161" s="10"/>
      <c r="D161" s="10"/>
      <c r="E161" s="10"/>
      <c r="F161" s="10"/>
      <c r="G161" s="10"/>
      <c r="H161" s="10"/>
      <c r="I161" s="11"/>
    </row>
    <row r="162" spans="1:21">
      <c r="A162" s="64" t="s">
        <v>1338</v>
      </c>
      <c r="B162" s="10"/>
      <c r="C162" s="10"/>
      <c r="D162" s="10"/>
      <c r="E162" s="10"/>
      <c r="F162" s="10"/>
      <c r="G162" s="10"/>
      <c r="H162" s="10"/>
      <c r="I162" s="11"/>
      <c r="J162" t="s">
        <v>1464</v>
      </c>
      <c r="P162" t="s">
        <v>1464</v>
      </c>
    </row>
    <row r="163" spans="1:21">
      <c r="A163" s="9" t="s">
        <v>1339</v>
      </c>
      <c r="B163" s="10"/>
      <c r="C163" s="10">
        <v>-330</v>
      </c>
      <c r="D163" s="10">
        <v>0.19600000000000001</v>
      </c>
      <c r="E163" s="10">
        <v>0</v>
      </c>
      <c r="F163" s="10">
        <v>3.2793000000000001</v>
      </c>
      <c r="G163" s="10"/>
      <c r="H163" s="10">
        <v>-2265</v>
      </c>
      <c r="I163" s="11"/>
      <c r="J163" s="49">
        <v>81</v>
      </c>
      <c r="K163" s="49">
        <v>0</v>
      </c>
      <c r="P163">
        <v>19</v>
      </c>
      <c r="U163">
        <v>0</v>
      </c>
    </row>
    <row r="164" spans="1:21">
      <c r="A164" s="9" t="s">
        <v>1340</v>
      </c>
      <c r="B164" s="10"/>
      <c r="C164" s="10">
        <v>47660</v>
      </c>
      <c r="D164" s="10">
        <v>4.2300000000000004</v>
      </c>
      <c r="E164" s="10">
        <v>5</v>
      </c>
      <c r="F164" s="10">
        <v>81.53</v>
      </c>
      <c r="G164" s="10"/>
      <c r="H164" s="10">
        <v>-4420</v>
      </c>
      <c r="I164" s="11"/>
      <c r="J164" s="49">
        <v>137</v>
      </c>
      <c r="K164" s="49">
        <v>0</v>
      </c>
      <c r="P164">
        <v>73</v>
      </c>
      <c r="U164">
        <v>0</v>
      </c>
    </row>
    <row r="165" spans="1:21">
      <c r="A165" s="9" t="s">
        <v>1341</v>
      </c>
      <c r="B165" s="10"/>
      <c r="C165" s="10">
        <v>-3030</v>
      </c>
      <c r="D165" s="10">
        <v>6964</v>
      </c>
      <c r="E165" s="10">
        <v>220</v>
      </c>
      <c r="F165" s="10">
        <v>4580</v>
      </c>
      <c r="G165" s="10"/>
      <c r="H165" s="10"/>
      <c r="I165" s="11"/>
      <c r="J165" s="49">
        <v>0</v>
      </c>
      <c r="K165" s="49">
        <v>0</v>
      </c>
      <c r="P165">
        <v>0</v>
      </c>
      <c r="U165">
        <v>0</v>
      </c>
    </row>
    <row r="166" spans="1:21">
      <c r="A166" s="9" t="s">
        <v>1342</v>
      </c>
      <c r="B166" s="10"/>
      <c r="C166" s="10">
        <v>-2939.9</v>
      </c>
      <c r="D166" s="10">
        <v>-12.225</v>
      </c>
      <c r="E166" s="10">
        <v>23</v>
      </c>
      <c r="F166" s="10">
        <v>630</v>
      </c>
      <c r="G166" s="10"/>
      <c r="H166" s="10"/>
      <c r="I166" s="11"/>
      <c r="J166" s="49">
        <v>0</v>
      </c>
      <c r="K166" s="49">
        <v>0</v>
      </c>
      <c r="P166">
        <v>0</v>
      </c>
      <c r="U166">
        <v>0</v>
      </c>
    </row>
    <row r="167" spans="1:21">
      <c r="A167" s="9" t="s">
        <v>1343</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1344</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1345</v>
      </c>
      <c r="B169" s="10"/>
      <c r="C169" s="10"/>
      <c r="D169" s="10"/>
      <c r="E169" s="10"/>
      <c r="F169" s="10"/>
      <c r="G169" s="10"/>
      <c r="H169" s="10"/>
      <c r="I169" s="11"/>
      <c r="J169" s="49">
        <v>0</v>
      </c>
      <c r="K169" s="49">
        <v>0</v>
      </c>
      <c r="P169">
        <v>0</v>
      </c>
      <c r="U169">
        <v>0</v>
      </c>
    </row>
    <row r="170" spans="1:21">
      <c r="A170" s="9" t="s">
        <v>1346</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1347</v>
      </c>
      <c r="B171" s="10"/>
      <c r="C171" s="10">
        <v>-50.5</v>
      </c>
      <c r="D171" s="10">
        <v>7.6</v>
      </c>
      <c r="E171" s="10">
        <v>1635</v>
      </c>
      <c r="F171" s="10">
        <v>2385.9</v>
      </c>
      <c r="G171" s="10"/>
      <c r="H171" s="10"/>
      <c r="I171" s="11"/>
      <c r="J171" s="49">
        <v>0</v>
      </c>
      <c r="K171" s="49">
        <v>0</v>
      </c>
      <c r="P171">
        <v>0</v>
      </c>
      <c r="U171">
        <v>0</v>
      </c>
    </row>
    <row r="172" spans="1:21">
      <c r="A172" s="9" t="s">
        <v>1348</v>
      </c>
      <c r="B172" s="10"/>
      <c r="C172" s="10">
        <v>-15.04</v>
      </c>
      <c r="D172" s="10">
        <v>31.9</v>
      </c>
      <c r="E172" s="10">
        <v>5.36</v>
      </c>
      <c r="F172" s="10">
        <v>74.61</v>
      </c>
      <c r="G172" s="10"/>
      <c r="H172" s="10"/>
      <c r="I172" s="11"/>
      <c r="J172" s="49">
        <v>14</v>
      </c>
      <c r="K172" s="49">
        <v>0</v>
      </c>
      <c r="P172">
        <v>29</v>
      </c>
      <c r="U172">
        <v>0</v>
      </c>
    </row>
    <row r="173" spans="1:21">
      <c r="A173" s="9" t="s">
        <v>1026</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1349</v>
      </c>
      <c r="B174" s="10"/>
      <c r="C174" s="10">
        <v>-9.77</v>
      </c>
      <c r="D174" s="10">
        <v>6.2</v>
      </c>
      <c r="E174" s="10">
        <v>141.6</v>
      </c>
      <c r="F174" s="10">
        <v>341.71</v>
      </c>
      <c r="G174" s="10"/>
      <c r="H174" s="10"/>
      <c r="I174" s="11"/>
      <c r="J174" s="49">
        <v>0</v>
      </c>
      <c r="K174" s="49">
        <v>0</v>
      </c>
      <c r="P174">
        <v>0</v>
      </c>
      <c r="U174">
        <v>0</v>
      </c>
    </row>
    <row r="175" spans="1:21">
      <c r="A175" s="9" t="s">
        <v>1027</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1350</v>
      </c>
      <c r="B176" s="10"/>
      <c r="C176" s="10">
        <v>-15860</v>
      </c>
      <c r="D176" s="140">
        <v>9149</v>
      </c>
      <c r="E176" s="140">
        <v>97</v>
      </c>
      <c r="F176" s="140">
        <v>5009</v>
      </c>
      <c r="G176" s="10"/>
      <c r="H176" s="10">
        <v>702.1</v>
      </c>
      <c r="I176" s="141">
        <v>28847.404110719999</v>
      </c>
      <c r="J176" s="49">
        <v>0</v>
      </c>
      <c r="K176" s="49">
        <v>0</v>
      </c>
      <c r="P176">
        <v>0</v>
      </c>
      <c r="U176">
        <v>0</v>
      </c>
    </row>
    <row r="177" spans="1:21">
      <c r="A177" s="9" t="s">
        <v>1028</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1029</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1351</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1352</v>
      </c>
      <c r="B180" s="10"/>
      <c r="C180" s="10"/>
      <c r="D180" s="10"/>
      <c r="E180" s="140">
        <v>0</v>
      </c>
      <c r="F180" s="10">
        <v>2.71</v>
      </c>
      <c r="G180" s="10"/>
      <c r="H180" s="10"/>
      <c r="I180" s="11"/>
      <c r="J180" s="49">
        <v>0</v>
      </c>
      <c r="K180" s="49">
        <v>0</v>
      </c>
      <c r="P180">
        <v>0</v>
      </c>
      <c r="U180">
        <v>0</v>
      </c>
    </row>
    <row r="181" spans="1:21">
      <c r="A181" s="9" t="s">
        <v>1353</v>
      </c>
      <c r="B181" s="10"/>
      <c r="C181" s="10">
        <v>-40.9</v>
      </c>
      <c r="D181" s="10">
        <v>9.4499999999999993</v>
      </c>
      <c r="E181" s="140">
        <v>223</v>
      </c>
      <c r="F181" s="10">
        <v>844</v>
      </c>
      <c r="G181" s="10"/>
      <c r="H181" s="10"/>
      <c r="I181" s="141">
        <v>3507.2324798576001</v>
      </c>
      <c r="J181" s="49">
        <v>0</v>
      </c>
      <c r="K181" s="49">
        <v>0</v>
      </c>
      <c r="P181">
        <v>0</v>
      </c>
      <c r="U181">
        <v>0</v>
      </c>
    </row>
    <row r="182" spans="1:21">
      <c r="A182" s="9" t="s">
        <v>1032</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1030</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1031</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1354</v>
      </c>
      <c r="B185" s="10"/>
      <c r="C185" s="10">
        <v>-835.93</v>
      </c>
      <c r="D185" s="10">
        <v>1.46</v>
      </c>
      <c r="E185" s="140">
        <v>-0.95</v>
      </c>
      <c r="F185" s="10">
        <v>89.61</v>
      </c>
      <c r="G185" s="10"/>
      <c r="H185" s="10">
        <v>8.94</v>
      </c>
      <c r="I185" s="141">
        <v>76.788708082528004</v>
      </c>
      <c r="J185" s="49">
        <v>0</v>
      </c>
      <c r="K185" s="49">
        <v>0</v>
      </c>
      <c r="P185">
        <v>0</v>
      </c>
      <c r="U185">
        <v>0</v>
      </c>
    </row>
    <row r="186" spans="1:21">
      <c r="A186" s="9" t="s">
        <v>1355</v>
      </c>
      <c r="B186" s="10"/>
      <c r="C186" s="10">
        <v>-23.12</v>
      </c>
      <c r="D186" s="10">
        <v>0.6</v>
      </c>
      <c r="E186" s="140">
        <v>98.1</v>
      </c>
      <c r="F186" s="10">
        <v>141.80000000000001</v>
      </c>
      <c r="G186" s="10"/>
      <c r="H186" s="10"/>
      <c r="I186" s="141">
        <v>154.14265057578399</v>
      </c>
      <c r="J186" s="49">
        <v>0</v>
      </c>
      <c r="K186" s="49">
        <v>0</v>
      </c>
      <c r="P186">
        <v>0</v>
      </c>
      <c r="U186">
        <v>0</v>
      </c>
    </row>
    <row r="187" spans="1:21">
      <c r="A187" s="9" t="s">
        <v>1356</v>
      </c>
      <c r="B187" s="10"/>
      <c r="C187" s="10">
        <v>-8164</v>
      </c>
      <c r="D187" s="10">
        <v>293</v>
      </c>
      <c r="E187" s="140">
        <v>5980</v>
      </c>
      <c r="F187" s="10">
        <v>16889</v>
      </c>
      <c r="G187" s="10"/>
      <c r="H187" s="10"/>
      <c r="I187" s="141">
        <v>29556.112002559999</v>
      </c>
      <c r="J187" s="49">
        <v>0</v>
      </c>
      <c r="K187" s="49">
        <v>0</v>
      </c>
      <c r="P187">
        <v>0</v>
      </c>
      <c r="U187">
        <v>0</v>
      </c>
    </row>
    <row r="188" spans="1:21">
      <c r="A188" s="9" t="s">
        <v>1357</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1033</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1358</v>
      </c>
      <c r="B191" s="13"/>
      <c r="C191" s="13">
        <v>-197.76</v>
      </c>
      <c r="D191" s="13">
        <v>29.03</v>
      </c>
      <c r="E191" s="13">
        <v>56.8</v>
      </c>
      <c r="F191" s="13">
        <v>985.7</v>
      </c>
      <c r="G191" s="13">
        <v>-92.2</v>
      </c>
      <c r="H191" s="13">
        <v>-184.1</v>
      </c>
      <c r="I191" s="14"/>
      <c r="J191" t="s">
        <v>1393</v>
      </c>
      <c r="K191">
        <v>55.551475914629002</v>
      </c>
      <c r="L191" t="s">
        <v>1394</v>
      </c>
    </row>
    <row r="192" spans="1:21">
      <c r="A192" s="65"/>
      <c r="B192" s="10"/>
      <c r="C192" s="10"/>
      <c r="D192" s="10"/>
      <c r="E192" s="10"/>
      <c r="F192" s="10"/>
      <c r="G192" s="10"/>
      <c r="H192" s="10"/>
      <c r="I192" s="10"/>
    </row>
    <row r="193" spans="1:9">
      <c r="A193" s="62" t="s">
        <v>1379</v>
      </c>
    </row>
    <row r="194" spans="1:9">
      <c r="A194" s="62" t="s">
        <v>1389</v>
      </c>
    </row>
    <row r="195" spans="1:9">
      <c r="A195" s="132" t="s">
        <v>1391</v>
      </c>
    </row>
    <row r="196" spans="1:9">
      <c r="A196" s="62"/>
    </row>
    <row r="197" spans="1:9" ht="15.75" thickBot="1">
      <c r="A197" s="62"/>
    </row>
    <row r="198" spans="1:9">
      <c r="A198" s="93"/>
      <c r="B198" s="78"/>
      <c r="C198" s="78" t="s">
        <v>1302</v>
      </c>
      <c r="D198" s="78" t="s">
        <v>1369</v>
      </c>
      <c r="E198" s="78" t="s">
        <v>1370</v>
      </c>
      <c r="F198" s="78" t="s">
        <v>944</v>
      </c>
      <c r="G198" s="78" t="s">
        <v>1371</v>
      </c>
      <c r="H198" s="78" t="s">
        <v>946</v>
      </c>
      <c r="I198" s="79" t="s">
        <v>947</v>
      </c>
    </row>
    <row r="199" spans="1:9">
      <c r="A199" s="64" t="s">
        <v>1376</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1377</v>
      </c>
      <c r="B201" s="10"/>
      <c r="C201" s="10"/>
      <c r="D201" s="10"/>
      <c r="E201" s="10"/>
      <c r="F201" s="10"/>
      <c r="G201" s="10"/>
      <c r="H201" s="10"/>
      <c r="I201" s="11"/>
    </row>
    <row r="202" spans="1:9">
      <c r="A202" s="9" t="s">
        <v>1016</v>
      </c>
      <c r="B202" s="10"/>
      <c r="C202" s="10" t="s">
        <v>1378</v>
      </c>
      <c r="D202" s="10">
        <v>0.49304999999999999</v>
      </c>
      <c r="E202" s="10">
        <v>0.50095999999999996</v>
      </c>
      <c r="F202" s="10">
        <v>0.101896</v>
      </c>
      <c r="G202" s="49">
        <v>2.2298399999999999E-2</v>
      </c>
      <c r="H202" s="49">
        <v>4.8688000000000004E-3</v>
      </c>
      <c r="I202" s="11">
        <v>0</v>
      </c>
    </row>
    <row r="203" spans="1:9">
      <c r="A203" s="9" t="s">
        <v>1015</v>
      </c>
      <c r="B203" s="10"/>
      <c r="C203" s="10" t="s">
        <v>1378</v>
      </c>
      <c r="D203" s="10">
        <v>3.5624999999999997E-2</v>
      </c>
      <c r="E203" s="10">
        <v>3.2983999999999999E-2</v>
      </c>
      <c r="F203" s="10">
        <v>6.0433000000000001E-2</v>
      </c>
      <c r="G203" s="49">
        <v>9.1313999999999996E-3</v>
      </c>
      <c r="H203" s="49">
        <v>1.5368000000000001E-3</v>
      </c>
      <c r="I203" s="11">
        <v>0</v>
      </c>
    </row>
    <row r="204" spans="1:9">
      <c r="A204" s="9" t="s">
        <v>1329</v>
      </c>
      <c r="B204" s="10"/>
      <c r="C204" s="10" t="s">
        <v>1378</v>
      </c>
      <c r="D204" s="49">
        <v>279.01499999999999</v>
      </c>
      <c r="E204" s="49">
        <v>334.8</v>
      </c>
      <c r="F204" s="49">
        <v>238.48</v>
      </c>
      <c r="G204" s="49">
        <v>262.31400000000002</v>
      </c>
      <c r="H204" s="49">
        <v>1.5531200000000001</v>
      </c>
      <c r="I204" s="11">
        <v>0</v>
      </c>
    </row>
    <row r="205" spans="1:9">
      <c r="A205" s="9" t="s">
        <v>1330</v>
      </c>
      <c r="B205" s="10"/>
      <c r="C205" s="10" t="s">
        <v>1378</v>
      </c>
      <c r="D205" s="49">
        <v>1.2141</v>
      </c>
      <c r="E205" s="49">
        <v>6.4976000000000006E-2</v>
      </c>
      <c r="F205" s="49">
        <v>0.29809999999999998</v>
      </c>
      <c r="G205" s="49">
        <v>0.60192000000000001</v>
      </c>
      <c r="H205" s="49">
        <v>3.7536000000000002E-3</v>
      </c>
      <c r="I205" s="11">
        <v>0</v>
      </c>
    </row>
    <row r="206" spans="1:9">
      <c r="A206" s="9" t="s">
        <v>1020</v>
      </c>
      <c r="B206" s="10"/>
      <c r="C206" s="10" t="s">
        <v>1378</v>
      </c>
      <c r="D206" s="49">
        <v>0.71819999999999995</v>
      </c>
      <c r="E206" s="49">
        <v>0.48855999999999999</v>
      </c>
      <c r="F206" s="49">
        <v>0.53115999999999997</v>
      </c>
      <c r="G206" s="49">
        <v>0.50958000000000003</v>
      </c>
      <c r="H206" s="49">
        <v>5.4127999999999997E-3</v>
      </c>
      <c r="I206" s="11">
        <v>0</v>
      </c>
    </row>
    <row r="207" spans="1:9">
      <c r="A207" s="9" t="s">
        <v>1332</v>
      </c>
      <c r="B207" s="10"/>
      <c r="C207" s="10" t="s">
        <v>1378</v>
      </c>
      <c r="D207" s="49">
        <v>1.7271000000000001E-3</v>
      </c>
      <c r="E207" s="49">
        <v>1.7012799999999999E-3</v>
      </c>
      <c r="F207" s="49">
        <v>5.2573999999999997E-3</v>
      </c>
      <c r="G207" s="49">
        <v>1.90836E-3</v>
      </c>
      <c r="H207" s="49">
        <v>4.1344000000000003E-5</v>
      </c>
      <c r="I207" s="11">
        <v>0</v>
      </c>
    </row>
    <row r="208" spans="1:9">
      <c r="A208" s="9" t="s">
        <v>1407</v>
      </c>
      <c r="B208" s="10"/>
      <c r="C208" s="10" t="s">
        <v>1378</v>
      </c>
      <c r="D208" s="49">
        <v>1.1456999999999999</v>
      </c>
      <c r="E208" s="49">
        <v>1.7012799999999999</v>
      </c>
      <c r="F208" s="49">
        <v>2.5203000000000002</v>
      </c>
      <c r="G208" s="49">
        <v>9.0630000000000002E-2</v>
      </c>
      <c r="H208" s="49">
        <v>5.8208000000000001E-3</v>
      </c>
      <c r="I208" s="11">
        <v>0</v>
      </c>
    </row>
    <row r="209" spans="1:9">
      <c r="A209" s="9" t="s">
        <v>1013</v>
      </c>
      <c r="B209" s="10"/>
      <c r="C209" s="10" t="s">
        <v>1378</v>
      </c>
      <c r="D209" s="49">
        <v>8.5500000000000007E-2</v>
      </c>
      <c r="E209" s="49">
        <v>7.2167999999999996E-2</v>
      </c>
      <c r="F209" s="49">
        <v>2.6259899999999999E-3</v>
      </c>
      <c r="G209" s="49">
        <v>2.1169799999999999E-4</v>
      </c>
      <c r="H209" s="49">
        <v>9.8191999999999998E-5</v>
      </c>
      <c r="I209" s="11">
        <v>0</v>
      </c>
    </row>
    <row r="210" spans="1:9">
      <c r="A210" s="9" t="s">
        <v>1334</v>
      </c>
      <c r="B210" s="10"/>
      <c r="C210" s="10" t="s">
        <v>1378</v>
      </c>
      <c r="D210" s="49">
        <v>9.0915000000000006E-3</v>
      </c>
      <c r="E210" s="49">
        <v>5.6544000000000004E-3</v>
      </c>
      <c r="F210" s="49">
        <v>2.6368300000000002E-4</v>
      </c>
      <c r="G210" s="49">
        <v>1.8057600000000001E-5</v>
      </c>
      <c r="H210" s="49">
        <v>2.9376000000000001E-5</v>
      </c>
      <c r="I210" s="11">
        <v>0</v>
      </c>
    </row>
    <row r="211" spans="1:9">
      <c r="A211" s="9" t="s">
        <v>1335</v>
      </c>
      <c r="B211" s="10"/>
      <c r="C211" s="10" t="s">
        <v>1378</v>
      </c>
      <c r="D211" s="49">
        <v>0</v>
      </c>
      <c r="E211" s="49">
        <v>0</v>
      </c>
      <c r="F211" s="49">
        <v>0</v>
      </c>
      <c r="G211" s="49">
        <v>0</v>
      </c>
      <c r="H211" s="49">
        <v>0</v>
      </c>
      <c r="I211" s="11">
        <v>0</v>
      </c>
    </row>
    <row r="212" spans="1:9">
      <c r="A212" s="9" t="s">
        <v>1390</v>
      </c>
      <c r="B212" s="10"/>
      <c r="C212" s="49" t="s">
        <v>1378</v>
      </c>
      <c r="D212" s="49">
        <v>0</v>
      </c>
      <c r="E212" s="49">
        <v>0</v>
      </c>
      <c r="F212" s="49">
        <v>0</v>
      </c>
      <c r="G212" s="49">
        <v>0</v>
      </c>
      <c r="H212" s="49">
        <v>0</v>
      </c>
      <c r="I212" s="11">
        <v>0</v>
      </c>
    </row>
    <row r="213" spans="1:9">
      <c r="A213" s="9" t="s">
        <v>1336</v>
      </c>
      <c r="B213" s="10"/>
      <c r="C213" s="10" t="s">
        <v>1378</v>
      </c>
      <c r="D213" s="49">
        <v>3.0209999999999998E-9</v>
      </c>
      <c r="E213" s="49">
        <v>2.5791999999999999E-9</v>
      </c>
      <c r="F213" s="49">
        <v>4.2009999999999998E-10</v>
      </c>
      <c r="G213" s="49">
        <v>5.3009999999999996E-10</v>
      </c>
      <c r="H213" s="49">
        <v>2.06992E-7</v>
      </c>
      <c r="I213" s="11">
        <v>0</v>
      </c>
    </row>
    <row r="214" spans="1:9">
      <c r="A214" s="9" t="s">
        <v>1014</v>
      </c>
      <c r="B214" s="10"/>
      <c r="C214" s="10"/>
      <c r="D214" s="49">
        <v>0</v>
      </c>
      <c r="E214" s="49">
        <v>0</v>
      </c>
      <c r="F214" s="49">
        <v>0</v>
      </c>
      <c r="G214" s="49">
        <v>0</v>
      </c>
      <c r="H214" s="49">
        <v>0</v>
      </c>
      <c r="I214" s="11">
        <v>0</v>
      </c>
    </row>
    <row r="215" spans="1:9">
      <c r="A215" s="9" t="s">
        <v>1337</v>
      </c>
      <c r="B215" s="10"/>
      <c r="C215" s="10" t="s">
        <v>1378</v>
      </c>
      <c r="D215" s="49">
        <v>1.6643999999999999E-3</v>
      </c>
      <c r="E215" s="49">
        <v>1.2523999999999999E-4</v>
      </c>
      <c r="F215" s="49">
        <v>2.0487599999999999E-4</v>
      </c>
      <c r="G215" s="49">
        <v>6.6347999999999996E-5</v>
      </c>
      <c r="H215" s="49">
        <v>3.9712000000000002E-5</v>
      </c>
      <c r="I215" s="11">
        <v>0</v>
      </c>
    </row>
    <row r="216" spans="1:9">
      <c r="A216" s="9" t="s">
        <v>1026</v>
      </c>
      <c r="B216" s="10"/>
      <c r="C216" s="49" t="s">
        <v>1378</v>
      </c>
      <c r="D216" s="49">
        <v>0</v>
      </c>
      <c r="E216" s="49">
        <v>0</v>
      </c>
      <c r="F216" s="49">
        <v>0</v>
      </c>
      <c r="G216" s="49">
        <v>0</v>
      </c>
      <c r="H216" s="49">
        <v>0</v>
      </c>
      <c r="I216" s="11">
        <v>0</v>
      </c>
    </row>
    <row r="217" spans="1:9">
      <c r="A217" s="9" t="s">
        <v>1027</v>
      </c>
      <c r="B217" s="10"/>
      <c r="C217" s="10" t="s">
        <v>1378</v>
      </c>
      <c r="D217" s="49">
        <v>1.3281E-6</v>
      </c>
      <c r="E217" s="49">
        <v>5.3568000000000001E-6</v>
      </c>
      <c r="F217" s="49">
        <v>1.61516E-5</v>
      </c>
      <c r="G217" s="49">
        <v>7.8318E-8</v>
      </c>
      <c r="H217" s="49">
        <v>3.3455999999999999E-8</v>
      </c>
      <c r="I217" s="11">
        <v>0</v>
      </c>
    </row>
    <row r="218" spans="1:9">
      <c r="A218" s="9" t="s">
        <v>1028</v>
      </c>
      <c r="B218" s="10"/>
      <c r="C218" s="10" t="s">
        <v>1378</v>
      </c>
      <c r="D218" s="49">
        <v>0</v>
      </c>
      <c r="E218" s="49">
        <v>0</v>
      </c>
      <c r="F218" s="49">
        <v>0</v>
      </c>
      <c r="G218" s="49">
        <v>0</v>
      </c>
      <c r="H218" s="49">
        <v>0</v>
      </c>
      <c r="I218" s="11">
        <v>0</v>
      </c>
    </row>
    <row r="219" spans="1:9">
      <c r="A219" s="9" t="s">
        <v>1029</v>
      </c>
      <c r="B219" s="10"/>
      <c r="C219" s="10" t="s">
        <v>1378</v>
      </c>
      <c r="D219" s="49">
        <v>0</v>
      </c>
      <c r="E219" s="49">
        <v>0</v>
      </c>
      <c r="F219" s="49">
        <v>0</v>
      </c>
      <c r="G219" s="49">
        <v>0</v>
      </c>
      <c r="H219" s="49">
        <v>0</v>
      </c>
      <c r="I219" s="11">
        <v>0</v>
      </c>
    </row>
    <row r="220" spans="1:9">
      <c r="A220" s="9" t="s">
        <v>1032</v>
      </c>
      <c r="B220" s="10"/>
      <c r="C220" s="10" t="s">
        <v>1378</v>
      </c>
      <c r="D220" s="49">
        <v>5.2154999999999998E-5</v>
      </c>
      <c r="E220" s="49">
        <v>1.2251200000000001E-5</v>
      </c>
      <c r="F220" s="49">
        <v>1.40378E-4</v>
      </c>
      <c r="G220" s="49">
        <v>1.2346199999999999E-6</v>
      </c>
      <c r="H220" s="49">
        <v>2.1624000000000001E-7</v>
      </c>
      <c r="I220" s="11">
        <v>0</v>
      </c>
    </row>
    <row r="221" spans="1:9">
      <c r="A221" s="9" t="s">
        <v>1380</v>
      </c>
      <c r="B221" s="10"/>
      <c r="C221" s="10" t="s">
        <v>1378</v>
      </c>
      <c r="D221" s="49">
        <v>3.1634999999999998E-5</v>
      </c>
      <c r="E221" s="49">
        <v>9.4984000000000004E-6</v>
      </c>
      <c r="F221" s="49">
        <v>4.2818000000000002E-5</v>
      </c>
      <c r="G221" s="49">
        <v>1.0123199999999999E-6</v>
      </c>
      <c r="H221" s="49">
        <v>5.2768E-8</v>
      </c>
      <c r="I221" s="11">
        <v>0</v>
      </c>
    </row>
    <row r="222" spans="1:9">
      <c r="A222" s="9" t="s">
        <v>1030</v>
      </c>
      <c r="B222" s="10"/>
      <c r="C222" s="10" t="s">
        <v>1378</v>
      </c>
      <c r="D222" s="49">
        <v>1.09725E-5</v>
      </c>
      <c r="E222" s="49">
        <v>1.24744E-5</v>
      </c>
      <c r="F222" s="49">
        <v>7.5608999999999999E-7</v>
      </c>
      <c r="G222" s="49">
        <v>4.9931999999999999E-6</v>
      </c>
      <c r="H222" s="49">
        <v>3.9711999999999999E-8</v>
      </c>
      <c r="I222" s="11">
        <v>0</v>
      </c>
    </row>
    <row r="223" spans="1:9">
      <c r="A223" s="9" t="s">
        <v>1031</v>
      </c>
      <c r="B223" s="10"/>
      <c r="C223" s="10" t="s">
        <v>1378</v>
      </c>
      <c r="D223" s="49">
        <v>1.3223999999999999E-4</v>
      </c>
      <c r="E223" s="49">
        <v>1.64424E-5</v>
      </c>
      <c r="F223" s="49">
        <v>1.22492E-3</v>
      </c>
      <c r="G223" s="49">
        <v>1.66896E-6</v>
      </c>
      <c r="H223" s="49">
        <v>1.08256E-6</v>
      </c>
      <c r="I223" s="11">
        <v>0</v>
      </c>
    </row>
    <row r="224" spans="1:9">
      <c r="A224" s="9" t="s">
        <v>1033</v>
      </c>
      <c r="B224" s="10"/>
      <c r="C224" s="10" t="s">
        <v>1378</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1381</v>
      </c>
      <c r="B226" s="10"/>
      <c r="C226" s="10"/>
      <c r="D226" s="10"/>
      <c r="E226" s="10"/>
      <c r="F226" s="10"/>
      <c r="G226" s="10"/>
      <c r="H226" s="10"/>
      <c r="I226" s="11"/>
    </row>
    <row r="227" spans="1:9">
      <c r="A227" s="9" t="s">
        <v>1339</v>
      </c>
      <c r="B227" s="10"/>
      <c r="C227" s="10" t="s">
        <v>1378</v>
      </c>
      <c r="D227" s="49">
        <v>3.9614999999999999E-5</v>
      </c>
      <c r="E227" s="49">
        <v>1.6343200000000001E-6</v>
      </c>
      <c r="F227" s="49">
        <v>1.6287100000000001E-4</v>
      </c>
      <c r="G227" s="49">
        <v>6.669E-6</v>
      </c>
      <c r="H227" s="49">
        <v>6.6640000000000001E-6</v>
      </c>
      <c r="I227" s="11">
        <v>0</v>
      </c>
    </row>
    <row r="228" spans="1:9">
      <c r="A228" s="9" t="s">
        <v>1340</v>
      </c>
      <c r="B228" s="10"/>
      <c r="C228" s="10" t="s">
        <v>1378</v>
      </c>
      <c r="D228" s="49">
        <v>1.23975E-3</v>
      </c>
      <c r="E228" s="49">
        <v>3.9928000000000001E-5</v>
      </c>
      <c r="F228" s="49">
        <v>2.8996999999999998E-3</v>
      </c>
      <c r="G228" s="49">
        <v>8.5158E-5</v>
      </c>
      <c r="H228" s="49">
        <v>4.5423999999999997E-5</v>
      </c>
      <c r="I228" s="11">
        <v>0</v>
      </c>
    </row>
    <row r="229" spans="1:9">
      <c r="A229" s="9" t="s">
        <v>1341</v>
      </c>
      <c r="B229" s="10"/>
      <c r="C229" s="10" t="s">
        <v>1378</v>
      </c>
      <c r="D229" s="49">
        <v>1.0345500000000001E-2</v>
      </c>
      <c r="E229" s="49">
        <v>1.68144E-3</v>
      </c>
      <c r="F229" s="49">
        <v>0.213006</v>
      </c>
      <c r="G229" s="49">
        <v>7.5240000000000001E-2</v>
      </c>
      <c r="H229" s="49">
        <v>2.1814400000000001E-2</v>
      </c>
      <c r="I229" s="11">
        <v>0</v>
      </c>
    </row>
    <row r="230" spans="1:9">
      <c r="A230" s="9" t="s">
        <v>1342</v>
      </c>
      <c r="B230" s="10"/>
      <c r="C230" s="10" t="s">
        <v>1378</v>
      </c>
      <c r="D230" s="49">
        <v>1.4078999999999999E-3</v>
      </c>
      <c r="E230" s="49">
        <v>4.0672000000000001E-4</v>
      </c>
      <c r="F230" s="49">
        <v>2.8996999999999998E-2</v>
      </c>
      <c r="G230" s="49">
        <v>8.1738000000000005E-2</v>
      </c>
      <c r="H230" s="49">
        <v>8.4864000000000001E-4</v>
      </c>
      <c r="I230" s="11">
        <v>0</v>
      </c>
    </row>
    <row r="231" spans="1:9">
      <c r="A231" s="9" t="s">
        <v>1343</v>
      </c>
      <c r="B231" s="10"/>
      <c r="C231" s="10" t="s">
        <v>1378</v>
      </c>
      <c r="D231" s="49">
        <v>4.3319999999999999E-7</v>
      </c>
      <c r="E231" s="49">
        <v>7.4895999999999998E-8</v>
      </c>
      <c r="F231" s="49">
        <v>1.2899599999999999E-5</v>
      </c>
      <c r="G231" s="49">
        <v>4.0356000000000001E-8</v>
      </c>
      <c r="H231" s="49">
        <v>2.3636800000000001E-8</v>
      </c>
      <c r="I231" s="11">
        <v>0</v>
      </c>
    </row>
    <row r="232" spans="1:9">
      <c r="A232" s="9" t="s">
        <v>1344</v>
      </c>
      <c r="B232" s="10"/>
      <c r="C232" s="10" t="s">
        <v>1378</v>
      </c>
      <c r="D232" s="49">
        <v>1.4021999999999999E-7</v>
      </c>
      <c r="E232" s="49">
        <v>2.1749600000000001E-8</v>
      </c>
      <c r="F232" s="49">
        <v>3.2791000000000001E-6</v>
      </c>
      <c r="G232" s="49">
        <v>1.15596E-6</v>
      </c>
      <c r="H232" s="49">
        <v>1.2512E-8</v>
      </c>
      <c r="I232" s="11">
        <v>0</v>
      </c>
    </row>
    <row r="233" spans="1:9">
      <c r="A233" s="9" t="s">
        <v>1345</v>
      </c>
      <c r="B233" s="10"/>
      <c r="C233" s="49" t="s">
        <v>1378</v>
      </c>
      <c r="D233" s="49">
        <v>0</v>
      </c>
      <c r="E233" s="49">
        <v>0</v>
      </c>
      <c r="F233" s="49">
        <v>0</v>
      </c>
      <c r="G233" s="49">
        <v>0</v>
      </c>
      <c r="H233" s="49">
        <v>0</v>
      </c>
      <c r="I233" s="11">
        <v>0</v>
      </c>
    </row>
    <row r="234" spans="1:9">
      <c r="A234" s="9" t="s">
        <v>1382</v>
      </c>
      <c r="B234" s="10"/>
      <c r="C234" s="10" t="s">
        <v>1378</v>
      </c>
      <c r="D234" s="49">
        <v>1.8867000000000001E-5</v>
      </c>
      <c r="E234" s="49">
        <v>2.9511999999999998E-6</v>
      </c>
      <c r="F234" s="49">
        <v>5.3958000000000001E-4</v>
      </c>
      <c r="G234" s="49">
        <v>1.32012E-5</v>
      </c>
      <c r="H234" s="49">
        <v>9.8191999999999999E-7</v>
      </c>
      <c r="I234" s="11">
        <v>0</v>
      </c>
    </row>
    <row r="235" spans="1:9">
      <c r="A235" s="9" t="s">
        <v>1347</v>
      </c>
      <c r="B235" s="10"/>
      <c r="C235" s="10" t="s">
        <v>1378</v>
      </c>
      <c r="D235" s="49">
        <v>0.27787499999999998</v>
      </c>
      <c r="E235" s="49">
        <v>1.7731999999999999E-3</v>
      </c>
      <c r="F235" s="49">
        <v>1.0812899999999999E-3</v>
      </c>
      <c r="G235" s="49">
        <v>3.0438E-2</v>
      </c>
      <c r="H235" s="49">
        <v>2.7744000000000002E-3</v>
      </c>
      <c r="I235" s="11">
        <v>0</v>
      </c>
    </row>
    <row r="236" spans="1:9">
      <c r="A236" s="9" t="s">
        <v>1348</v>
      </c>
      <c r="B236" s="10"/>
      <c r="C236" s="10" t="s">
        <v>1378</v>
      </c>
      <c r="D236" s="49">
        <v>4.0470000000000002E-4</v>
      </c>
      <c r="E236" s="49">
        <v>4.6128000000000003E-5</v>
      </c>
      <c r="F236" s="49">
        <v>3.7398000000000002E-3</v>
      </c>
      <c r="G236" s="49">
        <v>2.2708799999999999E-4</v>
      </c>
      <c r="H236" s="49">
        <v>1.15872E-3</v>
      </c>
      <c r="I236" s="11">
        <v>0</v>
      </c>
    </row>
    <row r="237" spans="1:9">
      <c r="A237" s="9" t="s">
        <v>1026</v>
      </c>
      <c r="B237" s="10"/>
      <c r="C237" s="10" t="s">
        <v>1378</v>
      </c>
      <c r="D237" s="49">
        <v>5.6145000000000001E-4</v>
      </c>
      <c r="E237" s="49">
        <v>3.5711999999999998E-6</v>
      </c>
      <c r="F237" s="49">
        <v>5.1490000000000002E-6</v>
      </c>
      <c r="G237" s="49">
        <v>6.0875999999999998E-5</v>
      </c>
      <c r="H237" s="49">
        <v>2.19504E-6</v>
      </c>
      <c r="I237" s="11">
        <v>0</v>
      </c>
    </row>
    <row r="238" spans="1:9">
      <c r="A238" s="9" t="s">
        <v>1349</v>
      </c>
      <c r="B238" s="10"/>
      <c r="C238" s="10" t="s">
        <v>1378</v>
      </c>
      <c r="D238" s="49">
        <v>2.2543500000000001E-2</v>
      </c>
      <c r="E238" s="49">
        <v>1.9195200000000001E-4</v>
      </c>
      <c r="F238" s="49">
        <v>9.4307999999999996E-3</v>
      </c>
      <c r="G238" s="49">
        <v>2.4589799999999999E-3</v>
      </c>
      <c r="H238" s="49">
        <v>4.8959999999999999E-5</v>
      </c>
      <c r="I238" s="11">
        <v>0</v>
      </c>
    </row>
    <row r="239" spans="1:9">
      <c r="A239" s="9" t="s">
        <v>1027</v>
      </c>
      <c r="B239" s="10"/>
      <c r="C239" s="10" t="s">
        <v>1378</v>
      </c>
      <c r="D239" s="49">
        <v>1.4449499999999999E-5</v>
      </c>
      <c r="E239" s="49">
        <v>1.2052800000000001E-7</v>
      </c>
      <c r="F239" s="49">
        <v>4.065E-6</v>
      </c>
      <c r="G239" s="49">
        <v>1.53558E-6</v>
      </c>
      <c r="H239" s="49">
        <v>6.7728000000000004E-7</v>
      </c>
      <c r="I239" s="11">
        <v>0</v>
      </c>
    </row>
    <row r="240" spans="1:9">
      <c r="A240" s="9" t="s">
        <v>1350</v>
      </c>
      <c r="B240" s="10"/>
      <c r="C240" s="10" t="s">
        <v>1378</v>
      </c>
      <c r="D240" s="49">
        <v>1.7955000000000001</v>
      </c>
      <c r="E240" s="49">
        <v>3.1E-2</v>
      </c>
      <c r="F240" s="49">
        <v>1.9999800000000001</v>
      </c>
      <c r="G240" s="49">
        <v>0.21580199999999999</v>
      </c>
      <c r="H240" s="49">
        <v>3.6991999999999997E-2</v>
      </c>
      <c r="I240" s="11">
        <v>0</v>
      </c>
    </row>
    <row r="241" spans="1:9">
      <c r="A241" s="9" t="s">
        <v>1028</v>
      </c>
      <c r="B241" s="10"/>
      <c r="C241" s="10" t="s">
        <v>1378</v>
      </c>
      <c r="D241" s="49">
        <v>2.7844499999999999E-3</v>
      </c>
      <c r="E241" s="49">
        <v>1.7756799999999999E-5</v>
      </c>
      <c r="F241" s="49">
        <v>4.2276E-5</v>
      </c>
      <c r="G241" s="49">
        <v>3.1156199999999998E-4</v>
      </c>
      <c r="H241" s="49">
        <v>9.4655999999999996E-6</v>
      </c>
      <c r="I241" s="11">
        <v>0</v>
      </c>
    </row>
    <row r="242" spans="1:9">
      <c r="A242" s="9" t="s">
        <v>1029</v>
      </c>
      <c r="B242" s="10"/>
      <c r="C242" s="10" t="s">
        <v>1378</v>
      </c>
      <c r="D242" s="49">
        <v>1.39365E-3</v>
      </c>
      <c r="E242" s="49">
        <v>8.8287999999999992E-6</v>
      </c>
      <c r="F242" s="49">
        <v>1.19511E-5</v>
      </c>
      <c r="G242" s="49">
        <v>1.5218999999999999E-4</v>
      </c>
      <c r="H242" s="49">
        <v>2.72E-7</v>
      </c>
      <c r="I242" s="11">
        <v>0</v>
      </c>
    </row>
    <row r="243" spans="1:9">
      <c r="A243" s="9" t="s">
        <v>1351</v>
      </c>
      <c r="B243" s="10"/>
      <c r="C243" s="10" t="s">
        <v>1378</v>
      </c>
      <c r="D243" s="49">
        <v>1.7898E-6</v>
      </c>
      <c r="E243" s="49">
        <v>1.48304E-7</v>
      </c>
      <c r="F243" s="49">
        <v>1.4308799999999999E-5</v>
      </c>
      <c r="G243" s="49">
        <v>2.3427000000000001E-5</v>
      </c>
      <c r="H243" s="49">
        <v>4.3791999999999999E-8</v>
      </c>
      <c r="I243" s="11">
        <v>0</v>
      </c>
    </row>
    <row r="244" spans="1:9">
      <c r="A244" s="9" t="s">
        <v>1352</v>
      </c>
      <c r="B244" s="10"/>
      <c r="C244" s="49" t="s">
        <v>1378</v>
      </c>
      <c r="D244" s="49">
        <v>0</v>
      </c>
      <c r="E244" s="49">
        <v>0</v>
      </c>
      <c r="F244" s="49">
        <v>0</v>
      </c>
      <c r="G244" s="49">
        <v>0</v>
      </c>
      <c r="H244" s="49">
        <v>0</v>
      </c>
      <c r="I244" s="11">
        <v>0</v>
      </c>
    </row>
    <row r="245" spans="1:9">
      <c r="A245" s="9" t="s">
        <v>1353</v>
      </c>
      <c r="B245" s="10"/>
      <c r="C245" s="10" t="s">
        <v>1378</v>
      </c>
      <c r="D245" s="49">
        <v>8.6355000000000001E-2</v>
      </c>
      <c r="E245" s="49">
        <v>0.58775999999999995</v>
      </c>
      <c r="F245" s="49">
        <v>2.2411699999999998E-3</v>
      </c>
      <c r="G245" s="49">
        <v>9.6443999999999992E-3</v>
      </c>
      <c r="H245" s="49">
        <v>1.5204800000000001E-3</v>
      </c>
      <c r="I245" s="11">
        <v>0</v>
      </c>
    </row>
    <row r="246" spans="1:9">
      <c r="A246" s="9" t="s">
        <v>1032</v>
      </c>
      <c r="B246" s="10"/>
      <c r="C246" s="10" t="s">
        <v>1378</v>
      </c>
      <c r="D246" s="49">
        <v>1.3965E-3</v>
      </c>
      <c r="E246" s="49">
        <v>1.0763200000000001E-5</v>
      </c>
      <c r="F246" s="49">
        <v>1.11923E-5</v>
      </c>
      <c r="G246" s="49">
        <v>1.5321599999999999E-4</v>
      </c>
      <c r="H246" s="49">
        <v>1.36544E-4</v>
      </c>
      <c r="I246" s="11">
        <v>0</v>
      </c>
    </row>
    <row r="247" spans="1:9">
      <c r="A247" s="9" t="s">
        <v>1030</v>
      </c>
      <c r="B247" s="10"/>
      <c r="C247" s="10" t="s">
        <v>1378</v>
      </c>
      <c r="D247" s="49">
        <v>3.9615000000000001E-7</v>
      </c>
      <c r="E247" s="49">
        <v>4.3400000000000003E-9</v>
      </c>
      <c r="F247" s="49">
        <v>4.4715E-8</v>
      </c>
      <c r="G247" s="49">
        <v>2.6744400000000002E-7</v>
      </c>
      <c r="H247" s="49">
        <v>2.8560000000000001E-9</v>
      </c>
      <c r="I247" s="11">
        <v>0</v>
      </c>
    </row>
    <row r="248" spans="1:9">
      <c r="A248" s="9" t="s">
        <v>1031</v>
      </c>
      <c r="B248" s="10"/>
      <c r="C248" s="10" t="s">
        <v>1378</v>
      </c>
      <c r="D248" s="49">
        <v>1.4050499999999999E-3</v>
      </c>
      <c r="E248" s="49">
        <v>8.9279999999999999E-6</v>
      </c>
      <c r="F248" s="49">
        <v>1.57993E-5</v>
      </c>
      <c r="G248" s="49">
        <v>1.5321599999999999E-4</v>
      </c>
      <c r="H248" s="49">
        <v>4.5423999999999999E-6</v>
      </c>
      <c r="I248" s="11">
        <v>0</v>
      </c>
    </row>
    <row r="249" spans="1:9">
      <c r="A249" s="9" t="s">
        <v>1354</v>
      </c>
      <c r="B249" s="10"/>
      <c r="C249" s="10" t="s">
        <v>1378</v>
      </c>
      <c r="D249" s="49">
        <v>6.6975000000000003E-3</v>
      </c>
      <c r="E249" s="49">
        <v>5.5056000000000003E-5</v>
      </c>
      <c r="F249" s="49">
        <v>2.5121700000000002E-3</v>
      </c>
      <c r="G249" s="49">
        <v>1.8023400000000001E-5</v>
      </c>
      <c r="H249" s="49">
        <v>1.44432E-4</v>
      </c>
      <c r="I249" s="11">
        <v>0</v>
      </c>
    </row>
    <row r="250" spans="1:9">
      <c r="A250" s="9" t="s">
        <v>1355</v>
      </c>
      <c r="B250" s="10"/>
      <c r="C250" s="10" t="s">
        <v>1378</v>
      </c>
      <c r="D250" s="49">
        <v>1.66725E-2</v>
      </c>
      <c r="E250" s="49">
        <v>1.04656E-4</v>
      </c>
      <c r="F250" s="49">
        <v>9.9999000000000003E-5</v>
      </c>
      <c r="G250" s="49">
        <v>1.8228599999999999E-3</v>
      </c>
      <c r="H250" s="49">
        <v>1.7217599999999999E-5</v>
      </c>
      <c r="I250" s="11">
        <v>0</v>
      </c>
    </row>
    <row r="251" spans="1:9">
      <c r="A251" s="9" t="s">
        <v>1356</v>
      </c>
      <c r="B251" s="10"/>
      <c r="C251" s="10" t="s">
        <v>1378</v>
      </c>
      <c r="D251" s="49">
        <v>1.2397499999999999</v>
      </c>
      <c r="E251" s="49">
        <v>1.2449600000000001</v>
      </c>
      <c r="F251" s="49">
        <v>7.4254000000000001E-2</v>
      </c>
      <c r="G251" s="49">
        <v>0.15800400000000001</v>
      </c>
      <c r="H251" s="49">
        <v>0.56303999999999998</v>
      </c>
      <c r="I251" s="11">
        <v>0</v>
      </c>
    </row>
    <row r="252" spans="1:9">
      <c r="A252" s="9" t="s">
        <v>1357</v>
      </c>
      <c r="B252" s="10"/>
      <c r="C252" s="10" t="s">
        <v>1378</v>
      </c>
      <c r="D252" s="49">
        <v>3.9899999999999999E-6</v>
      </c>
      <c r="E252" s="49">
        <v>7.0184000000000004E-7</v>
      </c>
      <c r="F252" s="49">
        <v>1.14091E-4</v>
      </c>
      <c r="G252" s="49">
        <v>2.2161600000000001E-5</v>
      </c>
      <c r="H252" s="49">
        <v>7.1536000000000002E-7</v>
      </c>
      <c r="I252" s="11">
        <v>0</v>
      </c>
    </row>
    <row r="253" spans="1:9">
      <c r="A253" s="9" t="s">
        <v>1033</v>
      </c>
      <c r="B253" s="10"/>
      <c r="C253" s="10" t="s">
        <v>1378</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1392</v>
      </c>
      <c r="B255" s="13"/>
      <c r="C255" s="13" t="s">
        <v>1378</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1379</v>
      </c>
    </row>
    <row r="259" spans="1:9" ht="15.75" thickBot="1">
      <c r="A259" s="62" t="s">
        <v>1375</v>
      </c>
    </row>
    <row r="260" spans="1:9" s="62" customFormat="1">
      <c r="A260" s="93"/>
      <c r="B260" s="78"/>
      <c r="C260" s="78" t="s">
        <v>1302</v>
      </c>
      <c r="D260" s="78" t="s">
        <v>1369</v>
      </c>
      <c r="E260" s="78" t="s">
        <v>1370</v>
      </c>
      <c r="F260" s="78" t="s">
        <v>944</v>
      </c>
      <c r="G260" s="78" t="s">
        <v>1371</v>
      </c>
      <c r="H260" s="78" t="s">
        <v>946</v>
      </c>
      <c r="I260" s="79" t="s">
        <v>947</v>
      </c>
    </row>
    <row r="261" spans="1:9">
      <c r="A261" s="64" t="s">
        <v>1376</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1377</v>
      </c>
      <c r="B263" s="10"/>
      <c r="C263" s="10"/>
      <c r="D263" s="10"/>
      <c r="E263" s="10"/>
      <c r="F263" s="10"/>
      <c r="G263" s="10"/>
      <c r="H263" s="10"/>
      <c r="I263" s="11"/>
    </row>
    <row r="264" spans="1:9">
      <c r="A264" s="9" t="s">
        <v>1016</v>
      </c>
      <c r="B264" s="10"/>
      <c r="C264" s="10" t="s">
        <v>1378</v>
      </c>
      <c r="D264" s="10">
        <v>1.73</v>
      </c>
      <c r="E264" s="10">
        <v>2.02</v>
      </c>
      <c r="F264" s="10">
        <v>0.376</v>
      </c>
      <c r="G264" s="10">
        <v>6.5199999999999994E-2</v>
      </c>
      <c r="H264" s="10">
        <v>1.7899999999999999E-2</v>
      </c>
      <c r="I264" s="11">
        <v>0</v>
      </c>
    </row>
    <row r="265" spans="1:9">
      <c r="A265" s="9" t="s">
        <v>1015</v>
      </c>
      <c r="B265" s="10"/>
      <c r="C265" s="10" t="s">
        <v>1378</v>
      </c>
      <c r="D265" s="10">
        <v>0.125</v>
      </c>
      <c r="E265" s="10">
        <v>0.13300000000000001</v>
      </c>
      <c r="F265" s="10">
        <v>0.223</v>
      </c>
      <c r="G265" s="10">
        <v>0.26700000000000002</v>
      </c>
      <c r="H265" s="10">
        <v>5.6499999999999996E-3</v>
      </c>
      <c r="I265" s="11">
        <v>0</v>
      </c>
    </row>
    <row r="266" spans="1:9">
      <c r="A266" s="9" t="s">
        <v>1329</v>
      </c>
      <c r="B266" s="10"/>
      <c r="C266" s="10" t="s">
        <v>1378</v>
      </c>
      <c r="D266" s="10">
        <v>979</v>
      </c>
      <c r="E266" s="10">
        <v>1350</v>
      </c>
      <c r="F266" s="10">
        <v>880</v>
      </c>
      <c r="G266" s="10">
        <v>767</v>
      </c>
      <c r="H266" s="10">
        <v>5.71</v>
      </c>
      <c r="I266" s="11">
        <v>0</v>
      </c>
    </row>
    <row r="267" spans="1:9">
      <c r="A267" s="9" t="s">
        <v>1330</v>
      </c>
      <c r="B267" s="10"/>
      <c r="C267" s="10" t="s">
        <v>1378</v>
      </c>
      <c r="D267" s="10">
        <v>4.26</v>
      </c>
      <c r="E267" s="10">
        <v>0.26200000000000001</v>
      </c>
      <c r="F267" s="10">
        <v>1.1000000000000001</v>
      </c>
      <c r="G267" s="10">
        <v>1.76</v>
      </c>
      <c r="H267" s="10">
        <v>1.38E-2</v>
      </c>
      <c r="I267" s="11">
        <v>0</v>
      </c>
    </row>
    <row r="268" spans="1:9">
      <c r="A268" s="9" t="s">
        <v>1331</v>
      </c>
      <c r="B268" s="10"/>
      <c r="C268" s="10" t="s">
        <v>1378</v>
      </c>
      <c r="D268" s="10">
        <v>2.52</v>
      </c>
      <c r="E268" s="10">
        <v>1.97</v>
      </c>
      <c r="F268" s="10">
        <v>1.96</v>
      </c>
      <c r="G268" s="10">
        <v>1.49</v>
      </c>
      <c r="H268" s="10">
        <v>1.9900000000000001E-2</v>
      </c>
      <c r="I268" s="11">
        <v>0</v>
      </c>
    </row>
    <row r="269" spans="1:9">
      <c r="A269" s="9" t="s">
        <v>1332</v>
      </c>
      <c r="B269" s="10"/>
      <c r="C269" s="10" t="s">
        <v>1378</v>
      </c>
      <c r="D269" s="10">
        <v>6.0600000000000003E-3</v>
      </c>
      <c r="E269" s="10">
        <v>6.8599999999999998E-3</v>
      </c>
      <c r="F269" s="10">
        <v>1.9400000000000001E-2</v>
      </c>
      <c r="G269" s="10">
        <v>5.7999999999999996E-3</v>
      </c>
      <c r="H269" s="10">
        <v>1.5200000000000001E-4</v>
      </c>
      <c r="I269" s="11">
        <v>0</v>
      </c>
    </row>
    <row r="270" spans="1:9">
      <c r="A270" s="9" t="s">
        <v>1333</v>
      </c>
      <c r="B270" s="10"/>
      <c r="C270" s="10" t="s">
        <v>1378</v>
      </c>
      <c r="D270" s="10">
        <v>4.0199999999999996</v>
      </c>
      <c r="E270" s="10">
        <v>6.86</v>
      </c>
      <c r="F270" s="10">
        <v>9.3000000000000007</v>
      </c>
      <c r="G270" s="10">
        <v>0.26500000000000001</v>
      </c>
      <c r="H270" s="10">
        <v>2.1399999999999999E-2</v>
      </c>
      <c r="I270" s="11">
        <v>0</v>
      </c>
    </row>
    <row r="271" spans="1:9">
      <c r="A271" s="9" t="s">
        <v>1013</v>
      </c>
      <c r="B271" s="10"/>
      <c r="C271" s="10" t="s">
        <v>1378</v>
      </c>
      <c r="D271" s="10">
        <v>0.3</v>
      </c>
      <c r="E271" s="10">
        <v>0.29099999999999998</v>
      </c>
      <c r="F271" s="10">
        <v>9.6900000000000007E-3</v>
      </c>
      <c r="G271" s="10">
        <v>6.1899999999999998E-4</v>
      </c>
      <c r="H271" s="10">
        <v>3.6099999999999999E-4</v>
      </c>
      <c r="I271" s="11">
        <v>0</v>
      </c>
    </row>
    <row r="272" spans="1:9">
      <c r="A272" s="9" t="s">
        <v>1334</v>
      </c>
      <c r="B272" s="10"/>
      <c r="C272" s="10" t="s">
        <v>1378</v>
      </c>
      <c r="D272" s="10">
        <v>3.1899999999999998E-2</v>
      </c>
      <c r="E272" s="10">
        <v>2.2800000000000001E-2</v>
      </c>
      <c r="F272" s="10">
        <v>9.7300000000000002E-4</v>
      </c>
      <c r="G272" s="10">
        <v>5.2800000000000003E-5</v>
      </c>
      <c r="H272" s="10">
        <v>1.08E-4</v>
      </c>
      <c r="I272" s="11">
        <v>0</v>
      </c>
    </row>
    <row r="273" spans="1:9">
      <c r="A273" s="9" t="s">
        <v>1335</v>
      </c>
      <c r="B273" s="10"/>
      <c r="C273" s="10" t="s">
        <v>1378</v>
      </c>
      <c r="D273" s="10"/>
      <c r="E273" s="10"/>
      <c r="F273" s="10"/>
      <c r="G273" s="10"/>
      <c r="H273" s="10"/>
      <c r="I273" s="11"/>
    </row>
    <row r="274" spans="1:9">
      <c r="A274" s="9" t="s">
        <v>1336</v>
      </c>
      <c r="B274" s="10"/>
      <c r="C274" s="10" t="s">
        <v>1378</v>
      </c>
      <c r="D274" s="10">
        <v>1.0600000000000001E-8</v>
      </c>
      <c r="E274" s="10">
        <v>1.04E-8</v>
      </c>
      <c r="F274" s="10">
        <v>1.55E-9</v>
      </c>
      <c r="G274" s="10">
        <v>1.55E-9</v>
      </c>
      <c r="H274" s="10">
        <v>7.61E-7</v>
      </c>
      <c r="I274" s="11">
        <v>0</v>
      </c>
    </row>
    <row r="275" spans="1:9">
      <c r="A275" s="9" t="s">
        <v>1014</v>
      </c>
      <c r="B275" s="10"/>
      <c r="C275" s="10"/>
      <c r="D275" s="10"/>
      <c r="E275" s="10"/>
      <c r="F275" s="10"/>
      <c r="G275" s="10"/>
      <c r="H275" s="10"/>
      <c r="I275" s="11"/>
    </row>
    <row r="276" spans="1:9">
      <c r="A276" s="9" t="s">
        <v>1337</v>
      </c>
      <c r="B276" s="10"/>
      <c r="C276" s="10" t="s">
        <v>1378</v>
      </c>
      <c r="D276" s="10">
        <v>5.8399999999999997E-3</v>
      </c>
      <c r="E276" s="10">
        <v>5.0500000000000002E-4</v>
      </c>
      <c r="F276" s="10">
        <v>7.5600000000000005E-4</v>
      </c>
      <c r="G276" s="10">
        <v>1.94E-4</v>
      </c>
      <c r="H276" s="10">
        <v>1.46E-4</v>
      </c>
      <c r="I276" s="11">
        <v>0</v>
      </c>
    </row>
    <row r="277" spans="1:9">
      <c r="A277" s="9" t="s">
        <v>1027</v>
      </c>
      <c r="B277" s="10"/>
      <c r="C277" s="10" t="s">
        <v>1378</v>
      </c>
      <c r="D277" s="10">
        <v>4.6600000000000003E-6</v>
      </c>
      <c r="E277" s="10">
        <v>2.16E-5</v>
      </c>
      <c r="F277" s="10">
        <v>5.9599999999999999E-5</v>
      </c>
      <c r="G277" s="10">
        <v>2.29E-7</v>
      </c>
      <c r="H277" s="10">
        <v>1.23E-7</v>
      </c>
      <c r="I277" s="11">
        <v>0</v>
      </c>
    </row>
    <row r="278" spans="1:9">
      <c r="A278" s="9" t="s">
        <v>1028</v>
      </c>
      <c r="B278" s="10"/>
      <c r="C278" s="10" t="s">
        <v>1378</v>
      </c>
      <c r="D278" s="10"/>
      <c r="E278" s="10"/>
      <c r="F278" s="10"/>
      <c r="G278" s="10"/>
      <c r="H278" s="10"/>
      <c r="I278" s="11"/>
    </row>
    <row r="279" spans="1:9">
      <c r="A279" s="9" t="s">
        <v>1029</v>
      </c>
      <c r="B279" s="10"/>
      <c r="C279" s="10" t="s">
        <v>1378</v>
      </c>
      <c r="D279" s="10"/>
      <c r="E279" s="10"/>
      <c r="F279" s="10"/>
      <c r="G279" s="10"/>
      <c r="H279" s="10"/>
      <c r="I279" s="11"/>
    </row>
    <row r="280" spans="1:9">
      <c r="A280" s="9" t="s">
        <v>1032</v>
      </c>
      <c r="B280" s="10"/>
      <c r="C280" s="10" t="s">
        <v>1378</v>
      </c>
      <c r="D280" s="10">
        <v>1.83E-4</v>
      </c>
      <c r="E280" s="10">
        <v>4.9400000000000001E-5</v>
      </c>
      <c r="F280" s="10">
        <v>5.1800000000000001E-4</v>
      </c>
      <c r="G280" s="10">
        <v>3.6100000000000002E-6</v>
      </c>
      <c r="H280" s="10">
        <v>7.9500000000000001E-7</v>
      </c>
      <c r="I280" s="11">
        <v>0</v>
      </c>
    </row>
    <row r="281" spans="1:9">
      <c r="A281" s="9" t="s">
        <v>1380</v>
      </c>
      <c r="B281" s="10"/>
      <c r="C281" s="10" t="s">
        <v>1378</v>
      </c>
      <c r="D281" s="10">
        <v>1.11E-4</v>
      </c>
      <c r="E281" s="10">
        <v>3.8300000000000003E-5</v>
      </c>
      <c r="F281" s="10">
        <v>1.5799999999999999E-4</v>
      </c>
      <c r="G281" s="10">
        <v>2.96E-6</v>
      </c>
      <c r="H281" s="10">
        <v>1.9399999999999998E-8</v>
      </c>
      <c r="I281" s="11">
        <v>0</v>
      </c>
    </row>
    <row r="282" spans="1:9">
      <c r="A282" s="9" t="s">
        <v>1030</v>
      </c>
      <c r="B282" s="10"/>
      <c r="C282" s="10" t="s">
        <v>1378</v>
      </c>
      <c r="D282" s="10">
        <v>3.8500000000000001E-5</v>
      </c>
      <c r="E282" s="10">
        <v>5.0300000000000003E-5</v>
      </c>
      <c r="F282" s="10">
        <v>2.79E-6</v>
      </c>
      <c r="G282" s="10">
        <v>1.4600000000000001E-5</v>
      </c>
      <c r="H282" s="10">
        <v>1.4600000000000001E-7</v>
      </c>
      <c r="I282" s="11">
        <v>0</v>
      </c>
    </row>
    <row r="283" spans="1:9">
      <c r="A283" s="9" t="s">
        <v>1031</v>
      </c>
      <c r="B283" s="10"/>
      <c r="C283" s="10" t="s">
        <v>1378</v>
      </c>
      <c r="D283" s="10">
        <v>4.64E-4</v>
      </c>
      <c r="E283" s="10">
        <v>6.6299999999999999E-5</v>
      </c>
      <c r="F283" s="10">
        <v>4.5199999999999997E-3</v>
      </c>
      <c r="G283" s="10">
        <v>4.8799999999999999E-6</v>
      </c>
      <c r="H283" s="10">
        <v>3.98E-6</v>
      </c>
      <c r="I283" s="11">
        <v>0</v>
      </c>
    </row>
    <row r="284" spans="1:9">
      <c r="A284" s="9" t="s">
        <v>1033</v>
      </c>
      <c r="B284" s="10"/>
      <c r="C284" s="10" t="s">
        <v>1378</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1381</v>
      </c>
      <c r="B286" s="10"/>
      <c r="C286" s="10"/>
      <c r="D286" s="10"/>
      <c r="E286" s="10"/>
      <c r="F286" s="10"/>
      <c r="G286" s="10"/>
      <c r="H286" s="10"/>
      <c r="I286" s="11"/>
    </row>
    <row r="287" spans="1:9">
      <c r="A287" s="9" t="s">
        <v>1339</v>
      </c>
      <c r="B287" s="10"/>
      <c r="C287" s="10" t="s">
        <v>1378</v>
      </c>
      <c r="D287" s="10">
        <v>1.3899999999999999E-4</v>
      </c>
      <c r="E287" s="10">
        <v>6.5899999999999996E-6</v>
      </c>
      <c r="F287" s="10">
        <v>6.0099999999999997E-4</v>
      </c>
      <c r="G287" s="10">
        <v>1.95E-5</v>
      </c>
      <c r="H287" s="10">
        <v>2.4499999999999999E-5</v>
      </c>
      <c r="I287" s="11">
        <v>0</v>
      </c>
    </row>
    <row r="288" spans="1:9">
      <c r="A288" s="9" t="s">
        <v>1340</v>
      </c>
      <c r="B288" s="10"/>
      <c r="C288" s="10" t="s">
        <v>1378</v>
      </c>
      <c r="D288" s="10">
        <v>4.3499999999999997E-3</v>
      </c>
      <c r="E288" s="10">
        <v>1.6100000000000001E-4</v>
      </c>
      <c r="F288" s="10">
        <v>1.0699999999999999E-2</v>
      </c>
      <c r="G288" s="10">
        <v>2.4899999999999998E-4</v>
      </c>
      <c r="H288" s="10">
        <v>1.6699999999999999E-4</v>
      </c>
      <c r="I288" s="11">
        <v>0</v>
      </c>
    </row>
    <row r="289" spans="1:9">
      <c r="A289" s="9" t="s">
        <v>1341</v>
      </c>
      <c r="B289" s="10"/>
      <c r="C289" s="10" t="s">
        <v>1378</v>
      </c>
      <c r="D289" s="10">
        <v>3.6299999999999999E-2</v>
      </c>
      <c r="E289" s="10">
        <v>6.7799999999999996E-3</v>
      </c>
      <c r="F289" s="10">
        <v>0.78600000000000003</v>
      </c>
      <c r="G289" s="10">
        <v>0.22</v>
      </c>
      <c r="H289" s="10">
        <v>8.0199999999999994E-2</v>
      </c>
      <c r="I289" s="11">
        <v>0</v>
      </c>
    </row>
    <row r="290" spans="1:9">
      <c r="A290" s="9" t="s">
        <v>1342</v>
      </c>
      <c r="B290" s="10"/>
      <c r="C290" s="10" t="s">
        <v>1378</v>
      </c>
      <c r="D290" s="10">
        <v>4.9399999999999999E-3</v>
      </c>
      <c r="E290" s="10">
        <v>1.64E-3</v>
      </c>
      <c r="F290" s="10">
        <v>0.107</v>
      </c>
      <c r="G290" s="10">
        <v>0.23899999999999999</v>
      </c>
      <c r="H290" s="10">
        <v>3.1199999999999999E-3</v>
      </c>
      <c r="I290" s="11">
        <v>0</v>
      </c>
    </row>
    <row r="291" spans="1:9">
      <c r="A291" s="9" t="s">
        <v>1343</v>
      </c>
      <c r="B291" s="10"/>
      <c r="C291" s="10" t="s">
        <v>1378</v>
      </c>
      <c r="D291" s="10">
        <v>1.5200000000000001E-6</v>
      </c>
      <c r="E291" s="10">
        <v>3.0199999999999998E-7</v>
      </c>
      <c r="F291" s="10">
        <v>4.7599999999999998E-5</v>
      </c>
      <c r="G291" s="10">
        <v>1.18E-7</v>
      </c>
      <c r="H291" s="10">
        <v>8.6900000000000004E-8</v>
      </c>
      <c r="I291" s="11">
        <v>0</v>
      </c>
    </row>
    <row r="292" spans="1:9">
      <c r="A292" s="9" t="s">
        <v>1344</v>
      </c>
      <c r="B292" s="10"/>
      <c r="C292" s="10" t="s">
        <v>1378</v>
      </c>
      <c r="D292" s="10">
        <v>4.9200000000000001E-7</v>
      </c>
      <c r="E292" s="10">
        <v>8.7699999999999998E-8</v>
      </c>
      <c r="F292" s="10">
        <v>1.2099999999999999E-5</v>
      </c>
      <c r="G292" s="10">
        <v>3.3799999999999998E-6</v>
      </c>
      <c r="H292" s="10">
        <v>4.6000000000000002E-8</v>
      </c>
      <c r="I292" s="11">
        <v>0</v>
      </c>
    </row>
    <row r="293" spans="1:9">
      <c r="A293" s="9" t="s">
        <v>1345</v>
      </c>
      <c r="B293" s="10"/>
      <c r="C293" s="10"/>
      <c r="D293" s="10"/>
      <c r="E293" s="10"/>
      <c r="F293" s="10"/>
      <c r="G293" s="10"/>
      <c r="H293" s="10"/>
      <c r="I293" s="11"/>
    </row>
    <row r="294" spans="1:9">
      <c r="A294" s="9" t="s">
        <v>1382</v>
      </c>
      <c r="B294" s="10"/>
      <c r="C294" s="10" t="s">
        <v>1378</v>
      </c>
      <c r="D294" s="10">
        <v>6.6199999999999996E-5</v>
      </c>
      <c r="E294" s="10">
        <v>1.19E-5</v>
      </c>
      <c r="F294" s="10">
        <v>1.98E-3</v>
      </c>
      <c r="G294" s="10">
        <v>3.8600000000000003E-5</v>
      </c>
      <c r="H294" s="10">
        <v>3.6100000000000002E-6</v>
      </c>
      <c r="I294" s="11">
        <v>0</v>
      </c>
    </row>
    <row r="295" spans="1:9">
      <c r="A295" s="9" t="s">
        <v>1347</v>
      </c>
      <c r="B295" s="10"/>
      <c r="C295" s="10" t="s">
        <v>1378</v>
      </c>
      <c r="D295" s="10">
        <v>0.97499999999999998</v>
      </c>
      <c r="E295" s="10">
        <v>7.1500000000000001E-3</v>
      </c>
      <c r="F295" s="10">
        <v>3.9899999999999996E-3</v>
      </c>
      <c r="G295" s="10">
        <v>8.8999999999999996E-2</v>
      </c>
      <c r="H295" s="10">
        <v>1.0200000000000001E-2</v>
      </c>
      <c r="I295" s="11">
        <v>0</v>
      </c>
    </row>
    <row r="296" spans="1:9">
      <c r="A296" s="9" t="s">
        <v>1348</v>
      </c>
      <c r="B296" s="10"/>
      <c r="C296" s="10" t="s">
        <v>1378</v>
      </c>
      <c r="D296" s="10">
        <v>1.42E-3</v>
      </c>
      <c r="E296" s="10">
        <v>1.8599999999999999E-4</v>
      </c>
      <c r="F296" s="10">
        <v>1.38E-2</v>
      </c>
      <c r="G296" s="10">
        <v>6.6399999999999999E-4</v>
      </c>
      <c r="H296" s="10">
        <v>4.2599999999999999E-3</v>
      </c>
      <c r="I296" s="11">
        <v>0</v>
      </c>
    </row>
    <row r="297" spans="1:9">
      <c r="A297" s="9" t="s">
        <v>1026</v>
      </c>
      <c r="B297" s="10"/>
      <c r="C297" s="10" t="s">
        <v>1378</v>
      </c>
      <c r="D297" s="10">
        <v>1.97E-3</v>
      </c>
      <c r="E297" s="10">
        <v>1.4399999999999999E-5</v>
      </c>
      <c r="F297" s="10">
        <v>1.9000000000000001E-5</v>
      </c>
      <c r="G297" s="10">
        <v>1.7799999999999999E-4</v>
      </c>
      <c r="H297" s="10">
        <v>8.0700000000000007E-6</v>
      </c>
      <c r="I297" s="11">
        <v>0</v>
      </c>
    </row>
    <row r="298" spans="1:9">
      <c r="A298" s="9" t="s">
        <v>1349</v>
      </c>
      <c r="B298" s="10"/>
      <c r="C298" s="10" t="s">
        <v>1378</v>
      </c>
      <c r="D298" s="10">
        <v>7.9100000000000004E-2</v>
      </c>
      <c r="E298" s="10">
        <v>7.7399999999999995E-4</v>
      </c>
      <c r="F298" s="10">
        <v>3.4799999999999998E-2</v>
      </c>
      <c r="G298" s="10">
        <v>7.1900000000000002E-3</v>
      </c>
      <c r="H298" s="10">
        <v>1.08E-4</v>
      </c>
      <c r="I298" s="11">
        <v>0</v>
      </c>
    </row>
    <row r="299" spans="1:9">
      <c r="A299" s="9" t="s">
        <v>1027</v>
      </c>
      <c r="B299" s="10"/>
      <c r="C299" s="10" t="s">
        <v>1378</v>
      </c>
      <c r="D299" s="10">
        <v>5.0699999999999999E-5</v>
      </c>
      <c r="E299" s="10">
        <v>4.8599999999999998E-7</v>
      </c>
      <c r="F299" s="10">
        <v>1.5E-5</v>
      </c>
      <c r="G299" s="10">
        <v>4.4900000000000002E-6</v>
      </c>
      <c r="H299" s="10">
        <v>2.4899999999999999E-6</v>
      </c>
      <c r="I299" s="11">
        <v>0</v>
      </c>
    </row>
    <row r="300" spans="1:9">
      <c r="A300" s="9" t="s">
        <v>1350</v>
      </c>
      <c r="B300" s="10"/>
      <c r="C300" s="10" t="s">
        <v>1378</v>
      </c>
      <c r="D300" s="10">
        <v>6.3</v>
      </c>
      <c r="E300" s="10">
        <v>0.125</v>
      </c>
      <c r="F300" s="10">
        <v>7.38</v>
      </c>
      <c r="G300" s="10">
        <v>0.63100000000000001</v>
      </c>
      <c r="H300" s="10">
        <v>0.13600000000000001</v>
      </c>
      <c r="I300" s="11">
        <v>0</v>
      </c>
    </row>
    <row r="301" spans="1:9">
      <c r="A301" s="9" t="s">
        <v>1028</v>
      </c>
      <c r="B301" s="10"/>
      <c r="C301" s="10" t="s">
        <v>1378</v>
      </c>
      <c r="D301" s="10">
        <v>9.7699999999999992E-3</v>
      </c>
      <c r="E301" s="10">
        <v>7.1600000000000006E-5</v>
      </c>
      <c r="F301" s="10">
        <v>1.56E-4</v>
      </c>
      <c r="G301" s="10">
        <v>9.1100000000000003E-4</v>
      </c>
      <c r="H301" s="10">
        <v>3.4799999999999999E-5</v>
      </c>
      <c r="I301" s="11">
        <v>0</v>
      </c>
    </row>
    <row r="302" spans="1:9">
      <c r="A302" s="9" t="s">
        <v>1029</v>
      </c>
      <c r="B302" s="10"/>
      <c r="C302" s="10" t="s">
        <v>1378</v>
      </c>
      <c r="D302" s="10">
        <v>4.8900000000000002E-3</v>
      </c>
      <c r="E302" s="10">
        <v>3.5599999999999998E-5</v>
      </c>
      <c r="F302" s="10">
        <v>4.4100000000000001E-5</v>
      </c>
      <c r="G302" s="10">
        <v>4.4499999999999997E-4</v>
      </c>
      <c r="H302" s="10">
        <v>9.9999999999999995E-7</v>
      </c>
      <c r="I302" s="11">
        <v>0</v>
      </c>
    </row>
    <row r="303" spans="1:9">
      <c r="A303" s="9" t="s">
        <v>1351</v>
      </c>
      <c r="B303" s="10"/>
      <c r="C303" s="10" t="s">
        <v>1378</v>
      </c>
      <c r="D303" s="10">
        <v>6.28E-6</v>
      </c>
      <c r="E303" s="10">
        <v>5.9800000000000003E-7</v>
      </c>
      <c r="F303" s="10">
        <v>5.2800000000000003E-5</v>
      </c>
      <c r="G303" s="10">
        <v>6.8499999999999998E-5</v>
      </c>
      <c r="H303" s="10">
        <v>1.61E-7</v>
      </c>
      <c r="I303" s="11">
        <v>0</v>
      </c>
    </row>
    <row r="304" spans="1:9">
      <c r="A304" s="9" t="s">
        <v>1353</v>
      </c>
      <c r="B304" s="10"/>
      <c r="C304" s="10" t="s">
        <v>1378</v>
      </c>
      <c r="D304" s="10">
        <v>0.30299999999999999</v>
      </c>
      <c r="E304" s="10">
        <v>2.37</v>
      </c>
      <c r="F304" s="10">
        <v>8.2699999999999996E-3</v>
      </c>
      <c r="G304" s="10">
        <v>2.8199999999999999E-2</v>
      </c>
      <c r="H304" s="10">
        <v>5.5900000000000004E-3</v>
      </c>
      <c r="I304" s="11">
        <v>0</v>
      </c>
    </row>
    <row r="305" spans="1:9">
      <c r="A305" s="9" t="s">
        <v>1032</v>
      </c>
      <c r="B305" s="10"/>
      <c r="C305" s="10" t="s">
        <v>1378</v>
      </c>
      <c r="D305" s="10">
        <v>4.8999999999999998E-3</v>
      </c>
      <c r="E305" s="10">
        <v>4.3399999999999998E-5</v>
      </c>
      <c r="F305" s="10">
        <v>4.1300000000000001E-5</v>
      </c>
      <c r="G305" s="10">
        <v>4.4799999999999999E-4</v>
      </c>
      <c r="H305" s="10">
        <v>5.0199999999999995E-4</v>
      </c>
      <c r="I305" s="11">
        <v>0</v>
      </c>
    </row>
    <row r="306" spans="1:9">
      <c r="A306" s="9" t="s">
        <v>1030</v>
      </c>
      <c r="B306" s="10"/>
      <c r="C306" s="10" t="s">
        <v>1378</v>
      </c>
      <c r="D306" s="10">
        <v>1.39E-6</v>
      </c>
      <c r="E306" s="10">
        <v>1.7500000000000001E-8</v>
      </c>
      <c r="F306" s="10">
        <v>1.6500000000000001E-7</v>
      </c>
      <c r="G306" s="10">
        <v>7.8199999999999999E-7</v>
      </c>
      <c r="H306" s="10">
        <v>1.05E-8</v>
      </c>
      <c r="I306" s="11">
        <v>0</v>
      </c>
    </row>
    <row r="307" spans="1:9">
      <c r="A307" s="9" t="s">
        <v>1031</v>
      </c>
      <c r="B307" s="10"/>
      <c r="C307" s="10" t="s">
        <v>1378</v>
      </c>
      <c r="D307" s="10">
        <v>4.9300000000000004E-3</v>
      </c>
      <c r="E307" s="10">
        <v>3.6000000000000001E-5</v>
      </c>
      <c r="F307" s="10">
        <v>5.8300000000000001E-5</v>
      </c>
      <c r="G307" s="10">
        <v>4.4799999999999999E-4</v>
      </c>
      <c r="H307" s="10">
        <v>1.6699999999999999E-5</v>
      </c>
      <c r="I307" s="11">
        <v>0</v>
      </c>
    </row>
    <row r="308" spans="1:9">
      <c r="A308" s="9" t="s">
        <v>1354</v>
      </c>
      <c r="B308" s="10"/>
      <c r="C308" s="10" t="s">
        <v>1378</v>
      </c>
      <c r="D308" s="10">
        <v>2.35E-2</v>
      </c>
      <c r="E308" s="10">
        <v>2.22E-4</v>
      </c>
      <c r="F308" s="10">
        <v>9.2700000000000005E-3</v>
      </c>
      <c r="G308" s="10">
        <v>5.27E-5</v>
      </c>
      <c r="H308" s="10">
        <v>5.31E-4</v>
      </c>
      <c r="I308" s="11">
        <v>0</v>
      </c>
    </row>
    <row r="309" spans="1:9">
      <c r="A309" s="9" t="s">
        <v>1355</v>
      </c>
      <c r="B309" s="10"/>
      <c r="C309" s="10" t="s">
        <v>1378</v>
      </c>
      <c r="D309" s="10">
        <v>5.8500000000000003E-2</v>
      </c>
      <c r="E309" s="10">
        <v>4.2200000000000001E-4</v>
      </c>
      <c r="F309" s="10">
        <v>3.6900000000000002E-4</v>
      </c>
      <c r="G309" s="10">
        <v>5.3299999999999997E-3</v>
      </c>
      <c r="H309" s="10">
        <v>6.3299999999999994E-5</v>
      </c>
      <c r="I309" s="11">
        <v>0</v>
      </c>
    </row>
    <row r="310" spans="1:9">
      <c r="A310" s="9" t="s">
        <v>1356</v>
      </c>
      <c r="B310" s="10"/>
      <c r="C310" s="10" t="s">
        <v>1378</v>
      </c>
      <c r="D310" s="10">
        <v>4.3499999999999996</v>
      </c>
      <c r="E310" s="10">
        <v>5.0199999999999996</v>
      </c>
      <c r="F310" s="10">
        <v>0.27400000000000002</v>
      </c>
      <c r="G310" s="10">
        <v>0.46200000000000002</v>
      </c>
      <c r="H310" s="10">
        <v>2.0699999999999998</v>
      </c>
      <c r="I310" s="11">
        <v>0</v>
      </c>
    </row>
    <row r="311" spans="1:9">
      <c r="A311" s="9" t="s">
        <v>1357</v>
      </c>
      <c r="B311" s="10"/>
      <c r="C311" s="10" t="s">
        <v>1378</v>
      </c>
      <c r="D311" s="10">
        <v>1.4E-5</v>
      </c>
      <c r="E311" s="10">
        <v>2.83E-6</v>
      </c>
      <c r="F311" s="10">
        <v>4.2099999999999999E-4</v>
      </c>
      <c r="G311" s="10">
        <v>6.4800000000000003E-5</v>
      </c>
      <c r="H311" s="10">
        <v>2.6299999999999998E-6</v>
      </c>
      <c r="I311" s="11">
        <v>0</v>
      </c>
    </row>
    <row r="312" spans="1:9">
      <c r="A312" s="9" t="s">
        <v>1033</v>
      </c>
      <c r="B312" s="10"/>
      <c r="C312" s="10" t="s">
        <v>1378</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1392</v>
      </c>
      <c r="B314" s="13"/>
      <c r="C314" s="13" t="s">
        <v>1378</v>
      </c>
      <c r="D314" s="13">
        <v>219.9</v>
      </c>
      <c r="E314" s="13">
        <v>108.7</v>
      </c>
      <c r="F314" s="13">
        <v>16.5</v>
      </c>
      <c r="G314" s="13">
        <v>27.1</v>
      </c>
      <c r="H314" s="13">
        <v>4</v>
      </c>
      <c r="I314" s="14">
        <v>0</v>
      </c>
    </row>
    <row r="317" spans="1:9">
      <c r="A317" s="62" t="s">
        <v>1372</v>
      </c>
    </row>
    <row r="318" spans="1:9">
      <c r="A318" s="62" t="s">
        <v>1374</v>
      </c>
    </row>
    <row r="319" spans="1:9" ht="15.75" thickBot="1"/>
    <row r="320" spans="1:9">
      <c r="A320" s="93"/>
      <c r="B320" s="7"/>
      <c r="C320" s="78" t="s">
        <v>1302</v>
      </c>
      <c r="D320" s="78" t="s">
        <v>1373</v>
      </c>
      <c r="E320" s="78" t="s">
        <v>1383</v>
      </c>
      <c r="F320" s="79" t="s">
        <v>1384</v>
      </c>
    </row>
    <row r="321" spans="1:8">
      <c r="A321" s="64" t="s">
        <v>1385</v>
      </c>
      <c r="B321" s="10"/>
      <c r="C321" s="10" t="s">
        <v>1316</v>
      </c>
      <c r="D321" s="10">
        <v>4.02E-2</v>
      </c>
      <c r="E321" s="10">
        <v>3.4349999999999999E-2</v>
      </c>
      <c r="F321" s="11">
        <v>3.8136000000000003E-2</v>
      </c>
    </row>
    <row r="322" spans="1:8">
      <c r="A322" s="64" t="s">
        <v>1386</v>
      </c>
      <c r="B322" s="10"/>
      <c r="C322" s="10" t="s">
        <v>41</v>
      </c>
      <c r="D322" s="36">
        <v>0.80200000000000005</v>
      </c>
      <c r="E322" s="36">
        <v>0.63600000000000001</v>
      </c>
      <c r="F322" s="131">
        <v>0.75900000000000001</v>
      </c>
    </row>
    <row r="323" spans="1:8">
      <c r="A323" s="9"/>
      <c r="B323" s="10"/>
      <c r="C323" s="10"/>
      <c r="D323" s="10"/>
      <c r="E323" s="10"/>
      <c r="F323" s="11"/>
    </row>
    <row r="324" spans="1:8">
      <c r="A324" s="64" t="s">
        <v>1377</v>
      </c>
      <c r="B324" s="10"/>
      <c r="C324" s="10"/>
      <c r="D324" s="10"/>
      <c r="E324" s="10"/>
      <c r="F324" s="11"/>
    </row>
    <row r="325" spans="1:8">
      <c r="A325" s="9" t="s">
        <v>1016</v>
      </c>
      <c r="B325" s="10"/>
      <c r="C325" s="10" t="s">
        <v>1378</v>
      </c>
      <c r="D325" s="10">
        <v>0.123</v>
      </c>
      <c r="E325" s="10">
        <v>0.498</v>
      </c>
      <c r="F325" s="11">
        <v>1.2432000000000001</v>
      </c>
    </row>
    <row r="326" spans="1:8">
      <c r="A326" s="9" t="s">
        <v>1015</v>
      </c>
      <c r="B326" s="10"/>
      <c r="C326" s="10" t="s">
        <v>1378</v>
      </c>
      <c r="D326" s="10">
        <v>0.97</v>
      </c>
      <c r="E326" s="10">
        <v>65.025000000000006</v>
      </c>
      <c r="F326" s="11">
        <v>16.547999999999998</v>
      </c>
    </row>
    <row r="327" spans="1:8">
      <c r="A327" s="9" t="s">
        <v>1329</v>
      </c>
      <c r="B327" s="10"/>
      <c r="C327" s="10" t="s">
        <v>1378</v>
      </c>
      <c r="D327" s="10">
        <v>2290</v>
      </c>
      <c r="E327" s="10">
        <v>2985</v>
      </c>
      <c r="F327" s="11">
        <v>3015.6</v>
      </c>
    </row>
    <row r="328" spans="1:8">
      <c r="A328" s="9" t="s">
        <v>1330</v>
      </c>
      <c r="B328" s="10"/>
      <c r="C328" s="10" t="s">
        <v>1378</v>
      </c>
      <c r="D328" s="10">
        <v>6.46</v>
      </c>
      <c r="E328" s="10">
        <v>3.9375</v>
      </c>
      <c r="F328" s="11">
        <v>3.6707999999999998</v>
      </c>
    </row>
    <row r="329" spans="1:8">
      <c r="A329" s="9" t="s">
        <v>1387</v>
      </c>
      <c r="B329" s="10"/>
      <c r="C329" s="10" t="s">
        <v>1378</v>
      </c>
      <c r="D329" s="10">
        <v>2.34</v>
      </c>
      <c r="E329" s="10">
        <v>28.875</v>
      </c>
      <c r="F329" s="11">
        <v>54.264000000000003</v>
      </c>
      <c r="G329" t="s">
        <v>1459</v>
      </c>
    </row>
    <row r="330" spans="1:8">
      <c r="A330" s="9" t="s">
        <v>1332</v>
      </c>
      <c r="B330" s="10"/>
      <c r="C330" s="10" t="s">
        <v>1378</v>
      </c>
      <c r="D330" s="49">
        <v>2.47E-2</v>
      </c>
      <c r="E330" s="140">
        <f>0.23175/1000</f>
        <v>2.3175000000000002E-4</v>
      </c>
      <c r="F330" s="141">
        <f>0.072828/1000</f>
        <v>7.2828000000000001E-5</v>
      </c>
      <c r="G330" t="s">
        <v>1460</v>
      </c>
      <c r="H330" t="s">
        <v>1419</v>
      </c>
    </row>
    <row r="331" spans="1:8">
      <c r="A331" s="9" t="s">
        <v>1388</v>
      </c>
      <c r="B331" s="10"/>
      <c r="C331" s="10" t="s">
        <v>1378</v>
      </c>
      <c r="D331" s="10">
        <v>1.29</v>
      </c>
      <c r="E331" s="10">
        <v>4.8975</v>
      </c>
      <c r="F331" s="11">
        <v>4.5444000000000004</v>
      </c>
      <c r="H331" t="s">
        <v>1458</v>
      </c>
    </row>
    <row r="332" spans="1:8">
      <c r="A332" s="9" t="s">
        <v>1013</v>
      </c>
      <c r="B332" s="10"/>
      <c r="C332" s="10" t="s">
        <v>1378</v>
      </c>
      <c r="D332" s="10">
        <v>1.43E-2</v>
      </c>
      <c r="E332" s="10">
        <v>1.3350000000000001E-2</v>
      </c>
      <c r="F332" s="11">
        <v>6.1656000000000002E-3</v>
      </c>
    </row>
    <row r="333" spans="1:8">
      <c r="A333" s="9" t="s">
        <v>1334</v>
      </c>
      <c r="B333" s="10"/>
      <c r="C333" s="10" t="s">
        <v>1378</v>
      </c>
      <c r="D333" s="49">
        <v>1.5100000000000001E-3</v>
      </c>
      <c r="E333" s="140">
        <f>0.001395/1000</f>
        <v>1.395E-6</v>
      </c>
      <c r="F333" s="141">
        <f>0.00064428/1000</f>
        <v>6.4428E-7</v>
      </c>
      <c r="G333" t="s">
        <v>1460</v>
      </c>
    </row>
    <row r="334" spans="1:8">
      <c r="A334" s="9" t="s">
        <v>1335</v>
      </c>
      <c r="B334" s="10"/>
      <c r="C334" s="10" t="s">
        <v>1378</v>
      </c>
      <c r="D334" s="10"/>
      <c r="E334" s="10"/>
      <c r="F334" s="11"/>
    </row>
    <row r="335" spans="1:8">
      <c r="A335" s="9" t="s">
        <v>1390</v>
      </c>
      <c r="B335" s="10"/>
      <c r="C335" s="49" t="s">
        <v>1378</v>
      </c>
      <c r="D335" s="49">
        <v>0</v>
      </c>
      <c r="E335" s="49">
        <v>0</v>
      </c>
      <c r="F335" s="11">
        <v>0</v>
      </c>
    </row>
    <row r="336" spans="1:8">
      <c r="A336" s="9" t="s">
        <v>1336</v>
      </c>
      <c r="B336" s="10"/>
      <c r="C336" s="10" t="s">
        <v>1378</v>
      </c>
      <c r="D336" s="49">
        <f>5.04*10^-8</f>
        <v>5.0400000000000001E-8</v>
      </c>
      <c r="E336" s="140">
        <f>3.375*10^-8</f>
        <v>3.3750000000000001E-8</v>
      </c>
      <c r="F336" s="141">
        <f>1.7304*10^-8</f>
        <v>1.7304000000000001E-8</v>
      </c>
      <c r="G336" t="s">
        <v>1420</v>
      </c>
    </row>
    <row r="337" spans="1:7">
      <c r="A337" s="9" t="s">
        <v>1014</v>
      </c>
      <c r="B337" s="10"/>
      <c r="C337" s="10"/>
      <c r="D337" s="10"/>
      <c r="E337" s="10"/>
      <c r="F337" s="11"/>
    </row>
    <row r="338" spans="1:7">
      <c r="A338" s="9" t="s">
        <v>1337</v>
      </c>
      <c r="B338" s="10"/>
      <c r="C338" s="10" t="s">
        <v>1378</v>
      </c>
      <c r="D338" s="49">
        <v>2.2800000000000001E-4</v>
      </c>
      <c r="E338" s="140">
        <f>0.000156/1000</f>
        <v>1.5599999999999999E-7</v>
      </c>
      <c r="F338" s="141">
        <f>0.000081984/1000</f>
        <v>8.1984000000000001E-8</v>
      </c>
      <c r="G338" t="s">
        <v>1460</v>
      </c>
    </row>
    <row r="339" spans="1:7">
      <c r="A339" s="9" t="s">
        <v>1026</v>
      </c>
      <c r="B339" s="10"/>
      <c r="C339" s="10"/>
      <c r="D339" s="10"/>
      <c r="E339" s="10"/>
      <c r="F339" s="11"/>
    </row>
    <row r="340" spans="1:7">
      <c r="A340" s="9" t="s">
        <v>1027</v>
      </c>
      <c r="B340" s="10"/>
      <c r="C340" s="10" t="s">
        <v>1378</v>
      </c>
      <c r="D340" s="49">
        <v>1.72E-6</v>
      </c>
      <c r="E340" s="140">
        <f>0.00012075/1000000</f>
        <v>1.2075E-10</v>
      </c>
      <c r="F340" s="141">
        <f>0.000029316/1000000</f>
        <v>2.9316E-11</v>
      </c>
      <c r="G340" t="s">
        <v>1461</v>
      </c>
    </row>
    <row r="341" spans="1:7">
      <c r="A341" s="9" t="s">
        <v>1028</v>
      </c>
      <c r="B341" s="10"/>
      <c r="C341" s="10"/>
      <c r="D341" s="10"/>
      <c r="E341" s="10"/>
      <c r="F341" s="11"/>
    </row>
    <row r="342" spans="1:7">
      <c r="A342" s="9" t="s">
        <v>1029</v>
      </c>
      <c r="B342" s="10"/>
      <c r="C342" s="10"/>
      <c r="D342" s="10"/>
      <c r="E342" s="10"/>
      <c r="F342" s="11"/>
    </row>
    <row r="343" spans="1:7">
      <c r="A343" s="9" t="s">
        <v>1032</v>
      </c>
      <c r="B343" s="10"/>
      <c r="C343" s="10" t="s">
        <v>1378</v>
      </c>
      <c r="D343" s="49">
        <v>1.66E-5</v>
      </c>
      <c r="E343" s="140">
        <f>0.003105/1000</f>
        <v>3.1049999999999999E-6</v>
      </c>
      <c r="F343" s="141">
        <f>0.00016128/1000</f>
        <v>1.6128E-7</v>
      </c>
      <c r="G343" t="s">
        <v>1460</v>
      </c>
    </row>
    <row r="344" spans="1:7">
      <c r="A344" s="9" t="s">
        <v>1380</v>
      </c>
      <c r="B344" s="10"/>
      <c r="C344" s="10" t="s">
        <v>1378</v>
      </c>
      <c r="D344" s="49">
        <v>7.1799999999999999E-6</v>
      </c>
      <c r="E344" s="140">
        <f>4.8075*10^-6/1000</f>
        <v>4.8075000000000002E-9</v>
      </c>
      <c r="F344" s="141">
        <f>2.4696*10^-6/1000</f>
        <v>2.4695999999999994E-9</v>
      </c>
      <c r="G344" t="s">
        <v>1460</v>
      </c>
    </row>
    <row r="345" spans="1:7">
      <c r="A345" s="9" t="s">
        <v>1030</v>
      </c>
      <c r="B345" s="10"/>
      <c r="C345" s="10" t="s">
        <v>1378</v>
      </c>
      <c r="D345" s="49">
        <v>7.25E-5</v>
      </c>
      <c r="E345" s="140">
        <f>0.000008475/1000000</f>
        <v>8.4749999999999985E-12</v>
      </c>
      <c r="F345" s="141">
        <f>3.0156*10^-6/1000000</f>
        <v>3.0155999999999998E-12</v>
      </c>
      <c r="G345" t="s">
        <v>1461</v>
      </c>
    </row>
    <row r="346" spans="1:7">
      <c r="A346" s="9" t="s">
        <v>1031</v>
      </c>
      <c r="B346" s="10"/>
      <c r="C346" s="10" t="s">
        <v>1378</v>
      </c>
      <c r="D346" s="49">
        <v>9.9400000000000004E-5</v>
      </c>
      <c r="E346" s="140">
        <f>0.0026025/1000</f>
        <v>2.6025000000000001E-6</v>
      </c>
      <c r="F346" s="141">
        <f>0.0014532/1000</f>
        <v>1.4531999999999999E-6</v>
      </c>
      <c r="G346" t="s">
        <v>1460</v>
      </c>
    </row>
    <row r="347" spans="1:7">
      <c r="A347" s="9" t="s">
        <v>1033</v>
      </c>
      <c r="B347" s="10"/>
      <c r="C347" s="10" t="s">
        <v>1378</v>
      </c>
      <c r="D347" s="49">
        <v>3.43E-5</v>
      </c>
      <c r="E347" s="140">
        <f>0.000825/1000</f>
        <v>8.2500000000000004E-7</v>
      </c>
      <c r="F347" s="141">
        <f>0.000966/1000</f>
        <v>9.6599999999999994E-7</v>
      </c>
      <c r="G347" t="s">
        <v>1460</v>
      </c>
    </row>
    <row r="348" spans="1:7">
      <c r="A348" s="9"/>
      <c r="B348" s="10"/>
      <c r="C348" s="10"/>
      <c r="D348" s="10"/>
      <c r="E348" s="10"/>
      <c r="F348" s="11"/>
    </row>
    <row r="349" spans="1:7">
      <c r="A349" s="64" t="s">
        <v>1381</v>
      </c>
      <c r="B349" s="10"/>
      <c r="C349" s="10"/>
      <c r="D349" s="10"/>
      <c r="E349" s="10"/>
      <c r="F349" s="11"/>
    </row>
    <row r="350" spans="1:7">
      <c r="A350" s="9" t="s">
        <v>1339</v>
      </c>
      <c r="B350" s="10"/>
      <c r="C350" s="10" t="s">
        <v>1378</v>
      </c>
      <c r="D350" s="10">
        <v>1.11E-4</v>
      </c>
      <c r="E350" s="140">
        <f>0.003915/1000</f>
        <v>3.9149999999999998E-6</v>
      </c>
      <c r="F350" s="141">
        <f>0.0041328/1000</f>
        <v>4.1327999999999996E-6</v>
      </c>
      <c r="G350" t="s">
        <v>1460</v>
      </c>
    </row>
    <row r="351" spans="1:7">
      <c r="A351" s="9" t="s">
        <v>1340</v>
      </c>
      <c r="B351" s="10"/>
      <c r="C351" s="10" t="s">
        <v>1378</v>
      </c>
      <c r="D351" s="10">
        <v>1.5E-3</v>
      </c>
      <c r="E351" s="140">
        <f>0.1275/1000</f>
        <v>1.2750000000000001E-4</v>
      </c>
      <c r="F351" s="141">
        <f>0.13524/1000</f>
        <v>1.3523999999999999E-4</v>
      </c>
      <c r="G351" t="s">
        <v>1460</v>
      </c>
    </row>
    <row r="352" spans="1:7">
      <c r="A352" s="9" t="s">
        <v>1341</v>
      </c>
      <c r="B352" s="10"/>
      <c r="C352" s="10" t="s">
        <v>1378</v>
      </c>
      <c r="D352" s="10">
        <v>1.1299999999999999</v>
      </c>
      <c r="E352" s="10">
        <v>2.5649999999999999</v>
      </c>
      <c r="F352" s="11">
        <v>2.6208</v>
      </c>
    </row>
    <row r="353" spans="1:10">
      <c r="A353" s="9" t="s">
        <v>1342</v>
      </c>
      <c r="B353" s="10"/>
      <c r="C353" s="10" t="s">
        <v>1378</v>
      </c>
      <c r="D353" s="10">
        <v>1.1100000000000001</v>
      </c>
      <c r="E353" s="140">
        <f>0.4275/1000</f>
        <v>4.2749999999999998E-4</v>
      </c>
      <c r="F353" s="141">
        <f>0.42252/1000</f>
        <v>4.2252000000000001E-4</v>
      </c>
      <c r="G353" t="s">
        <v>1460</v>
      </c>
    </row>
    <row r="354" spans="1:10">
      <c r="A354" s="9" t="s">
        <v>1343</v>
      </c>
      <c r="B354" s="10"/>
      <c r="C354" s="10" t="s">
        <v>1378</v>
      </c>
      <c r="D354" s="10">
        <v>1.31E-6</v>
      </c>
      <c r="E354" s="140">
        <f>0.000171/1000000</f>
        <v>1.71E-10</v>
      </c>
      <c r="F354" s="141">
        <f>0.0001806/1000000</f>
        <v>1.806E-10</v>
      </c>
      <c r="G354" t="s">
        <v>1461</v>
      </c>
    </row>
    <row r="355" spans="1:10">
      <c r="A355" s="9" t="s">
        <v>1344</v>
      </c>
      <c r="B355" s="10"/>
      <c r="C355" s="10" t="s">
        <v>1378</v>
      </c>
      <c r="D355" s="10">
        <v>1.73E-5</v>
      </c>
      <c r="E355" s="140">
        <f>0.000039375/1000000</f>
        <v>3.9375E-11</v>
      </c>
      <c r="F355" s="141">
        <f>0.000040236/1000000</f>
        <v>4.0235999999999999E-11</v>
      </c>
      <c r="G355" t="s">
        <v>1461</v>
      </c>
    </row>
    <row r="356" spans="1:10">
      <c r="A356" s="9" t="s">
        <v>1345</v>
      </c>
      <c r="B356" s="10"/>
      <c r="C356" s="10"/>
      <c r="D356" s="10"/>
      <c r="E356" s="10"/>
      <c r="F356" s="11"/>
    </row>
    <row r="357" spans="1:10">
      <c r="A357" s="9" t="s">
        <v>1346</v>
      </c>
      <c r="B357" s="10"/>
      <c r="C357" s="10" t="s">
        <v>1378</v>
      </c>
      <c r="D357" s="10">
        <v>2.32E-4</v>
      </c>
      <c r="E357" s="140">
        <f>0.005895/1000000</f>
        <v>5.895E-9</v>
      </c>
      <c r="F357" s="141">
        <f>0.0060816/1000000</f>
        <v>6.0816000000000002E-9</v>
      </c>
      <c r="G357" t="s">
        <v>1461</v>
      </c>
    </row>
    <row r="358" spans="1:10">
      <c r="A358" s="9" t="s">
        <v>1347</v>
      </c>
      <c r="B358" s="10"/>
      <c r="C358" s="10" t="s">
        <v>1378</v>
      </c>
      <c r="D358" s="10">
        <v>3.4599999999999999E-2</v>
      </c>
      <c r="E358" s="146">
        <v>9.5249999999999998E-5</v>
      </c>
      <c r="F358" s="146">
        <v>1.008E-4</v>
      </c>
      <c r="G358" t="s">
        <v>1462</v>
      </c>
      <c r="I358" s="10">
        <v>2.3400000000000001E-2</v>
      </c>
      <c r="J358" s="11">
        <v>1.2096000000000001E-2</v>
      </c>
    </row>
    <row r="359" spans="1:10">
      <c r="A359" s="9" t="s">
        <v>1348</v>
      </c>
      <c r="B359" s="10"/>
      <c r="C359" s="10" t="s">
        <v>1378</v>
      </c>
      <c r="D359" s="10">
        <v>8.1099999999999998E-4</v>
      </c>
      <c r="E359" s="140">
        <v>2.3400000000000001E-2</v>
      </c>
      <c r="F359" s="141">
        <v>1.2096000000000001E-2</v>
      </c>
      <c r="G359" t="s">
        <v>1463</v>
      </c>
      <c r="I359" s="10">
        <v>9.5250000000000001E-2</v>
      </c>
      <c r="J359" s="11">
        <v>0.1008</v>
      </c>
    </row>
    <row r="360" spans="1:10">
      <c r="A360" s="9" t="s">
        <v>1026</v>
      </c>
      <c r="B360" s="10"/>
      <c r="C360" s="10" t="s">
        <v>1378</v>
      </c>
      <c r="D360" s="10">
        <v>6.9599999999999998E-5</v>
      </c>
      <c r="E360" s="140">
        <f>0.000081/1000</f>
        <v>8.0999999999999997E-8</v>
      </c>
      <c r="F360" s="141">
        <f>0.000060144/1000</f>
        <v>6.0143999999999999E-8</v>
      </c>
      <c r="G360" t="s">
        <v>1460</v>
      </c>
    </row>
    <row r="361" spans="1:10">
      <c r="A361" s="9" t="s">
        <v>1349</v>
      </c>
      <c r="B361" s="10"/>
      <c r="C361" s="10" t="s">
        <v>1378</v>
      </c>
      <c r="D361" s="10">
        <v>3.63E-3</v>
      </c>
      <c r="E361" s="140">
        <f>0.114/1000</f>
        <v>1.1400000000000001E-4</v>
      </c>
      <c r="F361" s="141">
        <f>0.11592/1000</f>
        <v>1.1592E-4</v>
      </c>
      <c r="G361" t="s">
        <v>1460</v>
      </c>
    </row>
    <row r="362" spans="1:10">
      <c r="A362" s="9" t="s">
        <v>1027</v>
      </c>
      <c r="B362" s="10"/>
      <c r="C362" s="10" t="s">
        <v>1378</v>
      </c>
      <c r="D362" s="10">
        <v>2.3E-6</v>
      </c>
      <c r="E362" s="140">
        <f>0.0000492/1000000</f>
        <v>4.9200000000000002E-11</v>
      </c>
      <c r="F362" s="141">
        <f>0.000050988/1000000</f>
        <v>5.0987999999999999E-11</v>
      </c>
      <c r="G362" t="s">
        <v>1461</v>
      </c>
    </row>
    <row r="363" spans="1:10">
      <c r="A363" s="9" t="s">
        <v>1350</v>
      </c>
      <c r="B363" s="10"/>
      <c r="C363" s="10" t="s">
        <v>1378</v>
      </c>
      <c r="D363" s="10">
        <v>4.3700000000000003E-2</v>
      </c>
      <c r="E363" s="10">
        <v>23.85</v>
      </c>
      <c r="F363" s="11">
        <v>24.527999999999999</v>
      </c>
    </row>
    <row r="364" spans="1:10">
      <c r="A364" s="9" t="s">
        <v>1028</v>
      </c>
      <c r="B364" s="10"/>
      <c r="C364" s="10" t="s">
        <v>1378</v>
      </c>
      <c r="D364" s="10">
        <v>4.55E-4</v>
      </c>
      <c r="E364" s="140">
        <f>0.00060825/1000</f>
        <v>6.0824999999999996E-7</v>
      </c>
      <c r="F364" s="141">
        <f>0.00050736/1000</f>
        <v>5.0735999999999996E-7</v>
      </c>
      <c r="G364" t="s">
        <v>1460</v>
      </c>
    </row>
    <row r="365" spans="1:10">
      <c r="A365" s="9" t="s">
        <v>1029</v>
      </c>
      <c r="B365" s="10"/>
      <c r="C365" s="10" t="s">
        <v>1378</v>
      </c>
      <c r="D365" s="10">
        <v>1.7100000000000001E-4</v>
      </c>
      <c r="E365" s="140">
        <f>0.00019425/1000</f>
        <v>1.9425000000000001E-7</v>
      </c>
      <c r="F365" s="141">
        <f>0.00014196/1000</f>
        <v>1.4196000000000001E-7</v>
      </c>
      <c r="G365" t="s">
        <v>1460</v>
      </c>
    </row>
    <row r="366" spans="1:10">
      <c r="A366" s="9" t="s">
        <v>1351</v>
      </c>
      <c r="B366" s="10"/>
      <c r="C366" s="10" t="s">
        <v>1378</v>
      </c>
      <c r="D366" s="10">
        <v>2.74E-6</v>
      </c>
      <c r="E366" s="140">
        <f>0.00017175/1000000</f>
        <v>1.7175E-10</v>
      </c>
      <c r="F366" s="141">
        <f>0.00018144/1000000</f>
        <v>1.8144E-10</v>
      </c>
      <c r="G366" t="s">
        <v>1461</v>
      </c>
    </row>
    <row r="367" spans="1:10">
      <c r="A367" s="9" t="s">
        <v>1352</v>
      </c>
      <c r="B367" s="10"/>
      <c r="C367" s="10"/>
      <c r="D367" s="10"/>
      <c r="E367" s="49">
        <v>0</v>
      </c>
      <c r="F367" s="77">
        <v>0</v>
      </c>
    </row>
    <row r="368" spans="1:10">
      <c r="A368" s="9" t="s">
        <v>1353</v>
      </c>
      <c r="B368" s="10"/>
      <c r="C368" s="10" t="s">
        <v>1378</v>
      </c>
      <c r="D368" s="10">
        <v>5.6000000000000001E-2</v>
      </c>
      <c r="E368" s="10">
        <v>4.3799999999999999E-2</v>
      </c>
      <c r="F368" s="11">
        <v>2.5787999999999998E-2</v>
      </c>
    </row>
    <row r="369" spans="1:7">
      <c r="A369" s="9" t="s">
        <v>1032</v>
      </c>
      <c r="B369" s="10"/>
      <c r="C369" s="10" t="s">
        <v>1378</v>
      </c>
      <c r="D369" s="10">
        <v>2.04E-4</v>
      </c>
      <c r="E369" s="140">
        <f>0.00018825/1000</f>
        <v>1.8825000000000001E-7</v>
      </c>
      <c r="F369" s="141">
        <f>0.00012432/1000</f>
        <v>1.2431999999999999E-7</v>
      </c>
      <c r="G369" t="s">
        <v>1460</v>
      </c>
    </row>
    <row r="370" spans="1:7">
      <c r="A370" s="9" t="s">
        <v>1030</v>
      </c>
      <c r="B370" s="10"/>
      <c r="C370" s="10" t="s">
        <v>1378</v>
      </c>
      <c r="D370" s="10">
        <v>3.67E-6</v>
      </c>
      <c r="E370" s="140">
        <f>0.00000049725/1000000</f>
        <v>4.9725000000000003E-13</v>
      </c>
      <c r="F370" s="141">
        <f>0.0000004536/1000000</f>
        <v>4.5360000000000001E-13</v>
      </c>
      <c r="G370" t="s">
        <v>1461</v>
      </c>
    </row>
    <row r="371" spans="1:7">
      <c r="A371" s="9" t="s">
        <v>1031</v>
      </c>
      <c r="B371" s="10"/>
      <c r="C371" s="10" t="s">
        <v>1378</v>
      </c>
      <c r="D371" s="10">
        <v>1.74E-4</v>
      </c>
      <c r="E371" s="140">
        <f>0.00024/1000</f>
        <v>2.4000000000000003E-7</v>
      </c>
      <c r="F371" s="141">
        <f>0.00018816/1000</f>
        <v>1.8815999999999999E-7</v>
      </c>
      <c r="G371" t="s">
        <v>1460</v>
      </c>
    </row>
    <row r="372" spans="1:7">
      <c r="A372" s="9" t="s">
        <v>1354</v>
      </c>
      <c r="B372" s="10"/>
      <c r="C372" s="10" t="s">
        <v>1378</v>
      </c>
      <c r="D372" s="10">
        <v>1.0499999999999999E-3</v>
      </c>
      <c r="E372" s="140">
        <f>0.028875/1000</f>
        <v>2.8875000000000001E-5</v>
      </c>
      <c r="F372" s="141">
        <f>0.03024/1000</f>
        <v>3.0239999999999998E-5</v>
      </c>
      <c r="G372" t="s">
        <v>1460</v>
      </c>
    </row>
    <row r="373" spans="1:7">
      <c r="A373" s="9" t="s">
        <v>1355</v>
      </c>
      <c r="B373" s="10"/>
      <c r="C373" s="10" t="s">
        <v>1378</v>
      </c>
      <c r="D373" s="10">
        <v>2.0600000000000002E-3</v>
      </c>
      <c r="E373" s="140">
        <f>0.00183/1000</f>
        <v>1.8300000000000001E-6</v>
      </c>
      <c r="F373" s="141">
        <f>0.0011928/1000</f>
        <v>1.1928E-6</v>
      </c>
      <c r="G373" t="s">
        <v>1460</v>
      </c>
    </row>
    <row r="374" spans="1:7">
      <c r="A374" s="9" t="s">
        <v>1356</v>
      </c>
      <c r="B374" s="10"/>
      <c r="C374" s="10" t="s">
        <v>1378</v>
      </c>
      <c r="D374" s="10">
        <v>3.9100000000000003E-2</v>
      </c>
      <c r="E374" s="10">
        <v>1.05</v>
      </c>
      <c r="F374" s="11">
        <v>0.86519999999999997</v>
      </c>
    </row>
    <row r="375" spans="1:7">
      <c r="A375" s="9" t="s">
        <v>1357</v>
      </c>
      <c r="B375" s="10"/>
      <c r="C375" s="10" t="s">
        <v>1378</v>
      </c>
      <c r="D375" s="10">
        <v>1.2500000000000001E-5</v>
      </c>
      <c r="E375" s="140">
        <f>0.001365/1000000</f>
        <v>1.3649999999999999E-9</v>
      </c>
      <c r="F375" s="141">
        <f>0.0014448/1000000</f>
        <v>1.4448E-9</v>
      </c>
      <c r="G375" t="s">
        <v>1461</v>
      </c>
    </row>
    <row r="376" spans="1:7">
      <c r="A376" s="9" t="s">
        <v>1033</v>
      </c>
      <c r="B376" s="10"/>
      <c r="C376" s="10" t="s">
        <v>1378</v>
      </c>
      <c r="D376" s="10">
        <v>3.4900000000000003E-4</v>
      </c>
      <c r="E376" s="140">
        <f>0.00062625/1000</f>
        <v>6.2624999999999993E-7</v>
      </c>
      <c r="F376" s="141">
        <f>0.00053676/1000</f>
        <v>5.3675999999999994E-7</v>
      </c>
      <c r="G376" t="s">
        <v>1460</v>
      </c>
    </row>
    <row r="377" spans="1:7">
      <c r="A377" s="9"/>
      <c r="B377" s="10"/>
      <c r="C377" s="10"/>
      <c r="D377" s="10"/>
      <c r="E377" s="10"/>
      <c r="F377" s="11"/>
    </row>
    <row r="378" spans="1:7" ht="15.75" thickBot="1">
      <c r="A378" s="120" t="s">
        <v>1392</v>
      </c>
      <c r="B378" s="13"/>
      <c r="C378" s="13" t="s">
        <v>1378</v>
      </c>
      <c r="D378" s="13">
        <v>3</v>
      </c>
      <c r="E378" s="13">
        <v>5.3</v>
      </c>
      <c r="F378" s="14">
        <v>5.7</v>
      </c>
    </row>
    <row r="381" spans="1:7">
      <c r="A381" s="62" t="s">
        <v>1395</v>
      </c>
    </row>
    <row r="382" spans="1:7">
      <c r="A382" t="s">
        <v>1396</v>
      </c>
    </row>
    <row r="383" spans="1:7">
      <c r="A383" t="s">
        <v>1401</v>
      </c>
    </row>
    <row r="384" spans="1:7">
      <c r="A384" t="s">
        <v>1402</v>
      </c>
    </row>
    <row r="385" spans="1:10" ht="15.75" thickBot="1"/>
    <row r="386" spans="1:10">
      <c r="A386" s="35"/>
      <c r="B386" s="7"/>
      <c r="C386" s="78" t="s">
        <v>1302</v>
      </c>
      <c r="D386" s="78" t="s">
        <v>1397</v>
      </c>
      <c r="E386" s="78" t="s">
        <v>1398</v>
      </c>
      <c r="F386" s="78" t="s">
        <v>1399</v>
      </c>
      <c r="G386" s="78" t="s">
        <v>1400</v>
      </c>
      <c r="H386" s="78" t="s">
        <v>1403</v>
      </c>
      <c r="I386" s="78" t="s">
        <v>1404</v>
      </c>
      <c r="J386" s="79" t="s">
        <v>1405</v>
      </c>
    </row>
    <row r="387" spans="1:10">
      <c r="A387" s="64" t="s">
        <v>1409</v>
      </c>
      <c r="B387" s="10"/>
      <c r="C387" s="65"/>
      <c r="D387" s="10" t="s">
        <v>1411</v>
      </c>
      <c r="E387" s="68" t="s">
        <v>1410</v>
      </c>
      <c r="F387" s="68" t="s">
        <v>1412</v>
      </c>
      <c r="G387" s="68" t="s">
        <v>1411</v>
      </c>
      <c r="H387" s="68" t="s">
        <v>1413</v>
      </c>
      <c r="I387" s="68" t="s">
        <v>1412</v>
      </c>
      <c r="J387" s="133" t="s">
        <v>1411</v>
      </c>
    </row>
    <row r="388" spans="1:10">
      <c r="A388" s="9"/>
      <c r="B388" s="10"/>
      <c r="C388" s="65"/>
      <c r="D388" s="65"/>
      <c r="E388" s="65"/>
      <c r="F388" s="65"/>
      <c r="G388" s="65"/>
      <c r="H388" s="65"/>
      <c r="I388" s="65"/>
      <c r="J388" s="89"/>
    </row>
    <row r="389" spans="1:10">
      <c r="A389" s="64" t="s">
        <v>171</v>
      </c>
      <c r="B389" s="10"/>
      <c r="C389" s="10" t="s">
        <v>1316</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1377</v>
      </c>
      <c r="B391" s="10"/>
      <c r="C391" s="10"/>
      <c r="D391" s="10"/>
      <c r="E391" s="10"/>
      <c r="F391" s="65"/>
      <c r="G391" s="10"/>
      <c r="H391" s="10"/>
      <c r="I391" s="65"/>
      <c r="J391" s="89"/>
    </row>
    <row r="392" spans="1:10">
      <c r="A392" s="9" t="s">
        <v>1016</v>
      </c>
      <c r="B392" s="10"/>
      <c r="C392" s="10" t="s">
        <v>1378</v>
      </c>
      <c r="D392" s="10">
        <v>3000</v>
      </c>
      <c r="E392" s="10">
        <v>197</v>
      </c>
      <c r="F392" s="65">
        <f t="shared" ref="F392:F414" si="2">D392+E392</f>
        <v>3197</v>
      </c>
      <c r="G392" s="10">
        <v>2000</v>
      </c>
      <c r="H392" s="10">
        <v>197</v>
      </c>
      <c r="I392" s="65">
        <f t="shared" ref="I392:I414" si="3">G392+H392</f>
        <v>2197</v>
      </c>
      <c r="J392" s="89">
        <v>316</v>
      </c>
    </row>
    <row r="393" spans="1:10">
      <c r="A393" s="9" t="s">
        <v>1015</v>
      </c>
      <c r="B393" s="10"/>
      <c r="C393" s="10" t="s">
        <v>1378</v>
      </c>
      <c r="D393" s="10">
        <v>900</v>
      </c>
      <c r="E393" s="10">
        <v>349</v>
      </c>
      <c r="F393" s="65">
        <f t="shared" si="2"/>
        <v>1249</v>
      </c>
      <c r="G393" s="10">
        <v>700</v>
      </c>
      <c r="H393" s="10">
        <v>349</v>
      </c>
      <c r="I393" s="65">
        <f t="shared" si="3"/>
        <v>1049</v>
      </c>
      <c r="J393" s="89">
        <v>359</v>
      </c>
    </row>
    <row r="394" spans="1:10">
      <c r="A394" s="9" t="s">
        <v>1329</v>
      </c>
      <c r="B394" s="10"/>
      <c r="C394" s="10" t="s">
        <v>1378</v>
      </c>
      <c r="D394" s="10">
        <v>2320000</v>
      </c>
      <c r="E394" s="10">
        <v>441657</v>
      </c>
      <c r="F394" s="65">
        <f t="shared" si="2"/>
        <v>2761657</v>
      </c>
      <c r="G394" s="10">
        <v>1800000</v>
      </c>
      <c r="H394" s="10">
        <v>441657</v>
      </c>
      <c r="I394" s="65">
        <f t="shared" si="3"/>
        <v>2241657</v>
      </c>
      <c r="J394" s="89">
        <v>360000</v>
      </c>
    </row>
    <row r="395" spans="1:10">
      <c r="A395" s="9" t="s">
        <v>1330</v>
      </c>
      <c r="B395" s="10"/>
      <c r="C395" s="10" t="s">
        <v>1378</v>
      </c>
      <c r="D395" s="10">
        <v>4400</v>
      </c>
      <c r="E395" s="10"/>
      <c r="F395" s="65">
        <f t="shared" si="2"/>
        <v>4400</v>
      </c>
      <c r="G395" s="10">
        <v>3400</v>
      </c>
      <c r="H395" s="10"/>
      <c r="I395" s="65">
        <f t="shared" si="3"/>
        <v>3400</v>
      </c>
      <c r="J395" s="89">
        <v>469</v>
      </c>
    </row>
    <row r="396" spans="1:10">
      <c r="A396" s="9" t="s">
        <v>1020</v>
      </c>
      <c r="B396" s="10"/>
      <c r="C396" s="10" t="s">
        <v>1378</v>
      </c>
      <c r="D396" s="10">
        <v>12000</v>
      </c>
      <c r="E396" s="10">
        <v>1236</v>
      </c>
      <c r="F396" s="65">
        <f t="shared" si="2"/>
        <v>13236</v>
      </c>
      <c r="G396" s="10">
        <v>10000</v>
      </c>
      <c r="H396" s="10">
        <v>1236</v>
      </c>
      <c r="I396" s="65">
        <f t="shared" si="3"/>
        <v>11236</v>
      </c>
      <c r="J396" s="89">
        <v>2870</v>
      </c>
    </row>
    <row r="397" spans="1:10">
      <c r="A397" s="9" t="s">
        <v>1332</v>
      </c>
      <c r="B397" s="10"/>
      <c r="C397" s="10" t="s">
        <v>1378</v>
      </c>
      <c r="D397" s="10">
        <v>6.7</v>
      </c>
      <c r="E397" s="10">
        <v>70</v>
      </c>
      <c r="F397" s="65">
        <f t="shared" si="2"/>
        <v>76.7</v>
      </c>
      <c r="G397" s="10">
        <v>5.7</v>
      </c>
      <c r="H397" s="10">
        <v>70</v>
      </c>
      <c r="I397" s="65">
        <f t="shared" si="3"/>
        <v>75.7</v>
      </c>
      <c r="J397" s="89">
        <v>11.6</v>
      </c>
    </row>
    <row r="398" spans="1:10">
      <c r="A398" s="9" t="s">
        <v>1407</v>
      </c>
      <c r="B398" s="10"/>
      <c r="C398" s="10" t="s">
        <v>1378</v>
      </c>
      <c r="D398" s="10">
        <v>9000</v>
      </c>
      <c r="E398" s="10">
        <v>2502</v>
      </c>
      <c r="F398" s="65">
        <f t="shared" si="2"/>
        <v>11502</v>
      </c>
      <c r="G398" s="10">
        <v>11000</v>
      </c>
      <c r="H398" s="10">
        <v>2502</v>
      </c>
      <c r="I398" s="65">
        <f t="shared" si="3"/>
        <v>13502</v>
      </c>
      <c r="J398" s="89">
        <v>4600</v>
      </c>
    </row>
    <row r="399" spans="1:10">
      <c r="A399" s="9" t="s">
        <v>1013</v>
      </c>
      <c r="B399" s="10"/>
      <c r="C399" s="10" t="s">
        <v>1378</v>
      </c>
      <c r="D399" s="10">
        <v>70</v>
      </c>
      <c r="E399" s="10"/>
      <c r="F399" s="65">
        <f t="shared" si="2"/>
        <v>70</v>
      </c>
      <c r="G399" s="10">
        <v>40</v>
      </c>
      <c r="H399" s="10"/>
      <c r="I399" s="65">
        <f t="shared" si="3"/>
        <v>40</v>
      </c>
      <c r="J399" s="89">
        <v>8.26</v>
      </c>
    </row>
    <row r="400" spans="1:10">
      <c r="A400" s="9" t="s">
        <v>1334</v>
      </c>
      <c r="B400" s="10"/>
      <c r="C400" s="10" t="s">
        <v>1378</v>
      </c>
      <c r="D400" s="10">
        <v>5</v>
      </c>
      <c r="E400" s="10">
        <v>0.01</v>
      </c>
      <c r="F400" s="65">
        <f t="shared" si="2"/>
        <v>5.01</v>
      </c>
      <c r="G400" s="10">
        <v>1</v>
      </c>
      <c r="H400" s="10">
        <v>0.01</v>
      </c>
      <c r="I400" s="65">
        <f t="shared" si="3"/>
        <v>1.01</v>
      </c>
      <c r="J400" s="89">
        <v>0.83799999999999997</v>
      </c>
    </row>
    <row r="401" spans="1:10">
      <c r="A401" s="9" t="s">
        <v>1335</v>
      </c>
      <c r="B401" s="10"/>
      <c r="C401" s="10" t="s">
        <v>1378</v>
      </c>
      <c r="D401" s="10"/>
      <c r="E401" s="10"/>
      <c r="F401" s="65">
        <f t="shared" si="2"/>
        <v>0</v>
      </c>
      <c r="G401" s="10"/>
      <c r="H401" s="10"/>
      <c r="I401" s="65">
        <f t="shared" si="3"/>
        <v>0</v>
      </c>
      <c r="J401" s="89"/>
    </row>
    <row r="402" spans="1:10">
      <c r="A402" s="9" t="s">
        <v>1408</v>
      </c>
      <c r="B402" s="10"/>
      <c r="C402" s="10" t="s">
        <v>1378</v>
      </c>
      <c r="D402" s="10">
        <v>16600</v>
      </c>
      <c r="E402" s="10">
        <v>21112</v>
      </c>
      <c r="F402" s="65">
        <f t="shared" si="2"/>
        <v>37712</v>
      </c>
      <c r="G402" s="10">
        <v>9600</v>
      </c>
      <c r="H402" s="10">
        <v>2112</v>
      </c>
      <c r="I402" s="65">
        <f t="shared" si="3"/>
        <v>11712</v>
      </c>
      <c r="J402" s="89">
        <v>1030</v>
      </c>
    </row>
    <row r="403" spans="1:10">
      <c r="A403" s="9" t="s">
        <v>1336</v>
      </c>
      <c r="B403" s="10"/>
      <c r="C403" s="10"/>
      <c r="D403" s="10"/>
      <c r="E403" s="10"/>
      <c r="F403" s="65">
        <f t="shared" si="2"/>
        <v>0</v>
      </c>
      <c r="G403" s="10"/>
      <c r="H403" s="10"/>
      <c r="I403" s="65">
        <f t="shared" si="3"/>
        <v>0</v>
      </c>
      <c r="J403" s="89"/>
    </row>
    <row r="404" spans="1:10">
      <c r="A404" s="9" t="s">
        <v>1345</v>
      </c>
      <c r="B404" s="10"/>
      <c r="C404" s="10"/>
      <c r="D404" s="10"/>
      <c r="E404" s="10"/>
      <c r="F404" s="65">
        <f t="shared" si="2"/>
        <v>0</v>
      </c>
      <c r="G404" s="10"/>
      <c r="H404" s="10"/>
      <c r="I404" s="65">
        <f t="shared" si="3"/>
        <v>0</v>
      </c>
      <c r="J404" s="89"/>
    </row>
    <row r="405" spans="1:10">
      <c r="A405" s="9" t="s">
        <v>1337</v>
      </c>
      <c r="B405" s="10"/>
      <c r="C405" s="10"/>
      <c r="D405" s="10">
        <v>1.1000000000000001</v>
      </c>
      <c r="E405" s="10">
        <v>0.49</v>
      </c>
      <c r="F405" s="65">
        <f t="shared" si="2"/>
        <v>1.59</v>
      </c>
      <c r="G405" s="10">
        <v>0.83</v>
      </c>
      <c r="H405" s="10">
        <v>0.49</v>
      </c>
      <c r="I405" s="65">
        <f t="shared" si="3"/>
        <v>1.3199999999999998</v>
      </c>
      <c r="J405" s="89">
        <v>16</v>
      </c>
    </row>
    <row r="406" spans="1:10">
      <c r="A406" s="9" t="s">
        <v>1026</v>
      </c>
      <c r="B406" s="10"/>
      <c r="C406" s="10"/>
      <c r="D406" s="10"/>
      <c r="E406" s="10"/>
      <c r="F406" s="65">
        <f t="shared" si="2"/>
        <v>0</v>
      </c>
      <c r="G406" s="10"/>
      <c r="H406" s="10"/>
      <c r="I406" s="65">
        <f t="shared" si="3"/>
        <v>0</v>
      </c>
      <c r="J406" s="89"/>
    </row>
    <row r="407" spans="1:10">
      <c r="A407" s="9" t="s">
        <v>1027</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1028</v>
      </c>
      <c r="B408" s="10"/>
      <c r="C408" s="10"/>
      <c r="D408" s="10"/>
      <c r="E408" s="10"/>
      <c r="F408" s="65">
        <f t="shared" si="2"/>
        <v>0</v>
      </c>
      <c r="G408" s="10"/>
      <c r="H408" s="10"/>
      <c r="I408" s="65">
        <f t="shared" si="3"/>
        <v>0</v>
      </c>
      <c r="J408" s="89"/>
    </row>
    <row r="409" spans="1:10">
      <c r="A409" s="9" t="s">
        <v>1029</v>
      </c>
      <c r="B409" s="10"/>
      <c r="C409" s="10"/>
      <c r="D409" s="10"/>
      <c r="E409" s="10"/>
      <c r="F409" s="65">
        <f t="shared" si="2"/>
        <v>0</v>
      </c>
      <c r="G409" s="10"/>
      <c r="H409" s="10"/>
      <c r="I409" s="65">
        <f t="shared" si="3"/>
        <v>0</v>
      </c>
      <c r="J409" s="89"/>
    </row>
    <row r="410" spans="1:10">
      <c r="A410" s="9" t="s">
        <v>1032</v>
      </c>
      <c r="B410" s="10"/>
      <c r="C410" s="10"/>
      <c r="D410" s="10">
        <v>0.1</v>
      </c>
      <c r="E410" s="10"/>
      <c r="F410" s="65">
        <f t="shared" si="2"/>
        <v>0.1</v>
      </c>
      <c r="G410" s="10">
        <v>8.7999999999999995E-2</v>
      </c>
      <c r="H410" s="10"/>
      <c r="I410" s="65">
        <f t="shared" si="3"/>
        <v>8.7999999999999995E-2</v>
      </c>
      <c r="J410" s="89">
        <v>0.12</v>
      </c>
    </row>
    <row r="411" spans="1:10">
      <c r="A411" s="9" t="s">
        <v>1380</v>
      </c>
      <c r="B411" s="10"/>
      <c r="C411" s="10"/>
      <c r="D411" s="10">
        <v>3.5000000000000003E-2</v>
      </c>
      <c r="E411" s="10"/>
      <c r="F411" s="65">
        <f t="shared" si="2"/>
        <v>3.5000000000000003E-2</v>
      </c>
      <c r="G411" s="10">
        <v>2.7E-2</v>
      </c>
      <c r="H411" s="10"/>
      <c r="I411" s="65">
        <f t="shared" si="3"/>
        <v>2.7E-2</v>
      </c>
      <c r="J411" s="89">
        <v>1.3899999999999999E-2</v>
      </c>
    </row>
    <row r="412" spans="1:10">
      <c r="A412" s="9" t="s">
        <v>1030</v>
      </c>
      <c r="B412" s="10"/>
      <c r="C412" s="10"/>
      <c r="D412" s="10">
        <v>3.5999999999999997E-2</v>
      </c>
      <c r="E412" s="10"/>
      <c r="F412" s="65">
        <f t="shared" si="2"/>
        <v>3.5999999999999997E-2</v>
      </c>
      <c r="G412" s="10">
        <v>2.3E-2</v>
      </c>
      <c r="H412" s="10"/>
      <c r="I412" s="65">
        <f t="shared" si="3"/>
        <v>2.3E-2</v>
      </c>
      <c r="J412" s="89">
        <v>1.73E-3</v>
      </c>
    </row>
    <row r="413" spans="1:10">
      <c r="A413" s="9" t="s">
        <v>1031</v>
      </c>
      <c r="B413" s="10"/>
      <c r="C413" s="10"/>
      <c r="D413" s="10">
        <v>1</v>
      </c>
      <c r="E413" s="10"/>
      <c r="F413" s="65">
        <f t="shared" si="2"/>
        <v>1</v>
      </c>
      <c r="G413" s="10">
        <v>0.96</v>
      </c>
      <c r="H413" s="10"/>
      <c r="I413" s="65">
        <f t="shared" si="3"/>
        <v>0.96</v>
      </c>
      <c r="J413" s="89">
        <v>1.29</v>
      </c>
    </row>
    <row r="414" spans="1:10">
      <c r="A414" s="9" t="s">
        <v>1033</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1381</v>
      </c>
      <c r="B416" s="10"/>
      <c r="C416" s="10"/>
      <c r="D416" s="10"/>
      <c r="E416" s="10"/>
      <c r="F416" s="65"/>
      <c r="G416" s="10"/>
      <c r="H416" s="10"/>
      <c r="I416" s="65"/>
      <c r="J416" s="89"/>
    </row>
    <row r="417" spans="1:10">
      <c r="A417" s="9" t="s">
        <v>1339</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1340</v>
      </c>
      <c r="B418" s="10"/>
      <c r="C418" s="10"/>
      <c r="D418" s="10">
        <v>1500</v>
      </c>
      <c r="E418" s="10">
        <v>0.44</v>
      </c>
      <c r="F418" s="65">
        <f t="shared" si="4"/>
        <v>1500.44</v>
      </c>
      <c r="G418" s="10">
        <v>400</v>
      </c>
      <c r="H418" s="10">
        <v>0.44</v>
      </c>
      <c r="I418" s="65">
        <f t="shared" si="5"/>
        <v>400.44</v>
      </c>
      <c r="J418" s="89">
        <v>23400</v>
      </c>
    </row>
    <row r="419" spans="1:10">
      <c r="A419" s="9" t="s">
        <v>1341</v>
      </c>
      <c r="B419" s="10"/>
      <c r="C419" s="10"/>
      <c r="D419" s="10">
        <v>500</v>
      </c>
      <c r="E419" s="10">
        <v>0.15</v>
      </c>
      <c r="F419" s="65">
        <f t="shared" si="4"/>
        <v>500.15</v>
      </c>
      <c r="G419" s="10">
        <v>200</v>
      </c>
      <c r="H419" s="10">
        <v>0.15</v>
      </c>
      <c r="I419" s="65">
        <f t="shared" si="5"/>
        <v>200.15</v>
      </c>
      <c r="J419" s="89">
        <v>5240</v>
      </c>
    </row>
    <row r="420" spans="1:10">
      <c r="A420" s="9" t="s">
        <v>1342</v>
      </c>
      <c r="B420" s="10"/>
      <c r="C420" s="10"/>
      <c r="D420" s="10">
        <v>100</v>
      </c>
      <c r="E420" s="10">
        <v>4.7</v>
      </c>
      <c r="F420" s="65">
        <f t="shared" si="4"/>
        <v>104.7</v>
      </c>
      <c r="G420" s="10">
        <v>300</v>
      </c>
      <c r="H420" s="10">
        <v>4.7</v>
      </c>
      <c r="I420" s="65">
        <f t="shared" si="5"/>
        <v>304.7</v>
      </c>
      <c r="J420" s="89">
        <v>44.9</v>
      </c>
    </row>
    <row r="421" spans="1:10">
      <c r="A421" s="9" t="s">
        <v>1343</v>
      </c>
      <c r="B421" s="10"/>
      <c r="C421" s="10"/>
      <c r="D421" s="10"/>
      <c r="E421" s="10"/>
      <c r="F421" s="65">
        <f t="shared" si="4"/>
        <v>0</v>
      </c>
      <c r="G421" s="10">
        <v>7.4999999999999997E-2</v>
      </c>
      <c r="H421" s="10"/>
      <c r="I421" s="65">
        <f t="shared" si="5"/>
        <v>7.4999999999999997E-2</v>
      </c>
      <c r="J421" s="89">
        <v>1.01</v>
      </c>
    </row>
    <row r="422" spans="1:10">
      <c r="A422" s="9" t="s">
        <v>1344</v>
      </c>
      <c r="B422" s="10"/>
      <c r="C422" s="10"/>
      <c r="D422" s="10"/>
      <c r="E422" s="10"/>
      <c r="F422" s="65">
        <f t="shared" si="4"/>
        <v>0</v>
      </c>
      <c r="G422" s="10">
        <v>2.1000000000000001E-2</v>
      </c>
      <c r="H422" s="10"/>
      <c r="I422" s="65">
        <f t="shared" si="5"/>
        <v>2.1000000000000001E-2</v>
      </c>
      <c r="J422" s="89">
        <v>4.4000000000000003E-3</v>
      </c>
    </row>
    <row r="423" spans="1:10">
      <c r="A423" s="9" t="s">
        <v>1345</v>
      </c>
      <c r="B423" s="10"/>
      <c r="C423" s="10"/>
      <c r="D423" s="10"/>
      <c r="E423" s="10"/>
      <c r="F423" s="65"/>
      <c r="G423" s="10"/>
      <c r="H423" s="10"/>
      <c r="I423" s="65"/>
      <c r="J423" s="89"/>
    </row>
    <row r="424" spans="1:10">
      <c r="A424" s="9" t="s">
        <v>1346</v>
      </c>
      <c r="B424" s="10"/>
      <c r="C424" s="10"/>
      <c r="D424" s="10">
        <v>2.4</v>
      </c>
      <c r="E424" s="10">
        <v>0</v>
      </c>
      <c r="F424" s="65">
        <f t="shared" si="4"/>
        <v>2.4</v>
      </c>
      <c r="G424" s="10">
        <v>2.6</v>
      </c>
      <c r="H424" s="10">
        <v>0</v>
      </c>
      <c r="I424" s="65">
        <f t="shared" si="5"/>
        <v>2.6</v>
      </c>
      <c r="J424" s="89">
        <v>0.69699999999999995</v>
      </c>
    </row>
    <row r="425" spans="1:10">
      <c r="A425" s="9" t="s">
        <v>1347</v>
      </c>
      <c r="B425" s="10"/>
      <c r="C425" s="10"/>
      <c r="D425" s="10"/>
      <c r="E425" s="10"/>
      <c r="F425" s="65"/>
      <c r="G425" s="10"/>
      <c r="H425" s="10"/>
      <c r="I425" s="65"/>
      <c r="J425" s="89"/>
    </row>
    <row r="426" spans="1:10">
      <c r="A426" s="9" t="s">
        <v>1348</v>
      </c>
      <c r="B426" s="10"/>
      <c r="C426" s="10"/>
      <c r="D426" s="10">
        <v>5</v>
      </c>
      <c r="E426" s="10">
        <v>0.62</v>
      </c>
      <c r="F426" s="65">
        <f t="shared" si="4"/>
        <v>5.62</v>
      </c>
      <c r="G426" s="10">
        <v>10</v>
      </c>
      <c r="H426" s="10">
        <v>0.62</v>
      </c>
      <c r="I426" s="65">
        <f t="shared" si="5"/>
        <v>10.62</v>
      </c>
      <c r="J426" s="89">
        <v>9.3000000000000007</v>
      </c>
    </row>
    <row r="427" spans="1:10">
      <c r="A427" s="9" t="s">
        <v>1026</v>
      </c>
      <c r="B427" s="10"/>
      <c r="C427" s="10"/>
      <c r="D427" s="10">
        <v>0.34</v>
      </c>
      <c r="E427" s="10"/>
      <c r="F427" s="65">
        <f t="shared" si="4"/>
        <v>0.34</v>
      </c>
      <c r="G427" s="10">
        <v>0.26</v>
      </c>
      <c r="H427" s="10"/>
      <c r="I427" s="65">
        <f t="shared" si="5"/>
        <v>0.26</v>
      </c>
      <c r="J427" s="89">
        <v>3.8699999999999998E-2</v>
      </c>
    </row>
    <row r="428" spans="1:10">
      <c r="A428" s="9" t="s">
        <v>1027</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1350</v>
      </c>
      <c r="B429" s="10"/>
      <c r="C429" s="10"/>
      <c r="D429" s="10">
        <v>130</v>
      </c>
      <c r="E429" s="10">
        <v>0.02</v>
      </c>
      <c r="F429" s="65">
        <f>D429+E429</f>
        <v>130.02000000000001</v>
      </c>
      <c r="G429" s="10">
        <v>800</v>
      </c>
      <c r="H429" s="10">
        <v>0.02</v>
      </c>
      <c r="I429" s="65">
        <f>G429+H429</f>
        <v>800.02</v>
      </c>
      <c r="J429" s="89">
        <v>2900</v>
      </c>
    </row>
    <row r="430" spans="1:10">
      <c r="A430" s="9" t="s">
        <v>1028</v>
      </c>
      <c r="B430" s="10"/>
      <c r="C430" s="10"/>
      <c r="D430" s="10">
        <v>1.8</v>
      </c>
      <c r="E430" s="10"/>
      <c r="F430" s="65">
        <f t="shared" si="4"/>
        <v>1.8</v>
      </c>
      <c r="G430" s="10">
        <v>1.4</v>
      </c>
      <c r="H430" s="10"/>
      <c r="I430" s="65">
        <f t="shared" si="5"/>
        <v>1.4</v>
      </c>
      <c r="J430" s="89">
        <v>0.21299999999999999</v>
      </c>
    </row>
    <row r="431" spans="1:10">
      <c r="A431" s="9" t="s">
        <v>1029</v>
      </c>
      <c r="B431" s="10"/>
      <c r="C431" s="10"/>
      <c r="D431" s="10">
        <v>0.83</v>
      </c>
      <c r="E431" s="10"/>
      <c r="F431" s="65">
        <f t="shared" si="4"/>
        <v>0.83</v>
      </c>
      <c r="G431" s="10">
        <v>0.65</v>
      </c>
      <c r="H431" s="10"/>
      <c r="I431" s="65">
        <f t="shared" si="5"/>
        <v>0.65</v>
      </c>
      <c r="J431" s="89">
        <v>9.0399999999999994E-2</v>
      </c>
    </row>
    <row r="432" spans="1:10">
      <c r="A432" s="9" t="s">
        <v>1351</v>
      </c>
      <c r="B432" s="10"/>
      <c r="C432" s="10"/>
      <c r="D432" s="10"/>
      <c r="E432" s="10"/>
      <c r="F432" s="65"/>
      <c r="G432" s="10"/>
      <c r="H432" s="10"/>
      <c r="I432" s="65"/>
      <c r="J432" s="89"/>
    </row>
    <row r="433" spans="1:10">
      <c r="A433" s="9" t="s">
        <v>1352</v>
      </c>
      <c r="B433" s="10"/>
      <c r="C433" s="10"/>
      <c r="D433" s="10"/>
      <c r="E433" s="10">
        <v>1.335</v>
      </c>
      <c r="F433" s="65">
        <f>D433+E433</f>
        <v>1.335</v>
      </c>
      <c r="G433" s="10"/>
      <c r="H433" s="10">
        <v>1.335</v>
      </c>
      <c r="I433" s="65">
        <f>G433+H433</f>
        <v>1.335</v>
      </c>
      <c r="J433" s="89"/>
    </row>
    <row r="434" spans="1:10">
      <c r="A434" s="9" t="s">
        <v>1353</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1032</v>
      </c>
      <c r="B435" s="10"/>
      <c r="C435" s="10"/>
      <c r="D435" s="10">
        <v>1</v>
      </c>
      <c r="E435" s="10"/>
      <c r="F435" s="65">
        <f t="shared" si="4"/>
        <v>1</v>
      </c>
      <c r="G435" s="10">
        <v>58</v>
      </c>
      <c r="H435" s="10"/>
      <c r="I435" s="65">
        <f t="shared" si="5"/>
        <v>58</v>
      </c>
      <c r="J435" s="89">
        <v>0.33700000000000002</v>
      </c>
    </row>
    <row r="436" spans="1:10">
      <c r="A436" s="9" t="s">
        <v>1030</v>
      </c>
      <c r="B436" s="10"/>
      <c r="C436" s="10"/>
      <c r="D436" s="10">
        <v>2E-3</v>
      </c>
      <c r="E436" s="10"/>
      <c r="F436" s="65">
        <f t="shared" si="4"/>
        <v>2E-3</v>
      </c>
      <c r="G436" s="10">
        <v>1.2999999999999999E-3</v>
      </c>
      <c r="H436" s="10"/>
      <c r="I436" s="65">
        <f t="shared" si="5"/>
        <v>1.2999999999999999E-3</v>
      </c>
      <c r="J436" s="89">
        <v>8.2000000000000001E-5</v>
      </c>
    </row>
    <row r="437" spans="1:10">
      <c r="A437" s="47" t="s">
        <v>1031</v>
      </c>
      <c r="B437" s="10"/>
      <c r="C437" s="10"/>
      <c r="D437" s="10">
        <v>0.85</v>
      </c>
      <c r="E437" s="10"/>
      <c r="F437" s="65">
        <f t="shared" si="4"/>
        <v>0.85</v>
      </c>
      <c r="G437" s="10">
        <v>0.67</v>
      </c>
      <c r="H437" s="10"/>
      <c r="I437" s="65">
        <f t="shared" si="5"/>
        <v>0.67</v>
      </c>
      <c r="J437" s="89">
        <v>9.9400000000000002E-2</v>
      </c>
    </row>
    <row r="438" spans="1:10">
      <c r="A438" s="9" t="s">
        <v>1354</v>
      </c>
      <c r="B438" s="10"/>
      <c r="C438" s="10"/>
      <c r="D438" s="10">
        <v>5</v>
      </c>
      <c r="E438" s="10">
        <v>1.32</v>
      </c>
      <c r="F438" s="65">
        <f>D438+E438</f>
        <v>6.32</v>
      </c>
      <c r="G438" s="10">
        <v>20</v>
      </c>
      <c r="H438" s="10">
        <v>1.32</v>
      </c>
      <c r="I438" s="65">
        <f>G438+H438</f>
        <v>21.32</v>
      </c>
      <c r="J438" s="89">
        <v>163</v>
      </c>
    </row>
    <row r="439" spans="1:10">
      <c r="A439" s="9" t="s">
        <v>1414</v>
      </c>
      <c r="B439" s="10"/>
      <c r="C439" s="10"/>
      <c r="D439" s="10">
        <v>5</v>
      </c>
      <c r="E439" s="10"/>
      <c r="F439" s="65">
        <f>D439+E439</f>
        <v>5</v>
      </c>
      <c r="G439" s="10">
        <v>13.5</v>
      </c>
      <c r="H439" s="10"/>
      <c r="I439" s="65">
        <f>G439+H439</f>
        <v>13.5</v>
      </c>
      <c r="J439" s="89">
        <v>0.999</v>
      </c>
    </row>
    <row r="440" spans="1:10">
      <c r="A440" s="9" t="s">
        <v>1356</v>
      </c>
      <c r="B440" s="10"/>
      <c r="C440" s="10"/>
      <c r="D440" s="10">
        <v>2100</v>
      </c>
      <c r="E440" s="10"/>
      <c r="F440" s="65">
        <f>D440+E440</f>
        <v>2100</v>
      </c>
      <c r="G440" s="10">
        <v>1700</v>
      </c>
      <c r="H440" s="10"/>
      <c r="I440" s="65">
        <f>G440+H440</f>
        <v>1700</v>
      </c>
      <c r="J440" s="89">
        <v>1200</v>
      </c>
    </row>
    <row r="441" spans="1:10">
      <c r="A441" s="9" t="s">
        <v>1357</v>
      </c>
      <c r="B441" s="10"/>
      <c r="C441" s="10"/>
      <c r="D441" s="10">
        <v>0.54</v>
      </c>
      <c r="E441" s="10"/>
      <c r="F441" s="65">
        <f>D441+E441</f>
        <v>0.54</v>
      </c>
      <c r="G441" s="10">
        <v>0.61</v>
      </c>
      <c r="H441" s="10"/>
      <c r="I441" s="65">
        <f>G441+H441</f>
        <v>0.61</v>
      </c>
      <c r="J441" s="89">
        <v>0.151</v>
      </c>
    </row>
    <row r="442" spans="1:10">
      <c r="A442" s="9" t="s">
        <v>1033</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1358</v>
      </c>
      <c r="B444" s="13"/>
      <c r="C444" s="13"/>
      <c r="D444" s="13">
        <v>39.1</v>
      </c>
      <c r="E444" s="13">
        <v>49.1</v>
      </c>
      <c r="F444" s="134">
        <f t="shared" si="4"/>
        <v>88.2</v>
      </c>
      <c r="G444" s="13">
        <v>31.2</v>
      </c>
      <c r="H444" s="13">
        <v>49.1</v>
      </c>
      <c r="I444" s="134">
        <f t="shared" si="5"/>
        <v>80.3</v>
      </c>
      <c r="J444" s="135">
        <v>129.1</v>
      </c>
    </row>
    <row r="447" spans="1:10">
      <c r="A447" s="62" t="s">
        <v>1432</v>
      </c>
    </row>
    <row r="448" spans="1:10">
      <c r="A448" s="62" t="s">
        <v>1431</v>
      </c>
    </row>
    <row r="450" spans="1:13">
      <c r="D450" s="62" t="s">
        <v>4</v>
      </c>
      <c r="E450" s="62" t="s">
        <v>5</v>
      </c>
      <c r="F450" s="62" t="s">
        <v>1433</v>
      </c>
      <c r="G450" s="62" t="s">
        <v>49</v>
      </c>
      <c r="H450" s="62" t="s">
        <v>31</v>
      </c>
      <c r="I450" s="62" t="s">
        <v>32</v>
      </c>
      <c r="J450" s="62" t="s">
        <v>8</v>
      </c>
      <c r="K450" s="62" t="s">
        <v>9</v>
      </c>
      <c r="L450" s="62" t="s">
        <v>10</v>
      </c>
      <c r="M450" s="62" t="s">
        <v>264</v>
      </c>
    </row>
    <row r="451" spans="1:13">
      <c r="A451" t="s">
        <v>1012</v>
      </c>
      <c r="D451">
        <v>0.42899999999999999</v>
      </c>
      <c r="E451">
        <v>1.9E-2</v>
      </c>
      <c r="F451">
        <v>0</v>
      </c>
      <c r="G451">
        <v>0</v>
      </c>
      <c r="H451">
        <v>1.109</v>
      </c>
      <c r="I451">
        <v>1.07</v>
      </c>
      <c r="J451">
        <v>0.44500000000000001</v>
      </c>
      <c r="K451">
        <v>0.20599999999999999</v>
      </c>
      <c r="L451">
        <v>0.44500000000000001</v>
      </c>
      <c r="M451">
        <v>0</v>
      </c>
    </row>
    <row r="452" spans="1:13">
      <c r="A452" t="s">
        <v>1013</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1434</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1014</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1015</v>
      </c>
      <c r="D455">
        <v>0.625</v>
      </c>
      <c r="E455">
        <v>2.8000000000000001E-2</v>
      </c>
      <c r="F455">
        <v>0</v>
      </c>
      <c r="G455">
        <v>0</v>
      </c>
      <c r="H455">
        <v>1.62</v>
      </c>
      <c r="I455">
        <v>1.5629999999999999</v>
      </c>
      <c r="J455">
        <v>0.64900000000000002</v>
      </c>
      <c r="K455">
        <v>0.3</v>
      </c>
      <c r="L455">
        <v>0.64900000000000002</v>
      </c>
      <c r="M455">
        <v>0</v>
      </c>
    </row>
    <row r="456" spans="1:13">
      <c r="A456" t="s">
        <v>1435</v>
      </c>
      <c r="D456">
        <v>0.109</v>
      </c>
      <c r="E456">
        <v>5.0000000000000001E-3</v>
      </c>
      <c r="F456">
        <v>0</v>
      </c>
      <c r="G456">
        <v>0</v>
      </c>
      <c r="H456">
        <v>0.311</v>
      </c>
      <c r="I456">
        <v>0.29899999999999999</v>
      </c>
      <c r="J456">
        <v>0.124</v>
      </c>
      <c r="K456">
        <v>5.7000000000000002E-2</v>
      </c>
      <c r="L456">
        <v>0.124</v>
      </c>
      <c r="M456">
        <v>0</v>
      </c>
    </row>
    <row r="459" spans="1:13">
      <c r="A459" s="62" t="s">
        <v>1437</v>
      </c>
    </row>
    <row r="460" spans="1:13">
      <c r="A460" s="62" t="s">
        <v>1436</v>
      </c>
    </row>
    <row r="462" spans="1:13">
      <c r="D462" s="62" t="s">
        <v>4</v>
      </c>
      <c r="E462" s="62" t="s">
        <v>5</v>
      </c>
      <c r="F462" s="62" t="s">
        <v>1433</v>
      </c>
      <c r="G462" s="62" t="s">
        <v>49</v>
      </c>
      <c r="H462" s="62" t="s">
        <v>31</v>
      </c>
      <c r="I462" s="62" t="s">
        <v>32</v>
      </c>
      <c r="J462" s="62" t="s">
        <v>8</v>
      </c>
      <c r="K462" s="62" t="s">
        <v>9</v>
      </c>
      <c r="L462" s="62" t="s">
        <v>10</v>
      </c>
      <c r="M462" s="62" t="s">
        <v>264</v>
      </c>
    </row>
    <row r="463" spans="1:13">
      <c r="A463" t="s">
        <v>1012</v>
      </c>
      <c r="D463">
        <v>0.114</v>
      </c>
      <c r="E463">
        <v>5.0000000000000001E-3</v>
      </c>
      <c r="F463">
        <v>0</v>
      </c>
      <c r="G463">
        <v>0</v>
      </c>
      <c r="H463">
        <v>0.29599999999999999</v>
      </c>
      <c r="I463">
        <v>0.28599999999999998</v>
      </c>
      <c r="J463">
        <v>0.11799999999999999</v>
      </c>
      <c r="K463">
        <v>5.5E-2</v>
      </c>
      <c r="L463">
        <v>0.11799999999999999</v>
      </c>
      <c r="M463">
        <v>0</v>
      </c>
    </row>
    <row r="464" spans="1:13">
      <c r="A464" t="s">
        <v>1013</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1434</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1014</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1015</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1435</v>
      </c>
      <c r="D468">
        <v>0.02</v>
      </c>
      <c r="E468">
        <v>1E-3</v>
      </c>
      <c r="F468">
        <v>0</v>
      </c>
      <c r="G468">
        <v>0</v>
      </c>
      <c r="H468">
        <v>5.0999999999999997E-2</v>
      </c>
      <c r="I468">
        <v>0.15</v>
      </c>
      <c r="J468">
        <v>2.1000000000000001E-2</v>
      </c>
      <c r="K468">
        <v>8.9999999999999993E-3</v>
      </c>
      <c r="L468">
        <v>2.1000000000000001E-2</v>
      </c>
      <c r="M468">
        <v>0</v>
      </c>
    </row>
    <row r="471" spans="1:13">
      <c r="A471" s="62" t="s">
        <v>1439</v>
      </c>
    </row>
    <row r="472" spans="1:13">
      <c r="A472" s="62" t="s">
        <v>1438</v>
      </c>
    </row>
    <row r="473" spans="1:13">
      <c r="D473" s="62" t="s">
        <v>4</v>
      </c>
      <c r="E473" s="62" t="s">
        <v>5</v>
      </c>
      <c r="F473" s="62" t="s">
        <v>1433</v>
      </c>
      <c r="G473" s="62" t="s">
        <v>49</v>
      </c>
      <c r="H473" s="62" t="s">
        <v>31</v>
      </c>
      <c r="I473" s="62" t="s">
        <v>32</v>
      </c>
      <c r="J473" s="62" t="s">
        <v>8</v>
      </c>
      <c r="K473" s="62" t="s">
        <v>9</v>
      </c>
      <c r="L473" s="62" t="s">
        <v>10</v>
      </c>
      <c r="M473" s="62" t="s">
        <v>264</v>
      </c>
    </row>
    <row r="474" spans="1:13">
      <c r="A474" t="s">
        <v>1440</v>
      </c>
      <c r="D474">
        <v>1279</v>
      </c>
      <c r="E474">
        <v>59</v>
      </c>
      <c r="F474">
        <v>0</v>
      </c>
      <c r="G474">
        <v>0</v>
      </c>
      <c r="H474">
        <v>2740</v>
      </c>
      <c r="I474">
        <v>2652</v>
      </c>
      <c r="J474">
        <v>1280</v>
      </c>
      <c r="K474">
        <v>586</v>
      </c>
      <c r="L474">
        <v>1280</v>
      </c>
      <c r="M474">
        <v>0</v>
      </c>
    </row>
    <row r="475" spans="1:13">
      <c r="A475" t="s">
        <v>1441</v>
      </c>
      <c r="D475">
        <v>5016</v>
      </c>
      <c r="E475">
        <v>228</v>
      </c>
      <c r="F475">
        <v>0</v>
      </c>
      <c r="G475">
        <v>0</v>
      </c>
      <c r="H475">
        <v>12991</v>
      </c>
      <c r="I475">
        <v>12532</v>
      </c>
      <c r="J475">
        <v>5206</v>
      </c>
      <c r="K475">
        <v>2409</v>
      </c>
      <c r="L475">
        <v>5206</v>
      </c>
      <c r="M475">
        <v>0</v>
      </c>
    </row>
    <row r="478" spans="1:13">
      <c r="A478" s="62" t="s">
        <v>1442</v>
      </c>
    </row>
    <row r="479" spans="1:13">
      <c r="A479" s="62" t="s">
        <v>1443</v>
      </c>
    </row>
    <row r="481" spans="1:14">
      <c r="D481" s="62" t="s">
        <v>4</v>
      </c>
      <c r="E481" s="62" t="s">
        <v>5</v>
      </c>
      <c r="F481" s="62" t="s">
        <v>1433</v>
      </c>
      <c r="G481" s="62" t="s">
        <v>49</v>
      </c>
      <c r="H481" s="62" t="s">
        <v>31</v>
      </c>
      <c r="I481" s="62" t="s">
        <v>32</v>
      </c>
      <c r="J481" s="62" t="s">
        <v>8</v>
      </c>
      <c r="K481" s="62" t="s">
        <v>9</v>
      </c>
      <c r="L481" s="62" t="s">
        <v>10</v>
      </c>
      <c r="M481" s="62" t="s">
        <v>264</v>
      </c>
      <c r="N481" s="62" t="s">
        <v>1444</v>
      </c>
    </row>
    <row r="482" spans="1:14">
      <c r="A482" s="62" t="s">
        <v>1446</v>
      </c>
      <c r="N482" s="62" t="s">
        <v>1445</v>
      </c>
    </row>
    <row r="483" spans="1:14">
      <c r="A483" s="2" t="s">
        <v>1026</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1027</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1028</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1029</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1030</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1031</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1032</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1033</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1465</v>
      </c>
    </row>
    <row r="494" spans="1:14">
      <c r="A494" s="62" t="s">
        <v>1466</v>
      </c>
    </row>
    <row r="495" spans="1:14">
      <c r="A495" t="s">
        <v>1468</v>
      </c>
    </row>
    <row r="496" spans="1:14">
      <c r="A496" s="2" t="s">
        <v>1467</v>
      </c>
    </row>
    <row r="497" spans="1:17">
      <c r="A497" s="2" t="s">
        <v>1473</v>
      </c>
    </row>
    <row r="498" spans="1:17">
      <c r="A498" t="s">
        <v>1471</v>
      </c>
    </row>
    <row r="500" spans="1:17">
      <c r="C500" s="62" t="s">
        <v>1302</v>
      </c>
      <c r="D500" s="62" t="s">
        <v>4</v>
      </c>
      <c r="E500" s="62" t="s">
        <v>5</v>
      </c>
      <c r="F500" s="62" t="s">
        <v>1433</v>
      </c>
      <c r="G500" s="62" t="s">
        <v>49</v>
      </c>
      <c r="H500" s="62" t="s">
        <v>31</v>
      </c>
      <c r="I500" s="62" t="s">
        <v>32</v>
      </c>
      <c r="J500" s="62" t="s">
        <v>8</v>
      </c>
      <c r="K500" s="62" t="s">
        <v>9</v>
      </c>
      <c r="L500" s="62" t="s">
        <v>10</v>
      </c>
      <c r="M500" s="62" t="s">
        <v>264</v>
      </c>
      <c r="N500" s="62" t="s">
        <v>359</v>
      </c>
      <c r="O500" s="62" t="s">
        <v>1469</v>
      </c>
    </row>
    <row r="501" spans="1:17">
      <c r="A501" s="9" t="s">
        <v>1339</v>
      </c>
      <c r="C501" t="s">
        <v>1378</v>
      </c>
      <c r="D501">
        <v>3167</v>
      </c>
      <c r="E501">
        <v>0</v>
      </c>
      <c r="F501">
        <v>0</v>
      </c>
      <c r="G501">
        <v>0</v>
      </c>
      <c r="H501">
        <v>0</v>
      </c>
      <c r="I501">
        <v>0</v>
      </c>
      <c r="J501">
        <f>D501</f>
        <v>3167</v>
      </c>
      <c r="K501">
        <f>D501</f>
        <v>3167</v>
      </c>
      <c r="L501">
        <v>0</v>
      </c>
      <c r="M501" s="146">
        <v>19</v>
      </c>
      <c r="N501">
        <f>O501</f>
        <v>24</v>
      </c>
      <c r="O501">
        <v>24</v>
      </c>
      <c r="P501" s="146"/>
      <c r="Q501" t="s">
        <v>1470</v>
      </c>
    </row>
    <row r="502" spans="1:17">
      <c r="A502" s="9" t="s">
        <v>1340</v>
      </c>
      <c r="C502" t="s">
        <v>1378</v>
      </c>
      <c r="D502">
        <v>3167</v>
      </c>
      <c r="E502">
        <v>0</v>
      </c>
      <c r="F502">
        <v>0</v>
      </c>
      <c r="G502">
        <v>0</v>
      </c>
      <c r="H502">
        <v>0</v>
      </c>
      <c r="I502">
        <v>0</v>
      </c>
      <c r="J502">
        <f>D502</f>
        <v>3167</v>
      </c>
      <c r="K502">
        <f>D502</f>
        <v>3167</v>
      </c>
      <c r="L502">
        <v>0</v>
      </c>
      <c r="M502" s="146">
        <v>19</v>
      </c>
      <c r="N502">
        <f t="shared" ref="N502:N527" si="6">O502</f>
        <v>24</v>
      </c>
      <c r="O502">
        <v>24</v>
      </c>
    </row>
    <row r="503" spans="1:17">
      <c r="A503" s="9" t="s">
        <v>1341</v>
      </c>
      <c r="C503" t="s">
        <v>1378</v>
      </c>
      <c r="D503" s="146">
        <v>1</v>
      </c>
      <c r="E503" s="146">
        <v>1</v>
      </c>
      <c r="F503" s="146">
        <v>1</v>
      </c>
      <c r="G503" s="146">
        <v>1</v>
      </c>
      <c r="H503" s="146">
        <v>1</v>
      </c>
      <c r="I503" s="146">
        <v>1</v>
      </c>
      <c r="J503" s="146">
        <v>1</v>
      </c>
      <c r="K503" s="146">
        <v>1</v>
      </c>
      <c r="L503" s="146">
        <v>1</v>
      </c>
      <c r="M503" s="146">
        <v>1</v>
      </c>
      <c r="N503" s="146">
        <f t="shared" si="6"/>
        <v>1</v>
      </c>
      <c r="O503" s="146">
        <v>1</v>
      </c>
      <c r="P503" s="146"/>
      <c r="Q503" t="s">
        <v>1472</v>
      </c>
    </row>
    <row r="504" spans="1:17">
      <c r="A504" s="9" t="s">
        <v>1342</v>
      </c>
      <c r="C504" t="s">
        <v>1378</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1472</v>
      </c>
    </row>
    <row r="505" spans="1:17">
      <c r="A505" s="9" t="s">
        <v>1343</v>
      </c>
      <c r="C505" t="s">
        <v>1378</v>
      </c>
      <c r="D505">
        <v>2</v>
      </c>
      <c r="E505">
        <v>2</v>
      </c>
      <c r="F505">
        <v>2</v>
      </c>
      <c r="G505">
        <v>2</v>
      </c>
      <c r="H505">
        <v>2</v>
      </c>
      <c r="I505">
        <v>2</v>
      </c>
      <c r="J505">
        <v>2</v>
      </c>
      <c r="K505">
        <v>2</v>
      </c>
      <c r="L505">
        <v>2</v>
      </c>
      <c r="M505" s="61">
        <v>0.86</v>
      </c>
      <c r="N505">
        <f t="shared" si="6"/>
        <v>1.0999999999999999E-2</v>
      </c>
      <c r="O505">
        <v>1.0999999999999999E-2</v>
      </c>
    </row>
    <row r="506" spans="1:17">
      <c r="A506" s="9" t="s">
        <v>1344</v>
      </c>
      <c r="C506" t="s">
        <v>1378</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1472</v>
      </c>
    </row>
    <row r="507" spans="1:17">
      <c r="A507" s="9" t="s">
        <v>1345</v>
      </c>
      <c r="C507" t="s">
        <v>1378</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1474</v>
      </c>
    </row>
    <row r="508" spans="1:17">
      <c r="A508" s="9" t="s">
        <v>1346</v>
      </c>
      <c r="C508" t="s">
        <v>1378</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1347</v>
      </c>
      <c r="C509" t="s">
        <v>1378</v>
      </c>
      <c r="D509" s="146">
        <v>0</v>
      </c>
      <c r="E509" s="146">
        <v>0</v>
      </c>
      <c r="F509" s="146">
        <v>0</v>
      </c>
      <c r="G509" s="146">
        <v>0</v>
      </c>
      <c r="H509" s="146">
        <v>0</v>
      </c>
      <c r="I509" s="146">
        <v>0</v>
      </c>
      <c r="J509" s="146">
        <v>0</v>
      </c>
      <c r="K509" s="146">
        <v>0</v>
      </c>
      <c r="L509" s="146">
        <v>0</v>
      </c>
      <c r="M509" s="146">
        <v>0</v>
      </c>
      <c r="N509" s="146">
        <f t="shared" si="6"/>
        <v>0</v>
      </c>
      <c r="O509" s="146">
        <v>0</v>
      </c>
      <c r="P509" s="146"/>
      <c r="Q509" t="s">
        <v>1475</v>
      </c>
    </row>
    <row r="510" spans="1:17">
      <c r="A510" s="9" t="s">
        <v>1348</v>
      </c>
      <c r="C510" t="s">
        <v>1378</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1476</v>
      </c>
    </row>
    <row r="511" spans="1:17">
      <c r="A511" s="9" t="s">
        <v>1026</v>
      </c>
      <c r="C511" t="s">
        <v>1378</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1349</v>
      </c>
      <c r="C512" t="s">
        <v>1378</v>
      </c>
      <c r="D512" s="61">
        <v>0</v>
      </c>
      <c r="E512" s="61">
        <v>0</v>
      </c>
      <c r="F512" s="61">
        <v>0</v>
      </c>
      <c r="G512" s="61">
        <v>0</v>
      </c>
      <c r="H512" s="61">
        <v>0</v>
      </c>
      <c r="I512" s="61">
        <v>0</v>
      </c>
      <c r="J512" s="61">
        <v>0</v>
      </c>
      <c r="K512" s="61">
        <v>0</v>
      </c>
      <c r="L512" s="61">
        <v>0</v>
      </c>
      <c r="M512" s="61">
        <v>0</v>
      </c>
      <c r="N512">
        <f t="shared" si="6"/>
        <v>0</v>
      </c>
      <c r="O512" s="61">
        <v>0</v>
      </c>
    </row>
    <row r="513" spans="1:17">
      <c r="A513" s="9" t="s">
        <v>1027</v>
      </c>
      <c r="C513" t="s">
        <v>1378</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1350</v>
      </c>
      <c r="C514" t="s">
        <v>1378</v>
      </c>
      <c r="D514" s="146">
        <v>59</v>
      </c>
      <c r="E514" s="146">
        <v>59</v>
      </c>
      <c r="F514" s="146">
        <v>59</v>
      </c>
      <c r="G514" s="146">
        <v>59</v>
      </c>
      <c r="H514" s="146">
        <v>59</v>
      </c>
      <c r="I514" s="146">
        <v>59</v>
      </c>
      <c r="J514" s="146">
        <v>59</v>
      </c>
      <c r="K514" s="146">
        <v>59</v>
      </c>
      <c r="L514" s="146">
        <v>59</v>
      </c>
      <c r="M514" s="61">
        <v>95</v>
      </c>
      <c r="N514">
        <f t="shared" si="6"/>
        <v>75</v>
      </c>
      <c r="O514" s="61">
        <v>75</v>
      </c>
      <c r="P514" s="146"/>
      <c r="Q514" t="s">
        <v>1477</v>
      </c>
    </row>
    <row r="515" spans="1:17">
      <c r="A515" s="9" t="s">
        <v>1028</v>
      </c>
      <c r="C515" t="s">
        <v>1378</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1029</v>
      </c>
      <c r="C516" t="s">
        <v>1378</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1351</v>
      </c>
      <c r="C517" t="s">
        <v>1378</v>
      </c>
      <c r="D517" s="61">
        <v>0</v>
      </c>
      <c r="E517" s="61">
        <v>0</v>
      </c>
      <c r="F517" s="61">
        <v>0</v>
      </c>
      <c r="G517" s="61">
        <v>0</v>
      </c>
      <c r="H517" s="61">
        <v>0</v>
      </c>
      <c r="I517" s="61">
        <v>0</v>
      </c>
      <c r="J517" s="61">
        <v>0</v>
      </c>
      <c r="K517" s="61">
        <v>0</v>
      </c>
      <c r="L517" s="61">
        <v>0</v>
      </c>
      <c r="M517" s="61">
        <v>0</v>
      </c>
      <c r="N517">
        <f t="shared" si="6"/>
        <v>0</v>
      </c>
      <c r="O517" s="61">
        <v>0</v>
      </c>
    </row>
    <row r="518" spans="1:17">
      <c r="A518" s="9" t="s">
        <v>1352</v>
      </c>
      <c r="C518" t="s">
        <v>1378</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1478</v>
      </c>
    </row>
    <row r="519" spans="1:17">
      <c r="A519" s="9" t="s">
        <v>1353</v>
      </c>
      <c r="C519" t="s">
        <v>1378</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1032</v>
      </c>
      <c r="C520" t="s">
        <v>1378</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1030</v>
      </c>
      <c r="C521" t="s">
        <v>1378</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1031</v>
      </c>
      <c r="C522" t="s">
        <v>1378</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1354</v>
      </c>
      <c r="C523" t="s">
        <v>1378</v>
      </c>
      <c r="D523" s="61">
        <v>0</v>
      </c>
      <c r="E523" s="61">
        <v>0</v>
      </c>
      <c r="F523" s="61">
        <v>0</v>
      </c>
      <c r="G523" s="61">
        <v>0</v>
      </c>
      <c r="H523" s="61">
        <v>0</v>
      </c>
      <c r="I523" s="61">
        <v>0</v>
      </c>
      <c r="J523" s="61">
        <v>0</v>
      </c>
      <c r="K523" s="61">
        <v>0</v>
      </c>
      <c r="L523" s="61">
        <v>0</v>
      </c>
      <c r="M523" s="61">
        <v>0</v>
      </c>
      <c r="N523">
        <f t="shared" si="6"/>
        <v>0</v>
      </c>
      <c r="O523" s="61">
        <v>0</v>
      </c>
    </row>
    <row r="524" spans="1:17">
      <c r="A524" s="9" t="s">
        <v>1355</v>
      </c>
      <c r="C524" t="s">
        <v>1378</v>
      </c>
      <c r="D524" s="61">
        <v>0</v>
      </c>
      <c r="E524" s="61">
        <v>0</v>
      </c>
      <c r="F524" s="61">
        <v>0</v>
      </c>
      <c r="G524" s="61">
        <v>0</v>
      </c>
      <c r="H524" s="61">
        <v>0</v>
      </c>
      <c r="I524" s="61">
        <v>0</v>
      </c>
      <c r="J524" s="61">
        <v>0</v>
      </c>
      <c r="K524" s="61">
        <v>0</v>
      </c>
      <c r="L524" s="61">
        <v>0</v>
      </c>
      <c r="M524" s="61">
        <v>0</v>
      </c>
      <c r="N524">
        <f t="shared" si="6"/>
        <v>0</v>
      </c>
      <c r="O524" s="61">
        <v>0</v>
      </c>
    </row>
    <row r="525" spans="1:17">
      <c r="A525" s="9" t="s">
        <v>1356</v>
      </c>
      <c r="C525" t="s">
        <v>1378</v>
      </c>
      <c r="D525" s="61">
        <v>0</v>
      </c>
      <c r="E525" s="61">
        <v>0</v>
      </c>
      <c r="F525" s="61">
        <v>0</v>
      </c>
      <c r="G525" s="61">
        <v>0</v>
      </c>
      <c r="H525" s="61">
        <v>0</v>
      </c>
      <c r="I525" s="61">
        <v>0</v>
      </c>
      <c r="J525" s="61">
        <v>0</v>
      </c>
      <c r="K525" s="61">
        <v>0</v>
      </c>
      <c r="L525" s="61">
        <v>0</v>
      </c>
      <c r="M525" s="61">
        <v>0</v>
      </c>
      <c r="N525">
        <f t="shared" si="6"/>
        <v>0</v>
      </c>
      <c r="O525" s="61">
        <v>0</v>
      </c>
    </row>
    <row r="526" spans="1:17">
      <c r="A526" s="9" t="s">
        <v>1357</v>
      </c>
      <c r="C526" t="s">
        <v>1378</v>
      </c>
      <c r="D526" s="61">
        <v>0</v>
      </c>
      <c r="E526" s="61">
        <v>0</v>
      </c>
      <c r="F526" s="61">
        <v>0</v>
      </c>
      <c r="G526" s="61">
        <v>0</v>
      </c>
      <c r="H526" s="61">
        <v>0</v>
      </c>
      <c r="I526" s="61">
        <v>0</v>
      </c>
      <c r="J526" s="61">
        <v>0</v>
      </c>
      <c r="K526" s="61">
        <v>0</v>
      </c>
      <c r="L526" s="61">
        <v>0</v>
      </c>
      <c r="M526" s="61">
        <v>0</v>
      </c>
      <c r="N526">
        <f t="shared" si="6"/>
        <v>0</v>
      </c>
      <c r="O526" s="61">
        <v>0</v>
      </c>
    </row>
    <row r="527" spans="1:17">
      <c r="A527" s="9" t="s">
        <v>1033</v>
      </c>
      <c r="C527" t="s">
        <v>1378</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Q290"/>
  <sheetViews>
    <sheetView topLeftCell="A50" zoomScale="60" zoomScaleNormal="60" workbookViewId="0">
      <selection activeCell="L55" sqref="L55"/>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4">
      <c r="A1" s="62" t="s">
        <v>1051</v>
      </c>
    </row>
    <row r="2" spans="1:14">
      <c r="A2" t="s">
        <v>1052</v>
      </c>
    </row>
    <row r="3" spans="1:14">
      <c r="A3" t="s">
        <v>1053</v>
      </c>
    </row>
    <row r="4" spans="1:14">
      <c r="A4" t="s">
        <v>1082</v>
      </c>
    </row>
    <row r="6" spans="1:14" ht="15.75" thickBot="1">
      <c r="A6" s="62" t="s">
        <v>91</v>
      </c>
    </row>
    <row r="7" spans="1:14">
      <c r="A7" s="31" t="s">
        <v>1083</v>
      </c>
      <c r="B7" s="7"/>
      <c r="C7" s="7"/>
      <c r="D7" s="7"/>
      <c r="E7" s="7"/>
      <c r="F7" s="7"/>
      <c r="G7" s="7"/>
      <c r="H7" s="7"/>
      <c r="I7" s="7"/>
      <c r="J7" s="7"/>
      <c r="K7" s="7"/>
      <c r="L7" s="8"/>
    </row>
    <row r="8" spans="1:14">
      <c r="A8" s="9" t="s">
        <v>1080</v>
      </c>
      <c r="B8" s="10"/>
      <c r="C8" s="10"/>
      <c r="D8" s="10"/>
      <c r="E8" s="10"/>
      <c r="F8" s="10"/>
      <c r="G8" s="10"/>
      <c r="H8" s="10"/>
      <c r="I8" s="10"/>
      <c r="J8" s="10"/>
      <c r="K8" s="10"/>
      <c r="L8" s="11"/>
    </row>
    <row r="9" spans="1:14">
      <c r="A9" s="64" t="s">
        <v>1054</v>
      </c>
      <c r="B9" s="65" t="s">
        <v>1069</v>
      </c>
      <c r="C9" s="65" t="s">
        <v>4</v>
      </c>
      <c r="D9" s="65" t="s">
        <v>5</v>
      </c>
      <c r="E9" s="65" t="s">
        <v>29</v>
      </c>
      <c r="F9" s="65" t="s">
        <v>30</v>
      </c>
      <c r="G9" s="65" t="s">
        <v>31</v>
      </c>
      <c r="H9" s="65" t="s">
        <v>32</v>
      </c>
      <c r="I9" s="65" t="s">
        <v>8</v>
      </c>
      <c r="J9" s="65" t="s">
        <v>9</v>
      </c>
      <c r="K9" s="65" t="s">
        <v>10</v>
      </c>
      <c r="L9" s="89" t="s">
        <v>11</v>
      </c>
      <c r="M9" s="126" t="s">
        <v>1481</v>
      </c>
    </row>
    <row r="10" spans="1:14">
      <c r="A10" s="9" t="s">
        <v>1</v>
      </c>
      <c r="B10" s="10" t="s">
        <v>1070</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c r="M10" s="152"/>
      <c r="N10" t="s">
        <v>1482</v>
      </c>
    </row>
    <row r="11" spans="1:14">
      <c r="A11" s="9" t="s">
        <v>26</v>
      </c>
      <c r="B11" s="10" t="s">
        <v>1070</v>
      </c>
      <c r="C11" s="10" t="s">
        <v>513</v>
      </c>
      <c r="D11" s="10">
        <f>'Waste Input'!C48</f>
        <v>1250</v>
      </c>
      <c r="E11" s="10">
        <f>'Waste Input'!D48</f>
        <v>2500</v>
      </c>
      <c r="F11" s="10">
        <f>'Waste Input'!E48</f>
        <v>1250</v>
      </c>
      <c r="G11" s="10">
        <f>'Waste Input'!F48</f>
        <v>250</v>
      </c>
      <c r="H11" s="10">
        <f>'Waste Input'!G48</f>
        <v>250</v>
      </c>
      <c r="I11" s="10" t="s">
        <v>513</v>
      </c>
      <c r="J11" s="10">
        <f>'Waste Input'!I48</f>
        <v>0</v>
      </c>
      <c r="K11" s="10">
        <f>'Waste Input'!J48</f>
        <v>0</v>
      </c>
      <c r="L11" s="11">
        <f t="shared" ref="L11:L26" si="0">SUM(C11:K11)</f>
        <v>5500</v>
      </c>
      <c r="M11" s="152"/>
      <c r="N11" t="s">
        <v>1484</v>
      </c>
    </row>
    <row r="12" spans="1:14">
      <c r="A12" s="9" t="s">
        <v>34</v>
      </c>
      <c r="B12" s="10" t="s">
        <v>1070</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c r="M12" s="152"/>
      <c r="N12" t="s">
        <v>1483</v>
      </c>
    </row>
    <row r="13" spans="1:14">
      <c r="A13" s="9" t="s">
        <v>1055</v>
      </c>
      <c r="B13" s="10" t="s">
        <v>1071</v>
      </c>
      <c r="C13" s="10" t="s">
        <v>513</v>
      </c>
      <c r="D13" s="10" t="s">
        <v>513</v>
      </c>
      <c r="E13" s="10" t="s">
        <v>513</v>
      </c>
      <c r="F13" s="10" t="s">
        <v>513</v>
      </c>
      <c r="G13" s="10" t="s">
        <v>513</v>
      </c>
      <c r="H13" s="10" t="s">
        <v>513</v>
      </c>
      <c r="I13" s="10" t="s">
        <v>513</v>
      </c>
      <c r="J13" s="10">
        <f>-'Waste Input'!I48</f>
        <v>0</v>
      </c>
      <c r="K13" s="10" t="s">
        <v>513</v>
      </c>
      <c r="L13" s="11">
        <f t="shared" si="0"/>
        <v>0</v>
      </c>
      <c r="M13" s="152"/>
      <c r="N13" t="s">
        <v>1484</v>
      </c>
    </row>
    <row r="14" spans="1:14">
      <c r="A14" s="9" t="s">
        <v>1056</v>
      </c>
      <c r="B14" s="10" t="s">
        <v>1071</v>
      </c>
      <c r="C14" s="10">
        <f>-'Waste Collection'!$C$11*'Waste Collection'!E33/1000*(1-'Waste Collection'!E34)</f>
        <v>-4275</v>
      </c>
      <c r="D14" s="10" t="s">
        <v>513</v>
      </c>
      <c r="E14" s="10" t="s">
        <v>513</v>
      </c>
      <c r="F14" s="10" t="s">
        <v>513</v>
      </c>
      <c r="G14" s="10">
        <f>-'Waste Input'!$B$8*('Waste Collection'!$E$33+'Waste Collection'!$F$33)/1000*'Waste Collection'!$E$34*'Waste Collection'!E36</f>
        <v>-750</v>
      </c>
      <c r="H14" s="10">
        <f>-'Waste Input'!$B$8*('Waste Collection'!$E$33+'Waste Collection'!$F$33)/1000*'Waste Collection'!$E$34*'Waste Collection'!E37</f>
        <v>-750</v>
      </c>
      <c r="I14" s="10" t="s">
        <v>513</v>
      </c>
      <c r="J14" s="10">
        <f>-'Waste Collection'!$C$11*'Waste Collection'!F33/1000*(1-'Waste Collection'!E34)</f>
        <v>-24225</v>
      </c>
      <c r="K14" s="10" t="s">
        <v>513</v>
      </c>
      <c r="L14" s="11">
        <f t="shared" si="0"/>
        <v>-30000</v>
      </c>
      <c r="M14" s="152"/>
      <c r="N14" t="s">
        <v>1485</v>
      </c>
    </row>
    <row r="15" spans="1:14">
      <c r="A15" s="9" t="s">
        <v>1057</v>
      </c>
      <c r="B15" s="10" t="s">
        <v>1072</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c r="M15" s="152"/>
      <c r="N15" t="s">
        <v>1485</v>
      </c>
    </row>
    <row r="16" spans="1:14">
      <c r="A16" s="9" t="s">
        <v>1058</v>
      </c>
      <c r="B16" s="10" t="s">
        <v>1073</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513</v>
      </c>
      <c r="L16" s="11">
        <f t="shared" si="0"/>
        <v>-23750</v>
      </c>
      <c r="M16" s="152"/>
      <c r="N16" t="s">
        <v>1485</v>
      </c>
    </row>
    <row r="17" spans="1:14">
      <c r="A17" s="9" t="s">
        <v>1059</v>
      </c>
      <c r="B17" s="10" t="s">
        <v>1072</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c r="M17" s="152"/>
      <c r="N17" t="s">
        <v>1485</v>
      </c>
    </row>
    <row r="18" spans="1:14">
      <c r="A18" s="9" t="s">
        <v>1060</v>
      </c>
      <c r="B18" s="10" t="s">
        <v>1074</v>
      </c>
      <c r="C18" s="10" t="s">
        <v>513</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513</v>
      </c>
      <c r="J18" s="10" t="s">
        <v>513</v>
      </c>
      <c r="K18" s="10" t="s">
        <v>513</v>
      </c>
      <c r="L18" s="11">
        <f t="shared" si="0"/>
        <v>0</v>
      </c>
      <c r="M18" s="152"/>
      <c r="N18" t="s">
        <v>1485</v>
      </c>
    </row>
    <row r="19" spans="1:14">
      <c r="A19" s="9" t="s">
        <v>1061</v>
      </c>
      <c r="B19" s="10" t="s">
        <v>1075</v>
      </c>
      <c r="C19" s="10" t="s">
        <v>513</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513</v>
      </c>
      <c r="J19" s="10" t="s">
        <v>513</v>
      </c>
      <c r="K19" s="10">
        <f>-'Waste Input'!$B$8*'Waste Input'!G27/1000*(1-'Waste Collection'!J73)</f>
        <v>0</v>
      </c>
      <c r="L19" s="11">
        <f t="shared" si="0"/>
        <v>-5500</v>
      </c>
      <c r="M19" s="152"/>
      <c r="N19" t="s">
        <v>1493</v>
      </c>
    </row>
    <row r="20" spans="1:14">
      <c r="A20" s="9" t="s">
        <v>1062</v>
      </c>
      <c r="B20" s="10" t="s">
        <v>1071</v>
      </c>
      <c r="C20" s="10">
        <f>-'Waste Collection'!E103*(1-'Waste Collection'!$F$113)</f>
        <v>0</v>
      </c>
      <c r="D20" s="10" t="s">
        <v>513</v>
      </c>
      <c r="E20" s="10" t="s">
        <v>513</v>
      </c>
      <c r="F20" s="10" t="s">
        <v>513</v>
      </c>
      <c r="G20" s="10">
        <f>-('Waste Collection'!E103+'Waste Collection'!F103)*'Waste Collection'!$E$104/2</f>
        <v>0</v>
      </c>
      <c r="H20" s="10">
        <f>-('Waste Collection'!E103+'Waste Collection'!F103)*'Waste Collection'!$E$104/2</f>
        <v>0</v>
      </c>
      <c r="I20" s="10" t="s">
        <v>513</v>
      </c>
      <c r="J20" s="10">
        <f>-'Waste Collection'!F103*(1-'Waste Collection'!$E$104)</f>
        <v>0</v>
      </c>
      <c r="K20" s="10" t="s">
        <v>513</v>
      </c>
      <c r="L20" s="11">
        <f t="shared" si="0"/>
        <v>0</v>
      </c>
      <c r="M20" s="152"/>
      <c r="N20" t="s">
        <v>1485</v>
      </c>
    </row>
    <row r="21" spans="1:14">
      <c r="A21" s="9" t="s">
        <v>1063</v>
      </c>
      <c r="B21" s="10" t="s">
        <v>1072</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c r="M21" s="152"/>
      <c r="N21" t="s">
        <v>1485</v>
      </c>
    </row>
    <row r="22" spans="1:14">
      <c r="A22" s="9" t="s">
        <v>1064</v>
      </c>
      <c r="B22" s="10" t="s">
        <v>1076</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c r="M22" s="152"/>
      <c r="N22" t="s">
        <v>1485</v>
      </c>
    </row>
    <row r="23" spans="1:14">
      <c r="A23" s="9" t="s">
        <v>1065</v>
      </c>
      <c r="B23" s="10" t="s">
        <v>1077</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c r="M23" s="152"/>
      <c r="N23" t="s">
        <v>1485</v>
      </c>
    </row>
    <row r="24" spans="1:14">
      <c r="A24" s="9" t="s">
        <v>1066</v>
      </c>
      <c r="B24" s="10" t="s">
        <v>1071</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c r="M24" s="152"/>
      <c r="N24" t="s">
        <v>1485</v>
      </c>
    </row>
    <row r="25" spans="1:14">
      <c r="A25" s="9" t="s">
        <v>1067</v>
      </c>
      <c r="B25" s="10" t="s">
        <v>1078</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c r="M25" s="152"/>
      <c r="N25" t="s">
        <v>1485</v>
      </c>
    </row>
    <row r="26" spans="1:14" ht="15.75" thickBot="1">
      <c r="A26" s="90" t="s">
        <v>1068</v>
      </c>
      <c r="B26" s="91" t="s">
        <v>1079</v>
      </c>
      <c r="C26" s="91">
        <f>SUM(C10:C25)</f>
        <v>0</v>
      </c>
      <c r="D26" s="91">
        <f>SUM(D10:D25)</f>
        <v>0</v>
      </c>
      <c r="E26" s="91">
        <f t="shared" ref="E26:K26" si="1">SUM(E10:E25)</f>
        <v>0</v>
      </c>
      <c r="F26" s="91">
        <f t="shared" si="1"/>
        <v>0</v>
      </c>
      <c r="G26" s="91">
        <f t="shared" si="1"/>
        <v>0</v>
      </c>
      <c r="H26" s="91">
        <f t="shared" si="1"/>
        <v>0</v>
      </c>
      <c r="I26" s="91">
        <f t="shared" si="1"/>
        <v>0</v>
      </c>
      <c r="J26" s="91">
        <f t="shared" si="1"/>
        <v>0</v>
      </c>
      <c r="K26" s="91">
        <f t="shared" si="1"/>
        <v>0</v>
      </c>
      <c r="L26" s="92">
        <f t="shared" si="0"/>
        <v>0</v>
      </c>
      <c r="M26" s="152"/>
      <c r="N26" t="s">
        <v>1485</v>
      </c>
    </row>
    <row r="28" spans="1:14" ht="15.75" thickBot="1">
      <c r="A28" s="62" t="s">
        <v>1084</v>
      </c>
    </row>
    <row r="29" spans="1:14">
      <c r="A29" s="93" t="s">
        <v>1089</v>
      </c>
      <c r="B29" s="7"/>
      <c r="C29" s="78" t="s">
        <v>4</v>
      </c>
      <c r="D29" s="78" t="s">
        <v>5</v>
      </c>
      <c r="E29" s="78" t="s">
        <v>29</v>
      </c>
      <c r="F29" s="78" t="s">
        <v>30</v>
      </c>
      <c r="G29" s="78" t="s">
        <v>31</v>
      </c>
      <c r="H29" s="78" t="s">
        <v>32</v>
      </c>
      <c r="I29" s="78" t="s">
        <v>8</v>
      </c>
      <c r="J29" s="78" t="s">
        <v>9</v>
      </c>
      <c r="K29" s="78" t="s">
        <v>10</v>
      </c>
      <c r="L29" s="79" t="s">
        <v>11</v>
      </c>
    </row>
    <row r="30" spans="1:14">
      <c r="A30" s="9" t="s">
        <v>1057</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c r="M30" s="152"/>
      <c r="N30" t="s">
        <v>1485</v>
      </c>
    </row>
    <row r="31" spans="1:14">
      <c r="A31" s="9" t="s">
        <v>1059</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c r="M31" s="152"/>
      <c r="N31" t="s">
        <v>1485</v>
      </c>
    </row>
    <row r="32" spans="1:14">
      <c r="A32" s="9" t="s">
        <v>1085</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513</v>
      </c>
      <c r="K32" s="10" t="s">
        <v>513</v>
      </c>
      <c r="L32" s="102">
        <f t="shared" si="2"/>
        <v>-15793.75</v>
      </c>
      <c r="M32" s="152"/>
      <c r="N32" t="s">
        <v>1487</v>
      </c>
    </row>
    <row r="33" spans="1:15">
      <c r="A33" s="47" t="s">
        <v>1086</v>
      </c>
      <c r="B33" s="10"/>
      <c r="C33" s="10">
        <f>-'MRF &amp; RDF Sorting'!B9*'MRF &amp; RDF Sorting'!B18</f>
        <v>0</v>
      </c>
      <c r="D33" s="10" t="s">
        <v>513</v>
      </c>
      <c r="E33" s="10" t="s">
        <v>513</v>
      </c>
      <c r="F33" s="10" t="s">
        <v>513</v>
      </c>
      <c r="G33" s="10">
        <f>-'MRF &amp; RDF Sorting'!F9*'MRF &amp; RDF Sorting'!$E$18</f>
        <v>0</v>
      </c>
      <c r="H33" s="10">
        <f>-'MRF &amp; RDF Sorting'!G9*'MRF &amp; RDF Sorting'!$E$18</f>
        <v>0</v>
      </c>
      <c r="I33" s="10" t="s">
        <v>513</v>
      </c>
      <c r="J33" s="10" t="s">
        <v>513</v>
      </c>
      <c r="K33" s="10" t="s">
        <v>513</v>
      </c>
      <c r="L33" s="11">
        <f t="shared" si="2"/>
        <v>0</v>
      </c>
      <c r="M33" s="152"/>
      <c r="N33" t="s">
        <v>1487</v>
      </c>
    </row>
    <row r="34" spans="1:15">
      <c r="A34" s="47" t="s">
        <v>1087</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c r="M34" s="152"/>
      <c r="N34" t="s">
        <v>1487</v>
      </c>
    </row>
    <row r="35" spans="1:15" ht="15.75" thickBot="1">
      <c r="A35" s="88" t="s">
        <v>1088</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c r="M35" s="152"/>
      <c r="N35" t="s">
        <v>1487</v>
      </c>
    </row>
    <row r="37" spans="1:15" ht="15.75" thickBot="1">
      <c r="A37" s="62" t="s">
        <v>1090</v>
      </c>
    </row>
    <row r="38" spans="1:15">
      <c r="A38" s="93" t="s">
        <v>1089</v>
      </c>
      <c r="B38" s="7"/>
      <c r="C38" s="78" t="s">
        <v>4</v>
      </c>
      <c r="D38" s="78" t="s">
        <v>31</v>
      </c>
      <c r="E38" s="78" t="s">
        <v>32</v>
      </c>
      <c r="F38" s="78" t="s">
        <v>1091</v>
      </c>
      <c r="G38" s="79" t="s">
        <v>11</v>
      </c>
    </row>
    <row r="39" spans="1:15">
      <c r="A39" s="9" t="s">
        <v>1092</v>
      </c>
      <c r="B39" s="10"/>
      <c r="C39" s="10">
        <f>-C33</f>
        <v>0</v>
      </c>
      <c r="D39" s="10">
        <f>-G33</f>
        <v>0</v>
      </c>
      <c r="E39" s="10">
        <f>-H33</f>
        <v>0</v>
      </c>
      <c r="F39" s="10" t="s">
        <v>513</v>
      </c>
      <c r="G39" s="11">
        <f>SUM(C39:F39)</f>
        <v>0</v>
      </c>
      <c r="M39" s="152"/>
      <c r="N39" t="s">
        <v>1487</v>
      </c>
    </row>
    <row r="40" spans="1:15">
      <c r="A40" s="9" t="s">
        <v>1093</v>
      </c>
      <c r="B40" s="10"/>
      <c r="C40" s="10">
        <f>-C39</f>
        <v>0</v>
      </c>
      <c r="D40" s="10">
        <f>-D39</f>
        <v>0</v>
      </c>
      <c r="E40" s="10">
        <f>-E39</f>
        <v>0</v>
      </c>
      <c r="F40" s="94">
        <f>C39+D39+E39</f>
        <v>0</v>
      </c>
      <c r="G40" s="11">
        <f>SUM(C40:F40)</f>
        <v>0</v>
      </c>
      <c r="I40" s="95"/>
      <c r="J40" t="s">
        <v>1105</v>
      </c>
      <c r="M40" s="152"/>
      <c r="N40" t="s">
        <v>1487</v>
      </c>
    </row>
    <row r="41" spans="1:15">
      <c r="A41" s="9" t="s">
        <v>1094</v>
      </c>
      <c r="B41" s="10"/>
      <c r="C41" s="10" t="s">
        <v>513</v>
      </c>
      <c r="D41" s="10" t="s">
        <v>513</v>
      </c>
      <c r="E41" s="10" t="s">
        <v>513</v>
      </c>
      <c r="F41" s="10">
        <f>-(1-'Thermal Treatment'!$C$243-'Thermal Treatment'!$D$244)*Streams!F40</f>
        <v>0</v>
      </c>
      <c r="G41" s="11">
        <f t="shared" ref="G41:G43" si="3">SUM(C41:F41)</f>
        <v>0</v>
      </c>
    </row>
    <row r="42" spans="1:15">
      <c r="A42" s="9" t="s">
        <v>1095</v>
      </c>
      <c r="B42" s="10"/>
      <c r="C42" s="10" t="s">
        <v>513</v>
      </c>
      <c r="D42" s="10" t="s">
        <v>513</v>
      </c>
      <c r="E42" s="10" t="s">
        <v>513</v>
      </c>
      <c r="F42" s="10">
        <f>'Thermal Treatment'!$D$244*Streams!F40</f>
        <v>0</v>
      </c>
      <c r="G42" s="11">
        <f t="shared" si="3"/>
        <v>0</v>
      </c>
    </row>
    <row r="43" spans="1:15" ht="15.75" thickBot="1">
      <c r="A43" s="12" t="s">
        <v>1096</v>
      </c>
      <c r="B43" s="13"/>
      <c r="C43" s="13" t="s">
        <v>513</v>
      </c>
      <c r="D43" s="13" t="s">
        <v>513</v>
      </c>
      <c r="E43" s="13" t="s">
        <v>513</v>
      </c>
      <c r="F43" s="13">
        <f>-'Thermal Treatment'!$D$243*Streams!F40</f>
        <v>0</v>
      </c>
      <c r="G43" s="14">
        <f t="shared" si="3"/>
        <v>0</v>
      </c>
    </row>
    <row r="45" spans="1:15" ht="15.75" thickBot="1">
      <c r="A45" s="65" t="s">
        <v>1097</v>
      </c>
    </row>
    <row r="46" spans="1:15">
      <c r="A46" s="93" t="s">
        <v>1089</v>
      </c>
      <c r="B46" s="7"/>
      <c r="C46" s="78" t="s">
        <v>4</v>
      </c>
      <c r="D46" s="78" t="s">
        <v>5</v>
      </c>
      <c r="E46" s="78" t="s">
        <v>29</v>
      </c>
      <c r="F46" s="78" t="s">
        <v>30</v>
      </c>
      <c r="G46" s="78" t="s">
        <v>31</v>
      </c>
      <c r="H46" s="78" t="s">
        <v>32</v>
      </c>
      <c r="I46" s="78" t="s">
        <v>8</v>
      </c>
      <c r="J46" s="78" t="s">
        <v>9</v>
      </c>
      <c r="K46" s="78" t="s">
        <v>10</v>
      </c>
      <c r="L46" s="96" t="s">
        <v>1091</v>
      </c>
      <c r="M46" s="79" t="s">
        <v>11</v>
      </c>
    </row>
    <row r="47" spans="1:15">
      <c r="A47" s="9" t="s">
        <v>1098</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513</v>
      </c>
      <c r="M47" s="11">
        <f t="shared" ref="M47:M57" si="4">SUM(C47:K47)</f>
        <v>0</v>
      </c>
      <c r="N47" s="152"/>
      <c r="O47" t="s">
        <v>1485</v>
      </c>
    </row>
    <row r="48" spans="1:15">
      <c r="A48" s="9" t="s">
        <v>1099</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513</v>
      </c>
      <c r="M48" s="11">
        <f t="shared" si="4"/>
        <v>0</v>
      </c>
      <c r="N48" s="152"/>
      <c r="O48" t="s">
        <v>1488</v>
      </c>
    </row>
    <row r="49" spans="1:15">
      <c r="A49" s="9" t="s">
        <v>1100</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513</v>
      </c>
      <c r="M49" s="11">
        <f t="shared" si="4"/>
        <v>0</v>
      </c>
      <c r="N49" s="152"/>
      <c r="O49" t="s">
        <v>1488</v>
      </c>
    </row>
    <row r="50" spans="1:15">
      <c r="A50" s="9" t="s">
        <v>1101</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513</v>
      </c>
      <c r="M50" s="11">
        <f t="shared" si="4"/>
        <v>0</v>
      </c>
      <c r="N50" s="152"/>
      <c r="O50" t="s">
        <v>1488</v>
      </c>
    </row>
    <row r="51" spans="1:15">
      <c r="A51" s="9" t="s">
        <v>1102</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513</v>
      </c>
      <c r="M51" s="11">
        <f t="shared" si="4"/>
        <v>0</v>
      </c>
      <c r="N51" s="152"/>
      <c r="O51" t="s">
        <v>1488</v>
      </c>
    </row>
    <row r="52" spans="1:15">
      <c r="A52" s="9" t="s">
        <v>1103</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513</v>
      </c>
      <c r="M52" s="11">
        <f t="shared" si="4"/>
        <v>0</v>
      </c>
      <c r="N52" s="152"/>
      <c r="O52" t="s">
        <v>1488</v>
      </c>
    </row>
    <row r="53" spans="1:15">
      <c r="A53" s="9" t="s">
        <v>1104</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513</v>
      </c>
      <c r="M53" s="11">
        <f t="shared" si="4"/>
        <v>0</v>
      </c>
      <c r="N53" s="152"/>
      <c r="O53" t="s">
        <v>1488</v>
      </c>
    </row>
    <row r="54" spans="1:15">
      <c r="A54" s="9" t="s">
        <v>1093</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c r="N54" s="152"/>
      <c r="O54" t="s">
        <v>1488</v>
      </c>
    </row>
    <row r="55" spans="1:15">
      <c r="A55" s="9" t="s">
        <v>1094</v>
      </c>
      <c r="B55" s="10"/>
      <c r="C55" s="10" t="s">
        <v>513</v>
      </c>
      <c r="D55" s="10" t="s">
        <v>513</v>
      </c>
      <c r="E55" s="10" t="s">
        <v>513</v>
      </c>
      <c r="F55" s="10" t="s">
        <v>513</v>
      </c>
      <c r="G55" s="10" t="s">
        <v>513</v>
      </c>
      <c r="H55" s="10" t="s">
        <v>513</v>
      </c>
      <c r="I55" s="10" t="s">
        <v>513</v>
      </c>
      <c r="J55" s="10" t="s">
        <v>513</v>
      </c>
      <c r="K55" s="10" t="s">
        <v>513</v>
      </c>
      <c r="L55" s="10">
        <f>-L54*(1-'Thermal Treatment'!$C$196-'Thermal Treatment'!$C$197)</f>
        <v>0</v>
      </c>
      <c r="M55" s="11">
        <f t="shared" si="4"/>
        <v>0</v>
      </c>
    </row>
    <row r="56" spans="1:15">
      <c r="A56" s="9" t="s">
        <v>1095</v>
      </c>
      <c r="B56" s="10"/>
      <c r="C56" s="10" t="s">
        <v>513</v>
      </c>
      <c r="D56" s="10" t="s">
        <v>513</v>
      </c>
      <c r="E56" s="10" t="s">
        <v>513</v>
      </c>
      <c r="F56" s="10" t="s">
        <v>513</v>
      </c>
      <c r="G56" s="10" t="s">
        <v>513</v>
      </c>
      <c r="H56" s="10" t="s">
        <v>513</v>
      </c>
      <c r="I56" s="10" t="s">
        <v>513</v>
      </c>
      <c r="J56" s="10" t="s">
        <v>513</v>
      </c>
      <c r="K56" s="10" t="s">
        <v>513</v>
      </c>
      <c r="L56" s="10">
        <f>-L54*'Thermal Treatment'!$C$197</f>
        <v>0</v>
      </c>
      <c r="M56" s="11">
        <f t="shared" si="4"/>
        <v>0</v>
      </c>
    </row>
    <row r="57" spans="1:15" ht="15.75" thickBot="1">
      <c r="A57" s="12" t="s">
        <v>1096</v>
      </c>
      <c r="B57" s="13"/>
      <c r="C57" s="13" t="s">
        <v>513</v>
      </c>
      <c r="D57" s="13" t="s">
        <v>513</v>
      </c>
      <c r="E57" s="13" t="s">
        <v>513</v>
      </c>
      <c r="F57" s="13" t="s">
        <v>513</v>
      </c>
      <c r="G57" s="13" t="s">
        <v>513</v>
      </c>
      <c r="H57" s="13" t="s">
        <v>513</v>
      </c>
      <c r="I57" s="13" t="s">
        <v>513</v>
      </c>
      <c r="J57" s="13" t="s">
        <v>513</v>
      </c>
      <c r="K57" s="13" t="s">
        <v>513</v>
      </c>
      <c r="L57" s="13">
        <f>-L54*'Thermal Treatment'!$C$196</f>
        <v>0</v>
      </c>
      <c r="M57" s="14">
        <f t="shared" si="4"/>
        <v>0</v>
      </c>
    </row>
    <row r="59" spans="1:15" ht="15.75" thickBot="1">
      <c r="A59" s="65" t="s">
        <v>1106</v>
      </c>
    </row>
    <row r="60" spans="1:15">
      <c r="A60" s="93" t="s">
        <v>1089</v>
      </c>
      <c r="B60" s="7"/>
      <c r="C60" s="78" t="s">
        <v>4</v>
      </c>
      <c r="D60" s="78" t="s">
        <v>5</v>
      </c>
      <c r="E60" s="78" t="s">
        <v>29</v>
      </c>
      <c r="F60" s="78" t="s">
        <v>30</v>
      </c>
      <c r="G60" s="78" t="s">
        <v>31</v>
      </c>
      <c r="H60" s="78" t="s">
        <v>32</v>
      </c>
      <c r="I60" s="78" t="s">
        <v>8</v>
      </c>
      <c r="J60" s="78" t="s">
        <v>9</v>
      </c>
      <c r="K60" s="78" t="s">
        <v>10</v>
      </c>
      <c r="L60" s="96" t="s">
        <v>1091</v>
      </c>
      <c r="M60" s="79" t="s">
        <v>11</v>
      </c>
    </row>
    <row r="61" spans="1:15">
      <c r="A61" s="9" t="s">
        <v>1098</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513</v>
      </c>
      <c r="M61" s="11">
        <f t="shared" ref="M61:M72" si="5">SUM(C61:K61)</f>
        <v>0</v>
      </c>
      <c r="N61" s="152"/>
      <c r="O61" t="s">
        <v>1485</v>
      </c>
    </row>
    <row r="62" spans="1:15">
      <c r="A62" s="9" t="s">
        <v>1099</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513</v>
      </c>
      <c r="M62" s="11">
        <f t="shared" si="5"/>
        <v>0</v>
      </c>
      <c r="N62" s="152"/>
      <c r="O62" t="s">
        <v>1488</v>
      </c>
    </row>
    <row r="63" spans="1:15">
      <c r="A63" s="9" t="s">
        <v>1100</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513</v>
      </c>
      <c r="M63" s="11">
        <f t="shared" si="5"/>
        <v>0</v>
      </c>
      <c r="N63" s="152"/>
      <c r="O63" t="s">
        <v>1488</v>
      </c>
    </row>
    <row r="64" spans="1:15">
      <c r="A64" s="9" t="s">
        <v>1101</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513</v>
      </c>
      <c r="M64" s="11">
        <f t="shared" si="5"/>
        <v>0</v>
      </c>
      <c r="N64" s="152"/>
      <c r="O64" t="s">
        <v>1488</v>
      </c>
    </row>
    <row r="65" spans="1:15">
      <c r="A65" s="9" t="s">
        <v>1102</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513</v>
      </c>
      <c r="M65" s="11">
        <f t="shared" si="5"/>
        <v>0</v>
      </c>
      <c r="N65" s="152"/>
      <c r="O65" t="s">
        <v>1488</v>
      </c>
    </row>
    <row r="66" spans="1:15">
      <c r="A66" s="9" t="s">
        <v>1103</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513</v>
      </c>
      <c r="M66" s="11">
        <f t="shared" si="5"/>
        <v>0</v>
      </c>
      <c r="N66" s="152"/>
      <c r="O66" t="s">
        <v>1488</v>
      </c>
    </row>
    <row r="67" spans="1:15">
      <c r="A67" s="9" t="s">
        <v>1104</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513</v>
      </c>
      <c r="M67" s="11">
        <f t="shared" si="5"/>
        <v>0</v>
      </c>
      <c r="N67" s="152"/>
      <c r="O67" t="s">
        <v>1488</v>
      </c>
    </row>
    <row r="68" spans="1:15">
      <c r="A68" s="9" t="s">
        <v>1107</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513</v>
      </c>
      <c r="M68" s="11">
        <f t="shared" si="5"/>
        <v>0</v>
      </c>
      <c r="N68" s="61" t="s">
        <v>1491</v>
      </c>
      <c r="O68" s="61"/>
    </row>
    <row r="69" spans="1:15">
      <c r="A69" s="9" t="s">
        <v>1093</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c r="N69" s="152"/>
      <c r="O69" t="s">
        <v>1488</v>
      </c>
    </row>
    <row r="70" spans="1:15">
      <c r="A70" s="9" t="s">
        <v>1094</v>
      </c>
      <c r="B70" s="10"/>
      <c r="C70" s="10" t="s">
        <v>513</v>
      </c>
      <c r="D70" s="10" t="s">
        <v>513</v>
      </c>
      <c r="E70" s="10" t="s">
        <v>513</v>
      </c>
      <c r="F70" s="10" t="s">
        <v>513</v>
      </c>
      <c r="G70" s="10" t="s">
        <v>513</v>
      </c>
      <c r="H70" s="10" t="s">
        <v>513</v>
      </c>
      <c r="I70" s="10" t="s">
        <v>513</v>
      </c>
      <c r="J70" s="10" t="s">
        <v>513</v>
      </c>
      <c r="K70" s="10" t="s">
        <v>513</v>
      </c>
      <c r="L70" s="10">
        <f>-L69*(1-'Thermal Treatment'!D196-'Thermal Treatment'!D197)</f>
        <v>0</v>
      </c>
      <c r="M70" s="11">
        <f t="shared" si="5"/>
        <v>0</v>
      </c>
    </row>
    <row r="71" spans="1:15">
      <c r="A71" s="9" t="s">
        <v>1095</v>
      </c>
      <c r="B71" s="10"/>
      <c r="C71" s="10" t="s">
        <v>513</v>
      </c>
      <c r="D71" s="10" t="s">
        <v>513</v>
      </c>
      <c r="E71" s="10" t="s">
        <v>513</v>
      </c>
      <c r="F71" s="10" t="s">
        <v>513</v>
      </c>
      <c r="G71" s="10" t="s">
        <v>513</v>
      </c>
      <c r="H71" s="10" t="s">
        <v>513</v>
      </c>
      <c r="I71" s="10" t="s">
        <v>513</v>
      </c>
      <c r="J71" s="10" t="s">
        <v>513</v>
      </c>
      <c r="K71" s="10" t="s">
        <v>513</v>
      </c>
      <c r="L71" s="10">
        <f>-L69*'Thermal Treatment'!D197</f>
        <v>0</v>
      </c>
      <c r="M71" s="11">
        <f t="shared" si="5"/>
        <v>0</v>
      </c>
    </row>
    <row r="72" spans="1:15" ht="15.75" thickBot="1">
      <c r="A72" s="12" t="s">
        <v>1096</v>
      </c>
      <c r="B72" s="13"/>
      <c r="C72" s="13" t="s">
        <v>513</v>
      </c>
      <c r="D72" s="13" t="s">
        <v>513</v>
      </c>
      <c r="E72" s="13" t="s">
        <v>513</v>
      </c>
      <c r="F72" s="13" t="s">
        <v>513</v>
      </c>
      <c r="G72" s="13" t="s">
        <v>513</v>
      </c>
      <c r="H72" s="13" t="s">
        <v>513</v>
      </c>
      <c r="I72" s="13" t="s">
        <v>513</v>
      </c>
      <c r="J72" s="13" t="s">
        <v>513</v>
      </c>
      <c r="K72" s="13" t="s">
        <v>513</v>
      </c>
      <c r="L72" s="13">
        <f>-L69*'Thermal Treatment'!D196</f>
        <v>0</v>
      </c>
      <c r="M72" s="14">
        <f t="shared" si="5"/>
        <v>0</v>
      </c>
    </row>
    <row r="74" spans="1:15" ht="15.75" thickBot="1">
      <c r="A74" s="62" t="s">
        <v>193</v>
      </c>
    </row>
    <row r="75" spans="1:15">
      <c r="A75" s="93" t="s">
        <v>1089</v>
      </c>
      <c r="B75" s="7"/>
      <c r="C75" s="78" t="s">
        <v>4</v>
      </c>
      <c r="D75" s="78" t="s">
        <v>5</v>
      </c>
      <c r="E75" s="78" t="s">
        <v>29</v>
      </c>
      <c r="F75" s="78" t="s">
        <v>30</v>
      </c>
      <c r="G75" s="78" t="s">
        <v>31</v>
      </c>
      <c r="H75" s="78" t="s">
        <v>32</v>
      </c>
      <c r="I75" s="78" t="s">
        <v>8</v>
      </c>
      <c r="J75" s="78" t="s">
        <v>9</v>
      </c>
      <c r="K75" s="78" t="s">
        <v>10</v>
      </c>
      <c r="L75" s="79" t="s">
        <v>11</v>
      </c>
    </row>
    <row r="76" spans="1:15">
      <c r="A76" s="9" t="s">
        <v>1055</v>
      </c>
      <c r="B76" s="10"/>
      <c r="C76" s="10" t="s">
        <v>513</v>
      </c>
      <c r="D76" s="10" t="s">
        <v>513</v>
      </c>
      <c r="E76" s="10" t="s">
        <v>513</v>
      </c>
      <c r="F76" s="10" t="s">
        <v>513</v>
      </c>
      <c r="G76" s="10" t="s">
        <v>513</v>
      </c>
      <c r="H76" s="10" t="s">
        <v>513</v>
      </c>
      <c r="I76" s="10" t="s">
        <v>513</v>
      </c>
      <c r="J76" s="10">
        <f>'Waste Input'!$B$8*'Waste Input'!B30/1000</f>
        <v>0</v>
      </c>
      <c r="K76" s="10" t="s">
        <v>513</v>
      </c>
      <c r="L76" s="11">
        <f t="shared" ref="L76:L97" si="6">SUM(C76:K76)</f>
        <v>0</v>
      </c>
      <c r="M76" s="152"/>
      <c r="N76" t="s">
        <v>1485</v>
      </c>
    </row>
    <row r="77" spans="1:15">
      <c r="A77" s="9" t="s">
        <v>1056</v>
      </c>
      <c r="B77" s="10"/>
      <c r="C77" s="10">
        <f>'Waste Collection'!$C$11*'Waste Collection'!E33/1000*(1-'Waste Collection'!$E$34)</f>
        <v>4275</v>
      </c>
      <c r="D77" s="10" t="s">
        <v>513</v>
      </c>
      <c r="E77" s="10" t="s">
        <v>513</v>
      </c>
      <c r="F77" s="10" t="s">
        <v>513</v>
      </c>
      <c r="G77" s="10">
        <f>'Waste Collection'!$C$11*('Waste Collection'!$E$33+'Waste Collection'!$F$33)/1000*'Waste Collection'!$E$34*'Waste Input'!B23</f>
        <v>750</v>
      </c>
      <c r="H77" s="10">
        <f>'Waste Collection'!$C$11*('Waste Collection'!$E$33+'Waste Collection'!$F$33)/1000*'Waste Collection'!$E$34*'Waste Input'!C23</f>
        <v>750</v>
      </c>
      <c r="I77" s="10" t="s">
        <v>513</v>
      </c>
      <c r="J77" s="10">
        <f>'Waste Collection'!$C$11*'Waste Collection'!F33/1000*(1-'Waste Collection'!$E$34)</f>
        <v>24225</v>
      </c>
      <c r="K77" s="10" t="s">
        <v>513</v>
      </c>
      <c r="L77" s="11">
        <f t="shared" si="6"/>
        <v>30000</v>
      </c>
      <c r="M77" s="152"/>
      <c r="N77" t="s">
        <v>1485</v>
      </c>
    </row>
    <row r="78" spans="1:15">
      <c r="A78" s="9" t="s">
        <v>1058</v>
      </c>
      <c r="B78" s="10"/>
      <c r="C78" s="10" t="s">
        <v>513</v>
      </c>
      <c r="D78" s="10" t="s">
        <v>513</v>
      </c>
      <c r="E78" s="10" t="s">
        <v>513</v>
      </c>
      <c r="F78" s="10" t="s">
        <v>513</v>
      </c>
      <c r="G78" s="10" t="s">
        <v>513</v>
      </c>
      <c r="H78" s="10" t="s">
        <v>513</v>
      </c>
      <c r="I78" s="10" t="s">
        <v>513</v>
      </c>
      <c r="J78" s="10">
        <f>'Waste Collection'!$G$11*'Waste Collection'!L48</f>
        <v>0</v>
      </c>
      <c r="K78" s="10" t="s">
        <v>513</v>
      </c>
      <c r="L78" s="11">
        <f t="shared" si="6"/>
        <v>0</v>
      </c>
      <c r="M78" s="152"/>
      <c r="N78" t="s">
        <v>1485</v>
      </c>
    </row>
    <row r="79" spans="1:15">
      <c r="A79" s="9" t="s">
        <v>1062</v>
      </c>
      <c r="B79" s="10"/>
      <c r="C79" s="10">
        <f>'Waste Collection'!E103*(1-'Waste Collection'!$E$104)</f>
        <v>0</v>
      </c>
      <c r="D79" s="10" t="s">
        <v>513</v>
      </c>
      <c r="E79" s="10" t="s">
        <v>513</v>
      </c>
      <c r="F79" s="10" t="s">
        <v>513</v>
      </c>
      <c r="G79" s="10">
        <f>('Waste Collection'!E103+'Waste Collection'!F103)*'Waste Collection'!$E$104*'Waste Input'!B23</f>
        <v>0</v>
      </c>
      <c r="H79" s="10">
        <f>('Waste Collection'!E103+'Waste Collection'!F103)*'Waste Collection'!$E$104*'Waste Input'!C23</f>
        <v>0</v>
      </c>
      <c r="I79" s="10" t="s">
        <v>513</v>
      </c>
      <c r="J79" s="10">
        <f>'Waste Collection'!F103*(1-'Waste Collection'!$E$104)</f>
        <v>0</v>
      </c>
      <c r="K79" s="10" t="s">
        <v>513</v>
      </c>
      <c r="L79" s="11">
        <f t="shared" si="6"/>
        <v>0</v>
      </c>
      <c r="M79" s="152"/>
      <c r="N79" t="s">
        <v>1485</v>
      </c>
    </row>
    <row r="80" spans="1:15">
      <c r="A80" s="9" t="s">
        <v>1108</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c r="M80" s="152"/>
      <c r="N80" t="s">
        <v>1488</v>
      </c>
    </row>
    <row r="81" spans="1:14">
      <c r="A81" s="9" t="s">
        <v>1109</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c r="M81" s="152"/>
      <c r="N81" t="s">
        <v>1488</v>
      </c>
    </row>
    <row r="82" spans="1:14">
      <c r="A82" s="9" t="s">
        <v>1124</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c r="M82" s="152"/>
      <c r="N82" t="s">
        <v>1485</v>
      </c>
    </row>
    <row r="83" spans="1:14">
      <c r="A83" s="9" t="s">
        <v>1110</v>
      </c>
      <c r="B83" s="10"/>
      <c r="C83" s="10" t="s">
        <v>513</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513</v>
      </c>
      <c r="K83" s="10" t="s">
        <v>513</v>
      </c>
      <c r="L83" s="11">
        <f t="shared" si="6"/>
        <v>0</v>
      </c>
      <c r="M83" s="152"/>
      <c r="N83" t="s">
        <v>1492</v>
      </c>
    </row>
    <row r="84" spans="1:14">
      <c r="A84" s="9" t="s">
        <v>1111</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c r="M84" s="152"/>
      <c r="N84" t="s">
        <v>1492</v>
      </c>
    </row>
    <row r="85" spans="1:14">
      <c r="A85" s="9" t="s">
        <v>1112</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c r="M85" s="152"/>
      <c r="N85" t="s">
        <v>1492</v>
      </c>
    </row>
    <row r="86" spans="1:14">
      <c r="A86" s="9" t="s">
        <v>1291</v>
      </c>
      <c r="B86" s="10"/>
      <c r="C86" s="10">
        <f>-'Biological Treatment'!C44*'Biological Treatment'!$C$53</f>
        <v>-2084.0625</v>
      </c>
      <c r="D86" s="10" t="s">
        <v>513</v>
      </c>
      <c r="E86" s="10" t="s">
        <v>513</v>
      </c>
      <c r="F86" s="10" t="s">
        <v>513</v>
      </c>
      <c r="G86" s="10" t="s">
        <v>513</v>
      </c>
      <c r="H86" s="10" t="s">
        <v>513</v>
      </c>
      <c r="I86" s="10" t="s">
        <v>513</v>
      </c>
      <c r="J86" s="10">
        <f>-'Biological Treatment'!J44*'Biological Treatment'!$C$53</f>
        <v>-11809.6875</v>
      </c>
      <c r="K86" s="10" t="s">
        <v>513</v>
      </c>
      <c r="L86" s="11">
        <f t="shared" si="6"/>
        <v>-13893.75</v>
      </c>
      <c r="M86" s="61" t="s">
        <v>1491</v>
      </c>
    </row>
    <row r="87" spans="1:14">
      <c r="A87" s="9" t="s">
        <v>1113</v>
      </c>
      <c r="B87" s="10"/>
      <c r="C87" s="10">
        <f>-'Biological Treatment'!C44*(1-'Biological Treatment'!$C$53)*'Biological Treatment'!$C$55</f>
        <v>-2084.0625</v>
      </c>
      <c r="D87" s="10" t="s">
        <v>513</v>
      </c>
      <c r="E87" s="10" t="s">
        <v>513</v>
      </c>
      <c r="F87" s="10" t="s">
        <v>513</v>
      </c>
      <c r="G87" s="10" t="s">
        <v>513</v>
      </c>
      <c r="H87" s="10" t="s">
        <v>513</v>
      </c>
      <c r="I87" s="10" t="s">
        <v>513</v>
      </c>
      <c r="J87" s="10">
        <f>-'Biological Treatment'!J44*(1-'Biological Treatment'!$C$53)*'Biological Treatment'!$C$55</f>
        <v>-11809.6875</v>
      </c>
      <c r="K87" s="10" t="s">
        <v>513</v>
      </c>
      <c r="L87" s="11">
        <f t="shared" si="6"/>
        <v>-13893.75</v>
      </c>
      <c r="M87" s="152"/>
      <c r="N87" t="s">
        <v>1492</v>
      </c>
    </row>
    <row r="88" spans="1:14">
      <c r="A88" s="9" t="s">
        <v>1114</v>
      </c>
      <c r="B88" s="10"/>
      <c r="C88" s="10">
        <f>-'Biological Treatment'!C44*(1-'Biological Treatment'!C53)*(1-'Biological Treatment'!C55)*'Biological Treatment'!$D$67</f>
        <v>0</v>
      </c>
      <c r="D88" s="10" t="s">
        <v>513</v>
      </c>
      <c r="E88" s="10" t="s">
        <v>513</v>
      </c>
      <c r="F88" s="10" t="s">
        <v>513</v>
      </c>
      <c r="G88" s="10" t="s">
        <v>513</v>
      </c>
      <c r="H88" s="10" t="s">
        <v>513</v>
      </c>
      <c r="I88" s="10" t="s">
        <v>513</v>
      </c>
      <c r="J88" s="10">
        <f>-'Biological Treatment'!J44*(1-'Biological Treatment'!C53)*(1-'Biological Treatment'!C55)*'Biological Treatment'!$D$67</f>
        <v>0</v>
      </c>
      <c r="K88" s="10" t="s">
        <v>513</v>
      </c>
      <c r="L88" s="11">
        <f t="shared" si="6"/>
        <v>0</v>
      </c>
      <c r="M88" s="152"/>
      <c r="N88" t="s">
        <v>1492</v>
      </c>
    </row>
    <row r="89" spans="1:14">
      <c r="A89" s="9" t="s">
        <v>1115</v>
      </c>
      <c r="B89" s="10"/>
      <c r="C89" s="10">
        <f>-'Biological Treatment'!C44*(1-'Biological Treatment'!C53)*(1-'Biological Treatment'!C55)*'Biological Treatment'!$E$67</f>
        <v>0</v>
      </c>
      <c r="D89" s="10" t="s">
        <v>513</v>
      </c>
      <c r="E89" s="10" t="s">
        <v>513</v>
      </c>
      <c r="F89" s="10" t="s">
        <v>513</v>
      </c>
      <c r="G89" s="10" t="s">
        <v>513</v>
      </c>
      <c r="H89" s="10" t="s">
        <v>513</v>
      </c>
      <c r="I89" s="10" t="s">
        <v>513</v>
      </c>
      <c r="J89" s="10">
        <f>-'Biological Treatment'!J44*(1-'Biological Treatment'!C53)*(1-'Biological Treatment'!C55)*'Biological Treatment'!$E$67</f>
        <v>0</v>
      </c>
      <c r="K89" s="10" t="s">
        <v>513</v>
      </c>
      <c r="L89" s="11">
        <f t="shared" si="6"/>
        <v>0</v>
      </c>
      <c r="M89" s="152"/>
      <c r="N89" t="s">
        <v>1492</v>
      </c>
    </row>
    <row r="90" spans="1:14">
      <c r="A90" s="9" t="s">
        <v>1116</v>
      </c>
      <c r="B90" s="10"/>
      <c r="C90" s="10" t="s">
        <v>513</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513</v>
      </c>
      <c r="K90" s="10" t="s">
        <v>513</v>
      </c>
      <c r="L90" s="11">
        <f t="shared" si="6"/>
        <v>0</v>
      </c>
      <c r="M90" s="152"/>
      <c r="N90" t="s">
        <v>1492</v>
      </c>
    </row>
    <row r="91" spans="1:14">
      <c r="A91" s="9" t="s">
        <v>1117</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c r="M91" s="152"/>
      <c r="N91" t="s">
        <v>1492</v>
      </c>
    </row>
    <row r="92" spans="1:14">
      <c r="A92" s="9" t="s">
        <v>1118</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c r="M92" s="152"/>
      <c r="N92" t="s">
        <v>1492</v>
      </c>
    </row>
    <row r="93" spans="1:14">
      <c r="A93" s="9" t="s">
        <v>1119</v>
      </c>
      <c r="B93" s="10"/>
      <c r="C93" s="10">
        <f>-'Biological Treatment'!C97*'Biological Treatment'!$C$106</f>
        <v>0</v>
      </c>
      <c r="D93" s="10" t="s">
        <v>513</v>
      </c>
      <c r="E93" s="10" t="s">
        <v>513</v>
      </c>
      <c r="F93" s="10" t="s">
        <v>513</v>
      </c>
      <c r="G93" s="10" t="s">
        <v>513</v>
      </c>
      <c r="H93" s="10" t="s">
        <v>513</v>
      </c>
      <c r="I93" s="10" t="s">
        <v>513</v>
      </c>
      <c r="J93" s="10">
        <f>-'Biological Treatment'!J97*'Biological Treatment'!$C$106</f>
        <v>0</v>
      </c>
      <c r="K93" s="10" t="s">
        <v>513</v>
      </c>
      <c r="L93" s="11">
        <f t="shared" si="6"/>
        <v>0</v>
      </c>
      <c r="M93" s="61" t="s">
        <v>1491</v>
      </c>
    </row>
    <row r="94" spans="1:14">
      <c r="A94" s="9" t="s">
        <v>1120</v>
      </c>
      <c r="B94" s="10"/>
      <c r="C94" s="10">
        <f>-'Biological Treatment'!C97*(1-'Biological Treatment'!$C$106)*'Biological Treatment'!$C$108</f>
        <v>0</v>
      </c>
      <c r="D94" s="10" t="s">
        <v>513</v>
      </c>
      <c r="E94" s="10" t="s">
        <v>513</v>
      </c>
      <c r="F94" s="10" t="s">
        <v>513</v>
      </c>
      <c r="G94" s="10" t="s">
        <v>513</v>
      </c>
      <c r="H94" s="10" t="s">
        <v>513</v>
      </c>
      <c r="I94" s="10" t="s">
        <v>513</v>
      </c>
      <c r="J94" s="10">
        <f>-'Biological Treatment'!J97*(1-'Biological Treatment'!$C$106)*'Biological Treatment'!$C$108</f>
        <v>0</v>
      </c>
      <c r="K94" s="10" t="s">
        <v>513</v>
      </c>
      <c r="L94" s="11">
        <f t="shared" si="6"/>
        <v>0</v>
      </c>
      <c r="M94" s="152"/>
      <c r="N94" t="s">
        <v>1492</v>
      </c>
    </row>
    <row r="95" spans="1:14">
      <c r="A95" s="9" t="s">
        <v>1121</v>
      </c>
      <c r="B95" s="10"/>
      <c r="C95" s="10">
        <f>-'Biological Treatment'!C97*(1-'Biological Treatment'!$C$106)*(1-'Biological Treatment'!$C$108)*'Biological Treatment'!$D$121</f>
        <v>0</v>
      </c>
      <c r="D95" s="10" t="s">
        <v>513</v>
      </c>
      <c r="E95" s="10" t="s">
        <v>513</v>
      </c>
      <c r="F95" s="10" t="s">
        <v>513</v>
      </c>
      <c r="G95" s="10" t="s">
        <v>513</v>
      </c>
      <c r="H95" s="10" t="s">
        <v>513</v>
      </c>
      <c r="I95" s="10" t="s">
        <v>513</v>
      </c>
      <c r="J95" s="10">
        <f>-'Biological Treatment'!J97*(1-'Biological Treatment'!$C$106)*(1-'Biological Treatment'!$C$108)*'Biological Treatment'!$D$121</f>
        <v>0</v>
      </c>
      <c r="K95" s="10" t="s">
        <v>513</v>
      </c>
      <c r="L95" s="11">
        <f t="shared" si="6"/>
        <v>0</v>
      </c>
      <c r="M95" s="152"/>
      <c r="N95" t="s">
        <v>1492</v>
      </c>
    </row>
    <row r="96" spans="1:14">
      <c r="A96" s="9" t="s">
        <v>1122</v>
      </c>
      <c r="B96" s="10"/>
      <c r="C96" s="10">
        <f>-'Biological Treatment'!C97*(1-'Biological Treatment'!$C$106)*(1-'Biological Treatment'!$C$108)*'Biological Treatment'!$E$121</f>
        <v>0</v>
      </c>
      <c r="D96" s="10" t="s">
        <v>513</v>
      </c>
      <c r="E96" s="10" t="s">
        <v>513</v>
      </c>
      <c r="F96" s="10" t="s">
        <v>513</v>
      </c>
      <c r="G96" s="10" t="s">
        <v>513</v>
      </c>
      <c r="H96" s="10" t="s">
        <v>513</v>
      </c>
      <c r="I96" s="10" t="s">
        <v>513</v>
      </c>
      <c r="J96" s="10">
        <f>-'Biological Treatment'!J97*(1-'Biological Treatment'!$C$106)*(1-'Biological Treatment'!$C$108)*'Biological Treatment'!$E$121</f>
        <v>0</v>
      </c>
      <c r="K96" s="10" t="s">
        <v>513</v>
      </c>
      <c r="L96" s="11">
        <f t="shared" si="6"/>
        <v>0</v>
      </c>
      <c r="M96" s="152"/>
      <c r="N96" t="s">
        <v>1492</v>
      </c>
    </row>
    <row r="97" spans="1:15" ht="15.75" thickBot="1">
      <c r="A97" s="12" t="s">
        <v>1123</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c r="M97" s="152"/>
      <c r="N97" t="s">
        <v>1492</v>
      </c>
    </row>
    <row r="99" spans="1:15" ht="15.75" thickBot="1">
      <c r="A99" s="62" t="s">
        <v>261</v>
      </c>
    </row>
    <row r="100" spans="1:15">
      <c r="A100" s="93" t="s">
        <v>1089</v>
      </c>
      <c r="B100" s="7"/>
      <c r="C100" s="78" t="s">
        <v>4</v>
      </c>
      <c r="D100" s="78" t="s">
        <v>5</v>
      </c>
      <c r="E100" s="78" t="s">
        <v>29</v>
      </c>
      <c r="F100" s="78" t="s">
        <v>30</v>
      </c>
      <c r="G100" s="78" t="s">
        <v>31</v>
      </c>
      <c r="H100" s="78" t="s">
        <v>32</v>
      </c>
      <c r="I100" s="78" t="s">
        <v>8</v>
      </c>
      <c r="J100" s="78" t="s">
        <v>9</v>
      </c>
      <c r="K100" s="78" t="s">
        <v>10</v>
      </c>
      <c r="L100" s="96" t="s">
        <v>264</v>
      </c>
      <c r="M100" s="97" t="s">
        <v>11</v>
      </c>
    </row>
    <row r="101" spans="1:15">
      <c r="A101" s="9" t="s">
        <v>1061</v>
      </c>
      <c r="B101" s="10"/>
      <c r="C101" s="10" t="s">
        <v>513</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513</v>
      </c>
      <c r="J101" s="10" t="s">
        <v>513</v>
      </c>
      <c r="K101" s="10">
        <f>'Waste Input'!$B$8*'Waste Input'!B30/1000*(1-'Waste Collection'!J73)*'Waste Collection'!$E$77</f>
        <v>0</v>
      </c>
      <c r="L101" s="10" t="s">
        <v>513</v>
      </c>
      <c r="M101" s="11">
        <f>SUM(C101:L101)</f>
        <v>0</v>
      </c>
      <c r="N101" s="152"/>
      <c r="O101" t="s">
        <v>1494</v>
      </c>
    </row>
    <row r="102" spans="1:15">
      <c r="A102" s="47" t="s">
        <v>1125</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513</v>
      </c>
      <c r="M102" s="11">
        <f t="shared" ref="M102:M119" si="9">SUM(C102:L102)</f>
        <v>0</v>
      </c>
      <c r="N102" s="152"/>
      <c r="O102" t="s">
        <v>1487</v>
      </c>
    </row>
    <row r="103" spans="1:15">
      <c r="A103" s="47" t="s">
        <v>1126</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513</v>
      </c>
      <c r="M103" s="11">
        <f t="shared" si="9"/>
        <v>0</v>
      </c>
      <c r="N103" s="152"/>
      <c r="O103" t="s">
        <v>1492</v>
      </c>
    </row>
    <row r="104" spans="1:15">
      <c r="A104" s="47" t="s">
        <v>1127</v>
      </c>
      <c r="B104" s="10"/>
      <c r="C104" s="10" t="s">
        <v>513</v>
      </c>
      <c r="D104" s="10" t="s">
        <v>513</v>
      </c>
      <c r="E104" s="10" t="s">
        <v>513</v>
      </c>
      <c r="F104" s="10" t="s">
        <v>513</v>
      </c>
      <c r="G104" s="10" t="s">
        <v>513</v>
      </c>
      <c r="H104" s="10" t="s">
        <v>513</v>
      </c>
      <c r="I104" s="10" t="s">
        <v>513</v>
      </c>
      <c r="J104" s="10" t="s">
        <v>513</v>
      </c>
      <c r="K104" s="10" t="s">
        <v>513</v>
      </c>
      <c r="L104" s="10">
        <f>-(C88+J88)</f>
        <v>0</v>
      </c>
      <c r="M104" s="11">
        <f t="shared" si="9"/>
        <v>0</v>
      </c>
      <c r="N104" s="152"/>
      <c r="O104" t="s">
        <v>1492</v>
      </c>
    </row>
    <row r="105" spans="1:15">
      <c r="A105" s="47" t="s">
        <v>1128</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513</v>
      </c>
      <c r="M105" s="11">
        <f t="shared" si="9"/>
        <v>0</v>
      </c>
      <c r="N105" s="152"/>
      <c r="O105" t="s">
        <v>1492</v>
      </c>
    </row>
    <row r="106" spans="1:15">
      <c r="A106" s="47" t="s">
        <v>1129</v>
      </c>
      <c r="B106" s="10"/>
      <c r="C106" s="10" t="s">
        <v>513</v>
      </c>
      <c r="D106" s="10" t="s">
        <v>513</v>
      </c>
      <c r="E106" s="10" t="s">
        <v>513</v>
      </c>
      <c r="F106" s="10" t="s">
        <v>513</v>
      </c>
      <c r="G106" s="10" t="s">
        <v>513</v>
      </c>
      <c r="H106" s="10" t="s">
        <v>513</v>
      </c>
      <c r="I106" s="10" t="s">
        <v>513</v>
      </c>
      <c r="J106" s="10" t="s">
        <v>513</v>
      </c>
      <c r="K106" s="10" t="s">
        <v>513</v>
      </c>
      <c r="L106" s="10">
        <f>-(C95+J95)</f>
        <v>0</v>
      </c>
      <c r="M106" s="11">
        <f t="shared" si="9"/>
        <v>0</v>
      </c>
      <c r="N106" s="152"/>
      <c r="O106" t="s">
        <v>1492</v>
      </c>
    </row>
    <row r="107" spans="1:15">
      <c r="A107" s="47" t="s">
        <v>1124</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513</v>
      </c>
      <c r="M107" s="11">
        <f t="shared" si="9"/>
        <v>102500</v>
      </c>
      <c r="N107" s="152"/>
      <c r="O107" t="s">
        <v>1485</v>
      </c>
    </row>
    <row r="108" spans="1:15">
      <c r="A108" s="47" t="s">
        <v>1135</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row>
    <row r="109" spans="1:15">
      <c r="A109" s="47" t="s">
        <v>1130</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row>
    <row r="110" spans="1:15">
      <c r="A110" s="47" t="s">
        <v>1131</v>
      </c>
      <c r="B110" s="10"/>
      <c r="C110" s="10" t="s">
        <v>513</v>
      </c>
      <c r="D110" s="10" t="s">
        <v>513</v>
      </c>
      <c r="E110" s="54">
        <f>-'Thermal Treatment'!F38*'Thermal Treatment'!E72*'Thermal Treatment'!E80</f>
        <v>-3928.2750000000001</v>
      </c>
      <c r="F110" s="10" t="s">
        <v>513</v>
      </c>
      <c r="G110" s="10" t="s">
        <v>513</v>
      </c>
      <c r="H110" s="10" t="s">
        <v>513</v>
      </c>
      <c r="I110" s="10" t="s">
        <v>513</v>
      </c>
      <c r="J110" s="10" t="s">
        <v>513</v>
      </c>
      <c r="K110" s="10" t="s">
        <v>513</v>
      </c>
      <c r="L110" s="10" t="s">
        <v>513</v>
      </c>
      <c r="M110" s="11">
        <f t="shared" si="9"/>
        <v>-3928.2750000000001</v>
      </c>
    </row>
    <row r="111" spans="1:15">
      <c r="A111" s="47" t="s">
        <v>1132</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row>
    <row r="112" spans="1:15">
      <c r="A112" s="47" t="s">
        <v>1133</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row>
    <row r="113" spans="1:17">
      <c r="A113" s="47" t="s">
        <v>1134</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row>
    <row r="114" spans="1:17">
      <c r="A114" s="47" t="s">
        <v>1136</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row>
    <row r="115" spans="1:17">
      <c r="A115" s="47" t="s">
        <v>1137</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row>
    <row r="116" spans="1:17">
      <c r="A116" s="47" t="s">
        <v>1138</v>
      </c>
      <c r="B116" s="10"/>
      <c r="C116" s="10" t="s">
        <v>513</v>
      </c>
      <c r="D116" s="10" t="s">
        <v>513</v>
      </c>
      <c r="E116" s="10">
        <f>-'Thermal Treatment'!F108*'Thermal Treatment'!E142*'Thermal Treatment'!$E$150</f>
        <v>0</v>
      </c>
      <c r="F116" s="10" t="s">
        <v>513</v>
      </c>
      <c r="G116" s="10" t="s">
        <v>513</v>
      </c>
      <c r="H116" s="10" t="s">
        <v>513</v>
      </c>
      <c r="I116" s="10" t="s">
        <v>513</v>
      </c>
      <c r="J116" s="10" t="s">
        <v>513</v>
      </c>
      <c r="K116" s="10" t="s">
        <v>513</v>
      </c>
      <c r="L116" s="10" t="s">
        <v>513</v>
      </c>
      <c r="M116" s="11">
        <f t="shared" si="9"/>
        <v>0</v>
      </c>
    </row>
    <row r="117" spans="1:17">
      <c r="A117" s="47" t="s">
        <v>1139</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row>
    <row r="118" spans="1:17">
      <c r="A118" s="47" t="s">
        <v>1140</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row>
    <row r="119" spans="1:17" ht="15.75" thickBot="1">
      <c r="A119" s="88" t="s">
        <v>1141</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row>
    <row r="121" spans="1:17" ht="15.75" thickBot="1">
      <c r="A121" s="62" t="s">
        <v>79</v>
      </c>
    </row>
    <row r="122" spans="1:17">
      <c r="A122" s="93" t="s">
        <v>1089</v>
      </c>
      <c r="B122" s="7"/>
      <c r="C122" s="78" t="s">
        <v>4</v>
      </c>
      <c r="D122" s="78" t="s">
        <v>5</v>
      </c>
      <c r="E122" s="78" t="s">
        <v>29</v>
      </c>
      <c r="F122" s="78" t="s">
        <v>30</v>
      </c>
      <c r="G122" s="78" t="s">
        <v>31</v>
      </c>
      <c r="H122" s="78" t="s">
        <v>32</v>
      </c>
      <c r="I122" s="78" t="s">
        <v>8</v>
      </c>
      <c r="J122" s="78" t="s">
        <v>9</v>
      </c>
      <c r="K122" s="78" t="s">
        <v>10</v>
      </c>
      <c r="L122" s="96" t="s">
        <v>264</v>
      </c>
      <c r="M122" s="96" t="s">
        <v>359</v>
      </c>
      <c r="N122" s="96" t="s">
        <v>803</v>
      </c>
      <c r="O122" s="97" t="s">
        <v>11</v>
      </c>
    </row>
    <row r="123" spans="1:17">
      <c r="A123" s="9" t="s">
        <v>1061</v>
      </c>
      <c r="B123" s="10"/>
      <c r="C123" s="10" t="s">
        <v>513</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513</v>
      </c>
      <c r="J123" s="10" t="s">
        <v>513</v>
      </c>
      <c r="K123" s="10">
        <f>'Waste Input'!$B$8*'Waste Input'!B30/1000*(1-'Waste Collection'!J73)*'Waste Collection'!$F$77</f>
        <v>0</v>
      </c>
      <c r="L123" s="10" t="s">
        <v>513</v>
      </c>
      <c r="M123" s="10" t="s">
        <v>513</v>
      </c>
      <c r="N123" s="10" t="s">
        <v>513</v>
      </c>
      <c r="O123" s="11">
        <f>SUM(C123:N123)</f>
        <v>5500</v>
      </c>
      <c r="P123" s="152"/>
      <c r="Q123" s="49" t="s">
        <v>1490</v>
      </c>
    </row>
    <row r="124" spans="1:17">
      <c r="A124" s="47" t="s">
        <v>1125</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513</v>
      </c>
      <c r="M124" s="10" t="s">
        <v>513</v>
      </c>
      <c r="N124" s="10" t="s">
        <v>513</v>
      </c>
      <c r="O124" s="11">
        <f t="shared" ref="O124:O143" si="13">SUM(C124:N124)</f>
        <v>7956.25</v>
      </c>
      <c r="P124" s="152"/>
      <c r="Q124" s="49" t="s">
        <v>1489</v>
      </c>
    </row>
    <row r="125" spans="1:17">
      <c r="A125" s="47" t="s">
        <v>1142</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513</v>
      </c>
      <c r="M125" s="10" t="s">
        <v>513</v>
      </c>
      <c r="N125" s="10" t="s">
        <v>513</v>
      </c>
      <c r="O125" s="11">
        <f t="shared" si="13"/>
        <v>0</v>
      </c>
      <c r="P125" s="152"/>
      <c r="Q125" s="49" t="s">
        <v>1488</v>
      </c>
    </row>
    <row r="126" spans="1:17">
      <c r="A126" s="47" t="s">
        <v>1108</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513</v>
      </c>
      <c r="M126" s="10" t="s">
        <v>513</v>
      </c>
      <c r="N126" s="10" t="s">
        <v>513</v>
      </c>
      <c r="O126" s="11">
        <f t="shared" si="13"/>
        <v>0</v>
      </c>
      <c r="P126" s="152"/>
      <c r="Q126" s="49" t="s">
        <v>1488</v>
      </c>
    </row>
    <row r="127" spans="1:17">
      <c r="A127" s="47" t="s">
        <v>1143</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513</v>
      </c>
      <c r="M127" s="10" t="s">
        <v>513</v>
      </c>
      <c r="N127" s="10" t="s">
        <v>513</v>
      </c>
      <c r="O127" s="11">
        <f t="shared" si="13"/>
        <v>0</v>
      </c>
      <c r="P127" s="152"/>
      <c r="Q127" s="49" t="s">
        <v>1488</v>
      </c>
    </row>
    <row r="128" spans="1:17">
      <c r="A128" s="47" t="s">
        <v>1144</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513</v>
      </c>
      <c r="M128" s="10" t="s">
        <v>513</v>
      </c>
      <c r="N128" s="10" t="s">
        <v>513</v>
      </c>
      <c r="O128" s="11">
        <f t="shared" si="13"/>
        <v>0</v>
      </c>
      <c r="P128" s="152"/>
      <c r="Q128" s="49" t="s">
        <v>1488</v>
      </c>
    </row>
    <row r="129" spans="1:17">
      <c r="A129" s="47" t="s">
        <v>1109</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513</v>
      </c>
      <c r="M129" s="10" t="s">
        <v>513</v>
      </c>
      <c r="N129" s="10" t="s">
        <v>513</v>
      </c>
      <c r="O129" s="11">
        <f t="shared" si="13"/>
        <v>0</v>
      </c>
      <c r="P129" s="152"/>
      <c r="Q129" s="49" t="s">
        <v>1488</v>
      </c>
    </row>
    <row r="130" spans="1:17">
      <c r="A130" s="47" t="s">
        <v>1145</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513</v>
      </c>
      <c r="M130" s="10" t="s">
        <v>513</v>
      </c>
      <c r="N130" s="10" t="s">
        <v>513</v>
      </c>
      <c r="O130" s="11">
        <f t="shared" si="13"/>
        <v>0</v>
      </c>
      <c r="P130" s="152"/>
      <c r="Q130" s="49" t="s">
        <v>1488</v>
      </c>
    </row>
    <row r="131" spans="1:17">
      <c r="A131" s="47" t="s">
        <v>1126</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513</v>
      </c>
      <c r="M131" s="10" t="s">
        <v>513</v>
      </c>
      <c r="N131" s="10" t="s">
        <v>513</v>
      </c>
      <c r="O131" s="11">
        <f t="shared" si="13"/>
        <v>2212.5</v>
      </c>
      <c r="P131" s="152"/>
      <c r="Q131" s="49" t="s">
        <v>1492</v>
      </c>
    </row>
    <row r="132" spans="1:17">
      <c r="A132" s="47" t="s">
        <v>1127</v>
      </c>
      <c r="B132" s="10"/>
      <c r="C132" s="10" t="s">
        <v>513</v>
      </c>
      <c r="D132" s="10" t="s">
        <v>513</v>
      </c>
      <c r="E132" s="10" t="s">
        <v>513</v>
      </c>
      <c r="F132" s="10" t="s">
        <v>513</v>
      </c>
      <c r="G132" s="10" t="s">
        <v>513</v>
      </c>
      <c r="H132" s="10" t="s">
        <v>513</v>
      </c>
      <c r="I132" s="10" t="s">
        <v>513</v>
      </c>
      <c r="J132" s="10" t="s">
        <v>513</v>
      </c>
      <c r="K132" s="10" t="s">
        <v>513</v>
      </c>
      <c r="L132" s="10">
        <f>-(C89+J89)</f>
        <v>0</v>
      </c>
      <c r="M132" s="10" t="s">
        <v>513</v>
      </c>
      <c r="N132" s="10" t="s">
        <v>513</v>
      </c>
      <c r="O132" s="11">
        <f t="shared" si="13"/>
        <v>0</v>
      </c>
      <c r="P132" s="152"/>
      <c r="Q132" s="49" t="s">
        <v>1492</v>
      </c>
    </row>
    <row r="133" spans="1:17">
      <c r="A133" s="47" t="s">
        <v>1128</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513</v>
      </c>
      <c r="M133" s="10" t="s">
        <v>513</v>
      </c>
      <c r="N133" s="10" t="s">
        <v>513</v>
      </c>
      <c r="O133" s="11">
        <f t="shared" si="13"/>
        <v>0</v>
      </c>
      <c r="P133" s="152"/>
      <c r="Q133" s="49" t="s">
        <v>1492</v>
      </c>
    </row>
    <row r="134" spans="1:17">
      <c r="A134" s="47" t="s">
        <v>1129</v>
      </c>
      <c r="B134" s="10"/>
      <c r="C134" s="10" t="s">
        <v>513</v>
      </c>
      <c r="D134" s="10" t="s">
        <v>513</v>
      </c>
      <c r="E134" s="10" t="s">
        <v>513</v>
      </c>
      <c r="F134" s="10" t="s">
        <v>513</v>
      </c>
      <c r="G134" s="10" t="s">
        <v>513</v>
      </c>
      <c r="H134" s="10" t="s">
        <v>513</v>
      </c>
      <c r="I134" s="10" t="s">
        <v>513</v>
      </c>
      <c r="J134" s="10" t="s">
        <v>513</v>
      </c>
      <c r="K134" s="10" t="s">
        <v>513</v>
      </c>
      <c r="L134" s="10">
        <f>-(C96+J96)</f>
        <v>0</v>
      </c>
      <c r="M134" s="10" t="s">
        <v>513</v>
      </c>
      <c r="N134" s="10" t="s">
        <v>513</v>
      </c>
      <c r="O134" s="11">
        <f t="shared" si="13"/>
        <v>0</v>
      </c>
      <c r="P134" s="152"/>
      <c r="Q134" s="49" t="s">
        <v>1492</v>
      </c>
    </row>
    <row r="135" spans="1:17">
      <c r="A135" s="47" t="s">
        <v>1146</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513</v>
      </c>
      <c r="M135" s="10" t="s">
        <v>513</v>
      </c>
      <c r="N135" s="10" t="s">
        <v>513</v>
      </c>
      <c r="O135" s="11">
        <f t="shared" si="13"/>
        <v>0</v>
      </c>
      <c r="P135" s="152"/>
      <c r="Q135" s="49" t="s">
        <v>1492</v>
      </c>
    </row>
    <row r="136" spans="1:17">
      <c r="A136" s="47" t="s">
        <v>1135</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513</v>
      </c>
      <c r="N136" s="10" t="s">
        <v>513</v>
      </c>
      <c r="O136" s="11">
        <f t="shared" si="13"/>
        <v>0</v>
      </c>
    </row>
    <row r="137" spans="1:17">
      <c r="A137" s="47" t="s">
        <v>1147</v>
      </c>
      <c r="B137" s="10"/>
      <c r="C137" s="10" t="s">
        <v>513</v>
      </c>
      <c r="D137" s="10" t="s">
        <v>513</v>
      </c>
      <c r="E137" s="10" t="s">
        <v>513</v>
      </c>
      <c r="F137" s="10" t="s">
        <v>513</v>
      </c>
      <c r="G137" s="10" t="s">
        <v>513</v>
      </c>
      <c r="H137" s="10" t="s">
        <v>513</v>
      </c>
      <c r="I137" s="10" t="s">
        <v>513</v>
      </c>
      <c r="J137" s="10" t="s">
        <v>513</v>
      </c>
      <c r="K137" s="10" t="s">
        <v>513</v>
      </c>
      <c r="L137" s="10" t="s">
        <v>513</v>
      </c>
      <c r="M137" s="54">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row>
    <row r="138" spans="1:17">
      <c r="A138" s="47" t="s">
        <v>1136</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513</v>
      </c>
      <c r="N138" s="10" t="s">
        <v>513</v>
      </c>
      <c r="O138" s="11">
        <f t="shared" si="13"/>
        <v>0</v>
      </c>
    </row>
    <row r="139" spans="1:17">
      <c r="A139" s="47" t="s">
        <v>1148</v>
      </c>
      <c r="B139" s="10"/>
      <c r="C139" s="10" t="s">
        <v>513</v>
      </c>
      <c r="D139" s="10" t="s">
        <v>513</v>
      </c>
      <c r="E139" s="10" t="s">
        <v>513</v>
      </c>
      <c r="F139" s="10" t="s">
        <v>513</v>
      </c>
      <c r="G139" s="10" t="s">
        <v>513</v>
      </c>
      <c r="H139" s="10" t="s">
        <v>513</v>
      </c>
      <c r="I139" s="10" t="s">
        <v>513</v>
      </c>
      <c r="J139" s="10" t="s">
        <v>513</v>
      </c>
      <c r="K139" s="10" t="s">
        <v>513</v>
      </c>
      <c r="L139" s="10" t="s">
        <v>513</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row>
    <row r="140" spans="1:17">
      <c r="A140" s="47" t="s">
        <v>1149</v>
      </c>
      <c r="B140" s="10"/>
      <c r="C140" s="10" t="s">
        <v>513</v>
      </c>
      <c r="D140" s="10" t="s">
        <v>513</v>
      </c>
      <c r="E140" s="10" t="s">
        <v>513</v>
      </c>
      <c r="F140" s="10" t="s">
        <v>513</v>
      </c>
      <c r="G140" s="10" t="s">
        <v>513</v>
      </c>
      <c r="H140" s="10" t="s">
        <v>513</v>
      </c>
      <c r="I140" s="10" t="s">
        <v>513</v>
      </c>
      <c r="J140" s="10" t="s">
        <v>513</v>
      </c>
      <c r="K140" s="10" t="s">
        <v>513</v>
      </c>
      <c r="L140" s="10" t="s">
        <v>513</v>
      </c>
      <c r="M140" s="10">
        <f>$L$54*'Thermal Treatment'!C197</f>
        <v>0</v>
      </c>
      <c r="N140" s="10">
        <f>$L$54*'Thermal Treatment'!C196</f>
        <v>0</v>
      </c>
      <c r="O140" s="11">
        <f t="shared" si="13"/>
        <v>0</v>
      </c>
    </row>
    <row r="141" spans="1:17">
      <c r="A141" s="47" t="s">
        <v>1150</v>
      </c>
      <c r="B141" s="10"/>
      <c r="C141" s="10" t="s">
        <v>513</v>
      </c>
      <c r="D141" s="10" t="s">
        <v>513</v>
      </c>
      <c r="E141" s="10" t="s">
        <v>513</v>
      </c>
      <c r="F141" s="10" t="s">
        <v>513</v>
      </c>
      <c r="G141" s="10" t="s">
        <v>513</v>
      </c>
      <c r="H141" s="10" t="s">
        <v>513</v>
      </c>
      <c r="I141" s="10" t="s">
        <v>513</v>
      </c>
      <c r="J141" s="10" t="s">
        <v>513</v>
      </c>
      <c r="K141" s="10" t="s">
        <v>513</v>
      </c>
      <c r="L141" s="10" t="s">
        <v>513</v>
      </c>
      <c r="M141" s="10">
        <f>$L$69*'Thermal Treatment'!D197</f>
        <v>0</v>
      </c>
      <c r="N141" s="10">
        <f>$L$69*'Thermal Treatment'!D196</f>
        <v>0</v>
      </c>
      <c r="O141" s="11">
        <f t="shared" si="13"/>
        <v>0</v>
      </c>
    </row>
    <row r="142" spans="1:17">
      <c r="A142" s="47" t="s">
        <v>1151</v>
      </c>
      <c r="B142" s="10"/>
      <c r="C142" s="10" t="s">
        <v>513</v>
      </c>
      <c r="D142" s="10" t="s">
        <v>513</v>
      </c>
      <c r="E142" s="10" t="s">
        <v>513</v>
      </c>
      <c r="F142" s="10" t="s">
        <v>513</v>
      </c>
      <c r="G142" s="10" t="s">
        <v>513</v>
      </c>
      <c r="H142" s="10" t="s">
        <v>513</v>
      </c>
      <c r="I142" s="10" t="s">
        <v>513</v>
      </c>
      <c r="J142" s="10" t="s">
        <v>513</v>
      </c>
      <c r="K142" s="10" t="s">
        <v>513</v>
      </c>
      <c r="L142" s="10" t="s">
        <v>513</v>
      </c>
      <c r="M142" s="10">
        <f>-F42</f>
        <v>0</v>
      </c>
      <c r="N142" s="10">
        <f>-F43</f>
        <v>0</v>
      </c>
      <c r="O142" s="11">
        <f t="shared" si="13"/>
        <v>0</v>
      </c>
    </row>
    <row r="143" spans="1:17" ht="15.75" thickBot="1">
      <c r="A143" s="88" t="s">
        <v>1152</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513</v>
      </c>
      <c r="M143" s="13" t="s">
        <v>513</v>
      </c>
      <c r="N143" s="13" t="s">
        <v>513</v>
      </c>
      <c r="O143" s="14">
        <f t="shared" si="13"/>
        <v>0</v>
      </c>
      <c r="P143" s="152"/>
      <c r="Q143" t="s">
        <v>1485</v>
      </c>
    </row>
    <row r="145" spans="1:14" ht="15.75" thickBot="1">
      <c r="A145" s="62" t="s">
        <v>1153</v>
      </c>
    </row>
    <row r="146" spans="1:14">
      <c r="A146" s="93" t="s">
        <v>1089</v>
      </c>
      <c r="B146" s="7"/>
      <c r="C146" s="78" t="s">
        <v>4</v>
      </c>
      <c r="D146" s="78" t="s">
        <v>5</v>
      </c>
      <c r="E146" s="78" t="s">
        <v>29</v>
      </c>
      <c r="F146" s="78" t="s">
        <v>30</v>
      </c>
      <c r="G146" s="78" t="s">
        <v>31</v>
      </c>
      <c r="H146" s="78" t="s">
        <v>32</v>
      </c>
      <c r="I146" s="78" t="s">
        <v>8</v>
      </c>
      <c r="J146" s="78" t="s">
        <v>264</v>
      </c>
      <c r="K146" s="78" t="s">
        <v>359</v>
      </c>
      <c r="L146" s="97" t="s">
        <v>11</v>
      </c>
    </row>
    <row r="147" spans="1:14">
      <c r="A147" s="9" t="s">
        <v>1058</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513</v>
      </c>
      <c r="K147" s="10" t="s">
        <v>513</v>
      </c>
      <c r="L147" s="11">
        <f>SUM(C147:K147)</f>
        <v>23750</v>
      </c>
      <c r="M147" s="152"/>
      <c r="N147" t="s">
        <v>1485</v>
      </c>
    </row>
    <row r="148" spans="1:14">
      <c r="A148" s="9" t="s">
        <v>1060</v>
      </c>
      <c r="B148" s="10"/>
      <c r="C148" s="10" t="s">
        <v>513</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513</v>
      </c>
      <c r="J148" s="10" t="s">
        <v>513</v>
      </c>
      <c r="K148" s="10" t="s">
        <v>513</v>
      </c>
      <c r="L148" s="11">
        <f t="shared" ref="L148:L159" si="15">SUM(C148:K148)</f>
        <v>0</v>
      </c>
      <c r="M148" s="152"/>
      <c r="N148" t="s">
        <v>1485</v>
      </c>
    </row>
    <row r="149" spans="1:14">
      <c r="A149" s="9" t="s">
        <v>1085</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513</v>
      </c>
      <c r="K149" s="10" t="s">
        <v>513</v>
      </c>
      <c r="L149" s="11">
        <f t="shared" si="15"/>
        <v>15793.75</v>
      </c>
      <c r="M149" s="152"/>
      <c r="N149" t="s">
        <v>1487</v>
      </c>
    </row>
    <row r="150" spans="1:14">
      <c r="A150" s="9" t="s">
        <v>1154</v>
      </c>
      <c r="B150" s="10"/>
      <c r="C150" s="10" t="s">
        <v>513</v>
      </c>
      <c r="D150" s="10" t="s">
        <v>513</v>
      </c>
      <c r="E150" s="10">
        <f>-M49</f>
        <v>0</v>
      </c>
      <c r="F150" s="10">
        <f>-M50</f>
        <v>0</v>
      </c>
      <c r="G150" s="10" t="s">
        <v>513</v>
      </c>
      <c r="H150" s="10" t="s">
        <v>513</v>
      </c>
      <c r="I150" s="10" t="s">
        <v>513</v>
      </c>
      <c r="J150" s="10" t="s">
        <v>513</v>
      </c>
      <c r="K150" s="10" t="s">
        <v>513</v>
      </c>
      <c r="L150" s="11">
        <f t="shared" si="15"/>
        <v>0</v>
      </c>
      <c r="M150" s="152"/>
      <c r="N150" s="49" t="s">
        <v>1488</v>
      </c>
    </row>
    <row r="151" spans="1:14">
      <c r="A151" s="9" t="s">
        <v>1155</v>
      </c>
      <c r="B151" s="10"/>
      <c r="C151" s="10" t="s">
        <v>513</v>
      </c>
      <c r="D151" s="10" t="s">
        <v>513</v>
      </c>
      <c r="E151" s="10">
        <f>-M63</f>
        <v>0</v>
      </c>
      <c r="F151" s="10">
        <f>-M64</f>
        <v>0</v>
      </c>
      <c r="G151" s="10" t="s">
        <v>513</v>
      </c>
      <c r="H151" s="10" t="s">
        <v>513</v>
      </c>
      <c r="I151" s="10" t="s">
        <v>513</v>
      </c>
      <c r="J151" s="10" t="s">
        <v>513</v>
      </c>
      <c r="K151" s="10" t="s">
        <v>513</v>
      </c>
      <c r="L151" s="11">
        <f t="shared" si="15"/>
        <v>0</v>
      </c>
      <c r="M151" s="152"/>
      <c r="N151" s="49" t="s">
        <v>1488</v>
      </c>
    </row>
    <row r="152" spans="1:14">
      <c r="A152" s="9" t="s">
        <v>1110</v>
      </c>
      <c r="B152" s="10"/>
      <c r="C152" s="10" t="s">
        <v>513</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513</v>
      </c>
      <c r="K152" s="10" t="s">
        <v>513</v>
      </c>
      <c r="L152" s="11">
        <f t="shared" si="15"/>
        <v>0</v>
      </c>
      <c r="M152" s="152"/>
      <c r="N152" s="49" t="s">
        <v>1492</v>
      </c>
    </row>
    <row r="153" spans="1:14">
      <c r="A153" s="9" t="s">
        <v>1156</v>
      </c>
      <c r="B153" s="10"/>
      <c r="C153" s="10" t="s">
        <v>513</v>
      </c>
      <c r="D153" s="10" t="s">
        <v>513</v>
      </c>
      <c r="E153" s="10" t="s">
        <v>513</v>
      </c>
      <c r="F153" s="10" t="s">
        <v>513</v>
      </c>
      <c r="G153" s="10" t="s">
        <v>513</v>
      </c>
      <c r="H153" s="10" t="s">
        <v>513</v>
      </c>
      <c r="I153" s="10" t="s">
        <v>513</v>
      </c>
      <c r="J153" s="10">
        <f>-L87</f>
        <v>13893.75</v>
      </c>
      <c r="K153" s="10" t="s">
        <v>513</v>
      </c>
      <c r="L153" s="11">
        <f t="shared" si="15"/>
        <v>13893.75</v>
      </c>
      <c r="M153" s="152"/>
      <c r="N153" s="49" t="s">
        <v>1492</v>
      </c>
    </row>
    <row r="154" spans="1:14">
      <c r="A154" s="9" t="s">
        <v>1116</v>
      </c>
      <c r="B154" s="10"/>
      <c r="C154" s="10" t="s">
        <v>513</v>
      </c>
      <c r="D154" s="10">
        <f>D90</f>
        <v>0</v>
      </c>
      <c r="E154" s="10">
        <f t="shared" ref="E154:I154" si="17">E90</f>
        <v>0</v>
      </c>
      <c r="F154" s="10">
        <f t="shared" si="17"/>
        <v>0</v>
      </c>
      <c r="G154" s="10">
        <f t="shared" si="17"/>
        <v>0</v>
      </c>
      <c r="H154" s="10">
        <f t="shared" si="17"/>
        <v>0</v>
      </c>
      <c r="I154" s="10">
        <f t="shared" si="17"/>
        <v>0</v>
      </c>
      <c r="J154" s="10" t="s">
        <v>513</v>
      </c>
      <c r="K154" s="10" t="s">
        <v>513</v>
      </c>
      <c r="L154" s="11">
        <f t="shared" si="15"/>
        <v>0</v>
      </c>
      <c r="M154" s="152"/>
      <c r="N154" s="49" t="s">
        <v>1492</v>
      </c>
    </row>
    <row r="155" spans="1:14">
      <c r="A155" s="9" t="s">
        <v>1157</v>
      </c>
      <c r="B155" s="10"/>
      <c r="C155" s="10" t="s">
        <v>513</v>
      </c>
      <c r="D155" s="10" t="s">
        <v>513</v>
      </c>
      <c r="E155" s="10" t="s">
        <v>513</v>
      </c>
      <c r="F155" s="10" t="s">
        <v>513</v>
      </c>
      <c r="G155" s="10" t="s">
        <v>513</v>
      </c>
      <c r="H155" s="10" t="s">
        <v>513</v>
      </c>
      <c r="I155" s="10" t="s">
        <v>513</v>
      </c>
      <c r="J155" s="10">
        <f>-L94</f>
        <v>0</v>
      </c>
      <c r="K155" s="10" t="s">
        <v>513</v>
      </c>
      <c r="L155" s="11">
        <f t="shared" si="15"/>
        <v>0</v>
      </c>
      <c r="M155" s="152"/>
      <c r="N155" s="49" t="s">
        <v>1492</v>
      </c>
    </row>
    <row r="156" spans="1:14">
      <c r="A156" s="9" t="s">
        <v>1131</v>
      </c>
      <c r="B156" s="10"/>
      <c r="C156" s="10" t="s">
        <v>513</v>
      </c>
      <c r="D156" s="10" t="s">
        <v>513</v>
      </c>
      <c r="E156" s="54">
        <f>-E110</f>
        <v>3928.2750000000001</v>
      </c>
      <c r="F156" s="10" t="s">
        <v>513</v>
      </c>
      <c r="G156" s="10" t="s">
        <v>513</v>
      </c>
      <c r="H156" s="10" t="s">
        <v>513</v>
      </c>
      <c r="I156" s="10" t="s">
        <v>513</v>
      </c>
      <c r="J156" s="10" t="s">
        <v>513</v>
      </c>
      <c r="K156" s="10" t="s">
        <v>513</v>
      </c>
      <c r="L156" s="11">
        <f t="shared" si="15"/>
        <v>3928.2750000000001</v>
      </c>
    </row>
    <row r="157" spans="1:14">
      <c r="A157" s="9" t="s">
        <v>1132</v>
      </c>
      <c r="B157" s="10"/>
      <c r="C157" s="10" t="s">
        <v>513</v>
      </c>
      <c r="D157" s="10" t="s">
        <v>513</v>
      </c>
      <c r="E157" s="10" t="s">
        <v>513</v>
      </c>
      <c r="F157" s="10" t="s">
        <v>513</v>
      </c>
      <c r="G157" s="10" t="s">
        <v>513</v>
      </c>
      <c r="H157" s="10" t="s">
        <v>513</v>
      </c>
      <c r="I157" s="10" t="s">
        <v>513</v>
      </c>
      <c r="J157" s="10" t="s">
        <v>513</v>
      </c>
      <c r="K157" s="10">
        <f>-M111</f>
        <v>0</v>
      </c>
      <c r="L157" s="11">
        <f t="shared" si="15"/>
        <v>0</v>
      </c>
    </row>
    <row r="158" spans="1:14">
      <c r="A158" s="9" t="s">
        <v>1138</v>
      </c>
      <c r="B158" s="10"/>
      <c r="C158" s="10" t="s">
        <v>513</v>
      </c>
      <c r="D158" s="10" t="s">
        <v>513</v>
      </c>
      <c r="E158" s="10">
        <f>-E116</f>
        <v>0</v>
      </c>
      <c r="F158" s="10" t="s">
        <v>513</v>
      </c>
      <c r="G158" s="10" t="s">
        <v>513</v>
      </c>
      <c r="H158" s="10" t="s">
        <v>513</v>
      </c>
      <c r="I158" s="10" t="s">
        <v>513</v>
      </c>
      <c r="J158" s="10" t="s">
        <v>513</v>
      </c>
      <c r="K158" s="10" t="s">
        <v>513</v>
      </c>
      <c r="L158" s="11">
        <f t="shared" si="15"/>
        <v>0</v>
      </c>
    </row>
    <row r="159" spans="1:14" ht="15.75" thickBot="1">
      <c r="A159" s="12" t="s">
        <v>1139</v>
      </c>
      <c r="B159" s="13"/>
      <c r="C159" s="13" t="s">
        <v>513</v>
      </c>
      <c r="D159" s="13" t="s">
        <v>513</v>
      </c>
      <c r="E159" s="13" t="s">
        <v>513</v>
      </c>
      <c r="F159" s="13" t="s">
        <v>513</v>
      </c>
      <c r="G159" s="13" t="s">
        <v>513</v>
      </c>
      <c r="H159" s="13" t="s">
        <v>513</v>
      </c>
      <c r="I159" s="13" t="s">
        <v>513</v>
      </c>
      <c r="J159" s="13" t="s">
        <v>513</v>
      </c>
      <c r="K159" s="13">
        <f>-M117</f>
        <v>0</v>
      </c>
      <c r="L159" s="14">
        <f t="shared" si="15"/>
        <v>0</v>
      </c>
    </row>
    <row r="162" spans="1:8">
      <c r="A162" s="62" t="s">
        <v>1158</v>
      </c>
    </row>
    <row r="163" spans="1:8" ht="15.75" thickBot="1">
      <c r="A163" t="s">
        <v>1159</v>
      </c>
    </row>
    <row r="164" spans="1:8">
      <c r="A164" s="93" t="s">
        <v>1089</v>
      </c>
      <c r="B164" s="7"/>
      <c r="C164" s="7"/>
      <c r="D164" s="7"/>
      <c r="E164" s="78" t="s">
        <v>970</v>
      </c>
      <c r="F164" s="78" t="s">
        <v>971</v>
      </c>
      <c r="G164" s="78" t="s">
        <v>1160</v>
      </c>
      <c r="H164" s="79" t="s">
        <v>945</v>
      </c>
    </row>
    <row r="165" spans="1:8">
      <c r="A165" s="9" t="s">
        <v>1161</v>
      </c>
      <c r="B165" s="10"/>
      <c r="C165" s="10"/>
      <c r="D165" s="10"/>
      <c r="E165" s="10" t="s">
        <v>513</v>
      </c>
      <c r="F165" s="10">
        <f>'Waste Collection'!J33</f>
        <v>500000</v>
      </c>
      <c r="G165" s="10" t="s">
        <v>513</v>
      </c>
      <c r="H165" s="11" t="s">
        <v>513</v>
      </c>
    </row>
    <row r="166" spans="1:8">
      <c r="A166" s="18" t="s">
        <v>1162</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513</v>
      </c>
      <c r="H166" s="11" t="s">
        <v>513</v>
      </c>
    </row>
    <row r="167" spans="1:8">
      <c r="A167" s="9" t="s">
        <v>1163</v>
      </c>
      <c r="B167" s="10"/>
      <c r="C167" s="10"/>
      <c r="D167" s="10"/>
      <c r="E167" s="10" t="s">
        <v>513</v>
      </c>
      <c r="F167" s="10">
        <f>'Waste Collection'!$G$11*SUM('Waste Collection'!E47:L48)/1000*'Waste Collection'!$I$51</f>
        <v>47500</v>
      </c>
      <c r="G167" s="10" t="s">
        <v>513</v>
      </c>
      <c r="H167" s="11" t="s">
        <v>513</v>
      </c>
    </row>
    <row r="168" spans="1:8">
      <c r="A168" s="9" t="s">
        <v>1164</v>
      </c>
      <c r="B168" s="10"/>
      <c r="C168" s="10"/>
      <c r="D168" s="10"/>
      <c r="E168" s="10" t="s">
        <v>513</v>
      </c>
      <c r="F168" s="10">
        <f>'Waste Collection'!$G$11*'Waste Collection'!L61/1000*'Waste Collection'!$H$63</f>
        <v>0</v>
      </c>
      <c r="G168" s="10" t="s">
        <v>513</v>
      </c>
      <c r="H168" s="11" t="s">
        <v>513</v>
      </c>
    </row>
    <row r="169" spans="1:8">
      <c r="A169" s="9" t="s">
        <v>1165</v>
      </c>
      <c r="B169" s="10"/>
      <c r="C169" s="10"/>
      <c r="D169" s="10"/>
      <c r="E169" s="10">
        <f>'Waste Input'!$B$8*'Waste Collection'!$F$69*'Waste Collection'!$K$69*2*'Waste Input'!B11*'Advanced Variables'!E26</f>
        <v>0</v>
      </c>
      <c r="F169" s="10">
        <f>'Waste Input'!$B$8*'Waste Collection'!$F$69*'Waste Collection'!$K$69*2*'Waste Input'!B12*'Advanced Variables'!E27</f>
        <v>0</v>
      </c>
      <c r="G169" s="10" t="s">
        <v>513</v>
      </c>
      <c r="H169" s="11" t="s">
        <v>513</v>
      </c>
    </row>
    <row r="170" spans="1:8">
      <c r="A170" s="9" t="s">
        <v>1216</v>
      </c>
      <c r="B170" s="10"/>
      <c r="C170" s="10"/>
      <c r="D170" s="10"/>
      <c r="E170" s="10" t="s">
        <v>513</v>
      </c>
      <c r="F170" s="10">
        <f>'Waste Input'!$B$8*SUM('Waste Input'!B27:G27)/1000*'Waste Collection'!I80</f>
        <v>0</v>
      </c>
      <c r="G170" s="10" t="s">
        <v>513</v>
      </c>
      <c r="H170" s="11" t="s">
        <v>513</v>
      </c>
    </row>
    <row r="171" spans="1:8">
      <c r="A171" s="9" t="s">
        <v>1217</v>
      </c>
      <c r="B171" s="10"/>
      <c r="C171" s="10"/>
      <c r="D171" s="10"/>
      <c r="E171" s="10" t="s">
        <v>513</v>
      </c>
      <c r="F171" s="10">
        <f>CEILING('Waste Input'!$B$8*SUMPRODUCT(('Waste Input'!B27:F27)/1000,(1-'Waste Collection'!E73:I73))*'Waste Collection'!E77/'Advanced Variables'!$D$33,1)*'Waste Collection'!E78*2*'Advanced Variables'!$E$28</f>
        <v>0</v>
      </c>
      <c r="G171" s="10" t="s">
        <v>513</v>
      </c>
      <c r="H171" s="11" t="s">
        <v>513</v>
      </c>
    </row>
    <row r="172" spans="1:8">
      <c r="A172" s="9" t="s">
        <v>1166</v>
      </c>
      <c r="B172" s="10"/>
      <c r="C172" s="10"/>
      <c r="D172" s="10"/>
      <c r="E172" s="10" t="s">
        <v>513</v>
      </c>
      <c r="F172" s="10">
        <f>CEILING('Waste Input'!$B$8*SUMPRODUCT(('Waste Input'!B27:F27)/1000,(1-'Waste Collection'!E73:I73))*'Waste Collection'!F77/'Advanced Variables'!$D$33,1)*'Waste Collection'!F78*2*'Advanced Variables'!$E$28</f>
        <v>0</v>
      </c>
      <c r="G172" s="10" t="s">
        <v>513</v>
      </c>
      <c r="H172" s="11" t="s">
        <v>513</v>
      </c>
    </row>
    <row r="173" spans="1:8">
      <c r="A173" s="9" t="s">
        <v>1167</v>
      </c>
      <c r="B173" s="10"/>
      <c r="C173" s="10"/>
      <c r="D173" s="10"/>
      <c r="E173" s="10" t="s">
        <v>513</v>
      </c>
      <c r="F173" s="10">
        <f>CEILING('Waste Input'!$B$8*'Waste Input'!B30/1000/'Advanced Variables'!$D$33,1)*'Waste Collection'!$G$83*2*'Advanced Variables'!E28</f>
        <v>0</v>
      </c>
      <c r="G173" s="10" t="s">
        <v>513</v>
      </c>
      <c r="H173" s="11" t="s">
        <v>513</v>
      </c>
    </row>
    <row r="174" spans="1:8">
      <c r="A174" s="9" t="s">
        <v>1168</v>
      </c>
      <c r="B174" s="10"/>
      <c r="C174" s="10"/>
      <c r="D174" s="10"/>
      <c r="E174" s="10" t="s">
        <v>513</v>
      </c>
      <c r="F174" s="10">
        <f>CEILING('Waste Collection'!L91/'Advanced Variables'!D33,1)*2*'Waste Collection'!K94*'Advanced Variables'!E28</f>
        <v>0</v>
      </c>
      <c r="G174" s="10" t="s">
        <v>513</v>
      </c>
      <c r="H174" s="11" t="s">
        <v>513</v>
      </c>
    </row>
    <row r="175" spans="1:8">
      <c r="A175" s="9" t="s">
        <v>1169</v>
      </c>
      <c r="B175" s="10"/>
      <c r="C175" s="10"/>
      <c r="D175" s="10"/>
      <c r="E175" s="10" t="s">
        <v>513</v>
      </c>
      <c r="F175" s="10">
        <f>('Waste Collection'!E102+'Waste Collection'!F102)/'Advanced Variables'!$D$33*2*'Waste Collection'!K102*'Advanced Variables'!E28</f>
        <v>0</v>
      </c>
      <c r="G175" s="10" t="s">
        <v>513</v>
      </c>
      <c r="H175" s="11" t="s">
        <v>513</v>
      </c>
    </row>
    <row r="176" spans="1:8">
      <c r="A176" s="9" t="s">
        <v>1170</v>
      </c>
      <c r="B176" s="10"/>
      <c r="C176" s="10"/>
      <c r="D176" s="10"/>
      <c r="E176" s="10" t="s">
        <v>513</v>
      </c>
      <c r="F176" s="10">
        <f>'Waste Collection'!I107</f>
        <v>0</v>
      </c>
      <c r="G176" s="10" t="s">
        <v>513</v>
      </c>
      <c r="H176" s="11" t="s">
        <v>513</v>
      </c>
    </row>
    <row r="177" spans="1:8">
      <c r="A177" s="9" t="s">
        <v>1171</v>
      </c>
      <c r="B177" s="10"/>
      <c r="C177" s="10"/>
      <c r="D177" s="10"/>
      <c r="E177" s="10" t="s">
        <v>513</v>
      </c>
      <c r="F177" s="10" t="s">
        <v>513</v>
      </c>
      <c r="G177" s="10">
        <f>'Waste Collection'!$C$11*'Advanced Variables'!F71*'Advanced Variables'!F72</f>
        <v>0</v>
      </c>
      <c r="H177" s="11" t="s">
        <v>513</v>
      </c>
    </row>
    <row r="178" spans="1:8">
      <c r="A178" s="9" t="s">
        <v>1172</v>
      </c>
      <c r="B178" s="10"/>
      <c r="C178" s="10"/>
      <c r="D178" s="10"/>
      <c r="E178" s="10" t="s">
        <v>513</v>
      </c>
      <c r="F178" s="10">
        <f>'MRF &amp; RDF Sorting'!C25*SUM('MRF &amp; RDF Sorting'!B7:J7)</f>
        <v>0</v>
      </c>
      <c r="G178" s="10">
        <f>'MRF &amp; RDF Sorting'!C24*SUM('MRF &amp; RDF Sorting'!B7:J7)</f>
        <v>593750</v>
      </c>
      <c r="H178" s="11">
        <f>'MRF &amp; RDF Sorting'!C26*SUM('MRF &amp; RDF Sorting'!B7:J7)</f>
        <v>0</v>
      </c>
    </row>
    <row r="179" spans="1:8">
      <c r="A179" s="9" t="s">
        <v>1173</v>
      </c>
      <c r="B179" s="10"/>
      <c r="C179" s="10"/>
      <c r="D179" s="10"/>
      <c r="E179" s="10" t="s">
        <v>513</v>
      </c>
      <c r="F179" s="10">
        <f>CEILING(M102/'Advanced Variables'!$D$33,1)*'MRF &amp; RDF Sorting'!D35*2*'Advanced Variables'!$E$28</f>
        <v>0</v>
      </c>
      <c r="G179" s="10" t="s">
        <v>513</v>
      </c>
      <c r="H179" s="11" t="s">
        <v>513</v>
      </c>
    </row>
    <row r="180" spans="1:8">
      <c r="A180" s="9" t="s">
        <v>1174</v>
      </c>
      <c r="B180" s="10"/>
      <c r="C180" s="10"/>
      <c r="D180" s="10"/>
      <c r="E180" s="10" t="s">
        <v>513</v>
      </c>
      <c r="F180" s="10">
        <f>CEILING(O124/'Advanced Variables'!$D$33,1)*'MRF &amp; RDF Sorting'!D36*2*'Advanced Variables'!$E$28</f>
        <v>1305.44</v>
      </c>
      <c r="G180" s="10" t="s">
        <v>513</v>
      </c>
      <c r="H180" s="11" t="s">
        <v>513</v>
      </c>
    </row>
    <row r="181" spans="1:8">
      <c r="A181" s="9" t="s">
        <v>1175</v>
      </c>
      <c r="B181" s="10"/>
      <c r="C181" s="10"/>
      <c r="D181" s="10"/>
      <c r="E181" s="10" t="s">
        <v>513</v>
      </c>
      <c r="F181" s="10">
        <f>CEILING(-M51/'Advanced Variables'!$D$33,1)*'MRF &amp; RDF Sorting'!E86*'Advanced Variables'!$E$28*2</f>
        <v>0</v>
      </c>
      <c r="G181" s="10" t="s">
        <v>513</v>
      </c>
      <c r="H181" s="11" t="s">
        <v>513</v>
      </c>
    </row>
    <row r="182" spans="1:8">
      <c r="A182" s="9" t="s">
        <v>1176</v>
      </c>
      <c r="B182" s="10"/>
      <c r="C182" s="10"/>
      <c r="D182" s="10"/>
      <c r="E182" s="10" t="s">
        <v>513</v>
      </c>
      <c r="F182" s="10">
        <f>CEILING(-M51/'Advanced Variables'!$D$33,1)*'MRF &amp; RDF Sorting'!E87*'Advanced Variables'!$E$28*2</f>
        <v>0</v>
      </c>
      <c r="G182" s="10" t="s">
        <v>513</v>
      </c>
      <c r="H182" s="11" t="s">
        <v>513</v>
      </c>
    </row>
    <row r="183" spans="1:8">
      <c r="A183" s="9" t="s">
        <v>1178</v>
      </c>
      <c r="B183" s="10"/>
      <c r="C183" s="10"/>
      <c r="D183" s="10"/>
      <c r="E183" s="10" t="s">
        <v>513</v>
      </c>
      <c r="F183" s="10">
        <f>CEILING(-M53/'Advanced Variables'!$D$33,1)*'MRF &amp; RDF Sorting'!E87*'Advanced Variables'!$E$28*2</f>
        <v>0</v>
      </c>
      <c r="G183" s="10" t="s">
        <v>513</v>
      </c>
      <c r="H183" s="11" t="s">
        <v>513</v>
      </c>
    </row>
    <row r="184" spans="1:8">
      <c r="A184" s="9" t="s">
        <v>1177</v>
      </c>
      <c r="B184" s="10"/>
      <c r="C184" s="10"/>
      <c r="D184" s="10"/>
      <c r="E184" s="10" t="s">
        <v>513</v>
      </c>
      <c r="F184" s="10" t="s">
        <v>513</v>
      </c>
      <c r="G184" s="10">
        <f>'MRF &amp; RDF Sorting'!C91*'MRF &amp; RDF Sorting'!D76</f>
        <v>0</v>
      </c>
      <c r="H184" s="11">
        <f>'MRF &amp; RDF Sorting'!C92*'MRF &amp; RDF Sorting'!D76</f>
        <v>0</v>
      </c>
    </row>
    <row r="185" spans="1:8">
      <c r="A185" s="9" t="s">
        <v>1179</v>
      </c>
      <c r="B185" s="10"/>
      <c r="C185" s="10"/>
      <c r="D185" s="10"/>
      <c r="E185" s="10" t="s">
        <v>513</v>
      </c>
      <c r="F185" s="10">
        <f>CEILING(-M65/'Advanced Variables'!$D$33,1)*'MRF &amp; RDF Sorting'!E147*'Advanced Variables'!$E$28*2</f>
        <v>0</v>
      </c>
      <c r="G185" s="10" t="s">
        <v>513</v>
      </c>
      <c r="H185" s="11" t="s">
        <v>513</v>
      </c>
    </row>
    <row r="186" spans="1:8">
      <c r="A186" s="9" t="s">
        <v>1180</v>
      </c>
      <c r="B186" s="10"/>
      <c r="C186" s="10"/>
      <c r="D186" s="10"/>
      <c r="E186" s="10" t="s">
        <v>513</v>
      </c>
      <c r="F186" s="10">
        <f>CEILING(-M51/'Advanced Variables'!$D$33,1)*'MRF &amp; RDF Sorting'!E148*'Advanced Variables'!$E$28*2</f>
        <v>0</v>
      </c>
      <c r="G186" s="10" t="s">
        <v>513</v>
      </c>
      <c r="H186" s="11" t="s">
        <v>513</v>
      </c>
    </row>
    <row r="187" spans="1:8">
      <c r="A187" s="9" t="s">
        <v>1181</v>
      </c>
      <c r="B187" s="10"/>
      <c r="C187" s="10"/>
      <c r="D187" s="10"/>
      <c r="E187" s="10" t="s">
        <v>513</v>
      </c>
      <c r="F187" s="10">
        <f>CEILING(-M53/'Advanced Variables'!$D$33,1)*'MRF &amp; RDF Sorting'!E87*'Advanced Variables'!$E$28*2</f>
        <v>0</v>
      </c>
      <c r="G187" s="10" t="s">
        <v>513</v>
      </c>
      <c r="H187" s="11" t="s">
        <v>513</v>
      </c>
    </row>
    <row r="188" spans="1:8">
      <c r="A188" s="9" t="s">
        <v>1182</v>
      </c>
      <c r="B188" s="10"/>
      <c r="C188" s="10"/>
      <c r="D188" s="10"/>
      <c r="E188" s="10" t="s">
        <v>513</v>
      </c>
      <c r="F188" s="10" t="s">
        <v>513</v>
      </c>
      <c r="G188" s="10">
        <f>'MRF &amp; RDF Sorting'!C152*'MRF &amp; RDF Sorting'!D137</f>
        <v>0</v>
      </c>
      <c r="H188" s="11">
        <f>'MRF &amp; RDF Sorting'!C153*'MRF &amp; RDF Sorting'!D137</f>
        <v>0</v>
      </c>
    </row>
    <row r="189" spans="1:8">
      <c r="A189" s="9" t="s">
        <v>1183</v>
      </c>
      <c r="B189" s="10"/>
      <c r="C189" s="10"/>
      <c r="D189" s="10"/>
      <c r="E189" s="10" t="s">
        <v>513</v>
      </c>
      <c r="F189" s="10" t="s">
        <v>513</v>
      </c>
      <c r="G189" s="10">
        <f>SUM('Biological Treatment'!C41:K41)*'Biological Treatment'!E56</f>
        <v>900000</v>
      </c>
      <c r="H189" s="11" t="s">
        <v>513</v>
      </c>
    </row>
    <row r="190" spans="1:8">
      <c r="A190" s="9" t="s">
        <v>1184</v>
      </c>
      <c r="B190" s="10"/>
      <c r="C190" s="10"/>
      <c r="D190" s="10"/>
      <c r="E190" s="10" t="s">
        <v>513</v>
      </c>
      <c r="F190" s="10">
        <f>CEILING((M103+M104)/'Advanced Variables'!$D$33,1)*'Biological Treatment'!D68*2*'Advanced Variables'!$E$28</f>
        <v>0</v>
      </c>
      <c r="G190" s="10" t="s">
        <v>513</v>
      </c>
      <c r="H190" s="11" t="s">
        <v>513</v>
      </c>
    </row>
    <row r="191" spans="1:8">
      <c r="A191" s="9" t="s">
        <v>1185</v>
      </c>
      <c r="B191" s="10"/>
      <c r="C191" s="10"/>
      <c r="D191" s="10"/>
      <c r="E191" s="10" t="s">
        <v>513</v>
      </c>
      <c r="F191" s="10">
        <f>CEILING((O131+O132)/'Advanced Variables'!$D$33,1)*'Biological Treatment'!E68*2*'Advanced Variables'!$E$28</f>
        <v>728.16000000000008</v>
      </c>
      <c r="G191" s="10" t="s">
        <v>513</v>
      </c>
      <c r="H191" s="11" t="s">
        <v>513</v>
      </c>
    </row>
    <row r="192" spans="1:8">
      <c r="A192" s="9" t="s">
        <v>1186</v>
      </c>
      <c r="B192" s="10"/>
      <c r="C192" s="10"/>
      <c r="D192" s="10"/>
      <c r="E192" s="10" t="s">
        <v>513</v>
      </c>
      <c r="F192" s="10" t="s">
        <v>513</v>
      </c>
      <c r="G192" s="10">
        <f>SUM('Biological Treatment'!C94:K94)*'Biological Treatment'!E109</f>
        <v>0</v>
      </c>
      <c r="H192" s="11" t="s">
        <v>513</v>
      </c>
    </row>
    <row r="193" spans="1:8">
      <c r="A193" s="9" t="s">
        <v>1187</v>
      </c>
      <c r="B193" s="10"/>
      <c r="C193" s="10"/>
      <c r="D193" s="10"/>
      <c r="E193" s="10" t="s">
        <v>513</v>
      </c>
      <c r="F193" s="10" t="s">
        <v>513</v>
      </c>
      <c r="G193" s="10">
        <f>-('Biological Treatment'!C97+'Biological Treatment'!J97)*'Biological Treatment'!E110</f>
        <v>0</v>
      </c>
      <c r="H193" s="11" t="s">
        <v>513</v>
      </c>
    </row>
    <row r="194" spans="1:8">
      <c r="A194" s="9" t="s">
        <v>1188</v>
      </c>
      <c r="B194" s="10"/>
      <c r="C194" s="10"/>
      <c r="D194" s="10"/>
      <c r="E194" s="10" t="s">
        <v>513</v>
      </c>
      <c r="F194" s="10">
        <f>CEILING((M105+M106)/'Advanced Variables'!$D$33,1)*'Biological Treatment'!D122*2*'Advanced Variables'!$E$28</f>
        <v>0</v>
      </c>
      <c r="G194" s="10" t="s">
        <v>513</v>
      </c>
      <c r="H194" s="11" t="s">
        <v>513</v>
      </c>
    </row>
    <row r="195" spans="1:8">
      <c r="A195" s="9" t="s">
        <v>1189</v>
      </c>
      <c r="B195" s="10"/>
      <c r="C195" s="10"/>
      <c r="D195" s="10"/>
      <c r="E195" s="10" t="s">
        <v>513</v>
      </c>
      <c r="F195" s="10">
        <f>CEILING((O133+O134)/'Advanced Variables'!$D$33,1)*'Biological Treatment'!E122*2*'Advanced Variables'!$E$28</f>
        <v>0</v>
      </c>
      <c r="G195" s="10" t="s">
        <v>513</v>
      </c>
      <c r="H195" s="11" t="s">
        <v>513</v>
      </c>
    </row>
    <row r="196" spans="1:8">
      <c r="A196" s="9" t="s">
        <v>1190</v>
      </c>
      <c r="B196" s="10"/>
      <c r="C196" s="10"/>
      <c r="D196" s="10"/>
      <c r="E196" s="10" t="s">
        <v>513</v>
      </c>
      <c r="F196" s="10" t="s">
        <v>513</v>
      </c>
      <c r="G196" s="10">
        <f>SUMPRODUCT('Thermal Treatment'!D38:M38,'Thermal Treatment'!C61:L61)</f>
        <v>7175000</v>
      </c>
      <c r="H196" s="11">
        <f>SUMPRODUCT('Thermal Treatment'!D38:M38,'Thermal Treatment'!C60:L60)</f>
        <v>23575</v>
      </c>
    </row>
    <row r="197" spans="1:8">
      <c r="A197" s="9" t="s">
        <v>1191</v>
      </c>
      <c r="B197" s="10"/>
      <c r="C197" s="10"/>
      <c r="D197" s="10"/>
      <c r="E197" s="10" t="s">
        <v>513</v>
      </c>
      <c r="F197" s="10" t="s">
        <v>513</v>
      </c>
      <c r="G197" s="10">
        <f>-SUM('Thermal Treatment'!D38:M38)*'Thermal Treatment'!E48*'Thermal Treatment'!$E$49*'Advanced Variables'!$B$105</f>
        <v>-72161983.54124999</v>
      </c>
      <c r="H197" s="11" t="s">
        <v>513</v>
      </c>
    </row>
    <row r="198" spans="1:8">
      <c r="A198" s="9" t="s">
        <v>1192</v>
      </c>
      <c r="B198" s="10"/>
      <c r="C198" s="10"/>
      <c r="D198" s="10"/>
      <c r="E198" s="10" t="s">
        <v>513</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513</v>
      </c>
      <c r="H198" s="11" t="s">
        <v>513</v>
      </c>
    </row>
    <row r="199" spans="1:8">
      <c r="A199" s="9" t="s">
        <v>1193</v>
      </c>
      <c r="B199" s="10"/>
      <c r="C199" s="10"/>
      <c r="D199" s="10"/>
      <c r="E199" s="10" t="s">
        <v>513</v>
      </c>
      <c r="F199" s="10">
        <f>CEILING(N137/'Advanced Variables'!$D$33,1)*'Thermal Treatment'!F84*2*'Advanced Variables'!$E$28</f>
        <v>537.92000000000007</v>
      </c>
      <c r="G199" s="10" t="s">
        <v>513</v>
      </c>
      <c r="H199" s="11" t="s">
        <v>513</v>
      </c>
    </row>
    <row r="200" spans="1:8">
      <c r="A200" s="9" t="s">
        <v>1194</v>
      </c>
      <c r="B200" s="10"/>
      <c r="C200" s="10"/>
      <c r="D200" s="10"/>
      <c r="E200" s="10" t="s">
        <v>513</v>
      </c>
      <c r="F200" s="10" t="s">
        <v>513</v>
      </c>
      <c r="G200" s="10">
        <f>SUMPRODUCT('Thermal Treatment'!D108:M108,'Thermal Treatment'!C131:L131)</f>
        <v>0</v>
      </c>
      <c r="H200" s="11">
        <f>SUMPRODUCT('Thermal Treatment'!D108:M108,'Thermal Treatment'!C130:L130)</f>
        <v>0</v>
      </c>
    </row>
    <row r="201" spans="1:8">
      <c r="A201" s="9" t="s">
        <v>1195</v>
      </c>
      <c r="B201" s="10"/>
      <c r="C201" s="10"/>
      <c r="D201" s="10"/>
      <c r="E201" s="10" t="s">
        <v>513</v>
      </c>
      <c r="F201" s="10" t="s">
        <v>513</v>
      </c>
      <c r="G201" s="10">
        <f>-SUM('Thermal Treatment'!D108:M108)*'Thermal Treatment'!E118*'Thermal Treatment'!E119*'Advanced Variables'!$B$105</f>
        <v>0</v>
      </c>
      <c r="H201" s="11" t="s">
        <v>513</v>
      </c>
    </row>
    <row r="202" spans="1:8">
      <c r="A202" s="9" t="s">
        <v>1196</v>
      </c>
      <c r="B202" s="10"/>
      <c r="C202" s="10"/>
      <c r="D202" s="10"/>
      <c r="E202" s="10" t="s">
        <v>513</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513</v>
      </c>
      <c r="H202" s="11" t="s">
        <v>513</v>
      </c>
    </row>
    <row r="203" spans="1:8">
      <c r="A203" s="9" t="s">
        <v>1197</v>
      </c>
      <c r="B203" s="10"/>
      <c r="C203" s="10"/>
      <c r="D203" s="10"/>
      <c r="E203" s="10" t="s">
        <v>513</v>
      </c>
      <c r="F203" s="10">
        <f>CEILING(N139/'Advanced Variables'!$D$33,1)*'Thermal Treatment'!F154*2*'Advanced Variables'!$E$28</f>
        <v>0</v>
      </c>
      <c r="G203" s="10" t="s">
        <v>513</v>
      </c>
      <c r="H203" s="11" t="s">
        <v>513</v>
      </c>
    </row>
    <row r="204" spans="1:8">
      <c r="A204" s="9" t="s">
        <v>1198</v>
      </c>
      <c r="B204" s="10"/>
      <c r="C204" s="10"/>
      <c r="D204" s="10"/>
      <c r="E204" s="10" t="s">
        <v>513</v>
      </c>
      <c r="F204" s="10" t="s">
        <v>513</v>
      </c>
      <c r="G204" s="10">
        <f>'Thermal Treatment'!E177*'Thermal Treatment'!C187</f>
        <v>0</v>
      </c>
      <c r="H204" s="11">
        <f>'Thermal Treatment'!E177*'Thermal Treatment'!C186</f>
        <v>0</v>
      </c>
    </row>
    <row r="205" spans="1:8">
      <c r="A205" s="9" t="s">
        <v>1199</v>
      </c>
      <c r="B205" s="10"/>
      <c r="C205" s="10"/>
      <c r="D205" s="10"/>
      <c r="E205" s="10" t="s">
        <v>513</v>
      </c>
      <c r="F205" s="10" t="s">
        <v>513</v>
      </c>
      <c r="G205" s="10">
        <f>-'Thermal Treatment'!E177*'Thermal Treatment'!E178*'Thermal Treatment'!E179*'Advanced Variables'!$B$105</f>
        <v>0</v>
      </c>
      <c r="H205" s="11" t="s">
        <v>513</v>
      </c>
    </row>
    <row r="206" spans="1:8">
      <c r="A206" s="9" t="s">
        <v>1200</v>
      </c>
      <c r="B206" s="10"/>
      <c r="C206" s="10"/>
      <c r="D206" s="10"/>
      <c r="E206" s="10" t="s">
        <v>513</v>
      </c>
      <c r="F206" s="10">
        <f>CEILING('Thermal Treatment'!E177*'Thermal Treatment'!C197/'Advanced Variables'!$D$33,1)*'Thermal Treatment'!F204*2*'Advanced Variables'!$E$28</f>
        <v>0</v>
      </c>
      <c r="G206" s="10" t="s">
        <v>513</v>
      </c>
      <c r="H206" s="11" t="s">
        <v>513</v>
      </c>
    </row>
    <row r="207" spans="1:8">
      <c r="A207" s="9" t="s">
        <v>1201</v>
      </c>
      <c r="B207" s="10"/>
      <c r="C207" s="10"/>
      <c r="D207" s="10"/>
      <c r="E207" s="10" t="s">
        <v>513</v>
      </c>
      <c r="F207" s="10">
        <f>CEILING('Thermal Treatment'!E177*'Thermal Treatment'!C196/'Advanced Variables'!$D$33,1)*'Thermal Treatment'!F204*2*'Advanced Variables'!$E$28</f>
        <v>0</v>
      </c>
      <c r="G207" s="10" t="s">
        <v>513</v>
      </c>
      <c r="H207" s="11" t="s">
        <v>513</v>
      </c>
    </row>
    <row r="208" spans="1:8">
      <c r="A208" s="9" t="s">
        <v>1202</v>
      </c>
      <c r="B208" s="10"/>
      <c r="C208" s="10"/>
      <c r="D208" s="10"/>
      <c r="E208" s="10" t="s">
        <v>513</v>
      </c>
      <c r="F208" s="10" t="s">
        <v>513</v>
      </c>
      <c r="G208" s="10">
        <f>'Thermal Treatment'!F177*'Thermal Treatment'!D187</f>
        <v>0</v>
      </c>
      <c r="H208" s="11">
        <f>'Thermal Treatment'!F177*'Thermal Treatment'!D186</f>
        <v>0</v>
      </c>
    </row>
    <row r="209" spans="1:8">
      <c r="A209" s="9" t="s">
        <v>1203</v>
      </c>
      <c r="B209" s="10"/>
      <c r="C209" s="10"/>
      <c r="D209" s="10"/>
      <c r="E209" s="10" t="s">
        <v>513</v>
      </c>
      <c r="F209" s="10" t="s">
        <v>513</v>
      </c>
      <c r="G209" s="10">
        <f>-'Thermal Treatment'!F177*'Thermal Treatment'!F178*'Thermal Treatment'!F179*'Advanced Variables'!$B$105</f>
        <v>0</v>
      </c>
      <c r="H209" s="11" t="s">
        <v>513</v>
      </c>
    </row>
    <row r="210" spans="1:8">
      <c r="A210" s="9" t="s">
        <v>1204</v>
      </c>
      <c r="B210" s="10"/>
      <c r="C210" s="10"/>
      <c r="D210" s="10"/>
      <c r="E210" s="10" t="s">
        <v>513</v>
      </c>
      <c r="F210" s="10">
        <f>CEILING('Thermal Treatment'!F177*'Thermal Treatment'!D197/'Advanced Variables'!$D$33,1)*'Thermal Treatment'!G204*2*'Advanced Variables'!$E$28</f>
        <v>0</v>
      </c>
      <c r="G210" s="10" t="s">
        <v>513</v>
      </c>
      <c r="H210" s="11" t="s">
        <v>513</v>
      </c>
    </row>
    <row r="211" spans="1:8">
      <c r="A211" s="9" t="s">
        <v>1205</v>
      </c>
      <c r="B211" s="10"/>
      <c r="C211" s="10"/>
      <c r="D211" s="10"/>
      <c r="E211" s="10" t="s">
        <v>513</v>
      </c>
      <c r="F211" s="10">
        <f>CEILING('Thermal Treatment'!F177*'Thermal Treatment'!D196/'Advanced Variables'!$D$33,1)*'Thermal Treatment'!G205*2*'Advanced Variables'!$E$28</f>
        <v>0</v>
      </c>
      <c r="G211" s="10" t="s">
        <v>513</v>
      </c>
      <c r="H211" s="11" t="s">
        <v>513</v>
      </c>
    </row>
    <row r="212" spans="1:8">
      <c r="A212" s="9" t="s">
        <v>1206</v>
      </c>
      <c r="B212" s="10"/>
      <c r="C212" s="10"/>
      <c r="D212" s="10"/>
      <c r="E212" s="10" t="s">
        <v>513</v>
      </c>
      <c r="F212" s="10" t="s">
        <v>513</v>
      </c>
      <c r="G212" s="10">
        <f>SUMPRODUCT('Thermal Treatment'!E224:F224,'Thermal Treatment'!C234:D234)</f>
        <v>0</v>
      </c>
      <c r="H212" s="11">
        <f>SUMPRODUCT('Thermal Treatment'!E224:F224,'Thermal Treatment'!C233:D233)</f>
        <v>0</v>
      </c>
    </row>
    <row r="213" spans="1:8">
      <c r="A213" s="9" t="s">
        <v>1207</v>
      </c>
      <c r="B213" s="10"/>
      <c r="C213" s="10"/>
      <c r="D213" s="10"/>
      <c r="E213" s="10" t="s">
        <v>513</v>
      </c>
      <c r="F213" s="10" t="s">
        <v>513</v>
      </c>
      <c r="G213" s="10">
        <f>-'Thermal Treatment'!G224*'Thermal Treatment'!E225*'Thermal Treatment'!E226*'Advanced Variables'!$B$105</f>
        <v>0</v>
      </c>
      <c r="H213" s="11" t="s">
        <v>513</v>
      </c>
    </row>
    <row r="214" spans="1:8">
      <c r="A214" s="9" t="s">
        <v>1208</v>
      </c>
      <c r="B214" s="10"/>
      <c r="C214" s="10"/>
      <c r="D214" s="10"/>
      <c r="E214" s="10" t="s">
        <v>513</v>
      </c>
      <c r="F214" s="10">
        <f>CEILING(SUMPRODUCT('Thermal Treatment'!E224:F224,'Thermal Treatment'!C244:D244)/'Advanced Variables'!$D$33,1)*'Thermal Treatment'!F249*2*'Advanced Variables'!$E$28</f>
        <v>0</v>
      </c>
      <c r="G214" s="10" t="s">
        <v>513</v>
      </c>
      <c r="H214" s="11" t="s">
        <v>513</v>
      </c>
    </row>
    <row r="215" spans="1:8">
      <c r="A215" s="9" t="s">
        <v>1209</v>
      </c>
      <c r="B215" s="10"/>
      <c r="C215" s="10"/>
      <c r="D215" s="10"/>
      <c r="E215" s="10" t="s">
        <v>513</v>
      </c>
      <c r="F215" s="10">
        <f>CEILING(SUMPRODUCT('Thermal Treatment'!E224:F224,'Thermal Treatment'!C243:D243)/'Advanced Variables'!$D$33,1)*'Thermal Treatment'!F250*2*'Advanced Variables'!$E$28</f>
        <v>0</v>
      </c>
      <c r="G215" s="10" t="s">
        <v>513</v>
      </c>
      <c r="H215" s="11" t="s">
        <v>513</v>
      </c>
    </row>
    <row r="216" spans="1:8">
      <c r="A216" s="9" t="s">
        <v>1210</v>
      </c>
      <c r="B216" s="10"/>
      <c r="C216" s="10"/>
      <c r="D216" s="10"/>
      <c r="E216" s="10" t="s">
        <v>513</v>
      </c>
      <c r="F216" s="10">
        <f>Landfilling!F136*Landfilling!F138</f>
        <v>0</v>
      </c>
      <c r="G216" s="10">
        <f>Landfilling!F136*Landfilling!F137</f>
        <v>0</v>
      </c>
      <c r="H216" s="11" t="s">
        <v>513</v>
      </c>
    </row>
    <row r="217" spans="1:8">
      <c r="A217" s="9" t="s">
        <v>1211</v>
      </c>
      <c r="B217" s="10"/>
      <c r="C217" s="10"/>
      <c r="D217" s="10"/>
      <c r="E217" s="10" t="s">
        <v>513</v>
      </c>
      <c r="F217" s="10">
        <f>Landfilling!G136*Landfilling!G138</f>
        <v>0</v>
      </c>
      <c r="G217" s="10">
        <f>Landfilling!G136*Landfilling!G137</f>
        <v>0</v>
      </c>
      <c r="H217" s="11" t="s">
        <v>513</v>
      </c>
    </row>
    <row r="218" spans="1:8">
      <c r="A218" s="9" t="s">
        <v>1219</v>
      </c>
      <c r="B218" s="10"/>
      <c r="C218" s="10"/>
      <c r="D218" s="10"/>
      <c r="E218" s="10" t="s">
        <v>513</v>
      </c>
      <c r="F218" s="10">
        <f>CEILING(Landfilling!F136/'Advanced Variables'!$D$33,1)*Landfilling!F139*2*'Advanced Variables'!$E$28</f>
        <v>0</v>
      </c>
      <c r="G218" s="10" t="s">
        <v>513</v>
      </c>
      <c r="H218" s="11" t="s">
        <v>513</v>
      </c>
    </row>
    <row r="219" spans="1:8">
      <c r="A219" s="9" t="s">
        <v>1220</v>
      </c>
      <c r="B219" s="10"/>
      <c r="C219" s="10"/>
      <c r="D219" s="10"/>
      <c r="E219" s="10" t="s">
        <v>513</v>
      </c>
      <c r="F219" s="10">
        <f>CEILING(Landfilling!G136/'Advanced Variables'!$D$33,1)*Landfilling!G139*2*'Advanced Variables'!$E$28</f>
        <v>0</v>
      </c>
      <c r="G219" s="10" t="s">
        <v>513</v>
      </c>
      <c r="H219" s="11" t="s">
        <v>513</v>
      </c>
    </row>
    <row r="220" spans="1:8">
      <c r="A220" s="9" t="s">
        <v>1212</v>
      </c>
      <c r="B220" s="10"/>
      <c r="C220" s="10"/>
      <c r="D220" s="10"/>
      <c r="E220" s="10" t="s">
        <v>513</v>
      </c>
      <c r="F220" s="54">
        <f>Landfilling!D92*Landfilling!F147</f>
        <v>22293.393749999999</v>
      </c>
      <c r="G220" s="10">
        <f>Landfilling!D92*Landfilling!F146</f>
        <v>0</v>
      </c>
      <c r="H220" s="11" t="s">
        <v>513</v>
      </c>
    </row>
    <row r="221" spans="1:8">
      <c r="A221" s="9" t="s">
        <v>1213</v>
      </c>
      <c r="B221" s="10"/>
      <c r="C221" s="10"/>
      <c r="D221" s="10"/>
      <c r="E221" s="10" t="s">
        <v>513</v>
      </c>
      <c r="F221" s="10">
        <f>Landfilling!E92*Landfilling!F181</f>
        <v>0</v>
      </c>
      <c r="G221" s="10">
        <f>Landfilling!E92*Landfilling!F180</f>
        <v>0</v>
      </c>
      <c r="H221" s="11" t="s">
        <v>513</v>
      </c>
    </row>
    <row r="222" spans="1:8">
      <c r="A222" s="9" t="s">
        <v>1214</v>
      </c>
      <c r="B222" s="10"/>
      <c r="C222" s="10"/>
      <c r="D222" s="10"/>
      <c r="E222" s="10" t="s">
        <v>513</v>
      </c>
      <c r="F222" s="10" t="s">
        <v>513</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513</v>
      </c>
    </row>
    <row r="223" spans="1:8" ht="15.75" thickBot="1">
      <c r="A223" s="12" t="s">
        <v>1215</v>
      </c>
      <c r="B223" s="13"/>
      <c r="C223" s="13"/>
      <c r="D223" s="13"/>
      <c r="E223" s="13" t="s">
        <v>513</v>
      </c>
      <c r="F223" s="98">
        <f>CEILING(2*SUMPRODUCT('Materials Recycling'!D40:K40,'Materials Recycling'!G10:N10)/'Advanced Variables'!$D$33,1)*'Advanced Variables'!$E$28</f>
        <v>36858.344000000005</v>
      </c>
      <c r="G223" s="13" t="s">
        <v>513</v>
      </c>
      <c r="H223" s="14" t="s">
        <v>513</v>
      </c>
    </row>
    <row r="225" spans="1:5">
      <c r="A225" s="62" t="s">
        <v>174</v>
      </c>
    </row>
    <row r="226" spans="1:5" ht="15.75" thickBot="1">
      <c r="A226" t="s">
        <v>1221</v>
      </c>
    </row>
    <row r="227" spans="1:5">
      <c r="A227" s="93" t="s">
        <v>1089</v>
      </c>
      <c r="B227" s="7"/>
      <c r="C227" s="7"/>
      <c r="D227" s="7"/>
      <c r="E227" s="79" t="s">
        <v>82</v>
      </c>
    </row>
    <row r="228" spans="1:5">
      <c r="A228" s="9" t="s">
        <v>1222</v>
      </c>
      <c r="B228" s="10"/>
      <c r="C228" s="10"/>
      <c r="D228" s="10"/>
      <c r="E228" s="99">
        <f>'Waste Collection'!J36</f>
        <v>7000000</v>
      </c>
    </row>
    <row r="229" spans="1:5">
      <c r="A229" s="18" t="s">
        <v>1058</v>
      </c>
      <c r="B229" s="10"/>
      <c r="C229" s="10"/>
      <c r="D229" s="10"/>
      <c r="E229" s="99">
        <f>-'Waste Collection'!$G$11*SUMPRODUCT(('Waste Collection'!E48:K48)/1000,'Waste Collection'!E49:K49)</f>
        <v>-423750</v>
      </c>
    </row>
    <row r="230" spans="1:5">
      <c r="A230" s="9" t="s">
        <v>1223</v>
      </c>
      <c r="B230" s="10"/>
      <c r="C230" s="10"/>
      <c r="D230" s="10"/>
      <c r="E230" s="99">
        <f>'Waste Collection'!$G$11*'Waste Collection'!L61/1000*'Waste Collection'!$H$65</f>
        <v>0</v>
      </c>
    </row>
    <row r="231" spans="1:5">
      <c r="A231" s="9" t="s">
        <v>1224</v>
      </c>
      <c r="B231" s="10"/>
      <c r="C231" s="10"/>
      <c r="D231" s="10"/>
      <c r="E231" s="99">
        <f>-'Waste Input'!$B$8*SUMPRODUCT('Waste Collection'!E74:I74,('Waste Input'!B27:F27)/1000,'Waste Collection'!E73:I73)</f>
        <v>0</v>
      </c>
    </row>
    <row r="232" spans="1:5">
      <c r="A232" s="9" t="s">
        <v>1225</v>
      </c>
      <c r="B232" s="10"/>
      <c r="C232" s="10"/>
      <c r="D232" s="10"/>
      <c r="E232" s="99">
        <f>'Waste Input'!$B$8*(SUM('Waste Input'!B27:G27)+'Waste Input'!B30)/1000*'Waste Collection'!$I$86</f>
        <v>0</v>
      </c>
    </row>
    <row r="233" spans="1:5">
      <c r="A233" s="9" t="s">
        <v>1228</v>
      </c>
      <c r="B233" s="10"/>
      <c r="C233" s="10"/>
      <c r="D233" s="10"/>
      <c r="E233" s="99">
        <f>-SUM('Waste Collection'!E103:F103)*'Waste Collection'!K103</f>
        <v>0</v>
      </c>
    </row>
    <row r="234" spans="1:5">
      <c r="A234" s="9" t="s">
        <v>1226</v>
      </c>
      <c r="B234" s="10"/>
      <c r="C234" s="10"/>
      <c r="D234" s="10"/>
      <c r="E234" s="99">
        <f>-'Waste Collection'!L92*'Waste Collection'!K95</f>
        <v>0</v>
      </c>
    </row>
    <row r="235" spans="1:5">
      <c r="A235" s="9" t="s">
        <v>1227</v>
      </c>
      <c r="B235" s="10"/>
      <c r="C235" s="10"/>
      <c r="D235" s="10"/>
      <c r="E235" s="99">
        <f>-('Waste Input'!B33-'Waste Collection'!L92-SUM('Waste Collection'!E103:F103))*'Waste Collection'!I108</f>
        <v>0</v>
      </c>
    </row>
    <row r="236" spans="1:5">
      <c r="A236" s="9" t="s">
        <v>1229</v>
      </c>
      <c r="B236" s="10"/>
      <c r="C236" s="10"/>
      <c r="D236" s="10"/>
      <c r="E236" s="99">
        <f>M102*'MRF &amp; RDF Sorting'!G35</f>
        <v>0</v>
      </c>
    </row>
    <row r="237" spans="1:5">
      <c r="A237" s="9" t="s">
        <v>1230</v>
      </c>
      <c r="B237" s="10"/>
      <c r="C237" s="10"/>
      <c r="D237" s="10"/>
      <c r="E237" s="99">
        <f>O124*'MRF &amp; RDF Sorting'!G36</f>
        <v>7956.25</v>
      </c>
    </row>
    <row r="238" spans="1:5">
      <c r="A238" s="9" t="s">
        <v>1231</v>
      </c>
      <c r="B238" s="10"/>
      <c r="C238" s="10"/>
      <c r="D238" s="10"/>
      <c r="E238" s="99">
        <f>'MRF &amp; RDF Sorting'!B40*SUM('MRF &amp; RDF Sorting'!B7:J7)</f>
        <v>47500</v>
      </c>
    </row>
    <row r="239" spans="1:5">
      <c r="A239" s="9" t="s">
        <v>1232</v>
      </c>
      <c r="B239" s="10"/>
      <c r="C239" s="10"/>
      <c r="D239" s="10"/>
      <c r="E239" s="99">
        <f>-SUMPRODUCT('MRF &amp; RDF Sorting'!B46:H46,Streams!C149:I149)</f>
        <v>0</v>
      </c>
    </row>
    <row r="240" spans="1:5">
      <c r="A240" s="9" t="s">
        <v>1233</v>
      </c>
      <c r="B240" s="10"/>
      <c r="C240" s="10"/>
      <c r="D240" s="10"/>
      <c r="E240" s="99">
        <f>'MRF &amp; RDF Sorting'!H96*'MRF &amp; RDF Sorting'!D76</f>
        <v>0</v>
      </c>
    </row>
    <row r="241" spans="1:5">
      <c r="A241" s="9" t="s">
        <v>1234</v>
      </c>
      <c r="B241" s="10"/>
      <c r="C241" s="10"/>
      <c r="D241" s="10"/>
      <c r="E241" s="99">
        <f>-M51*'MRF &amp; RDF Sorting'!F99</f>
        <v>0</v>
      </c>
    </row>
    <row r="242" spans="1:5">
      <c r="A242" s="9" t="s">
        <v>1178</v>
      </c>
      <c r="B242" s="10"/>
      <c r="C242" s="10"/>
      <c r="D242" s="10"/>
      <c r="E242" s="99">
        <f>-(M52+M53)*'MRF &amp; RDF Sorting'!F100</f>
        <v>0</v>
      </c>
    </row>
    <row r="243" spans="1:5">
      <c r="A243" s="9" t="s">
        <v>1235</v>
      </c>
      <c r="B243" s="10"/>
      <c r="C243" s="10"/>
      <c r="D243" s="10"/>
      <c r="E243" s="99">
        <f>M49*'MRF &amp; RDF Sorting'!F101</f>
        <v>0</v>
      </c>
    </row>
    <row r="244" spans="1:5">
      <c r="A244" s="9" t="s">
        <v>1236</v>
      </c>
      <c r="B244" s="10"/>
      <c r="C244" s="10"/>
      <c r="D244" s="10"/>
      <c r="E244" s="99">
        <f>M50*'MRF &amp; RDF Sorting'!F102</f>
        <v>0</v>
      </c>
    </row>
    <row r="245" spans="1:5">
      <c r="A245" s="9" t="s">
        <v>1237</v>
      </c>
      <c r="B245" s="10"/>
      <c r="C245" s="10"/>
      <c r="D245" s="10"/>
      <c r="E245" s="99">
        <f>'MRF &amp; RDF Sorting'!H157*'MRF &amp; RDF Sorting'!D137</f>
        <v>0</v>
      </c>
    </row>
    <row r="246" spans="1:5">
      <c r="A246" s="9" t="s">
        <v>1238</v>
      </c>
      <c r="B246" s="10"/>
      <c r="C246" s="10"/>
      <c r="D246" s="10"/>
      <c r="E246" s="99">
        <f>-M65*'MRF &amp; RDF Sorting'!F160</f>
        <v>0</v>
      </c>
    </row>
    <row r="247" spans="1:5">
      <c r="A247" s="9" t="s">
        <v>1181</v>
      </c>
      <c r="B247" s="10"/>
      <c r="C247" s="10"/>
      <c r="D247" s="10"/>
      <c r="E247" s="99">
        <f>-(M66+M67)*'MRF &amp; RDF Sorting'!F161</f>
        <v>0</v>
      </c>
    </row>
    <row r="248" spans="1:5">
      <c r="A248" s="9" t="s">
        <v>1239</v>
      </c>
      <c r="B248" s="10"/>
      <c r="C248" s="10"/>
      <c r="D248" s="10"/>
      <c r="E248" s="99">
        <f>M63*'MRF &amp; RDF Sorting'!F162</f>
        <v>0</v>
      </c>
    </row>
    <row r="249" spans="1:5">
      <c r="A249" s="9" t="s">
        <v>1240</v>
      </c>
      <c r="B249" s="10"/>
      <c r="C249" s="10"/>
      <c r="D249" s="10"/>
      <c r="E249" s="99">
        <f>M64*'MRF &amp; RDF Sorting'!F163</f>
        <v>0</v>
      </c>
    </row>
    <row r="250" spans="1:5">
      <c r="A250" s="9" t="s">
        <v>1241</v>
      </c>
      <c r="B250" s="10"/>
      <c r="C250" s="10"/>
      <c r="D250" s="10"/>
      <c r="E250" s="99">
        <f>'Biological Treatment'!D82*SUM('Biological Treatment'!C41:K41)</f>
        <v>60000</v>
      </c>
    </row>
    <row r="251" spans="1:5">
      <c r="A251" s="9" t="s">
        <v>1244</v>
      </c>
      <c r="B251" s="10"/>
      <c r="C251" s="10"/>
      <c r="D251" s="10"/>
      <c r="E251" s="99">
        <f>(M103+M104)*'Biological Treatment'!D69</f>
        <v>0</v>
      </c>
    </row>
    <row r="252" spans="1:5">
      <c r="A252" s="9" t="s">
        <v>1245</v>
      </c>
      <c r="B252" s="10"/>
      <c r="C252" s="10"/>
      <c r="D252" s="10"/>
      <c r="E252" s="99">
        <f>(O131+O132)*'Biological Treatment'!E69</f>
        <v>2212.5</v>
      </c>
    </row>
    <row r="253" spans="1:5">
      <c r="A253" s="9" t="s">
        <v>1242</v>
      </c>
      <c r="B253" s="10"/>
      <c r="C253" s="10"/>
      <c r="D253" s="10"/>
      <c r="E253" s="99">
        <f>-'Biological Treatment'!C54*'Biological Treatment'!D83</f>
        <v>0</v>
      </c>
    </row>
    <row r="254" spans="1:5">
      <c r="A254" s="9" t="s">
        <v>1243</v>
      </c>
      <c r="B254" s="10"/>
      <c r="C254" s="10"/>
      <c r="D254" s="10"/>
      <c r="E254" s="99">
        <f>-SUMPRODUCT('Biological Treatment'!D41:I41,'Biological Treatment'!D42:I42,'Biological Treatment'!B75:G75)</f>
        <v>0</v>
      </c>
    </row>
    <row r="255" spans="1:5">
      <c r="A255" s="9" t="s">
        <v>1246</v>
      </c>
      <c r="B255" s="10"/>
      <c r="C255" s="10"/>
      <c r="D255" s="10"/>
      <c r="E255" s="99">
        <f>'Biological Treatment'!D136*SUM('Biological Treatment'!C94:K94)</f>
        <v>0</v>
      </c>
    </row>
    <row r="256" spans="1:5">
      <c r="A256" s="9" t="s">
        <v>1247</v>
      </c>
      <c r="B256" s="10"/>
      <c r="C256" s="10"/>
      <c r="D256" s="10"/>
      <c r="E256" s="99">
        <f>(M105+M106)*'Biological Treatment'!D123</f>
        <v>0</v>
      </c>
    </row>
    <row r="257" spans="1:5">
      <c r="A257" s="9" t="s">
        <v>1248</v>
      </c>
      <c r="B257" s="10"/>
      <c r="C257" s="10"/>
      <c r="D257" s="10"/>
      <c r="E257" s="99">
        <f>(O133+O134)*'Biological Treatment'!E123</f>
        <v>0</v>
      </c>
    </row>
    <row r="258" spans="1:5">
      <c r="A258" s="9" t="s">
        <v>1249</v>
      </c>
      <c r="B258" s="10"/>
      <c r="C258" s="10"/>
      <c r="D258" s="10"/>
      <c r="E258" s="99">
        <f>-'Biological Treatment'!C107*'Biological Treatment'!D137</f>
        <v>0</v>
      </c>
    </row>
    <row r="259" spans="1:5">
      <c r="A259" s="9" t="s">
        <v>1250</v>
      </c>
      <c r="B259" s="10"/>
      <c r="C259" s="10"/>
      <c r="D259" s="10"/>
      <c r="E259" s="99">
        <f>-SUMPRODUCT('Biological Treatment'!D94:I94,'Biological Treatment'!D95:I95,'Biological Treatment'!B129:G129)</f>
        <v>0</v>
      </c>
    </row>
    <row r="260" spans="1:5">
      <c r="A260" s="9" t="s">
        <v>1251</v>
      </c>
      <c r="B260" s="10"/>
      <c r="C260" s="10"/>
      <c r="D260" s="10"/>
      <c r="E260" s="99">
        <f>-('Biological Treatment'!C97+'Biological Treatment'!J97)*'Biological Treatment'!E110*'Biological Treatment'!D138</f>
        <v>0</v>
      </c>
    </row>
    <row r="261" spans="1:5">
      <c r="A261" s="9" t="s">
        <v>1252</v>
      </c>
      <c r="B261" s="10"/>
      <c r="C261" s="10"/>
      <c r="D261" s="10"/>
      <c r="E261" s="99">
        <f>'Thermal Treatment'!E47*'Thermal Treatment'!E91</f>
        <v>4100000</v>
      </c>
    </row>
    <row r="262" spans="1:5">
      <c r="A262" s="9" t="s">
        <v>1253</v>
      </c>
      <c r="B262" s="10"/>
      <c r="C262" s="10"/>
      <c r="D262" s="10"/>
      <c r="E262" s="99">
        <f>M137*'Thermal Treatment'!F95</f>
        <v>21486.90625</v>
      </c>
    </row>
    <row r="263" spans="1:5">
      <c r="A263" s="9" t="s">
        <v>1254</v>
      </c>
      <c r="B263" s="10"/>
      <c r="C263" s="10"/>
      <c r="D263" s="10"/>
      <c r="E263" s="99">
        <f>N137*'Thermal Treatment'!F96</f>
        <v>3279.9999999999995</v>
      </c>
    </row>
    <row r="264" spans="1:5">
      <c r="A264" s="9" t="s">
        <v>1255</v>
      </c>
      <c r="B264" s="10"/>
      <c r="C264" s="10"/>
      <c r="D264" s="10"/>
      <c r="E264" s="99">
        <f>G197*'Thermal Treatment'!E92</f>
        <v>-432971.90124749998</v>
      </c>
    </row>
    <row r="265" spans="1:5">
      <c r="A265" s="9" t="s">
        <v>1256</v>
      </c>
      <c r="B265" s="10"/>
      <c r="C265" s="10"/>
      <c r="D265" s="10"/>
      <c r="E265" s="99">
        <f>-L157*'Thermal Treatment'!E93</f>
        <v>0</v>
      </c>
    </row>
    <row r="266" spans="1:5">
      <c r="A266" s="9" t="s">
        <v>1257</v>
      </c>
      <c r="B266" s="10"/>
      <c r="C266" s="10"/>
      <c r="D266" s="10"/>
      <c r="E266" s="99">
        <f>'Thermal Treatment'!E117*'Thermal Treatment'!E161</f>
        <v>0</v>
      </c>
    </row>
    <row r="267" spans="1:5">
      <c r="A267" s="9" t="s">
        <v>1258</v>
      </c>
      <c r="B267" s="10"/>
      <c r="C267" s="10"/>
      <c r="D267" s="10"/>
      <c r="E267" s="99">
        <f>M139*'Thermal Treatment'!F165</f>
        <v>0</v>
      </c>
    </row>
    <row r="268" spans="1:5">
      <c r="A268" s="9" t="s">
        <v>1259</v>
      </c>
      <c r="B268" s="10"/>
      <c r="C268" s="10"/>
      <c r="D268" s="10"/>
      <c r="E268" s="99">
        <f>N137*'Thermal Treatment'!F166</f>
        <v>0</v>
      </c>
    </row>
    <row r="269" spans="1:5">
      <c r="A269" s="9" t="s">
        <v>1260</v>
      </c>
      <c r="B269" s="10"/>
      <c r="C269" s="10"/>
      <c r="D269" s="10"/>
      <c r="E269" s="99">
        <f>G201*'Thermal Treatment'!E162</f>
        <v>0</v>
      </c>
    </row>
    <row r="270" spans="1:5">
      <c r="A270" s="9" t="s">
        <v>1261</v>
      </c>
      <c r="B270" s="10"/>
      <c r="C270" s="10"/>
      <c r="D270" s="10"/>
      <c r="E270" s="99">
        <f>-L159*'Thermal Treatment'!E163</f>
        <v>0</v>
      </c>
    </row>
    <row r="271" spans="1:5">
      <c r="A271" s="9" t="s">
        <v>1262</v>
      </c>
      <c r="B271" s="10"/>
      <c r="C271" s="10"/>
      <c r="D271" s="10"/>
      <c r="E271" s="99">
        <f>'Thermal Treatment'!F211*'Thermal Treatment'!E177</f>
        <v>0</v>
      </c>
    </row>
    <row r="272" spans="1:5">
      <c r="A272" s="9" t="s">
        <v>1263</v>
      </c>
      <c r="B272" s="10"/>
      <c r="C272" s="10"/>
      <c r="D272" s="10"/>
      <c r="E272" s="99">
        <f>'Thermal Treatment'!F213*'Thermal Treatment'!C197*'Thermal Treatment'!E177</f>
        <v>0</v>
      </c>
    </row>
    <row r="273" spans="1:5">
      <c r="A273" s="9" t="s">
        <v>1264</v>
      </c>
      <c r="B273" s="10"/>
      <c r="C273" s="10"/>
      <c r="D273" s="10"/>
      <c r="E273" s="99">
        <f>'Thermal Treatment'!F214*'Thermal Treatment'!C196*'Thermal Treatment'!E177</f>
        <v>0</v>
      </c>
    </row>
    <row r="274" spans="1:5">
      <c r="A274" s="9" t="s">
        <v>1265</v>
      </c>
      <c r="B274" s="10"/>
      <c r="C274" s="10"/>
      <c r="D274" s="10"/>
      <c r="E274" s="99">
        <f>G205*'Thermal Treatment'!F212</f>
        <v>0</v>
      </c>
    </row>
    <row r="275" spans="1:5">
      <c r="A275" s="9" t="s">
        <v>1266</v>
      </c>
      <c r="B275" s="10"/>
      <c r="C275" s="10"/>
      <c r="D275" s="10"/>
      <c r="E275" s="99">
        <f>'Thermal Treatment'!G211*'Thermal Treatment'!F177</f>
        <v>0</v>
      </c>
    </row>
    <row r="276" spans="1:5">
      <c r="A276" s="9" t="s">
        <v>1267</v>
      </c>
      <c r="B276" s="10"/>
      <c r="C276" s="10"/>
      <c r="D276" s="10"/>
      <c r="E276" s="99">
        <f>'Thermal Treatment'!G213*'Thermal Treatment'!D197*'Thermal Treatment'!F177</f>
        <v>0</v>
      </c>
    </row>
    <row r="277" spans="1:5">
      <c r="A277" s="9" t="s">
        <v>1268</v>
      </c>
      <c r="B277" s="10"/>
      <c r="C277" s="10"/>
      <c r="D277" s="10"/>
      <c r="E277" s="99">
        <f>'Thermal Treatment'!G214*'Thermal Treatment'!D196*'Thermal Treatment'!F177</f>
        <v>0</v>
      </c>
    </row>
    <row r="278" spans="1:5">
      <c r="A278" s="9" t="s">
        <v>1269</v>
      </c>
      <c r="B278" s="10"/>
      <c r="C278" s="10"/>
      <c r="D278" s="10"/>
      <c r="E278" s="99">
        <f>G209*'Thermal Treatment'!G212</f>
        <v>0</v>
      </c>
    </row>
    <row r="279" spans="1:5">
      <c r="A279" s="9" t="s">
        <v>1270</v>
      </c>
      <c r="B279" s="10"/>
      <c r="C279" s="10"/>
      <c r="D279" s="10"/>
      <c r="E279" s="99">
        <f>'Thermal Treatment'!F253*'Thermal Treatment'!G224</f>
        <v>0</v>
      </c>
    </row>
    <row r="280" spans="1:5">
      <c r="A280" s="9" t="s">
        <v>1271</v>
      </c>
      <c r="B280" s="10"/>
      <c r="C280" s="10"/>
      <c r="D280" s="10"/>
      <c r="E280" s="99">
        <f>'Thermal Treatment'!F255*SUMPRODUCT('Thermal Treatment'!C244:D244,'Thermal Treatment'!E224:F224)</f>
        <v>0</v>
      </c>
    </row>
    <row r="281" spans="1:5">
      <c r="A281" s="9" t="s">
        <v>1272</v>
      </c>
      <c r="B281" s="10"/>
      <c r="C281" s="10"/>
      <c r="D281" s="10"/>
      <c r="E281" s="99">
        <f>'Thermal Treatment'!F256*SUMPRODUCT('Thermal Treatment'!C243:D243,'Thermal Treatment'!E224:F224)</f>
        <v>0</v>
      </c>
    </row>
    <row r="282" spans="1:5">
      <c r="A282" s="9" t="s">
        <v>1273</v>
      </c>
      <c r="B282" s="10"/>
      <c r="C282" s="10"/>
      <c r="D282" s="10"/>
      <c r="E282" s="99">
        <f>G213*'Thermal Treatment'!F254</f>
        <v>0</v>
      </c>
    </row>
    <row r="283" spans="1:5">
      <c r="A283" s="9" t="s">
        <v>1274</v>
      </c>
      <c r="B283" s="10"/>
      <c r="C283" s="10"/>
      <c r="D283" s="10"/>
      <c r="E283" s="99">
        <f>Landfilling!D92*Landfilling!E171</f>
        <v>37155.65625</v>
      </c>
    </row>
    <row r="284" spans="1:5">
      <c r="A284" s="9" t="s">
        <v>1275</v>
      </c>
      <c r="B284" s="10"/>
      <c r="C284" s="10"/>
      <c r="D284" s="10"/>
      <c r="E284" s="99">
        <f>Landfilling!D92*Landfilling!E172</f>
        <v>891735.75</v>
      </c>
    </row>
    <row r="285" spans="1:5">
      <c r="A285" s="9" t="s">
        <v>1276</v>
      </c>
      <c r="B285" s="10"/>
      <c r="C285" s="10"/>
      <c r="D285" s="10"/>
      <c r="E285" s="99">
        <f>Landfilling!E92*Landfilling!E196</f>
        <v>6559.9999999999991</v>
      </c>
    </row>
    <row r="286" spans="1:5">
      <c r="A286" s="9" t="s">
        <v>1277</v>
      </c>
      <c r="B286" s="10"/>
      <c r="C286" s="10"/>
      <c r="D286" s="10"/>
      <c r="E286" s="99">
        <f>Landfilling!E92*Landfilling!E197</f>
        <v>163999.99999999997</v>
      </c>
    </row>
    <row r="287" spans="1:5">
      <c r="A287" s="9" t="s">
        <v>1278</v>
      </c>
      <c r="B287" s="10"/>
      <c r="C287" s="10"/>
      <c r="D287" s="10"/>
      <c r="E287" s="99">
        <f>G222*Landfilling!I156</f>
        <v>-98671.061250000013</v>
      </c>
    </row>
    <row r="288" spans="1:5">
      <c r="A288" s="9" t="s">
        <v>1279</v>
      </c>
      <c r="B288" s="10"/>
      <c r="C288" s="10"/>
      <c r="D288" s="10"/>
      <c r="E288" s="99">
        <f>SUMPRODUCT('Materials Recycling'!E48:L48,'Materials Recycling'!G10:N10)</f>
        <v>43472.025000000001</v>
      </c>
    </row>
    <row r="289" spans="1:5">
      <c r="A289" s="9" t="s">
        <v>1280</v>
      </c>
      <c r="B289" s="10"/>
      <c r="C289" s="10"/>
      <c r="D289" s="10"/>
      <c r="E289" s="99">
        <f>SUMPRODUCT('Materials Recycling'!E49:L49,'Materials Recycling'!G10:N10,(1-'Advanced Variables'!C99:J99))</f>
        <v>77258.900999999998</v>
      </c>
    </row>
    <row r="290" spans="1:5" ht="15.75" thickBot="1">
      <c r="A290" s="12" t="s">
        <v>1281</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N150:N155 Q123:Q131">
    <cfRule type="cellIs" dxfId="77" priority="1898" operator="equal">
      <formula>"N/A"</formula>
    </cfRule>
    <cfRule type="cellIs" dxfId="76" priority="1899" operator="equal">
      <formula>0</formula>
    </cfRule>
    <cfRule type="cellIs" dxfId="75" priority="1900"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N150:N155 Q123:Q131">
    <cfRule type="cellIs" dxfId="74" priority="1893" operator="lessThan">
      <formula>0</formula>
    </cfRule>
    <cfRule type="cellIs" dxfId="73" priority="1894" operator="equal">
      <formula>0</formula>
    </cfRule>
  </conditionalFormatting>
  <conditionalFormatting sqref="C39:G43 C47:K47 C49:K57 M47:M57 L47:L53 C61:M72 C76:L97 C101:M119 C123:O143 C147:L159 E165:H223 E228:E290 N150:N155 Q123:Q131">
    <cfRule type="cellIs" dxfId="72" priority="1877" operator="lessThan">
      <formula>0</formula>
    </cfRule>
    <cfRule type="cellIs" dxfId="71" priority="1878"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N150:N155 Q123:Q131">
    <cfRule type="cellIs" dxfId="70" priority="1849" operator="equal">
      <formula>0</formula>
    </cfRule>
  </conditionalFormatting>
  <conditionalFormatting sqref="Q132">
    <cfRule type="cellIs" dxfId="69" priority="22" operator="equal">
      <formula>"N/A"</formula>
    </cfRule>
    <cfRule type="cellIs" dxfId="68" priority="23" operator="equal">
      <formula>0</formula>
    </cfRule>
    <cfRule type="cellIs" dxfId="67" priority="24" operator="lessThan">
      <formula>0</formula>
    </cfRule>
  </conditionalFormatting>
  <conditionalFormatting sqref="Q132">
    <cfRule type="cellIs" dxfId="66" priority="20" operator="lessThan">
      <formula>0</formula>
    </cfRule>
    <cfRule type="cellIs" dxfId="65" priority="21" operator="equal">
      <formula>0</formula>
    </cfRule>
  </conditionalFormatting>
  <conditionalFormatting sqref="Q132">
    <cfRule type="cellIs" dxfId="64" priority="18" operator="lessThan">
      <formula>0</formula>
    </cfRule>
    <cfRule type="cellIs" dxfId="63" priority="19" operator="equal">
      <formula>0</formula>
    </cfRule>
  </conditionalFormatting>
  <conditionalFormatting sqref="Q132">
    <cfRule type="cellIs" dxfId="62" priority="17" operator="equal">
      <formula>0</formula>
    </cfRule>
  </conditionalFormatting>
  <conditionalFormatting sqref="Q133:Q134">
    <cfRule type="cellIs" dxfId="61" priority="14" operator="equal">
      <formula>"N/A"</formula>
    </cfRule>
    <cfRule type="cellIs" dxfId="60" priority="15" operator="equal">
      <formula>0</formula>
    </cfRule>
    <cfRule type="cellIs" dxfId="59" priority="16" operator="lessThan">
      <formula>0</formula>
    </cfRule>
  </conditionalFormatting>
  <conditionalFormatting sqref="Q133:Q134">
    <cfRule type="cellIs" dxfId="58" priority="12" operator="lessThan">
      <formula>0</formula>
    </cfRule>
    <cfRule type="cellIs" dxfId="57" priority="13" operator="equal">
      <formula>0</formula>
    </cfRule>
  </conditionalFormatting>
  <conditionalFormatting sqref="Q133:Q134">
    <cfRule type="cellIs" dxfId="56" priority="10" operator="lessThan">
      <formula>0</formula>
    </cfRule>
    <cfRule type="cellIs" dxfId="55" priority="11" operator="equal">
      <formula>0</formula>
    </cfRule>
  </conditionalFormatting>
  <conditionalFormatting sqref="Q133:Q134">
    <cfRule type="cellIs" dxfId="54" priority="9" operator="equal">
      <formula>0</formula>
    </cfRule>
  </conditionalFormatting>
  <conditionalFormatting sqref="Q135">
    <cfRule type="cellIs" dxfId="53" priority="6" operator="equal">
      <formula>"N/A"</formula>
    </cfRule>
    <cfRule type="cellIs" dxfId="52" priority="7" operator="equal">
      <formula>0</formula>
    </cfRule>
    <cfRule type="cellIs" dxfId="51" priority="8" operator="lessThan">
      <formula>0</formula>
    </cfRule>
  </conditionalFormatting>
  <conditionalFormatting sqref="Q135">
    <cfRule type="cellIs" dxfId="50" priority="4" operator="lessThan">
      <formula>0</formula>
    </cfRule>
    <cfRule type="cellIs" dxfId="49" priority="5" operator="equal">
      <formula>0</formula>
    </cfRule>
  </conditionalFormatting>
  <conditionalFormatting sqref="Q135">
    <cfRule type="cellIs" dxfId="48" priority="2" operator="lessThan">
      <formula>0</formula>
    </cfRule>
    <cfRule type="cellIs" dxfId="47" priority="3" operator="equal">
      <formula>0</formula>
    </cfRule>
  </conditionalFormatting>
  <conditionalFormatting sqref="Q135">
    <cfRule type="cellIs" dxfId="46" priority="1" operator="equal">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2011-08-28T17:30:24Z</dcterms:modified>
</cp:coreProperties>
</file>